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saveExternalLinkValues="0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NI\Data Oriented Programming Paradigms (Python)\Exercise 2\Statistical Pocketbook 2023 EU Comission\"/>
    </mc:Choice>
  </mc:AlternateContent>
  <xr:revisionPtr revIDLastSave="0" documentId="13_ncr:1_{3977BC48-79B5-435B-BA77-21F9021F6831}" xr6:coauthVersionLast="47" xr6:coauthVersionMax="47" xr10:uidLastSave="{00000000-0000-0000-0000-000000000000}"/>
  <bookViews>
    <workbookView xWindow="28710" yWindow="-3390" windowWidth="19380" windowHeight="20970" tabRatio="864" activeTab="4" xr2:uid="{00000000-000D-0000-FFFF-FFFF00000000}"/>
  </bookViews>
  <sheets>
    <sheet name="T2.6" sheetId="174" r:id="rId1"/>
    <sheet name="motorisation" sheetId="112" r:id="rId2"/>
    <sheet name="stock_cars" sheetId="113" r:id="rId3"/>
    <sheet name="stock_bus" sheetId="114" state="hidden" r:id="rId4"/>
    <sheet name="stock_busses" sheetId="175" r:id="rId5"/>
    <sheet name="stock_goods" sheetId="115" r:id="rId6"/>
    <sheet name="stock_mbike" sheetId="116" r:id="rId7"/>
    <sheet name="car_reg_new" sheetId="176" r:id="rId8"/>
    <sheet name="com_reg" sheetId="177" r:id="rId9"/>
    <sheet name="bus_reg" sheetId="120" r:id="rId10"/>
    <sheet name="mbike_reg" sheetId="118" r:id="rId11"/>
    <sheet name="moped_del" sheetId="170" r:id="rId12"/>
    <sheet name="sea_fleet_eu" sheetId="124" r:id="rId13"/>
    <sheet name="sea_world_region" sheetId="125" r:id="rId14"/>
    <sheet name="sea_world_type" sheetId="173" r:id="rId15"/>
    <sheet name="aircraft_passeng" sheetId="126" r:id="rId16"/>
    <sheet name="aircraft_other" sheetId="127" r:id="rId17"/>
    <sheet name="stock_loco" sheetId="121" r:id="rId18"/>
    <sheet name="stock_railcar" sheetId="122" r:id="rId19"/>
    <sheet name="stock_railgood" sheetId="123" r:id="rId20"/>
  </sheets>
  <definedNames>
    <definedName name="A" localSheetId="0">'T2.6'!$A$65501</definedName>
    <definedName name="HTML1_1" hidden="1">"'[internet 98q4.xls]xcontact'!$A$1:$F$114"</definedName>
    <definedName name="HTML1_10" hidden="1">""</definedName>
    <definedName name="HTML1_11" hidden="1">1</definedName>
    <definedName name="HTML1_12" hidden="1">"D:\data\xl\MyHTML.htm"</definedName>
    <definedName name="HTML1_13" hidden="1">#N/A</definedName>
    <definedName name="HTML1_14" hidden="1">#N/A</definedName>
    <definedName name="HTML1_15" hidden="1">#N/A</definedName>
    <definedName name="HTML1_2" hidden="1">1</definedName>
    <definedName name="HTML1_3" hidden="1">"internet 98q4.xls"</definedName>
    <definedName name="HTML1_4" hidden="1">"xcontact"</definedName>
    <definedName name="HTML1_5" hidden="1">""</definedName>
    <definedName name="HTML1_6" hidden="1">-4146</definedName>
    <definedName name="HTML1_7" hidden="1">-4146</definedName>
    <definedName name="HTML1_8" hidden="1">"15/10/1998"</definedName>
    <definedName name="HTML1_9" hidden="1">"GEORGIADES"</definedName>
    <definedName name="HTML2_1" hidden="1">"'[internet 98q4.xls]xcontact'!$A$2:$F$114"</definedName>
    <definedName name="HTML2_10" hidden="1">""</definedName>
    <definedName name="HTML2_11" hidden="1">1</definedName>
    <definedName name="HTML2_12" hidden="1">"D:\data\xl\MyHTML.htm"</definedName>
    <definedName name="HTML2_13" hidden="1">#N/A</definedName>
    <definedName name="HTML2_14" hidden="1">#N/A</definedName>
    <definedName name="HTML2_15" hidden="1">#N/A</definedName>
    <definedName name="HTML2_2" hidden="1">1</definedName>
    <definedName name="HTML2_3" hidden="1">"internet 98q4.xls"</definedName>
    <definedName name="HTML2_4" hidden="1">"xcontact"</definedName>
    <definedName name="HTML2_5" hidden="1">""</definedName>
    <definedName name="HTML2_6" hidden="1">-4146</definedName>
    <definedName name="HTML2_7" hidden="1">-4146</definedName>
    <definedName name="HTML2_8" hidden="1">"15/10/1998"</definedName>
    <definedName name="HTML2_9" hidden="1">"GEORGIADES"</definedName>
    <definedName name="HTML3_1" hidden="1">"'[internet 98q4.xls]xlist3'!$A$3:$E$175"</definedName>
    <definedName name="HTML3_10" hidden="1">""</definedName>
    <definedName name="HTML3_11" hidden="1">-4146</definedName>
    <definedName name="HTML3_12" hidden="1">"D:\data\aaa html\national2.htm"</definedName>
    <definedName name="HTML3_13" hidden="1">#N/A</definedName>
    <definedName name="HTML3_14" hidden="1">#N/A</definedName>
    <definedName name="HTML3_15" hidden="1">#N/A</definedName>
    <definedName name="HTML3_2" hidden="1">1</definedName>
    <definedName name="HTML3_3" hidden="1">"internet 98q4.xls"</definedName>
    <definedName name="HTML3_4" hidden="1">"xlist3"</definedName>
    <definedName name="HTML3_5" hidden="1">""</definedName>
    <definedName name="HTML3_6" hidden="1">-4146</definedName>
    <definedName name="HTML3_7" hidden="1">-4146</definedName>
    <definedName name="HTML3_8" hidden="1">"15/10/1998"</definedName>
    <definedName name="HTML3_9" hidden="1">"GEORGIADES"</definedName>
    <definedName name="HTML4_1" hidden="1">"'[internet 98q4.xls]x1.2'!$B$5:$C$25"</definedName>
    <definedName name="HTML4_10" hidden="1">""</definedName>
    <definedName name="HTML4_11" hidden="1">1</definedName>
    <definedName name="HTML4_12" hidden="1">"D:\data\aaa html\test1.htm"</definedName>
    <definedName name="HTML4_13" hidden="1">#N/A</definedName>
    <definedName name="HTML4_14" hidden="1">#N/A</definedName>
    <definedName name="HTML4_15" hidden="1">#N/A</definedName>
    <definedName name="HTML4_2" hidden="1">1</definedName>
    <definedName name="HTML4_3" hidden="1">""</definedName>
    <definedName name="HTML4_4" hidden="1">""</definedName>
    <definedName name="HTML4_5" hidden="1">""</definedName>
    <definedName name="HTML4_6" hidden="1">-4146</definedName>
    <definedName name="HTML4_7" hidden="1">-4146</definedName>
    <definedName name="HTML4_8" hidden="1">""</definedName>
    <definedName name="HTML4_9" hidden="1">""</definedName>
    <definedName name="HTMLCount" hidden="1">4</definedName>
    <definedName name="TABLE" localSheetId="17">stock_loco!#REF!</definedName>
    <definedName name="TABLE_2" localSheetId="17">stock_loco!#REF!</definedName>
    <definedName name="_xlnm.Print_Area" localSheetId="16">aircraft_other!#REF!</definedName>
    <definedName name="_xlnm.Print_Area" localSheetId="15">aircraft_passeng!$B$1:$H$47</definedName>
    <definedName name="_xlnm.Print_Area" localSheetId="9">bus_reg!#REF!</definedName>
    <definedName name="_xlnm.Print_Area" localSheetId="10">mbike_reg!$B$1:$S$49</definedName>
    <definedName name="_xlnm.Print_Area" localSheetId="11">moped_del!$B$1:$AA$46</definedName>
    <definedName name="_xlnm.Print_Area" localSheetId="1">motorisation!$A$1:$AK$49</definedName>
    <definedName name="_xlnm.Print_Area" localSheetId="12">sea_fleet_eu!$B$1:$K$48</definedName>
    <definedName name="_xlnm.Print_Area" localSheetId="13">sea_world_region!$B$1:$L$21</definedName>
    <definedName name="_xlnm.Print_Area" localSheetId="14">sea_world_type!#REF!</definedName>
    <definedName name="_xlnm.Print_Area" localSheetId="3">stock_bus!$B$1:$Z$47</definedName>
    <definedName name="_xlnm.Print_Area" localSheetId="2">stock_cars!$A$1:$Z$47</definedName>
    <definedName name="_xlnm.Print_Area" localSheetId="5">stock_goods!$B$1:$Z$50</definedName>
    <definedName name="_xlnm.Print_Area" localSheetId="17">stock_loco!#REF!</definedName>
    <definedName name="_xlnm.Print_Area" localSheetId="6">stock_mbike!$B$1:$S$49</definedName>
    <definedName name="_xlnm.Print_Area" localSheetId="18">stock_railcar!$B$1:$AD$49</definedName>
    <definedName name="_xlnm.Print_Area" localSheetId="19">stock_railgood!$B$1:$N$47</definedName>
    <definedName name="_xlnm.Print_Area" localSheetId="0">'T2.6'!$A$1:$D$33</definedName>
  </definedNames>
  <calcPr calcId="191029"/>
</workbook>
</file>

<file path=xl/calcChain.xml><?xml version="1.0" encoding="utf-8"?>
<calcChain xmlns="http://schemas.openxmlformats.org/spreadsheetml/2006/main">
  <c r="L7" i="177" l="1"/>
  <c r="M7" i="177"/>
  <c r="N7" i="177"/>
  <c r="O7" i="177"/>
  <c r="P7" i="177"/>
  <c r="Q7" i="177"/>
  <c r="R7" i="177"/>
  <c r="S7" i="177"/>
  <c r="T7" i="177"/>
  <c r="AM8" i="177"/>
  <c r="CG8" i="177" s="1"/>
  <c r="AN8" i="177"/>
  <c r="CH8" i="177" s="1"/>
  <c r="AO8" i="177"/>
  <c r="CI8" i="177" s="1"/>
  <c r="AP8" i="177"/>
  <c r="CJ8" i="177" s="1"/>
  <c r="AQ8" i="177"/>
  <c r="CK8" i="177" s="1"/>
  <c r="AR8" i="177"/>
  <c r="CL8" i="177" s="1"/>
  <c r="AS8" i="177"/>
  <c r="CM8" i="177" s="1"/>
  <c r="AT8" i="177"/>
  <c r="AU8" i="177"/>
  <c r="CO8" i="177" s="1"/>
  <c r="CP8" i="177" s="1"/>
  <c r="BX8" i="177"/>
  <c r="BY8" i="177"/>
  <c r="BZ8" i="177"/>
  <c r="CA8" i="177"/>
  <c r="CB8" i="177"/>
  <c r="CC8" i="177"/>
  <c r="CD8" i="177"/>
  <c r="CE8" i="177"/>
  <c r="CF8" i="177"/>
  <c r="CN8" i="177"/>
  <c r="AM9" i="177"/>
  <c r="CG9" i="177" s="1"/>
  <c r="AN9" i="177"/>
  <c r="CH9" i="177" s="1"/>
  <c r="AO9" i="177"/>
  <c r="CI9" i="177" s="1"/>
  <c r="AP9" i="177"/>
  <c r="AQ9" i="177"/>
  <c r="CK9" i="177" s="1"/>
  <c r="AR9" i="177"/>
  <c r="CL9" i="177" s="1"/>
  <c r="AS9" i="177"/>
  <c r="CM9" i="177" s="1"/>
  <c r="AT9" i="177"/>
  <c r="CN9" i="177" s="1"/>
  <c r="AU9" i="177"/>
  <c r="CJ9" i="177"/>
  <c r="AM10" i="177"/>
  <c r="CG10" i="177" s="1"/>
  <c r="AN10" i="177"/>
  <c r="CH10" i="177" s="1"/>
  <c r="AO10" i="177"/>
  <c r="CI10" i="177" s="1"/>
  <c r="AP10" i="177"/>
  <c r="CJ10" i="177" s="1"/>
  <c r="AQ10" i="177"/>
  <c r="CK10" i="177" s="1"/>
  <c r="AR10" i="177"/>
  <c r="CL10" i="177" s="1"/>
  <c r="AS10" i="177"/>
  <c r="AT10" i="177"/>
  <c r="AU10" i="177"/>
  <c r="CO10" i="177" s="1"/>
  <c r="BX10" i="177"/>
  <c r="BY10" i="177"/>
  <c r="BZ10" i="177"/>
  <c r="CA10" i="177"/>
  <c r="CB10" i="177"/>
  <c r="CC10" i="177"/>
  <c r="CD10" i="177"/>
  <c r="CE10" i="177"/>
  <c r="CF10" i="177"/>
  <c r="CM10" i="177"/>
  <c r="CN10" i="177"/>
  <c r="AM11" i="177"/>
  <c r="CG11" i="177" s="1"/>
  <c r="AN11" i="177"/>
  <c r="CH11" i="177" s="1"/>
  <c r="AO11" i="177"/>
  <c r="CI11" i="177" s="1"/>
  <c r="AP11" i="177"/>
  <c r="CJ11" i="177" s="1"/>
  <c r="AQ11" i="177"/>
  <c r="CK11" i="177" s="1"/>
  <c r="AR11" i="177"/>
  <c r="CL11" i="177" s="1"/>
  <c r="AS11" i="177"/>
  <c r="CM11" i="177" s="1"/>
  <c r="AT11" i="177"/>
  <c r="CN11" i="177" s="1"/>
  <c r="AU11" i="177"/>
  <c r="BX11" i="177"/>
  <c r="BY11" i="177"/>
  <c r="BZ11" i="177"/>
  <c r="CA11" i="177"/>
  <c r="CB11" i="177"/>
  <c r="CC11" i="177"/>
  <c r="CD11" i="177"/>
  <c r="CE11" i="177"/>
  <c r="CF11" i="177"/>
  <c r="AM12" i="177"/>
  <c r="CG12" i="177" s="1"/>
  <c r="AN12" i="177"/>
  <c r="CH12" i="177" s="1"/>
  <c r="AO12" i="177"/>
  <c r="AP12" i="177"/>
  <c r="CJ12" i="177" s="1"/>
  <c r="AQ12" i="177"/>
  <c r="CK12" i="177" s="1"/>
  <c r="AR12" i="177"/>
  <c r="AS12" i="177"/>
  <c r="CM12" i="177" s="1"/>
  <c r="AT12" i="177"/>
  <c r="CN12" i="177" s="1"/>
  <c r="AU12" i="177"/>
  <c r="BX12" i="177"/>
  <c r="BY12" i="177"/>
  <c r="BZ12" i="177"/>
  <c r="CA12" i="177"/>
  <c r="CB12" i="177"/>
  <c r="CC12" i="177"/>
  <c r="CD12" i="177"/>
  <c r="CE12" i="177"/>
  <c r="CF12" i="177"/>
  <c r="CI12" i="177"/>
  <c r="CL12" i="177"/>
  <c r="AM13" i="177"/>
  <c r="CG13" i="177" s="1"/>
  <c r="AN13" i="177"/>
  <c r="CH13" i="177" s="1"/>
  <c r="AO13" i="177"/>
  <c r="CI13" i="177" s="1"/>
  <c r="AP13" i="177"/>
  <c r="CJ13" i="177" s="1"/>
  <c r="AQ13" i="177"/>
  <c r="CK13" i="177" s="1"/>
  <c r="AR13" i="177"/>
  <c r="CL13" i="177" s="1"/>
  <c r="AS13" i="177"/>
  <c r="CM13" i="177" s="1"/>
  <c r="AT13" i="177"/>
  <c r="CN13" i="177" s="1"/>
  <c r="AU13" i="177"/>
  <c r="CO13" i="177" s="1"/>
  <c r="BX13" i="177"/>
  <c r="BY13" i="177"/>
  <c r="BZ13" i="177"/>
  <c r="CA13" i="177"/>
  <c r="CB13" i="177"/>
  <c r="CC13" i="177"/>
  <c r="CD13" i="177"/>
  <c r="CE13" i="177"/>
  <c r="CF13" i="177"/>
  <c r="AM14" i="177"/>
  <c r="CG14" i="177" s="1"/>
  <c r="AN14" i="177"/>
  <c r="CH14" i="177" s="1"/>
  <c r="AO14" i="177"/>
  <c r="CI14" i="177" s="1"/>
  <c r="AP14" i="177"/>
  <c r="CJ14" i="177" s="1"/>
  <c r="AQ14" i="177"/>
  <c r="CK14" i="177" s="1"/>
  <c r="AR14" i="177"/>
  <c r="CL14" i="177" s="1"/>
  <c r="AS14" i="177"/>
  <c r="AT14" i="177"/>
  <c r="CN14" i="177" s="1"/>
  <c r="AU14" i="177"/>
  <c r="BX14" i="177"/>
  <c r="BY14" i="177"/>
  <c r="BZ14" i="177"/>
  <c r="CA14" i="177"/>
  <c r="CB14" i="177"/>
  <c r="CC14" i="177"/>
  <c r="CD14" i="177"/>
  <c r="CE14" i="177"/>
  <c r="CF14" i="177"/>
  <c r="BX15" i="177"/>
  <c r="BY15" i="177"/>
  <c r="BZ15" i="177"/>
  <c r="CA15" i="177"/>
  <c r="CB15" i="177"/>
  <c r="CC15" i="177"/>
  <c r="CD15" i="177"/>
  <c r="CE15" i="177"/>
  <c r="CF15" i="177"/>
  <c r="CG15" i="177"/>
  <c r="CH15" i="177"/>
  <c r="CI15" i="177"/>
  <c r="CJ15" i="177"/>
  <c r="CK15" i="177"/>
  <c r="CL15" i="177"/>
  <c r="CM15" i="177"/>
  <c r="CN15" i="177"/>
  <c r="CO15" i="177"/>
  <c r="AN16" i="177"/>
  <c r="CH16" i="177" s="1"/>
  <c r="AO16" i="177"/>
  <c r="AP16" i="177"/>
  <c r="CJ16" i="177" s="1"/>
  <c r="AQ16" i="177"/>
  <c r="CK16" i="177" s="1"/>
  <c r="AR16" i="177"/>
  <c r="CL16" i="177" s="1"/>
  <c r="AS16" i="177"/>
  <c r="CM16" i="177" s="1"/>
  <c r="AT16" i="177"/>
  <c r="CN16" i="177" s="1"/>
  <c r="AU16" i="177"/>
  <c r="CO16" i="177" s="1"/>
  <c r="BX16" i="177"/>
  <c r="BY16" i="177"/>
  <c r="BZ16" i="177"/>
  <c r="CA16" i="177"/>
  <c r="CB16" i="177"/>
  <c r="CC16" i="177"/>
  <c r="CD16" i="177"/>
  <c r="CE16" i="177"/>
  <c r="CF16" i="177"/>
  <c r="CG16" i="177"/>
  <c r="CI16" i="177"/>
  <c r="AM17" i="177"/>
  <c r="CG17" i="177" s="1"/>
  <c r="AN17" i="177"/>
  <c r="CH17" i="177" s="1"/>
  <c r="AO17" i="177"/>
  <c r="CI17" i="177" s="1"/>
  <c r="AP17" i="177"/>
  <c r="CJ17" i="177" s="1"/>
  <c r="AQ17" i="177"/>
  <c r="CK17" i="177" s="1"/>
  <c r="AR17" i="177"/>
  <c r="CL17" i="177" s="1"/>
  <c r="AS17" i="177"/>
  <c r="CM17" i="177" s="1"/>
  <c r="AT17" i="177"/>
  <c r="CN17" i="177" s="1"/>
  <c r="AU17" i="177"/>
  <c r="CO17" i="177" s="1"/>
  <c r="BX17" i="177"/>
  <c r="BY17" i="177"/>
  <c r="BZ17" i="177"/>
  <c r="CA17" i="177"/>
  <c r="CB17" i="177"/>
  <c r="CC17" i="177"/>
  <c r="CD17" i="177"/>
  <c r="CE17" i="177"/>
  <c r="CF17" i="177"/>
  <c r="AU18" i="177"/>
  <c r="CG18" i="177"/>
  <c r="CH18" i="177"/>
  <c r="CI18" i="177"/>
  <c r="CJ18" i="177"/>
  <c r="CK18" i="177"/>
  <c r="CL18" i="177"/>
  <c r="CM18" i="177"/>
  <c r="CN18" i="177"/>
  <c r="AM19" i="177"/>
  <c r="CG19" i="177" s="1"/>
  <c r="AN19" i="177"/>
  <c r="CH19" i="177" s="1"/>
  <c r="AO19" i="177"/>
  <c r="AP19" i="177"/>
  <c r="AQ19" i="177"/>
  <c r="AR19" i="177"/>
  <c r="CL19" i="177" s="1"/>
  <c r="AS19" i="177"/>
  <c r="CM19" i="177" s="1"/>
  <c r="AT19" i="177"/>
  <c r="CN19" i="177" s="1"/>
  <c r="AU19" i="177"/>
  <c r="BX19" i="177"/>
  <c r="BY19" i="177"/>
  <c r="BZ19" i="177"/>
  <c r="CA19" i="177"/>
  <c r="CB19" i="177"/>
  <c r="CC19" i="177"/>
  <c r="CD19" i="177"/>
  <c r="CE19" i="177"/>
  <c r="CF19" i="177"/>
  <c r="CI19" i="177"/>
  <c r="CJ19" i="177"/>
  <c r="CK19" i="177"/>
  <c r="AM20" i="177"/>
  <c r="CG20" i="177" s="1"/>
  <c r="AN20" i="177"/>
  <c r="CH20" i="177" s="1"/>
  <c r="AO20" i="177"/>
  <c r="CI20" i="177" s="1"/>
  <c r="AP20" i="177"/>
  <c r="CJ20" i="177" s="1"/>
  <c r="AQ20" i="177"/>
  <c r="CK20" i="177" s="1"/>
  <c r="AR20" i="177"/>
  <c r="CL20" i="177" s="1"/>
  <c r="AS20" i="177"/>
  <c r="AT20" i="177"/>
  <c r="CN20" i="177" s="1"/>
  <c r="AU20" i="177"/>
  <c r="CM20" i="177"/>
  <c r="AM21" i="177"/>
  <c r="CG21" i="177" s="1"/>
  <c r="AN21" i="177"/>
  <c r="CH21" i="177" s="1"/>
  <c r="AO21" i="177"/>
  <c r="CI21" i="177" s="1"/>
  <c r="AP21" i="177"/>
  <c r="CJ21" i="177" s="1"/>
  <c r="AQ21" i="177"/>
  <c r="CK21" i="177" s="1"/>
  <c r="AR21" i="177"/>
  <c r="CL21" i="177" s="1"/>
  <c r="AS21" i="177"/>
  <c r="CM21" i="177" s="1"/>
  <c r="AT21" i="177"/>
  <c r="CN21" i="177" s="1"/>
  <c r="AU21" i="177"/>
  <c r="BX21" i="177"/>
  <c r="BY21" i="177"/>
  <c r="BZ21" i="177"/>
  <c r="CA21" i="177"/>
  <c r="CB21" i="177"/>
  <c r="CC21" i="177"/>
  <c r="CD21" i="177"/>
  <c r="CE21" i="177"/>
  <c r="CF21" i="177"/>
  <c r="AM22" i="177"/>
  <c r="CG22" i="177" s="1"/>
  <c r="AN22" i="177"/>
  <c r="CH22" i="177" s="1"/>
  <c r="AO22" i="177"/>
  <c r="CI22" i="177" s="1"/>
  <c r="AP22" i="177"/>
  <c r="CJ22" i="177" s="1"/>
  <c r="AQ22" i="177"/>
  <c r="CK22" i="177" s="1"/>
  <c r="AR22" i="177"/>
  <c r="CL22" i="177" s="1"/>
  <c r="AS22" i="177"/>
  <c r="CM22" i="177" s="1"/>
  <c r="AT22" i="177"/>
  <c r="CN22" i="177" s="1"/>
  <c r="AU22" i="177"/>
  <c r="CO22" i="177" s="1"/>
  <c r="BX22" i="177"/>
  <c r="BY22" i="177"/>
  <c r="BZ22" i="177"/>
  <c r="CA22" i="177"/>
  <c r="CB22" i="177"/>
  <c r="CC22" i="177"/>
  <c r="CD22" i="177"/>
  <c r="CE22" i="177"/>
  <c r="CF22" i="177"/>
  <c r="AM23" i="177"/>
  <c r="CG23" i="177" s="1"/>
  <c r="AN23" i="177"/>
  <c r="CH23" i="177" s="1"/>
  <c r="AO23" i="177"/>
  <c r="CI23" i="177" s="1"/>
  <c r="AP23" i="177"/>
  <c r="CJ23" i="177" s="1"/>
  <c r="AQ23" i="177"/>
  <c r="CK23" i="177" s="1"/>
  <c r="AR23" i="177"/>
  <c r="CL23" i="177" s="1"/>
  <c r="AS23" i="177"/>
  <c r="CM23" i="177" s="1"/>
  <c r="AT23" i="177"/>
  <c r="CN23" i="177" s="1"/>
  <c r="AU23" i="177"/>
  <c r="BX23" i="177"/>
  <c r="BY23" i="177"/>
  <c r="BZ23" i="177"/>
  <c r="CA23" i="177"/>
  <c r="CB23" i="177"/>
  <c r="CC23" i="177"/>
  <c r="CD23" i="177"/>
  <c r="CE23" i="177"/>
  <c r="CF23" i="177"/>
  <c r="CO23" i="177"/>
  <c r="AM24" i="177"/>
  <c r="CG24" i="177" s="1"/>
  <c r="AN24" i="177"/>
  <c r="AO24" i="177"/>
  <c r="CI24" i="177" s="1"/>
  <c r="AP24" i="177"/>
  <c r="AQ24" i="177"/>
  <c r="CK24" i="177" s="1"/>
  <c r="AR24" i="177"/>
  <c r="CL24" i="177" s="1"/>
  <c r="AS24" i="177"/>
  <c r="CM24" i="177" s="1"/>
  <c r="AT24" i="177"/>
  <c r="CN24" i="177" s="1"/>
  <c r="AU24" i="177"/>
  <c r="BX24" i="177"/>
  <c r="BY24" i="177"/>
  <c r="BZ24" i="177"/>
  <c r="CA24" i="177"/>
  <c r="CB24" i="177"/>
  <c r="CC24" i="177"/>
  <c r="CD24" i="177"/>
  <c r="CE24" i="177"/>
  <c r="CF24" i="177"/>
  <c r="CH24" i="177"/>
  <c r="CJ24" i="177"/>
  <c r="AO25" i="177"/>
  <c r="AP25" i="177"/>
  <c r="CJ25" i="177" s="1"/>
  <c r="AQ25" i="177"/>
  <c r="CK25" i="177" s="1"/>
  <c r="AR25" i="177"/>
  <c r="CL25" i="177" s="1"/>
  <c r="AS25" i="177"/>
  <c r="CM25" i="177" s="1"/>
  <c r="AT25" i="177"/>
  <c r="CN25" i="177" s="1"/>
  <c r="AU25" i="177"/>
  <c r="AM26" i="177"/>
  <c r="CG26" i="177" s="1"/>
  <c r="AN26" i="177"/>
  <c r="CH26" i="177" s="1"/>
  <c r="AO26" i="177"/>
  <c r="CI26" i="177" s="1"/>
  <c r="AP26" i="177"/>
  <c r="CJ26" i="177" s="1"/>
  <c r="AQ26" i="177"/>
  <c r="CK26" i="177" s="1"/>
  <c r="AR26" i="177"/>
  <c r="CL26" i="177" s="1"/>
  <c r="AS26" i="177"/>
  <c r="CM26" i="177" s="1"/>
  <c r="AT26" i="177"/>
  <c r="CN26" i="177" s="1"/>
  <c r="AU26" i="177"/>
  <c r="CO26" i="177" s="1"/>
  <c r="BX26" i="177"/>
  <c r="BY26" i="177"/>
  <c r="BZ26" i="177"/>
  <c r="CA26" i="177"/>
  <c r="CB26" i="177"/>
  <c r="CC26" i="177"/>
  <c r="CD26" i="177"/>
  <c r="CE26" i="177"/>
  <c r="CF26" i="177"/>
  <c r="AM27" i="177"/>
  <c r="CG27" i="177" s="1"/>
  <c r="AN27" i="177"/>
  <c r="CH27" i="177" s="1"/>
  <c r="AO27" i="177"/>
  <c r="CI27" i="177" s="1"/>
  <c r="AP27" i="177"/>
  <c r="CJ27" i="177" s="1"/>
  <c r="AQ27" i="177"/>
  <c r="CK27" i="177" s="1"/>
  <c r="AR27" i="177"/>
  <c r="CL27" i="177" s="1"/>
  <c r="AS27" i="177"/>
  <c r="CM27" i="177" s="1"/>
  <c r="AT27" i="177"/>
  <c r="CN27" i="177" s="1"/>
  <c r="AU27" i="177"/>
  <c r="BX27" i="177"/>
  <c r="BY27" i="177"/>
  <c r="BZ27" i="177"/>
  <c r="CA27" i="177"/>
  <c r="CB27" i="177"/>
  <c r="CC27" i="177"/>
  <c r="CD27" i="177"/>
  <c r="CE27" i="177"/>
  <c r="CF27" i="177"/>
  <c r="BX28" i="177"/>
  <c r="BY28" i="177"/>
  <c r="BZ28" i="177"/>
  <c r="CA28" i="177"/>
  <c r="CB28" i="177"/>
  <c r="CC28" i="177"/>
  <c r="CD28" i="177"/>
  <c r="CE28" i="177"/>
  <c r="CF28" i="177"/>
  <c r="CG28" i="177"/>
  <c r="CH28" i="177"/>
  <c r="CI28" i="177"/>
  <c r="CJ28" i="177"/>
  <c r="CK28" i="177"/>
  <c r="CL28" i="177"/>
  <c r="CM28" i="177"/>
  <c r="CN28" i="177"/>
  <c r="CO28" i="177"/>
  <c r="AU29" i="177"/>
  <c r="BX29" i="177"/>
  <c r="BY29" i="177"/>
  <c r="BZ29" i="177"/>
  <c r="CA29" i="177"/>
  <c r="CB29" i="177"/>
  <c r="CC29" i="177"/>
  <c r="CD29" i="177"/>
  <c r="CE29" i="177"/>
  <c r="CF29" i="177"/>
  <c r="CH29" i="177"/>
  <c r="CI29" i="177"/>
  <c r="CJ29" i="177"/>
  <c r="CK29" i="177"/>
  <c r="CL29" i="177"/>
  <c r="CM29" i="177"/>
  <c r="CN29" i="177"/>
  <c r="BZ30" i="177"/>
  <c r="CA30" i="177"/>
  <c r="CB30" i="177"/>
  <c r="CC30" i="177"/>
  <c r="CD30" i="177"/>
  <c r="CE30" i="177"/>
  <c r="CF30" i="177"/>
  <c r="CG30" i="177"/>
  <c r="CH30" i="177"/>
  <c r="CI30" i="177"/>
  <c r="CJ30" i="177"/>
  <c r="CK30" i="177"/>
  <c r="CL30" i="177"/>
  <c r="CM30" i="177"/>
  <c r="CN30" i="177"/>
  <c r="CO30" i="177"/>
  <c r="BX31" i="177"/>
  <c r="BY31" i="177"/>
  <c r="BZ31" i="177"/>
  <c r="CA31" i="177"/>
  <c r="CB31" i="177"/>
  <c r="CC31" i="177"/>
  <c r="CD31" i="177"/>
  <c r="CE31" i="177"/>
  <c r="CF31" i="177"/>
  <c r="CG31" i="177"/>
  <c r="CH31" i="177"/>
  <c r="CI31" i="177"/>
  <c r="CJ31" i="177"/>
  <c r="CK31" i="177"/>
  <c r="CL31" i="177"/>
  <c r="CM31" i="177"/>
  <c r="CN31" i="177"/>
  <c r="CO31" i="177"/>
  <c r="BX32" i="177"/>
  <c r="BY32" i="177"/>
  <c r="BZ32" i="177"/>
  <c r="CA32" i="177"/>
  <c r="CB32" i="177"/>
  <c r="CC32" i="177"/>
  <c r="CD32" i="177"/>
  <c r="CE32" i="177"/>
  <c r="CF32" i="177"/>
  <c r="CG32" i="177"/>
  <c r="CH32" i="177"/>
  <c r="CI32" i="177"/>
  <c r="CJ32" i="177"/>
  <c r="CK32" i="177"/>
  <c r="CL32" i="177"/>
  <c r="CM32" i="177"/>
  <c r="CN32" i="177"/>
  <c r="CO32" i="177"/>
  <c r="AM33" i="177"/>
  <c r="CG33" i="177" s="1"/>
  <c r="AN33" i="177"/>
  <c r="CH33" i="177" s="1"/>
  <c r="AO33" i="177"/>
  <c r="AP33" i="177"/>
  <c r="AQ33" i="177"/>
  <c r="CK33" i="177" s="1"/>
  <c r="AR33" i="177"/>
  <c r="CL33" i="177" s="1"/>
  <c r="AS33" i="177"/>
  <c r="CM33" i="177" s="1"/>
  <c r="AT33" i="177"/>
  <c r="CN33" i="177" s="1"/>
  <c r="AU33" i="177"/>
  <c r="BX33" i="177"/>
  <c r="BY33" i="177"/>
  <c r="BZ33" i="177"/>
  <c r="CA33" i="177"/>
  <c r="CB33" i="177"/>
  <c r="CC33" i="177"/>
  <c r="CD33" i="177"/>
  <c r="CE33" i="177"/>
  <c r="CF33" i="177"/>
  <c r="CI33" i="177"/>
  <c r="CJ33" i="177"/>
  <c r="AM34" i="177"/>
  <c r="CG34" i="177" s="1"/>
  <c r="AN34" i="177"/>
  <c r="CH34" i="177" s="1"/>
  <c r="AO34" i="177"/>
  <c r="CI34" i="177" s="1"/>
  <c r="AP34" i="177"/>
  <c r="CJ34" i="177" s="1"/>
  <c r="AQ34" i="177"/>
  <c r="AR34" i="177"/>
  <c r="CL34" i="177" s="1"/>
  <c r="AS34" i="177"/>
  <c r="CM34" i="177" s="1"/>
  <c r="AT34" i="177"/>
  <c r="CN34" i="177" s="1"/>
  <c r="AU34" i="177"/>
  <c r="BX34" i="177"/>
  <c r="BY34" i="177"/>
  <c r="BZ34" i="177"/>
  <c r="CA34" i="177"/>
  <c r="CB34" i="177"/>
  <c r="CC34" i="177"/>
  <c r="CD34" i="177"/>
  <c r="CE34" i="177"/>
  <c r="CF34" i="177"/>
  <c r="CK34" i="177"/>
  <c r="AQ35" i="177"/>
  <c r="CK35" i="177" s="1"/>
  <c r="AR35" i="177"/>
  <c r="CL35" i="177" s="1"/>
  <c r="AS35" i="177"/>
  <c r="AT35" i="177"/>
  <c r="AU35" i="177"/>
  <c r="CO35" i="177" s="1"/>
  <c r="BX35" i="177"/>
  <c r="BY35" i="177"/>
  <c r="BZ35" i="177"/>
  <c r="CA35" i="177"/>
  <c r="CB35" i="177"/>
  <c r="CC35" i="177"/>
  <c r="CD35" i="177"/>
  <c r="CE35" i="177"/>
  <c r="CF35" i="177"/>
  <c r="CG35" i="177"/>
  <c r="CH35" i="177"/>
  <c r="CI35" i="177"/>
  <c r="CJ35" i="177"/>
  <c r="CM35" i="177"/>
  <c r="CN35" i="177"/>
  <c r="AM36" i="177"/>
  <c r="CG36" i="177" s="1"/>
  <c r="AN36" i="177"/>
  <c r="CH36" i="177" s="1"/>
  <c r="AO36" i="177"/>
  <c r="CI36" i="177" s="1"/>
  <c r="AP36" i="177"/>
  <c r="CJ36" i="177" s="1"/>
  <c r="AQ36" i="177"/>
  <c r="CK36" i="177" s="1"/>
  <c r="AR36" i="177"/>
  <c r="CL36" i="177" s="1"/>
  <c r="AS36" i="177"/>
  <c r="CM36" i="177" s="1"/>
  <c r="AT36" i="177"/>
  <c r="CN36" i="177" s="1"/>
  <c r="AU36" i="177"/>
  <c r="CO36" i="177" s="1"/>
  <c r="AM37" i="177"/>
  <c r="AP37" i="177"/>
  <c r="CJ37" i="177" s="1"/>
  <c r="AQ37" i="177"/>
  <c r="CK37" i="177" s="1"/>
  <c r="AR37" i="177"/>
  <c r="CL37" i="177" s="1"/>
  <c r="AS37" i="177"/>
  <c r="CM37" i="177" s="1"/>
  <c r="AT37" i="177"/>
  <c r="CN37" i="177" s="1"/>
  <c r="AU37" i="177"/>
  <c r="BX37" i="177"/>
  <c r="BY37" i="177"/>
  <c r="BZ37" i="177"/>
  <c r="CA37" i="177"/>
  <c r="CB37" i="177"/>
  <c r="CC37" i="177"/>
  <c r="CD37" i="177"/>
  <c r="CE37" i="177"/>
  <c r="CF37" i="177"/>
  <c r="CG37" i="177"/>
  <c r="CH37" i="177"/>
  <c r="CI37" i="177"/>
  <c r="CO37" i="177"/>
  <c r="AM38" i="177"/>
  <c r="CG38" i="177" s="1"/>
  <c r="AN38" i="177"/>
  <c r="CH38" i="177" s="1"/>
  <c r="AO38" i="177"/>
  <c r="CI38" i="177" s="1"/>
  <c r="AP38" i="177"/>
  <c r="CJ38" i="177" s="1"/>
  <c r="AQ38" i="177"/>
  <c r="CK38" i="177" s="1"/>
  <c r="AR38" i="177"/>
  <c r="CL38" i="177" s="1"/>
  <c r="AS38" i="177"/>
  <c r="CM38" i="177" s="1"/>
  <c r="AT38" i="177"/>
  <c r="CN38" i="177" s="1"/>
  <c r="AU38" i="177"/>
  <c r="BX38" i="177"/>
  <c r="BY38" i="177"/>
  <c r="BZ38" i="177"/>
  <c r="CA38" i="177"/>
  <c r="CB38" i="177"/>
  <c r="CC38" i="177"/>
  <c r="CD38" i="177"/>
  <c r="CE38" i="177"/>
  <c r="CF38" i="177"/>
  <c r="CP28" i="177" l="1"/>
  <c r="CP10" i="177"/>
  <c r="CO29" i="177"/>
  <c r="CP29" i="177" s="1"/>
  <c r="CP32" i="177"/>
  <c r="CO21" i="177"/>
  <c r="CP21" i="177" s="1"/>
  <c r="CP15" i="177"/>
  <c r="CP26" i="177"/>
  <c r="CO14" i="177"/>
  <c r="CP14" i="177" s="1"/>
  <c r="CP23" i="177"/>
  <c r="CP31" i="177"/>
  <c r="CO20" i="177"/>
  <c r="CP20" i="177" s="1"/>
  <c r="CO11" i="177"/>
  <c r="CP11" i="177" s="1"/>
  <c r="CO27" i="177"/>
  <c r="CP27" i="177" s="1"/>
  <c r="CO25" i="177"/>
  <c r="CP25" i="177" s="1"/>
  <c r="CP13" i="177"/>
  <c r="CP30" i="177"/>
  <c r="CP37" i="177"/>
  <c r="CP36" i="177"/>
  <c r="CO34" i="177"/>
  <c r="CP34" i="177" s="1"/>
  <c r="CP22" i="177"/>
  <c r="AS7" i="177"/>
  <c r="CD7" i="177"/>
  <c r="CE7" i="177"/>
  <c r="AU7" i="177"/>
  <c r="AM7" i="177"/>
  <c r="CC7" i="177"/>
  <c r="AT7" i="177"/>
  <c r="CP17" i="177"/>
  <c r="CO9" i="177"/>
  <c r="CP9" i="177" s="1"/>
  <c r="CN7" i="177"/>
  <c r="CP35" i="177"/>
  <c r="CP16" i="177"/>
  <c r="CB7" i="177"/>
  <c r="CF7" i="177"/>
  <c r="CO38" i="177"/>
  <c r="CP38" i="177" s="1"/>
  <c r="CA7" i="177"/>
  <c r="AQ7" i="177"/>
  <c r="BZ7" i="177"/>
  <c r="CL7" i="177"/>
  <c r="CK7" i="177"/>
  <c r="CG7" i="177"/>
  <c r="CI7" i="177"/>
  <c r="CH7" i="177"/>
  <c r="CJ7" i="177"/>
  <c r="AR7" i="177"/>
  <c r="CO18" i="177"/>
  <c r="CP18" i="177" s="1"/>
  <c r="AP7" i="177"/>
  <c r="AO7" i="177"/>
  <c r="CO33" i="177"/>
  <c r="CP33" i="177" s="1"/>
  <c r="CO24" i="177"/>
  <c r="CP24" i="177" s="1"/>
  <c r="CO19" i="177"/>
  <c r="CP19" i="177" s="1"/>
  <c r="CM14" i="177"/>
  <c r="CM7" i="177" s="1"/>
  <c r="CO12" i="177"/>
  <c r="CP12" i="177" s="1"/>
  <c r="AN7" i="177"/>
  <c r="CO7" i="177" l="1"/>
  <c r="CP7" i="177" s="1"/>
  <c r="AX12" i="176" l="1"/>
  <c r="AL42" i="176"/>
  <c r="G5" i="121"/>
  <c r="F5" i="121"/>
  <c r="Z43" i="118" l="1"/>
  <c r="Z45" i="170"/>
  <c r="Y43" i="170"/>
  <c r="Z43" i="170" s="1"/>
  <c r="AB38" i="120" l="1"/>
  <c r="AB37" i="120"/>
  <c r="AB36" i="120"/>
  <c r="AB35" i="120"/>
  <c r="AB34" i="120"/>
  <c r="AB33" i="120"/>
  <c r="AB32" i="120"/>
  <c r="AB31" i="120"/>
  <c r="AB30" i="120"/>
  <c r="AB29" i="120"/>
  <c r="AB28" i="120"/>
  <c r="AB27" i="120"/>
  <c r="AB26" i="120"/>
  <c r="AB25" i="120"/>
  <c r="AB24" i="120"/>
  <c r="AB23" i="120"/>
  <c r="AB22" i="120"/>
  <c r="AB21" i="120"/>
  <c r="AB20" i="120"/>
  <c r="AB19" i="120"/>
  <c r="AB18" i="120"/>
  <c r="AB17" i="120"/>
  <c r="AB16" i="120"/>
  <c r="AB15" i="120"/>
  <c r="AB14" i="120"/>
  <c r="AB13" i="120"/>
  <c r="AB12" i="120"/>
  <c r="AB11" i="120"/>
  <c r="AB10" i="120"/>
  <c r="AB9" i="120"/>
  <c r="AB8" i="120"/>
  <c r="T7" i="120"/>
  <c r="S7" i="120"/>
  <c r="R7" i="120"/>
  <c r="Q7" i="120"/>
  <c r="P7" i="120"/>
  <c r="O7" i="120"/>
  <c r="N7" i="120"/>
  <c r="M7" i="120"/>
  <c r="L7" i="120"/>
  <c r="K7" i="120"/>
  <c r="J7" i="120"/>
  <c r="I7" i="120"/>
  <c r="H7" i="120"/>
  <c r="G7" i="120"/>
  <c r="F7" i="120"/>
  <c r="E7" i="120"/>
  <c r="Z40" i="176"/>
  <c r="Y40" i="176"/>
  <c r="X40" i="176"/>
  <c r="AX7" i="176"/>
  <c r="AX8" i="176"/>
  <c r="AX9" i="176"/>
  <c r="AX10" i="176"/>
  <c r="AX11" i="176"/>
  <c r="AX13" i="176"/>
  <c r="AX14" i="176"/>
  <c r="AX15" i="176"/>
  <c r="AX16" i="176"/>
  <c r="AX17" i="176"/>
  <c r="AX18" i="176"/>
  <c r="AX19" i="176"/>
  <c r="AX20" i="176"/>
  <c r="AX21" i="176"/>
  <c r="AX22" i="176"/>
  <c r="AX23" i="176"/>
  <c r="AX24" i="176"/>
  <c r="AX25" i="176"/>
  <c r="AX26" i="176"/>
  <c r="AX27" i="176"/>
  <c r="AX28" i="176"/>
  <c r="AX29" i="176"/>
  <c r="AX30" i="176"/>
  <c r="AX31" i="176"/>
  <c r="AX32" i="176"/>
  <c r="AX33" i="176"/>
  <c r="AX34" i="176"/>
  <c r="AX35" i="176"/>
  <c r="AX36" i="176"/>
  <c r="AX37" i="176"/>
  <c r="AX42" i="176"/>
  <c r="AN7" i="176"/>
  <c r="AO7" i="176"/>
  <c r="AP7" i="176"/>
  <c r="AQ7" i="176"/>
  <c r="AR7" i="176"/>
  <c r="AS7" i="176"/>
  <c r="AT7" i="176"/>
  <c r="AU7" i="176"/>
  <c r="AN8" i="176"/>
  <c r="AO8" i="176"/>
  <c r="AP8" i="176"/>
  <c r="AQ8" i="176"/>
  <c r="AR8" i="176"/>
  <c r="AS8" i="176"/>
  <c r="AT8" i="176"/>
  <c r="AU8" i="176"/>
  <c r="AN9" i="176"/>
  <c r="AO9" i="176"/>
  <c r="AP9" i="176"/>
  <c r="AQ9" i="176"/>
  <c r="AR9" i="176"/>
  <c r="AS9" i="176"/>
  <c r="AT9" i="176"/>
  <c r="AU9" i="176"/>
  <c r="AN10" i="176"/>
  <c r="AO10" i="176"/>
  <c r="AP10" i="176"/>
  <c r="AQ10" i="176"/>
  <c r="AR10" i="176"/>
  <c r="AS10" i="176"/>
  <c r="AT10" i="176"/>
  <c r="AU10" i="176"/>
  <c r="AN11" i="176"/>
  <c r="AO11" i="176"/>
  <c r="AP11" i="176"/>
  <c r="AQ11" i="176"/>
  <c r="AR11" i="176"/>
  <c r="AS11" i="176"/>
  <c r="AT11" i="176"/>
  <c r="AU11" i="176"/>
  <c r="AN12" i="176"/>
  <c r="AO12" i="176"/>
  <c r="AP12" i="176"/>
  <c r="AQ12" i="176"/>
  <c r="AR12" i="176"/>
  <c r="AS12" i="176"/>
  <c r="AT12" i="176"/>
  <c r="AU12" i="176"/>
  <c r="AN13" i="176"/>
  <c r="AO13" i="176"/>
  <c r="AP13" i="176"/>
  <c r="AQ13" i="176"/>
  <c r="AR13" i="176"/>
  <c r="AS13" i="176"/>
  <c r="AT13" i="176"/>
  <c r="AU13" i="176"/>
  <c r="AN14" i="176"/>
  <c r="AO14" i="176"/>
  <c r="AP14" i="176"/>
  <c r="AQ14" i="176"/>
  <c r="AR14" i="176"/>
  <c r="AS14" i="176"/>
  <c r="AT14" i="176"/>
  <c r="AU14" i="176"/>
  <c r="AN15" i="176"/>
  <c r="AO15" i="176"/>
  <c r="AP15" i="176"/>
  <c r="AQ15" i="176"/>
  <c r="AR15" i="176"/>
  <c r="AS15" i="176"/>
  <c r="AT15" i="176"/>
  <c r="AU15" i="176"/>
  <c r="AN16" i="176"/>
  <c r="AO16" i="176"/>
  <c r="AP16" i="176"/>
  <c r="AQ16" i="176"/>
  <c r="AR16" i="176"/>
  <c r="AS16" i="176"/>
  <c r="AT16" i="176"/>
  <c r="AU16" i="176"/>
  <c r="AN17" i="176"/>
  <c r="AO17" i="176"/>
  <c r="AP17" i="176"/>
  <c r="AQ17" i="176"/>
  <c r="AR17" i="176"/>
  <c r="AS17" i="176"/>
  <c r="AT17" i="176"/>
  <c r="AU17" i="176"/>
  <c r="AN18" i="176"/>
  <c r="AO18" i="176"/>
  <c r="AP18" i="176"/>
  <c r="AQ18" i="176"/>
  <c r="AR18" i="176"/>
  <c r="AS18" i="176"/>
  <c r="AT18" i="176"/>
  <c r="AU18" i="176"/>
  <c r="AN19" i="176"/>
  <c r="AO19" i="176"/>
  <c r="AP19" i="176"/>
  <c r="AQ19" i="176"/>
  <c r="AR19" i="176"/>
  <c r="AS19" i="176"/>
  <c r="AT19" i="176"/>
  <c r="AU19" i="176"/>
  <c r="AN20" i="176"/>
  <c r="AO20" i="176"/>
  <c r="AP20" i="176"/>
  <c r="AQ20" i="176"/>
  <c r="AR20" i="176"/>
  <c r="AS20" i="176"/>
  <c r="AT20" i="176"/>
  <c r="AU20" i="176"/>
  <c r="AN21" i="176"/>
  <c r="AO21" i="176"/>
  <c r="AP21" i="176"/>
  <c r="AQ21" i="176"/>
  <c r="AR21" i="176"/>
  <c r="AS21" i="176"/>
  <c r="AT21" i="176"/>
  <c r="AU21" i="176"/>
  <c r="AN22" i="176"/>
  <c r="AO22" i="176"/>
  <c r="AP22" i="176"/>
  <c r="AQ22" i="176"/>
  <c r="AR22" i="176"/>
  <c r="AS22" i="176"/>
  <c r="AT22" i="176"/>
  <c r="AU22" i="176"/>
  <c r="AN23" i="176"/>
  <c r="AO23" i="176"/>
  <c r="AP23" i="176"/>
  <c r="AQ23" i="176"/>
  <c r="AR23" i="176"/>
  <c r="AS23" i="176"/>
  <c r="AT23" i="176"/>
  <c r="AU23" i="176"/>
  <c r="AN24" i="176"/>
  <c r="AO24" i="176"/>
  <c r="AP24" i="176"/>
  <c r="AQ24" i="176"/>
  <c r="AR24" i="176"/>
  <c r="AS24" i="176"/>
  <c r="AT24" i="176"/>
  <c r="AU24" i="176"/>
  <c r="AN25" i="176"/>
  <c r="AO25" i="176"/>
  <c r="AP25" i="176"/>
  <c r="AQ25" i="176"/>
  <c r="AR25" i="176"/>
  <c r="AS25" i="176"/>
  <c r="AT25" i="176"/>
  <c r="AU25" i="176"/>
  <c r="AN26" i="176"/>
  <c r="AO26" i="176"/>
  <c r="AP26" i="176"/>
  <c r="AQ26" i="176"/>
  <c r="AR26" i="176"/>
  <c r="AS26" i="176"/>
  <c r="AT26" i="176"/>
  <c r="AU26" i="176"/>
  <c r="AN27" i="176"/>
  <c r="AO27" i="176"/>
  <c r="AP27" i="176"/>
  <c r="AQ27" i="176"/>
  <c r="AR27" i="176"/>
  <c r="AS27" i="176"/>
  <c r="AT27" i="176"/>
  <c r="AU27" i="176"/>
  <c r="AN28" i="176"/>
  <c r="AO28" i="176"/>
  <c r="AP28" i="176"/>
  <c r="AQ28" i="176"/>
  <c r="AR28" i="176"/>
  <c r="AS28" i="176"/>
  <c r="AT28" i="176"/>
  <c r="AU28" i="176"/>
  <c r="AN29" i="176"/>
  <c r="AO29" i="176"/>
  <c r="AP29" i="176"/>
  <c r="AQ29" i="176"/>
  <c r="AR29" i="176"/>
  <c r="AS29" i="176"/>
  <c r="AT29" i="176"/>
  <c r="AU29" i="176"/>
  <c r="AN30" i="176"/>
  <c r="AO30" i="176"/>
  <c r="AP30" i="176"/>
  <c r="AQ30" i="176"/>
  <c r="AR30" i="176"/>
  <c r="AS30" i="176"/>
  <c r="AT30" i="176"/>
  <c r="AU30" i="176"/>
  <c r="AN31" i="176"/>
  <c r="AO31" i="176"/>
  <c r="AP31" i="176"/>
  <c r="AQ31" i="176"/>
  <c r="AR31" i="176"/>
  <c r="AS31" i="176"/>
  <c r="AT31" i="176"/>
  <c r="AU31" i="176"/>
  <c r="AN32" i="176"/>
  <c r="AO32" i="176"/>
  <c r="AP32" i="176"/>
  <c r="AQ32" i="176"/>
  <c r="AR32" i="176"/>
  <c r="AS32" i="176"/>
  <c r="AT32" i="176"/>
  <c r="AU32" i="176"/>
  <c r="AN33" i="176"/>
  <c r="AO33" i="176"/>
  <c r="AP33" i="176"/>
  <c r="AQ33" i="176"/>
  <c r="AR33" i="176"/>
  <c r="AS33" i="176"/>
  <c r="AT33" i="176"/>
  <c r="AU33" i="176"/>
  <c r="AL34" i="176"/>
  <c r="AM34" i="176"/>
  <c r="AN34" i="176"/>
  <c r="AO34" i="176"/>
  <c r="AP34" i="176"/>
  <c r="AQ34" i="176"/>
  <c r="AR34" i="176"/>
  <c r="AS34" i="176"/>
  <c r="AT34" i="176"/>
  <c r="AU34" i="176"/>
  <c r="AL35" i="176"/>
  <c r="AM35" i="176"/>
  <c r="AN35" i="176"/>
  <c r="AO35" i="176"/>
  <c r="AP35" i="176"/>
  <c r="AQ35" i="176"/>
  <c r="AR35" i="176"/>
  <c r="AS35" i="176"/>
  <c r="AT35" i="176"/>
  <c r="AU35" i="176"/>
  <c r="AL36" i="176"/>
  <c r="AM36" i="176"/>
  <c r="AN36" i="176"/>
  <c r="AO36" i="176"/>
  <c r="AP36" i="176"/>
  <c r="AQ36" i="176"/>
  <c r="AR36" i="176"/>
  <c r="AS36" i="176"/>
  <c r="AT36" i="176"/>
  <c r="AU36" i="176"/>
  <c r="AL37" i="176"/>
  <c r="AM37" i="176"/>
  <c r="AN37" i="176"/>
  <c r="AO37" i="176"/>
  <c r="AP37" i="176"/>
  <c r="AQ37" i="176"/>
  <c r="AR37" i="176"/>
  <c r="AS37" i="176"/>
  <c r="AT37" i="176"/>
  <c r="AU37" i="176"/>
  <c r="AM42" i="176"/>
  <c r="AN42" i="176"/>
  <c r="AO42" i="176"/>
  <c r="AP42" i="176"/>
  <c r="AQ42" i="176"/>
  <c r="AR42" i="176"/>
  <c r="AS42" i="176"/>
  <c r="AT42" i="176"/>
  <c r="AL43" i="176"/>
  <c r="AM43" i="176"/>
  <c r="AN43" i="176"/>
  <c r="AO43" i="176"/>
  <c r="AP43" i="176"/>
  <c r="AQ43" i="176"/>
  <c r="AR43" i="176"/>
  <c r="AS43" i="176"/>
  <c r="Y42" i="170"/>
  <c r="Z42" i="170" s="1"/>
  <c r="Y42" i="118"/>
  <c r="Z42" i="118" s="1"/>
  <c r="AA41" i="176"/>
  <c r="Z41" i="176"/>
  <c r="AB7" i="120" l="1"/>
  <c r="AX41" i="176"/>
  <c r="AU42" i="176"/>
  <c r="AA43" i="176"/>
  <c r="Z43" i="176"/>
  <c r="AT43" i="176" s="1"/>
  <c r="AU43" i="176" l="1"/>
  <c r="AX43" i="176"/>
  <c r="J6" i="176"/>
  <c r="K6" i="176"/>
  <c r="L6" i="176"/>
  <c r="M6" i="176"/>
  <c r="N6" i="176"/>
  <c r="O6" i="176"/>
  <c r="P6" i="176"/>
  <c r="Q6" i="176"/>
  <c r="R6" i="176"/>
  <c r="S6" i="176"/>
  <c r="T6" i="176"/>
  <c r="U6" i="176"/>
  <c r="V6" i="176"/>
  <c r="W6" i="176"/>
  <c r="X6" i="176"/>
  <c r="Y6" i="176"/>
  <c r="Z6" i="176"/>
  <c r="AA6" i="176"/>
  <c r="I6" i="176"/>
  <c r="H6" i="176"/>
  <c r="AA43" i="123"/>
  <c r="AA38" i="123"/>
  <c r="AD36" i="121"/>
  <c r="E8" i="127"/>
  <c r="F8" i="127"/>
  <c r="G8" i="127"/>
  <c r="H8" i="127"/>
  <c r="D8" i="127"/>
  <c r="C7" i="126"/>
  <c r="J7" i="173"/>
  <c r="L7" i="173" s="1"/>
  <c r="Z13" i="125"/>
  <c r="K8" i="115"/>
  <c r="L8" i="115"/>
  <c r="M8" i="115"/>
  <c r="N8" i="115"/>
  <c r="O8" i="115"/>
  <c r="P8" i="115"/>
  <c r="Q8" i="115"/>
  <c r="R8" i="115"/>
  <c r="S8" i="115"/>
  <c r="T8" i="115"/>
  <c r="U8" i="115"/>
  <c r="V8" i="115"/>
  <c r="W8" i="115"/>
  <c r="X8" i="115"/>
  <c r="Y8" i="115"/>
  <c r="Z8" i="115"/>
  <c r="AA8" i="115"/>
  <c r="AB8" i="115"/>
  <c r="AC8" i="115"/>
  <c r="AD8" i="115"/>
  <c r="AE8" i="115"/>
  <c r="AF8" i="115"/>
  <c r="AG8" i="115"/>
  <c r="AH8" i="115"/>
  <c r="AI8" i="115"/>
  <c r="AJ8" i="115"/>
  <c r="J8" i="115"/>
  <c r="F7" i="175"/>
  <c r="G7" i="175"/>
  <c r="H7" i="175"/>
  <c r="I7" i="175"/>
  <c r="J7" i="175"/>
  <c r="K7" i="175"/>
  <c r="L7" i="175"/>
  <c r="M7" i="175"/>
  <c r="N7" i="175"/>
  <c r="O7" i="175"/>
  <c r="P7" i="175"/>
  <c r="Q7" i="175"/>
  <c r="R7" i="175"/>
  <c r="S7" i="175"/>
  <c r="T7" i="175"/>
  <c r="U7" i="175"/>
  <c r="V7" i="175"/>
  <c r="W7" i="175"/>
  <c r="X7" i="175"/>
  <c r="Y7" i="175"/>
  <c r="Z7" i="175"/>
  <c r="AA7" i="175"/>
  <c r="AB7" i="175"/>
  <c r="AC7" i="175"/>
  <c r="AD7" i="175"/>
  <c r="AE7" i="175"/>
  <c r="AF7" i="175"/>
  <c r="AG7" i="175"/>
  <c r="AH7" i="175"/>
  <c r="AI7" i="175"/>
  <c r="AJ7" i="175"/>
  <c r="F7" i="113"/>
  <c r="G7" i="113"/>
  <c r="H7" i="113"/>
  <c r="I7" i="113"/>
  <c r="J7" i="113"/>
  <c r="K7" i="113"/>
  <c r="L7" i="113"/>
  <c r="M7" i="113"/>
  <c r="N7" i="113"/>
  <c r="O7" i="113"/>
  <c r="P7" i="113"/>
  <c r="Q7" i="113"/>
  <c r="R7" i="113"/>
  <c r="S7" i="113"/>
  <c r="T7" i="113"/>
  <c r="U7" i="113"/>
  <c r="V7" i="113"/>
  <c r="W7" i="113"/>
  <c r="X7" i="113"/>
  <c r="Y7" i="113"/>
  <c r="Z7" i="113"/>
  <c r="AA7" i="113"/>
  <c r="E7" i="113"/>
  <c r="AK8" i="115" l="1"/>
  <c r="AX6" i="176"/>
  <c r="AT6" i="176"/>
  <c r="AS6" i="176"/>
  <c r="AR6" i="176"/>
  <c r="AQ6" i="176"/>
  <c r="AP6" i="176"/>
  <c r="AO6" i="176"/>
  <c r="AN6" i="176"/>
  <c r="AU6" i="176"/>
  <c r="D7" i="126"/>
  <c r="E7" i="126"/>
  <c r="F7" i="126"/>
  <c r="I7" i="116"/>
  <c r="J7" i="116"/>
  <c r="K7" i="116"/>
  <c r="L7" i="116"/>
  <c r="M7" i="116"/>
  <c r="N7" i="116"/>
  <c r="O7" i="116"/>
  <c r="P7" i="116"/>
  <c r="Q7" i="116"/>
  <c r="R7" i="116"/>
  <c r="S7" i="116"/>
  <c r="T7" i="116"/>
  <c r="U7" i="116"/>
  <c r="V7" i="116"/>
  <c r="W7" i="116"/>
  <c r="X7" i="116"/>
  <c r="Y7" i="116"/>
  <c r="Z7" i="116"/>
  <c r="AA7" i="116"/>
  <c r="AB7" i="116"/>
  <c r="AC7" i="116"/>
  <c r="H7" i="116"/>
  <c r="Z7" i="170"/>
  <c r="Z8" i="170"/>
  <c r="Z10" i="170"/>
  <c r="Z11" i="170"/>
  <c r="Z12" i="170"/>
  <c r="Z13" i="170"/>
  <c r="Z15" i="170"/>
  <c r="Z16" i="170"/>
  <c r="Z17" i="170"/>
  <c r="Z18" i="170"/>
  <c r="Z19" i="170"/>
  <c r="Z20" i="170"/>
  <c r="Z21" i="170"/>
  <c r="Z22" i="170"/>
  <c r="Z24" i="170"/>
  <c r="Z25" i="170"/>
  <c r="Z26" i="170"/>
  <c r="Z28" i="170"/>
  <c r="Z29" i="170"/>
  <c r="Z30" i="170"/>
  <c r="Z31" i="170"/>
  <c r="Z32" i="170"/>
  <c r="Z33" i="170"/>
  <c r="Z34" i="170"/>
  <c r="Z35" i="170"/>
  <c r="Z36" i="170"/>
  <c r="Z37" i="170"/>
  <c r="Z41" i="170"/>
  <c r="Z24" i="118"/>
  <c r="Z21" i="118"/>
  <c r="Z30" i="118"/>
  <c r="Z34" i="118"/>
  <c r="Z37" i="118"/>
  <c r="Z26" i="118"/>
  <c r="Z27" i="170" s="1"/>
  <c r="Z27" i="118"/>
  <c r="Z9" i="118"/>
  <c r="Z45" i="118"/>
  <c r="Z9" i="170" l="1"/>
  <c r="Z28" i="118"/>
  <c r="Z25" i="118"/>
  <c r="Z22" i="118"/>
  <c r="Z20" i="118"/>
  <c r="Z15" i="118"/>
  <c r="Z13" i="118"/>
  <c r="Z12" i="118"/>
  <c r="Z7" i="118" l="1"/>
  <c r="Z18" i="118"/>
  <c r="Z11" i="118"/>
  <c r="Z16" i="118"/>
  <c r="M43" i="123" l="1"/>
  <c r="N43" i="123" s="1"/>
  <c r="X38" i="123"/>
  <c r="Z37" i="123"/>
  <c r="AA37" i="123" s="1"/>
  <c r="AA31" i="123"/>
  <c r="AA13" i="123"/>
  <c r="AA42" i="123"/>
  <c r="AA41" i="123"/>
  <c r="AA12" i="123"/>
  <c r="AA6" i="123"/>
  <c r="Z43" i="122"/>
  <c r="AA43" i="122" s="1"/>
  <c r="M43" i="122"/>
  <c r="N43" i="122" s="1"/>
  <c r="I43" i="122"/>
  <c r="G5" i="122"/>
  <c r="H5" i="122"/>
  <c r="I5" i="122"/>
  <c r="J5" i="122"/>
  <c r="K5" i="122"/>
  <c r="L5" i="122"/>
  <c r="M5" i="122"/>
  <c r="N5" i="122"/>
  <c r="O5" i="122"/>
  <c r="P5" i="122"/>
  <c r="Q5" i="122"/>
  <c r="R5" i="122"/>
  <c r="S5" i="122"/>
  <c r="T5" i="122"/>
  <c r="U5" i="122"/>
  <c r="V5" i="122"/>
  <c r="W5" i="122"/>
  <c r="X5" i="122"/>
  <c r="Y5" i="122"/>
  <c r="Z5" i="122"/>
  <c r="F5" i="122"/>
  <c r="AA34" i="122"/>
  <c r="AA30" i="122"/>
  <c r="N40" i="122"/>
  <c r="O40" i="122" s="1"/>
  <c r="P40" i="122" s="1"/>
  <c r="Q40" i="122" s="1"/>
  <c r="R40" i="122" s="1"/>
  <c r="S40" i="122" s="1"/>
  <c r="T40" i="122" s="1"/>
  <c r="U40" i="122" s="1"/>
  <c r="V40" i="122" s="1"/>
  <c r="W40" i="122" s="1"/>
  <c r="X40" i="122" s="1"/>
  <c r="Y40" i="122" s="1"/>
  <c r="Z40" i="122" s="1"/>
  <c r="AA40" i="122" s="1"/>
  <c r="AA38" i="122"/>
  <c r="O37" i="122"/>
  <c r="P37" i="122" s="1"/>
  <c r="Q37" i="122" s="1"/>
  <c r="R37" i="122" s="1"/>
  <c r="S37" i="122" s="1"/>
  <c r="T37" i="122" s="1"/>
  <c r="U37" i="122" s="1"/>
  <c r="V37" i="122" s="1"/>
  <c r="N37" i="122"/>
  <c r="AA19" i="122"/>
  <c r="AA6" i="122" l="1"/>
  <c r="AD7" i="122" l="1"/>
  <c r="AD8" i="122"/>
  <c r="AD9" i="122"/>
  <c r="AD10" i="122"/>
  <c r="AD11" i="122"/>
  <c r="AD13" i="122"/>
  <c r="AD15" i="122"/>
  <c r="AD16" i="122"/>
  <c r="AD17" i="122"/>
  <c r="AD19" i="122"/>
  <c r="AD20" i="122"/>
  <c r="AD21" i="122"/>
  <c r="AD22" i="122"/>
  <c r="AD24" i="122"/>
  <c r="AD25" i="122"/>
  <c r="AD26" i="122"/>
  <c r="AD27" i="122"/>
  <c r="AD28" i="122"/>
  <c r="AD29" i="122"/>
  <c r="AD32" i="122"/>
  <c r="AD36" i="122"/>
  <c r="AD37" i="122"/>
  <c r="AD39" i="122"/>
  <c r="AD42" i="122"/>
  <c r="AD35" i="122"/>
  <c r="Z44" i="122"/>
  <c r="AA44" i="122" s="1"/>
  <c r="AA41" i="122"/>
  <c r="AA31" i="122"/>
  <c r="AA12" i="122"/>
  <c r="AA14" i="122"/>
  <c r="AD14" i="122" s="1"/>
  <c r="AA38" i="121"/>
  <c r="V36" i="121"/>
  <c r="AA9" i="121"/>
  <c r="Z5" i="121"/>
  <c r="AA5" i="121"/>
  <c r="AD5" i="121" s="1"/>
  <c r="AA34" i="121"/>
  <c r="Z44" i="121"/>
  <c r="AA44" i="121" s="1"/>
  <c r="AA42" i="121"/>
  <c r="X40" i="121"/>
  <c r="Y40" i="121" s="1"/>
  <c r="Z40" i="121" s="1"/>
  <c r="AA40" i="121" s="1"/>
  <c r="AD40" i="121" s="1"/>
  <c r="T40" i="121"/>
  <c r="U40" i="121" s="1"/>
  <c r="AA37" i="121"/>
  <c r="AA31" i="121"/>
  <c r="AD31" i="121" s="1"/>
  <c r="Z21" i="121"/>
  <c r="AA12" i="121"/>
  <c r="AA6" i="121"/>
  <c r="AD7" i="121"/>
  <c r="AD8" i="121"/>
  <c r="AD10" i="121"/>
  <c r="AD11" i="121"/>
  <c r="AD14" i="121"/>
  <c r="AD15" i="121"/>
  <c r="AD16" i="121"/>
  <c r="AD17" i="121"/>
  <c r="AD19" i="121"/>
  <c r="AD20" i="121"/>
  <c r="AD21" i="121"/>
  <c r="AD22" i="121"/>
  <c r="AD24" i="121"/>
  <c r="AD25" i="121"/>
  <c r="AD26" i="121"/>
  <c r="AD27" i="121"/>
  <c r="AD28" i="121"/>
  <c r="AD29" i="121"/>
  <c r="AD30" i="121"/>
  <c r="AD32" i="121"/>
  <c r="AD35" i="121"/>
  <c r="AD39" i="121"/>
  <c r="AD41" i="121"/>
  <c r="AA5" i="122" l="1"/>
  <c r="AD5" i="122" s="1"/>
  <c r="J35" i="173"/>
  <c r="H35" i="173"/>
  <c r="E35" i="173"/>
  <c r="G35" i="173" s="1"/>
  <c r="C6" i="173"/>
  <c r="H6" i="173"/>
  <c r="L30" i="173"/>
  <c r="G30" i="173"/>
  <c r="L29" i="173"/>
  <c r="G29" i="173"/>
  <c r="L28" i="173"/>
  <c r="G28" i="173"/>
  <c r="L23" i="173"/>
  <c r="G23" i="173"/>
  <c r="L22" i="173"/>
  <c r="G22" i="173"/>
  <c r="L21" i="173"/>
  <c r="G21" i="173"/>
  <c r="L20" i="173"/>
  <c r="G20" i="173"/>
  <c r="L19" i="173"/>
  <c r="G19" i="173"/>
  <c r="L18" i="173"/>
  <c r="G18" i="173"/>
  <c r="L16" i="173"/>
  <c r="G16" i="173"/>
  <c r="L15" i="173"/>
  <c r="G15" i="173"/>
  <c r="L14" i="173"/>
  <c r="G14" i="173"/>
  <c r="L13" i="173"/>
  <c r="G13" i="173"/>
  <c r="L12" i="173"/>
  <c r="G12" i="173"/>
  <c r="G11" i="173"/>
  <c r="L10" i="173"/>
  <c r="G10" i="173"/>
  <c r="L9" i="173"/>
  <c r="G9" i="173"/>
  <c r="G7" i="173"/>
  <c r="Z14" i="125"/>
  <c r="Z12" i="125"/>
  <c r="Z11" i="125"/>
  <c r="Z10" i="125"/>
  <c r="Z9" i="125"/>
  <c r="L35" i="173" l="1"/>
  <c r="L11" i="173"/>
  <c r="F7" i="124"/>
  <c r="H7" i="124"/>
  <c r="D8" i="124"/>
  <c r="J8" i="124" s="1"/>
  <c r="D9" i="124"/>
  <c r="D11" i="124"/>
  <c r="J11" i="124" s="1"/>
  <c r="D12" i="124"/>
  <c r="J12" i="124" s="1"/>
  <c r="D13" i="124"/>
  <c r="J13" i="124" s="1"/>
  <c r="D14" i="124"/>
  <c r="J14" i="124" s="1"/>
  <c r="D15" i="124"/>
  <c r="D16" i="124"/>
  <c r="J16" i="124" s="1"/>
  <c r="D17" i="124"/>
  <c r="J17" i="124" s="1"/>
  <c r="D18" i="124"/>
  <c r="J18" i="124" s="1"/>
  <c r="D19" i="124"/>
  <c r="J19" i="124" s="1"/>
  <c r="D20" i="124"/>
  <c r="J20" i="124" s="1"/>
  <c r="D21" i="124"/>
  <c r="J21" i="124" s="1"/>
  <c r="D22" i="124"/>
  <c r="J22" i="124" s="1"/>
  <c r="D23" i="124"/>
  <c r="J23" i="124" s="1"/>
  <c r="D25" i="124"/>
  <c r="J25" i="124" s="1"/>
  <c r="D26" i="124"/>
  <c r="J26" i="124" s="1"/>
  <c r="D27" i="124"/>
  <c r="J27" i="124" s="1"/>
  <c r="D28" i="124"/>
  <c r="J28" i="124" s="1"/>
  <c r="D29" i="124"/>
  <c r="J29" i="124" s="1"/>
  <c r="D30" i="124"/>
  <c r="J30" i="124" s="1"/>
  <c r="D31" i="124"/>
  <c r="J31" i="124" s="1"/>
  <c r="D33" i="124"/>
  <c r="J33" i="124" s="1"/>
  <c r="D34" i="124"/>
  <c r="J34" i="124" s="1"/>
  <c r="D35" i="124"/>
  <c r="J35" i="124" s="1"/>
  <c r="D36" i="124"/>
  <c r="J36" i="124" s="1"/>
  <c r="D37" i="124"/>
  <c r="J37" i="124" s="1"/>
  <c r="D39" i="124"/>
  <c r="D42" i="124"/>
  <c r="J42" i="124" s="1"/>
  <c r="D43" i="124"/>
  <c r="J43" i="124" s="1"/>
  <c r="D44" i="124"/>
  <c r="D45" i="124"/>
  <c r="J45" i="124" s="1"/>
  <c r="D46" i="124"/>
  <c r="J46" i="124" s="1"/>
  <c r="C43" i="124"/>
  <c r="I43" i="124" s="1"/>
  <c r="C44" i="124"/>
  <c r="I44" i="124" s="1"/>
  <c r="C45" i="124"/>
  <c r="I45" i="124" s="1"/>
  <c r="C46" i="124"/>
  <c r="I46" i="124" s="1"/>
  <c r="C37" i="124"/>
  <c r="I37" i="124" s="1"/>
  <c r="C36" i="124"/>
  <c r="I36" i="124" s="1"/>
  <c r="C35" i="124"/>
  <c r="I35" i="124" s="1"/>
  <c r="C42" i="124"/>
  <c r="I42" i="124" s="1"/>
  <c r="C39" i="124"/>
  <c r="C34" i="124"/>
  <c r="I34" i="124" s="1"/>
  <c r="C33" i="124"/>
  <c r="I33" i="124" s="1"/>
  <c r="C31" i="124"/>
  <c r="I31" i="124" s="1"/>
  <c r="C30" i="124"/>
  <c r="I30" i="124" s="1"/>
  <c r="C29" i="124"/>
  <c r="I29" i="124" s="1"/>
  <c r="C28" i="124"/>
  <c r="I28" i="124" s="1"/>
  <c r="C27" i="124"/>
  <c r="I27" i="124" s="1"/>
  <c r="C26" i="124"/>
  <c r="I26" i="124" s="1"/>
  <c r="C25" i="124"/>
  <c r="I25" i="124" s="1"/>
  <c r="C23" i="124"/>
  <c r="I23" i="124" s="1"/>
  <c r="C22" i="124"/>
  <c r="I22" i="124" s="1"/>
  <c r="C21" i="124"/>
  <c r="I21" i="124" s="1"/>
  <c r="C20" i="124"/>
  <c r="I20" i="124" s="1"/>
  <c r="C19" i="124"/>
  <c r="I19" i="124" s="1"/>
  <c r="C18" i="124"/>
  <c r="I18" i="124" s="1"/>
  <c r="C17" i="124"/>
  <c r="I17" i="124" s="1"/>
  <c r="C16" i="124"/>
  <c r="I16" i="124" s="1"/>
  <c r="C15" i="124"/>
  <c r="I15" i="124" s="1"/>
  <c r="C14" i="124"/>
  <c r="I14" i="124" s="1"/>
  <c r="C13" i="124"/>
  <c r="I13" i="124" s="1"/>
  <c r="C12" i="124"/>
  <c r="I12" i="124" s="1"/>
  <c r="C11" i="124"/>
  <c r="I11" i="124" s="1"/>
  <c r="J9" i="124"/>
  <c r="C9" i="124"/>
  <c r="I9" i="124" s="1"/>
  <c r="C8" i="124"/>
  <c r="G7" i="124"/>
  <c r="E7" i="124"/>
  <c r="J44" i="124" l="1"/>
  <c r="Z7" i="125"/>
  <c r="D7" i="124"/>
  <c r="J15" i="124"/>
  <c r="C7" i="124"/>
  <c r="I8" i="124"/>
  <c r="I7" i="124" l="1"/>
  <c r="E6" i="173"/>
  <c r="G6" i="173" s="1"/>
  <c r="J7" i="124"/>
  <c r="Z17" i="125" s="1"/>
  <c r="J6" i="173"/>
  <c r="L6" i="173" s="1"/>
  <c r="Z8" i="125"/>
  <c r="Z16" i="125" s="1"/>
  <c r="O45" i="170"/>
  <c r="O43" i="170"/>
  <c r="R42" i="170"/>
  <c r="O35" i="170"/>
  <c r="O32" i="170"/>
  <c r="O31" i="170"/>
  <c r="O30" i="170"/>
  <c r="O28" i="170"/>
  <c r="O27" i="170"/>
  <c r="O26" i="170"/>
  <c r="T25" i="170"/>
  <c r="O25" i="170"/>
  <c r="R23" i="170"/>
  <c r="S23" i="170" s="1"/>
  <c r="S6" i="170" s="1"/>
  <c r="O22" i="170"/>
  <c r="O21" i="170"/>
  <c r="O20" i="170"/>
  <c r="O19" i="170"/>
  <c r="O18" i="170"/>
  <c r="O17" i="170"/>
  <c r="O16" i="170"/>
  <c r="O15" i="170"/>
  <c r="O14" i="170"/>
  <c r="O13" i="170"/>
  <c r="O12" i="170"/>
  <c r="O11" i="170"/>
  <c r="Q9" i="170"/>
  <c r="Q6" i="170" s="1"/>
  <c r="O9" i="170"/>
  <c r="T8" i="170"/>
  <c r="H8" i="170"/>
  <c r="O7" i="170"/>
  <c r="P6" i="170"/>
  <c r="P45" i="118"/>
  <c r="N45" i="118"/>
  <c r="R42" i="118"/>
  <c r="Z40" i="118"/>
  <c r="Z38" i="118"/>
  <c r="R38" i="118"/>
  <c r="Q38" i="118"/>
  <c r="Z36" i="118"/>
  <c r="Z35" i="118"/>
  <c r="Z33" i="118"/>
  <c r="Z32" i="118"/>
  <c r="P32" i="118"/>
  <c r="O32" i="118"/>
  <c r="N32" i="118"/>
  <c r="Z31" i="118"/>
  <c r="R31" i="118"/>
  <c r="P31" i="118"/>
  <c r="O31" i="118"/>
  <c r="N31" i="118"/>
  <c r="N30" i="118"/>
  <c r="Z29" i="118"/>
  <c r="S29" i="118"/>
  <c r="R29" i="118"/>
  <c r="Q29" i="118"/>
  <c r="P29" i="118"/>
  <c r="O29" i="118"/>
  <c r="N29" i="118"/>
  <c r="O28" i="118"/>
  <c r="P27" i="118"/>
  <c r="O27" i="118"/>
  <c r="P26" i="118"/>
  <c r="O26" i="118"/>
  <c r="P25" i="118"/>
  <c r="O25" i="118"/>
  <c r="O24" i="118"/>
  <c r="Z23" i="118"/>
  <c r="Z23" i="170" s="1"/>
  <c r="P23" i="118"/>
  <c r="O23" i="118"/>
  <c r="O22" i="118"/>
  <c r="N21" i="118"/>
  <c r="O20" i="118"/>
  <c r="Z19" i="118"/>
  <c r="O19" i="118"/>
  <c r="P18" i="118"/>
  <c r="O18" i="118"/>
  <c r="Z17" i="118"/>
  <c r="O16" i="118"/>
  <c r="O15" i="118"/>
  <c r="O14" i="118"/>
  <c r="P13" i="118"/>
  <c r="O13" i="118"/>
  <c r="P12" i="118"/>
  <c r="O12" i="118"/>
  <c r="O11" i="118"/>
  <c r="Z10" i="118"/>
  <c r="Z8" i="118"/>
  <c r="S8" i="118"/>
  <c r="R8" i="118"/>
  <c r="Q8" i="118"/>
  <c r="P8" i="118"/>
  <c r="O8" i="118"/>
  <c r="N8" i="118"/>
  <c r="M8" i="118"/>
  <c r="M6" i="118" s="1"/>
  <c r="L8" i="118"/>
  <c r="L6" i="118" s="1"/>
  <c r="K8" i="118"/>
  <c r="K6" i="118" s="1"/>
  <c r="I8" i="118"/>
  <c r="I6" i="118" s="1"/>
  <c r="G8" i="118"/>
  <c r="F8" i="118"/>
  <c r="E8" i="118"/>
  <c r="D8" i="118"/>
  <c r="P7" i="118"/>
  <c r="O7" i="118"/>
  <c r="J6" i="118"/>
  <c r="Q6" i="118" l="1"/>
  <c r="Z14" i="118"/>
  <c r="Y6" i="118"/>
  <c r="H8" i="118"/>
  <c r="H6" i="118" s="1"/>
  <c r="O6" i="170"/>
  <c r="R6" i="170"/>
  <c r="U6" i="118"/>
  <c r="T6" i="118"/>
  <c r="N6" i="118"/>
  <c r="P6" i="118"/>
  <c r="V6" i="118"/>
  <c r="S6" i="118"/>
  <c r="O6" i="118"/>
  <c r="X6" i="118"/>
  <c r="R6" i="118"/>
  <c r="X6" i="170"/>
  <c r="T23" i="170"/>
  <c r="U23" i="170" s="1"/>
  <c r="U6" i="170" s="1"/>
  <c r="W6" i="118"/>
  <c r="Z6" i="118" l="1"/>
  <c r="Z14" i="170"/>
  <c r="Y6" i="170"/>
  <c r="Z6" i="170" s="1"/>
  <c r="T6" i="170"/>
  <c r="V6" i="170"/>
  <c r="W6" i="170" l="1"/>
  <c r="E7" i="175" l="1"/>
  <c r="AD8" i="116" l="1"/>
  <c r="AD9" i="116"/>
  <c r="AD10" i="116"/>
  <c r="AD11" i="116"/>
  <c r="AD13" i="116"/>
  <c r="AD16" i="116"/>
  <c r="AD17" i="116"/>
  <c r="AD18" i="116"/>
  <c r="AD19" i="116"/>
  <c r="AD20" i="116"/>
  <c r="AD21" i="116"/>
  <c r="AD25" i="116"/>
  <c r="AD26" i="116"/>
  <c r="AD27" i="116"/>
  <c r="AD28" i="116"/>
  <c r="AD30" i="116"/>
  <c r="AD31" i="116"/>
  <c r="AD32" i="116"/>
  <c r="AD34" i="116"/>
  <c r="AD35" i="116"/>
  <c r="AD36" i="116"/>
  <c r="AD37" i="116"/>
  <c r="AD42" i="116"/>
  <c r="AD43" i="116"/>
  <c r="AD47" i="116"/>
  <c r="AD40" i="116"/>
  <c r="AD24" i="116"/>
  <c r="AD12" i="116"/>
  <c r="AD38" i="116"/>
  <c r="AD29" i="116" l="1"/>
  <c r="AD23" i="116" l="1"/>
  <c r="AD22" i="116"/>
  <c r="AD15" i="116"/>
  <c r="AD45" i="116" l="1"/>
  <c r="AD44" i="116"/>
  <c r="S41" i="113"/>
  <c r="AD33" i="116"/>
  <c r="AC7" i="113" l="1"/>
  <c r="AJ7" i="113"/>
  <c r="AI7" i="113"/>
  <c r="AB7" i="113"/>
  <c r="AH7" i="113"/>
  <c r="AG7" i="113"/>
  <c r="AF7" i="113"/>
  <c r="AE7" i="113"/>
  <c r="AD7" i="113"/>
  <c r="AD14" i="116"/>
  <c r="AD7" i="116"/>
  <c r="G9" i="126" l="1"/>
  <c r="G10" i="126"/>
  <c r="G11" i="126"/>
  <c r="G12" i="126"/>
  <c r="G13" i="126"/>
  <c r="G14" i="126"/>
  <c r="G15" i="126"/>
  <c r="G16" i="126"/>
  <c r="G17" i="126"/>
  <c r="G18" i="126"/>
  <c r="G19" i="126"/>
  <c r="G20" i="126"/>
  <c r="G21" i="126"/>
  <c r="G22" i="126"/>
  <c r="G23" i="126"/>
  <c r="G24" i="126"/>
  <c r="G25" i="126"/>
  <c r="G26" i="126"/>
  <c r="G27" i="126"/>
  <c r="G28" i="126"/>
  <c r="G29" i="126"/>
  <c r="G30" i="126"/>
  <c r="G31" i="126"/>
  <c r="G32" i="126"/>
  <c r="G33" i="126"/>
  <c r="G34" i="126"/>
  <c r="G35" i="126"/>
  <c r="G36" i="126"/>
  <c r="G37" i="126"/>
  <c r="G38" i="126"/>
  <c r="G39" i="126"/>
  <c r="G40" i="126"/>
  <c r="G41" i="126"/>
  <c r="G42" i="126"/>
  <c r="G43" i="126"/>
  <c r="G44" i="126"/>
  <c r="G8" i="126"/>
  <c r="G7" i="126" l="1"/>
  <c r="AH45" i="114" l="1"/>
  <c r="AH9" i="114"/>
  <c r="AH10" i="114"/>
  <c r="AH11" i="114"/>
  <c r="AH12" i="114"/>
  <c r="AH13" i="114"/>
  <c r="AH14" i="114"/>
  <c r="AH15" i="114"/>
  <c r="AH16" i="114"/>
  <c r="AH17" i="114"/>
  <c r="AH18" i="114"/>
  <c r="AH19" i="114"/>
  <c r="AH20" i="114"/>
  <c r="AH21" i="114"/>
  <c r="AH22" i="114"/>
  <c r="AH23" i="114"/>
  <c r="AH24" i="114"/>
  <c r="AH25" i="114"/>
  <c r="AH27" i="114"/>
  <c r="AH28" i="114"/>
  <c r="AH29" i="114"/>
  <c r="AH30" i="114"/>
  <c r="AH31" i="114"/>
  <c r="AH32" i="114"/>
  <c r="AH33" i="114"/>
  <c r="AH34" i="114"/>
  <c r="AH35" i="114"/>
  <c r="AH36" i="114"/>
  <c r="AH37" i="114"/>
  <c r="AH38" i="114"/>
  <c r="AH39" i="114"/>
  <c r="AH40" i="114"/>
  <c r="AH41" i="114"/>
  <c r="AH42" i="114"/>
  <c r="AH43" i="114"/>
  <c r="AH44" i="114"/>
  <c r="Z8" i="114"/>
  <c r="AG8" i="114"/>
  <c r="P7" i="114"/>
  <c r="X7" i="114"/>
  <c r="Z7" i="114"/>
  <c r="AE7" i="114"/>
  <c r="AF7" i="114"/>
  <c r="AI52" i="114"/>
  <c r="AJ52" i="114"/>
  <c r="AK52" i="114" s="1"/>
  <c r="AH52" i="114"/>
  <c r="AE53" i="114" s="1"/>
  <c r="AG26" i="114"/>
  <c r="AG11" i="114"/>
  <c r="AG7" i="114" s="1"/>
  <c r="AH7" i="114" s="1"/>
  <c r="AF26" i="114"/>
  <c r="AF8" i="114" s="1"/>
  <c r="AE26" i="114"/>
  <c r="AD26" i="114"/>
  <c r="AE13" i="114"/>
  <c r="AE11" i="114"/>
  <c r="AE8" i="114" s="1"/>
  <c r="AC26" i="114"/>
  <c r="AC7" i="114" s="1"/>
  <c r="AB26" i="114"/>
  <c r="AA26" i="114"/>
  <c r="AA8" i="114" s="1"/>
  <c r="AD11" i="114"/>
  <c r="AD8" i="114" s="1"/>
  <c r="AC11" i="114"/>
  <c r="AC8" i="114" s="1"/>
  <c r="AB45" i="114"/>
  <c r="AB43" i="114"/>
  <c r="AB41" i="114"/>
  <c r="AB36" i="114"/>
  <c r="AB34" i="114"/>
  <c r="AB33" i="114"/>
  <c r="AB32" i="114"/>
  <c r="AB27" i="114"/>
  <c r="AB8" i="114" s="1"/>
  <c r="AB23" i="114"/>
  <c r="AB11" i="114"/>
  <c r="AA11" i="114"/>
  <c r="AA7" i="114" s="1"/>
  <c r="AA45" i="114"/>
  <c r="AA41" i="114"/>
  <c r="AA36" i="114"/>
  <c r="Y32" i="114"/>
  <c r="AA27" i="114"/>
  <c r="Y26" i="114"/>
  <c r="AA23" i="114"/>
  <c r="G26" i="114"/>
  <c r="F26" i="114"/>
  <c r="I22" i="114"/>
  <c r="H22" i="114"/>
  <c r="G22" i="114"/>
  <c r="F22" i="114"/>
  <c r="G11" i="114"/>
  <c r="F11" i="114"/>
  <c r="Y45" i="114"/>
  <c r="X45" i="114"/>
  <c r="W45" i="114"/>
  <c r="V45" i="114"/>
  <c r="U45" i="114"/>
  <c r="T45" i="114"/>
  <c r="S45" i="114"/>
  <c r="R45" i="114"/>
  <c r="Q45" i="114"/>
  <c r="P45" i="114"/>
  <c r="O45" i="114"/>
  <c r="X44" i="114"/>
  <c r="Y41" i="114"/>
  <c r="X41" i="114"/>
  <c r="W41" i="114"/>
  <c r="V41" i="114"/>
  <c r="U41" i="114"/>
  <c r="T41" i="114"/>
  <c r="S41" i="114"/>
  <c r="R41" i="114"/>
  <c r="Y39" i="114"/>
  <c r="X39" i="114"/>
  <c r="W39" i="114"/>
  <c r="V39" i="114"/>
  <c r="Y36" i="114"/>
  <c r="X36" i="114"/>
  <c r="W36" i="114"/>
  <c r="V36" i="114"/>
  <c r="U36" i="114"/>
  <c r="T36" i="114"/>
  <c r="S36" i="114"/>
  <c r="R36" i="114"/>
  <c r="Q36" i="114"/>
  <c r="P36" i="114"/>
  <c r="O36" i="114"/>
  <c r="N36" i="114"/>
  <c r="M36" i="114"/>
  <c r="L36" i="114"/>
  <c r="K36" i="114"/>
  <c r="J36" i="114"/>
  <c r="I36" i="114"/>
  <c r="X35" i="114"/>
  <c r="Y34" i="114"/>
  <c r="X34" i="114"/>
  <c r="Y33" i="114"/>
  <c r="X33" i="114"/>
  <c r="X31" i="114"/>
  <c r="V31" i="114"/>
  <c r="U31" i="114"/>
  <c r="T31" i="114"/>
  <c r="S31" i="114"/>
  <c r="S8" i="114" s="1"/>
  <c r="R31" i="114"/>
  <c r="Q31" i="114"/>
  <c r="P31" i="114"/>
  <c r="O31" i="114"/>
  <c r="N31" i="114"/>
  <c r="M31" i="114"/>
  <c r="L31" i="114"/>
  <c r="K31" i="114"/>
  <c r="K8" i="114" s="1"/>
  <c r="J31" i="114"/>
  <c r="I31" i="114"/>
  <c r="H31" i="114"/>
  <c r="G31" i="114"/>
  <c r="F31" i="114"/>
  <c r="E31" i="114"/>
  <c r="X30" i="114"/>
  <c r="Y28" i="114"/>
  <c r="Y27" i="114"/>
  <c r="X26" i="114"/>
  <c r="W26" i="114"/>
  <c r="V26" i="114"/>
  <c r="U26" i="114"/>
  <c r="T26" i="114"/>
  <c r="P26" i="114"/>
  <c r="O26" i="114"/>
  <c r="N26" i="114"/>
  <c r="M26" i="114"/>
  <c r="Y25" i="114"/>
  <c r="X24" i="114"/>
  <c r="Y23" i="114"/>
  <c r="X23" i="114"/>
  <c r="W23" i="114"/>
  <c r="V23" i="114"/>
  <c r="U23" i="114"/>
  <c r="T23" i="114"/>
  <c r="S23" i="114"/>
  <c r="R23" i="114"/>
  <c r="Q23" i="114"/>
  <c r="Q8" i="114" s="1"/>
  <c r="P23" i="114"/>
  <c r="O23" i="114"/>
  <c r="N23" i="114"/>
  <c r="M23" i="114"/>
  <c r="L23" i="114"/>
  <c r="K23" i="114"/>
  <c r="J23" i="114"/>
  <c r="H23" i="114" s="1"/>
  <c r="H7" i="114" s="1"/>
  <c r="X21" i="114"/>
  <c r="Y15" i="114"/>
  <c r="X15" i="114"/>
  <c r="Y13" i="114"/>
  <c r="Y8" i="114" s="1"/>
  <c r="Y12" i="114"/>
  <c r="X12" i="114"/>
  <c r="Y11" i="114"/>
  <c r="Y7" i="114" s="1"/>
  <c r="X11" i="114"/>
  <c r="X8" i="114" s="1"/>
  <c r="W11" i="114"/>
  <c r="W8" i="114" s="1"/>
  <c r="V11" i="114"/>
  <c r="V8" i="114" s="1"/>
  <c r="U11" i="114"/>
  <c r="U8" i="114" s="1"/>
  <c r="T11" i="114"/>
  <c r="T8" i="114" s="1"/>
  <c r="S11" i="114"/>
  <c r="S7" i="114" s="1"/>
  <c r="R11" i="114"/>
  <c r="R7" i="114" s="1"/>
  <c r="Q11" i="114"/>
  <c r="Q7" i="114" s="1"/>
  <c r="P11" i="114"/>
  <c r="P8" i="114" s="1"/>
  <c r="O11" i="114"/>
  <c r="O8" i="114" s="1"/>
  <c r="N11" i="114"/>
  <c r="N8" i="114" s="1"/>
  <c r="M11" i="114"/>
  <c r="M8" i="114" s="1"/>
  <c r="L11" i="114"/>
  <c r="L7" i="114" s="1"/>
  <c r="K11" i="114"/>
  <c r="K7" i="114" s="1"/>
  <c r="J11" i="114"/>
  <c r="J7" i="114" s="1"/>
  <c r="I11" i="114"/>
  <c r="H10" i="114"/>
  <c r="G10" i="114"/>
  <c r="G8" i="114" s="1"/>
  <c r="F10" i="114"/>
  <c r="E10" i="114"/>
  <c r="E7" i="114" s="1"/>
  <c r="E8" i="114"/>
  <c r="G23" i="114"/>
  <c r="H8" i="114" l="1"/>
  <c r="AH8" i="114"/>
  <c r="L8" i="114"/>
  <c r="W7" i="114"/>
  <c r="O7" i="114"/>
  <c r="G7" i="114"/>
  <c r="AH26" i="114"/>
  <c r="AD7" i="114"/>
  <c r="V7" i="114"/>
  <c r="N7" i="114"/>
  <c r="R8" i="114"/>
  <c r="J8" i="114"/>
  <c r="U7" i="114"/>
  <c r="AB7" i="114"/>
  <c r="T7" i="114"/>
  <c r="M7" i="114"/>
  <c r="I23" i="114"/>
  <c r="I8" i="114" s="1"/>
  <c r="F23" i="114"/>
  <c r="F8" i="114" s="1"/>
  <c r="F7" i="114" l="1"/>
  <c r="I7" i="11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A8995AF-2155-4870-8517-491B28C2EEBA}" keepAlive="1" name="Query - EEA_N2" description="Connection to the 'EEA_N2' query in the workbook." type="5" refreshedVersion="0" background="1">
    <dbPr connection="Provider=Microsoft.Mashup.OleDb.1;Data Source=$Workbook$;Location=EEA_N2;Extended Properties=&quot;&quot;" command="SELECT * FROM [EEA_N2]"/>
  </connection>
</connections>
</file>

<file path=xl/sharedStrings.xml><?xml version="1.0" encoding="utf-8"?>
<sst xmlns="http://schemas.openxmlformats.org/spreadsheetml/2006/main" count="2173" uniqueCount="366">
  <si>
    <t>MK</t>
  </si>
  <si>
    <t>thousand</t>
  </si>
  <si>
    <t>Number of passenger cars per 1000 inhabitants</t>
  </si>
  <si>
    <t>Stock of vehicles</t>
  </si>
  <si>
    <t>Road : Buses and Coaches</t>
  </si>
  <si>
    <t>Total fleet controlled</t>
  </si>
  <si>
    <t>Number</t>
  </si>
  <si>
    <t>Europe*</t>
  </si>
  <si>
    <t>North America</t>
  </si>
  <si>
    <t>Latin America</t>
  </si>
  <si>
    <t>Asia/Oceania</t>
  </si>
  <si>
    <t>Africa</t>
  </si>
  <si>
    <t>Unknown</t>
  </si>
  <si>
    <t>(ships of 300 gt and over)</t>
  </si>
  <si>
    <t>Bulk carriers</t>
  </si>
  <si>
    <t>General cargo</t>
  </si>
  <si>
    <t>(ships of 1000 gt and over)</t>
  </si>
  <si>
    <t xml:space="preserve">Passenger aircraft </t>
  </si>
  <si>
    <t>50 seats or less</t>
  </si>
  <si>
    <t>51 to 150 seats</t>
  </si>
  <si>
    <t>151 to 250 seats</t>
  </si>
  <si>
    <t>251 seats and more</t>
  </si>
  <si>
    <t>Freight / Cargo</t>
  </si>
  <si>
    <t>Quick-change convertible</t>
  </si>
  <si>
    <t xml:space="preserve">Special purpose / Ambulance </t>
  </si>
  <si>
    <t>Business / Corporate / Executive</t>
  </si>
  <si>
    <t>IS</t>
  </si>
  <si>
    <t>CH</t>
  </si>
  <si>
    <t>BG</t>
  </si>
  <si>
    <t>CY</t>
  </si>
  <si>
    <t>CZ</t>
  </si>
  <si>
    <t>EE</t>
  </si>
  <si>
    <t>HU</t>
  </si>
  <si>
    <t>LV</t>
  </si>
  <si>
    <t>LT</t>
  </si>
  <si>
    <t>MT</t>
  </si>
  <si>
    <t>PL</t>
  </si>
  <si>
    <t>RO</t>
  </si>
  <si>
    <t>SK</t>
  </si>
  <si>
    <t>SI</t>
  </si>
  <si>
    <t>TR</t>
  </si>
  <si>
    <t>DK</t>
  </si>
  <si>
    <t>EL</t>
  </si>
  <si>
    <t>NL</t>
  </si>
  <si>
    <t>UK</t>
  </si>
  <si>
    <t>BE</t>
  </si>
  <si>
    <t>DE</t>
  </si>
  <si>
    <t>ES</t>
  </si>
  <si>
    <t>FR</t>
  </si>
  <si>
    <t>IE</t>
  </si>
  <si>
    <t>IT</t>
  </si>
  <si>
    <t>LU</t>
  </si>
  <si>
    <t>AT</t>
  </si>
  <si>
    <t>PT</t>
  </si>
  <si>
    <t>FI</t>
  </si>
  <si>
    <t>SE</t>
  </si>
  <si>
    <t>NO</t>
  </si>
  <si>
    <t xml:space="preserve"> </t>
  </si>
  <si>
    <t>-</t>
  </si>
  <si>
    <t>HR</t>
  </si>
  <si>
    <t>World</t>
  </si>
  <si>
    <t>Total</t>
  </si>
  <si>
    <t>More than 30 000 small private planes not included.</t>
  </si>
  <si>
    <t>(1)</t>
  </si>
  <si>
    <t xml:space="preserve">  </t>
  </si>
  <si>
    <t>LI</t>
  </si>
  <si>
    <t xml:space="preserve">   of which: </t>
  </si>
  <si>
    <t>Reefer</t>
  </si>
  <si>
    <t>Ro-Ro: vehicles roll on to embark, vehicles roll off to disembark.</t>
  </si>
  <si>
    <t>Liquid gas tankers</t>
  </si>
  <si>
    <t>Ore/ bulk / oil carriers</t>
  </si>
  <si>
    <t>Container ships</t>
  </si>
  <si>
    <t>Reefer: refrigerated ships.</t>
  </si>
  <si>
    <t>New vehicle registrations</t>
  </si>
  <si>
    <t>Road : Motorcycles</t>
  </si>
  <si>
    <t>Road : Mopeds</t>
  </si>
  <si>
    <t>New vehicle deliveries</t>
  </si>
  <si>
    <t>On 1st January:</t>
  </si>
  <si>
    <t>Total controlled fleet by world region</t>
  </si>
  <si>
    <t>World region</t>
  </si>
  <si>
    <t>Share of EU in Total and of Foreign Flag in EU</t>
  </si>
  <si>
    <t>%</t>
  </si>
  <si>
    <t>Data relate to main railways (UIC members)</t>
  </si>
  <si>
    <t>(passenger / cargo)</t>
  </si>
  <si>
    <t>mtow</t>
  </si>
  <si>
    <t>Multi-role</t>
  </si>
  <si>
    <t>Total fleet</t>
  </si>
  <si>
    <t>2007*</t>
  </si>
  <si>
    <t>Stock of registered vehicles</t>
  </si>
  <si>
    <t>In this table blank means none.</t>
  </si>
  <si>
    <t>EUROPEAN UNION</t>
  </si>
  <si>
    <t>European Commission</t>
  </si>
  <si>
    <t>Means of Transport</t>
  </si>
  <si>
    <r>
      <t xml:space="preserve">in co-operation with </t>
    </r>
    <r>
      <rPr>
        <b/>
        <sz val="10"/>
        <rFont val="Arial"/>
        <family val="2"/>
      </rPr>
      <t>Eurostat</t>
    </r>
  </si>
  <si>
    <t>Tankers</t>
  </si>
  <si>
    <t>Passenger and passenger cargo</t>
  </si>
  <si>
    <t>Cargo passenger and Ro-Ro passenger ships</t>
  </si>
  <si>
    <t>2008*</t>
  </si>
  <si>
    <t>Road : Motorisation</t>
  </si>
  <si>
    <t>Directorate-General for Mobility and Transport</t>
  </si>
  <si>
    <t>TRANSPORT IN FIGURES</t>
  </si>
  <si>
    <t>Part 2  :  TRANSPORT</t>
  </si>
  <si>
    <t>Chapter 2.6  :</t>
  </si>
  <si>
    <t>2.6.1</t>
  </si>
  <si>
    <t>2.6.2</t>
  </si>
  <si>
    <t>2.6.3</t>
  </si>
  <si>
    <t>2.6.4</t>
  </si>
  <si>
    <t>2.6.5</t>
  </si>
  <si>
    <t>2.6.6</t>
  </si>
  <si>
    <t>2.6.7</t>
  </si>
  <si>
    <t>2.6.8</t>
  </si>
  <si>
    <t>2.6.9</t>
  </si>
  <si>
    <t>2.6.10</t>
  </si>
  <si>
    <t>2.6.11</t>
  </si>
  <si>
    <t>2.6.12a</t>
  </si>
  <si>
    <t>2.6.12b</t>
  </si>
  <si>
    <t>2.6.13</t>
  </si>
  <si>
    <t>2.6.14</t>
  </si>
  <si>
    <t>2.6.15</t>
  </si>
  <si>
    <t>2.6.16</t>
  </si>
  <si>
    <t>2.6.17</t>
  </si>
  <si>
    <t>Only ships of 1000 gt and over</t>
  </si>
  <si>
    <t xml:space="preserve">Stock of coaches, railcars and trailers  </t>
  </si>
  <si>
    <t>2009*</t>
  </si>
  <si>
    <r>
      <t>Source</t>
    </r>
    <r>
      <rPr>
        <sz val="8"/>
        <rFont val="Arial"/>
        <family val="2"/>
      </rPr>
      <t>: tables 2.6.2 and 1.5</t>
    </r>
  </si>
  <si>
    <r>
      <t>Notes:</t>
    </r>
    <r>
      <rPr>
        <b/>
        <sz val="8"/>
        <rFont val="Arial"/>
        <family val="2"/>
      </rPr>
      <t/>
    </r>
  </si>
  <si>
    <r>
      <t xml:space="preserve">Stock at end of year, except for </t>
    </r>
    <r>
      <rPr>
        <b/>
        <sz val="8"/>
        <rFont val="Arial"/>
        <family val="2"/>
      </rPr>
      <t>BE:</t>
    </r>
    <r>
      <rPr>
        <sz val="8"/>
        <rFont val="Arial"/>
        <family val="2"/>
      </rPr>
      <t xml:space="preserve"> 1 August, </t>
    </r>
    <r>
      <rPr>
        <b/>
        <sz val="8"/>
        <rFont val="Arial"/>
        <family val="2"/>
      </rPr>
      <t>CH:</t>
    </r>
    <r>
      <rPr>
        <sz val="8"/>
        <rFont val="Arial"/>
        <family val="2"/>
      </rPr>
      <t xml:space="preserve"> 30 September, </t>
    </r>
    <r>
      <rPr>
        <b/>
        <sz val="8"/>
        <rFont val="Arial"/>
        <family val="2"/>
      </rPr>
      <t>LI:</t>
    </r>
    <r>
      <rPr>
        <sz val="8"/>
        <rFont val="Arial"/>
        <family val="2"/>
      </rPr>
      <t xml:space="preserve"> 1 July.</t>
    </r>
    <r>
      <rPr>
        <b/>
        <sz val="8"/>
        <rFont val="Arial"/>
        <family val="2"/>
      </rPr>
      <t/>
    </r>
  </si>
  <si>
    <r>
      <t>As a rule, data include heavy and light goods vehicles, lorries and road tractors; due to varying concepts of such vehicles, data are not fully comparable between countries.</t>
    </r>
    <r>
      <rPr>
        <b/>
        <sz val="8"/>
        <rFont val="Arial"/>
        <family val="2"/>
      </rPr>
      <t/>
    </r>
  </si>
  <si>
    <r>
      <t>National vehicle stock data do not always include all powered two-wheelers and are therefore not fully comparable between countries.</t>
    </r>
    <r>
      <rPr>
        <b/>
        <sz val="8"/>
        <rFont val="Arial"/>
        <family val="2"/>
      </rPr>
      <t/>
    </r>
  </si>
  <si>
    <r>
      <t>dwt</t>
    </r>
    <r>
      <rPr>
        <sz val="8"/>
        <rFont val="Arial"/>
        <family val="2"/>
      </rPr>
      <t xml:space="preserve"> (million)</t>
    </r>
  </si>
  <si>
    <r>
      <t>Special purpose / Ambulance</t>
    </r>
    <r>
      <rPr>
        <sz val="8"/>
        <rFont val="Arial"/>
        <family val="2"/>
      </rPr>
      <t>: contains data about Hospital / Ambulance / Medevac and Special Role / Operations / Mission aircraft.</t>
    </r>
  </si>
  <si>
    <t xml:space="preserve">Passenger (not Ro-Ro) </t>
  </si>
  <si>
    <t>Road: Goods vehicles</t>
  </si>
  <si>
    <t>2010*</t>
  </si>
  <si>
    <t>Eurostat</t>
  </si>
  <si>
    <t>ESTAT</t>
  </si>
  <si>
    <t>2011*</t>
  </si>
  <si>
    <t xml:space="preserve">% of foreign flag in total fleet </t>
  </si>
  <si>
    <t>RS</t>
  </si>
  <si>
    <t>ME</t>
  </si>
  <si>
    <r>
      <rPr>
        <b/>
        <sz val="8"/>
        <rFont val="Arial"/>
        <family val="2"/>
      </rPr>
      <t>HR:</t>
    </r>
    <r>
      <rPr>
        <sz val="8"/>
        <rFont val="Arial"/>
        <family val="2"/>
      </rPr>
      <t xml:space="preserve"> from 2009 light vans are included in passenger cars and no longer in Goods Vehicles</t>
    </r>
  </si>
  <si>
    <r>
      <t xml:space="preserve">Stock at end of year, except for </t>
    </r>
    <r>
      <rPr>
        <b/>
        <sz val="8"/>
        <rFont val="Arial"/>
        <family val="2"/>
      </rPr>
      <t>CH:</t>
    </r>
    <r>
      <rPr>
        <sz val="8"/>
        <rFont val="Arial"/>
        <family val="2"/>
      </rPr>
      <t xml:space="preserve"> 30 September, </t>
    </r>
    <r>
      <rPr>
        <b/>
        <sz val="8"/>
        <rFont val="Arial"/>
        <family val="2"/>
      </rPr>
      <t>LI:</t>
    </r>
    <r>
      <rPr>
        <sz val="8"/>
        <rFont val="Arial"/>
        <family val="2"/>
      </rPr>
      <t xml:space="preserve"> 1 July.</t>
    </r>
    <r>
      <rPr>
        <b/>
        <sz val="8"/>
        <rFont val="Arial"/>
        <family val="2"/>
      </rPr>
      <t/>
    </r>
  </si>
  <si>
    <r>
      <t xml:space="preserve">***: </t>
    </r>
    <r>
      <rPr>
        <sz val="8"/>
        <rFont val="Arial"/>
        <family val="2"/>
      </rPr>
      <t>foreign flag share includes ships registered by EU countries in other EU countries</t>
    </r>
  </si>
  <si>
    <t>2012*</t>
  </si>
  <si>
    <t>AL</t>
  </si>
  <si>
    <t>EU-28</t>
  </si>
  <si>
    <t xml:space="preserve">New vehicle registrations </t>
  </si>
  <si>
    <t>under 
100 000lbs</t>
  </si>
  <si>
    <t>over 
100 000lbs</t>
  </si>
  <si>
    <t>2013*</t>
  </si>
  <si>
    <r>
      <t>Source:</t>
    </r>
    <r>
      <rPr>
        <sz val="8"/>
        <rFont val="Arial"/>
        <family val="2"/>
      </rPr>
      <t xml:space="preserve"> ISL, up to 2011 based on quarterly updates from IHS Fairplay, since 2012 on Clarkson Research Services Limited (CRSL)</t>
    </r>
  </si>
  <si>
    <t>Crude oil and oil product tankers</t>
  </si>
  <si>
    <t>Oil / chemical tankers</t>
  </si>
  <si>
    <t>Conventional cargo</t>
  </si>
  <si>
    <t>Special cargo (*)</t>
  </si>
  <si>
    <t>Pure car carriers</t>
  </si>
  <si>
    <t>Ro-Ro cargo</t>
  </si>
  <si>
    <t>(*) Including open hatch carriers.</t>
  </si>
  <si>
    <r>
      <rPr>
        <b/>
        <sz val="8"/>
        <rFont val="Arial"/>
        <family val="2"/>
      </rPr>
      <t>EE,  FR:</t>
    </r>
    <r>
      <rPr>
        <sz val="8"/>
        <rFont val="Arial"/>
        <family val="2"/>
      </rPr>
      <t xml:space="preserve"> include special purpose vehicles.</t>
    </r>
  </si>
  <si>
    <t>(**) No deadweight figure is given for cruise ships, since dwt is a measure of the weight admissible in the vessel.</t>
  </si>
  <si>
    <t>2014*</t>
  </si>
  <si>
    <r>
      <t>CS:</t>
    </r>
    <r>
      <rPr>
        <sz val="8"/>
        <rFont val="Arial"/>
        <family val="2"/>
      </rPr>
      <t xml:space="preserve"> 1970: 4 998; 1990: 6 010</t>
    </r>
  </si>
  <si>
    <t>2015*</t>
  </si>
  <si>
    <r>
      <t>Source</t>
    </r>
    <r>
      <rPr>
        <sz val="8"/>
        <rFont val="Arial"/>
        <family val="2"/>
      </rPr>
      <t xml:space="preserve">:  Union Internationale des Chemins de Fer, Eurostat, national statistics (own estimates in </t>
    </r>
    <r>
      <rPr>
        <i/>
        <sz val="8"/>
        <rFont val="Arial"/>
        <family val="2"/>
      </rPr>
      <t>italics</t>
    </r>
    <r>
      <rPr>
        <sz val="8"/>
        <rFont val="Arial"/>
        <family val="2"/>
      </rPr>
      <t>)</t>
    </r>
  </si>
  <si>
    <t>Data relates to main railway undertakings. Values on this table consider the declared values of locomotives (diesel + electric) and railcars (diesel + electric) and in some cases multiple units.</t>
  </si>
  <si>
    <r>
      <t>CS:</t>
    </r>
    <r>
      <rPr>
        <sz val="8"/>
        <rFont val="Arial"/>
        <family val="2"/>
      </rPr>
      <t xml:space="preserve"> 1970=10 145   1990=8 597</t>
    </r>
  </si>
  <si>
    <t>2016*</t>
  </si>
  <si>
    <t>(2)</t>
  </si>
  <si>
    <r>
      <t>Source</t>
    </r>
    <r>
      <rPr>
        <sz val="8"/>
        <rFont val="Arial"/>
        <family val="2"/>
      </rPr>
      <t>: Flightglobal</t>
    </r>
  </si>
  <si>
    <t>Ships of 1 000 gt and over</t>
  </si>
  <si>
    <t>(ships of 1 000 gt and over)</t>
  </si>
  <si>
    <t>2017*</t>
  </si>
  <si>
    <t>Source 2018</t>
  </si>
  <si>
    <t>Source 2017</t>
  </si>
  <si>
    <t>Source 2016</t>
  </si>
  <si>
    <t>Km parcourus par les vehicules Belges (mobilit.fgov.be), pag 13</t>
  </si>
  <si>
    <t>Km parcourus par les vehicules Belges (mobilit.fgov.be), pag 16</t>
  </si>
  <si>
    <t>Joana Iltchevska</t>
  </si>
  <si>
    <t>Galina vasileva</t>
  </si>
  <si>
    <t>DK Stat</t>
  </si>
  <si>
    <t>KBA.de Bestand am 1.st Januar 2017 nach Fahrzeugklassen</t>
  </si>
  <si>
    <t>KBA.de Bestand am 1.st Januar 2016 nach Fahrzeugklassen</t>
  </si>
  <si>
    <t>KBA.de Bestand am 1.st Januar 2015 nach Fahrzeugklassen</t>
  </si>
  <si>
    <t>EE STAT</t>
  </si>
  <si>
    <t>IE Transport Omnibus</t>
  </si>
  <si>
    <t>EL Stat</t>
  </si>
  <si>
    <t>ministerio fomento -  estadisticas - anuario estadistico 2016 - trafico</t>
  </si>
  <si>
    <t>ministerio fomento -  estadisticas - anuario estadistico 2014 - trafico</t>
  </si>
  <si>
    <t>Statistiques developpement durables</t>
  </si>
  <si>
    <t>CCFA estimates</t>
  </si>
  <si>
    <t>HR statistical yearbook</t>
  </si>
  <si>
    <t>CNIT tab V.3.1.1</t>
  </si>
  <si>
    <t>CY Stat, Transport Statistics 2016 (licensed)</t>
  </si>
  <si>
    <t>LV Stat</t>
  </si>
  <si>
    <t>LV STAT</t>
  </si>
  <si>
    <t>LT STAT</t>
  </si>
  <si>
    <t xml:space="preserve">MT Transport yearbook </t>
  </si>
  <si>
    <t>NL Stat</t>
  </si>
  <si>
    <t>AT Stat</t>
  </si>
  <si>
    <t>Antonio cavaco (quadro 60)</t>
  </si>
  <si>
    <t>Eurostat regional statistics - transport</t>
  </si>
  <si>
    <t>AL STAT (discontinued?)</t>
  </si>
  <si>
    <t>AL STAT</t>
  </si>
  <si>
    <t>ME STAT, Statistical yearbook</t>
  </si>
  <si>
    <t>ME STAT</t>
  </si>
  <si>
    <t>Makstat database</t>
  </si>
  <si>
    <t>RS Stat yearbook</t>
  </si>
  <si>
    <t>NO Stat</t>
  </si>
  <si>
    <t>Km parcourus par les vehicules Belges (mobilit.fgov.be), pag 12</t>
  </si>
  <si>
    <t>CZ Transport yearbook 2016, values from tables 4.2.1 and 4.2.5</t>
  </si>
  <si>
    <t>CZ Transport yearbook 2015, values from tables 4.2.4 and 4.2.5</t>
  </si>
  <si>
    <t>CZ Transport yearbook 2014, values from tables 4.2.4 and 4.2.5</t>
  </si>
  <si>
    <t>Irish bullettin of vehicle and driver stat - section 1 table 1 large public service vehicles</t>
  </si>
  <si>
    <t>CCFA estimates - revised</t>
  </si>
  <si>
    <t>CY STAT - licensed vehicles!</t>
  </si>
  <si>
    <t>CY STAT - weird number - explained by statistics CY</t>
  </si>
  <si>
    <t>LV STAT, statistical yearbook</t>
  </si>
  <si>
    <t>Lu stat</t>
  </si>
  <si>
    <t>LU stat</t>
  </si>
  <si>
    <t xml:space="preserve">Hu Stat Dissemination database </t>
  </si>
  <si>
    <t>PL Stat</t>
  </si>
  <si>
    <t>ESTAT (revised until 2010)</t>
  </si>
  <si>
    <t>Eurostat regional statistics</t>
  </si>
  <si>
    <t>FI stat</t>
  </si>
  <si>
    <t>FI Stat</t>
  </si>
  <si>
    <t>FI STAT</t>
  </si>
  <si>
    <t>Trafikanalys - Fordon (table BU2)</t>
  </si>
  <si>
    <t>UK Stat (tax type, United Kingdom)</t>
  </si>
  <si>
    <t>UK Stat + NI Stat (tax type)</t>
  </si>
  <si>
    <t>MK Stat Yearbook</t>
  </si>
  <si>
    <t>IS STAT</t>
  </si>
  <si>
    <t>CH Stat</t>
  </si>
  <si>
    <t>CZ Transport yearbook 2016, values from tables 4.2.1 and 4.2.5: busses+troleybuses</t>
  </si>
  <si>
    <t>dk stat, https://www.statbank.dk/BIL12</t>
  </si>
  <si>
    <t>ok, national sources, same figure as ESTAT</t>
  </si>
  <si>
    <t>estim</t>
  </si>
  <si>
    <t>estat</t>
  </si>
  <si>
    <t>EU-27</t>
  </si>
  <si>
    <t>2018*</t>
  </si>
  <si>
    <t>BE: 2009 data (UIC)</t>
  </si>
  <si>
    <t>be estim</t>
  </si>
  <si>
    <t>change 17/18</t>
  </si>
  <si>
    <t>Uk stat, table veh0103</t>
  </si>
  <si>
    <t xml:space="preserve">estat </t>
  </si>
  <si>
    <t>**: EU-27 since 2012</t>
  </si>
  <si>
    <t>of which:  EU-27**</t>
  </si>
  <si>
    <t>World Total</t>
  </si>
  <si>
    <t>EU-27** control of total</t>
  </si>
  <si>
    <t>EU-27** : Foreign flag share ***</t>
  </si>
  <si>
    <t>https://appsso.eurostat.ec.europa.eu/nui/show.do?dataset=road_eqs_carage&amp;lang=en</t>
  </si>
  <si>
    <t>CNIT</t>
  </si>
  <si>
    <t>AL stat</t>
  </si>
  <si>
    <r>
      <rPr>
        <sz val="8"/>
        <color indexed="8"/>
        <rFont val="Arial"/>
        <family val="2"/>
      </rPr>
      <t>Data include buses, coaches, minibuses and sometimes also trolleybuses (BG:incudes troleybusses).</t>
    </r>
    <r>
      <rPr>
        <b/>
        <sz val="8"/>
        <rFont val="Arial"/>
        <family val="2"/>
      </rPr>
      <t/>
    </r>
  </si>
  <si>
    <t>https://appsso.eurostat.ec.europa.eu/nui/show.do?dataset=tran_r_vehst&amp;lang=en</t>
  </si>
  <si>
    <r>
      <t>Source</t>
    </r>
    <r>
      <rPr>
        <sz val="8"/>
        <rFont val="Arial"/>
        <family val="2"/>
      </rPr>
      <t>:</t>
    </r>
    <r>
      <rPr>
        <b/>
        <sz val="8"/>
        <rFont val="Arial"/>
        <family val="2"/>
      </rPr>
      <t xml:space="preserve"> </t>
    </r>
    <r>
      <rPr>
        <sz val="8"/>
        <rFont val="Arial"/>
        <family val="2"/>
      </rPr>
      <t xml:space="preserve">Eurostat [road_eqs_carage, tran_r_vehst], national statistics, United Nations Economic Commission for Europe, estimates </t>
    </r>
    <r>
      <rPr>
        <i/>
        <sz val="8"/>
        <rFont val="Arial"/>
        <family val="2"/>
      </rPr>
      <t>(in italics)</t>
    </r>
  </si>
  <si>
    <r>
      <t>Source</t>
    </r>
    <r>
      <rPr>
        <sz val="8"/>
        <rFont val="Arial"/>
        <family val="2"/>
      </rPr>
      <t>:  Union Internationale des Chemins de Fer, Eurostat [rail_eq_pa_nty], national statistics, estimates</t>
    </r>
    <r>
      <rPr>
        <i/>
        <sz val="8"/>
        <rFont val="Arial"/>
        <family val="2"/>
      </rPr>
      <t xml:space="preserve"> (in italics)</t>
    </r>
  </si>
  <si>
    <r>
      <t>DE:</t>
    </r>
    <r>
      <rPr>
        <sz val="8"/>
        <rFont val="Arial"/>
        <family val="2"/>
      </rPr>
      <t xml:space="preserve"> includes </t>
    </r>
    <r>
      <rPr>
        <b/>
        <sz val="8"/>
        <rFont val="Arial"/>
        <family val="2"/>
      </rPr>
      <t>former GDR</t>
    </r>
    <r>
      <rPr>
        <sz val="8"/>
        <rFont val="Arial"/>
        <family val="2"/>
      </rPr>
      <t>: 1970=</t>
    </r>
    <r>
      <rPr>
        <i/>
        <sz val="8"/>
        <rFont val="Arial"/>
        <family val="2"/>
      </rPr>
      <t>10 000</t>
    </r>
    <r>
      <rPr>
        <sz val="8"/>
        <rFont val="Arial"/>
        <family val="2"/>
      </rPr>
      <t>,  1980=10 761,  1990=9 635</t>
    </r>
  </si>
  <si>
    <t>Road : Buses and coaches</t>
  </si>
  <si>
    <r>
      <t>*:</t>
    </r>
    <r>
      <rPr>
        <sz val="8"/>
        <rFont val="Arial"/>
        <family val="2"/>
      </rPr>
      <t xml:space="preserve"> In this table Europe includes EU-27, EFTA, UK, Monaco, Gibraltar, Andorra, Turkey, Western Balkan countries, Russia, Ukraine and Moldova;</t>
    </r>
  </si>
  <si>
    <r>
      <t>DE:</t>
    </r>
    <r>
      <rPr>
        <b/>
        <sz val="8"/>
        <rFont val="Arial"/>
        <family val="2"/>
      </rPr>
      <t xml:space="preserve"> includes former GDR:  </t>
    </r>
    <r>
      <rPr>
        <sz val="8"/>
        <rFont val="Arial"/>
        <family val="2"/>
      </rPr>
      <t xml:space="preserve">: 1970 = 5 </t>
    </r>
    <r>
      <rPr>
        <i/>
        <sz val="8"/>
        <rFont val="Arial"/>
        <family val="2"/>
      </rPr>
      <t>000</t>
    </r>
    <r>
      <rPr>
        <sz val="8"/>
        <rFont val="Arial"/>
        <family val="2"/>
      </rPr>
      <t>; 1980 = 4 506; 1990 = 6 331</t>
    </r>
  </si>
  <si>
    <t>Road : Passenger cars</t>
  </si>
  <si>
    <t xml:space="preserve">    Road : Goods vehicles</t>
  </si>
  <si>
    <t>Road : Powered two-wheelers</t>
  </si>
  <si>
    <t>Sea : EU merchant fleet</t>
  </si>
  <si>
    <t>Sea : World merchant fleet</t>
  </si>
  <si>
    <t>Air : passenger aircraft</t>
  </si>
  <si>
    <t>Number of civil aircraft in service</t>
  </si>
  <si>
    <t>Air : Freight, special, business aircraft</t>
  </si>
  <si>
    <t>Rail : Locomotives and railcars</t>
  </si>
  <si>
    <t>Rail : Passenger transport vehicles</t>
  </si>
  <si>
    <t>Rail : Goods transport wagons</t>
  </si>
  <si>
    <r>
      <t>*</t>
    </r>
    <r>
      <rPr>
        <sz val="8"/>
        <rFont val="Arial"/>
        <family val="2"/>
      </rPr>
      <t>: not including private-owners' vehicles; not fully comparable with data of previous years.</t>
    </r>
  </si>
  <si>
    <r>
      <t>DE:</t>
    </r>
    <r>
      <rPr>
        <sz val="8"/>
        <rFont val="Arial"/>
        <family val="2"/>
      </rPr>
      <t xml:space="preserve"> includes former GDR: 1970=137 984;  1980=142 202;  1990=163 158 </t>
    </r>
  </si>
  <si>
    <t>Road: Passenger cars : stock of vehicles</t>
  </si>
  <si>
    <t>Road: Buses and coaches : stock of vehicles</t>
  </si>
  <si>
    <t>Road: Goods vehicles : stock of vehicles</t>
  </si>
  <si>
    <t>Road: Powered two-wheelers : stock of vehicles</t>
  </si>
  <si>
    <t>Road: Passenger cars : new vehicle registrations</t>
  </si>
  <si>
    <t>Road: Goods vehicles : new vehicle registrations</t>
  </si>
  <si>
    <t>Road: Motorcycles : new vehicle registrations</t>
  </si>
  <si>
    <t>Road: Mopeds : new vehicle deliveries</t>
  </si>
  <si>
    <t>Road: Buses and Coaches : new vehicle registrations</t>
  </si>
  <si>
    <t>Sea:  EU merchant fleet</t>
  </si>
  <si>
    <t>Sea:  World merchant fleet by World region</t>
  </si>
  <si>
    <t>Sea:  World merchant fleet by type of ship</t>
  </si>
  <si>
    <t>Air:   Passenger aircraft : number in service</t>
  </si>
  <si>
    <t>Air:   Freight, special,  business aircraft : number in service</t>
  </si>
  <si>
    <t>Rail: Locomotives and railcars : stock of vehicles</t>
  </si>
  <si>
    <t>Rail: Goods transport wagons : stock of vehicles</t>
  </si>
  <si>
    <t>NB:</t>
  </si>
  <si>
    <r>
      <t xml:space="preserve">NB: </t>
    </r>
    <r>
      <rPr>
        <sz val="8"/>
        <rFont val="Arial"/>
        <family val="2"/>
      </rPr>
      <t>Passenger car stock at end of year n divided by the population on 1 January of year n+1</t>
    </r>
  </si>
  <si>
    <t xml:space="preserve">NB: </t>
  </si>
  <si>
    <r>
      <t>NB:</t>
    </r>
    <r>
      <rPr>
        <sz val="8"/>
        <rFont val="Arial"/>
        <family val="2"/>
      </rPr>
      <t xml:space="preserve"> </t>
    </r>
  </si>
  <si>
    <t>MT: including e-bycicles</t>
  </si>
  <si>
    <t>Road: Motorisation : number of passenger cars per 1000 inhabitants</t>
  </si>
  <si>
    <t>Rail: Passenger transport vehicles: stocks of coaches, railcars and trailers</t>
  </si>
  <si>
    <r>
      <t>Source</t>
    </r>
    <r>
      <rPr>
        <sz val="8"/>
        <rFont val="Arial"/>
        <family val="2"/>
      </rPr>
      <t xml:space="preserve">:  Union Internationale des Chemins de Fer, Eurostat [rail_eq_locon], UNECE (ME),  </t>
    </r>
    <r>
      <rPr>
        <i/>
        <sz val="8"/>
        <rFont val="Arial"/>
        <family val="2"/>
      </rPr>
      <t xml:space="preserve">estimates (in italics); </t>
    </r>
  </si>
  <si>
    <t>2019*</t>
  </si>
  <si>
    <t>SE: Since 2010 national figures are used.</t>
  </si>
  <si>
    <r>
      <rPr>
        <b/>
        <sz val="8"/>
        <rFont val="Arial"/>
        <family val="2"/>
      </rPr>
      <t>EL, FI, NO:</t>
    </r>
    <r>
      <rPr>
        <sz val="8"/>
        <rFont val="Arial"/>
        <family val="2"/>
      </rPr>
      <t xml:space="preserve"> figures in italics refer to value of previous year; </t>
    </r>
    <r>
      <rPr>
        <b/>
        <sz val="8"/>
        <rFont val="Arial"/>
        <family val="2"/>
      </rPr>
      <t xml:space="preserve">BE: </t>
    </r>
    <r>
      <rPr>
        <sz val="8"/>
        <rFont val="Arial"/>
        <family val="2"/>
      </rPr>
      <t xml:space="preserve">2013 data; </t>
    </r>
    <r>
      <rPr>
        <b/>
        <sz val="8"/>
        <rFont val="Arial"/>
        <family val="2"/>
      </rPr>
      <t>UK</t>
    </r>
    <r>
      <rPr>
        <sz val="8"/>
        <rFont val="Arial"/>
        <family val="2"/>
      </rPr>
      <t>: 2014 data</t>
    </r>
  </si>
  <si>
    <t>dwt (1000)</t>
  </si>
  <si>
    <t xml:space="preserve">dwt </t>
  </si>
  <si>
    <t>On January 1st, 2021</t>
  </si>
  <si>
    <r>
      <t>Cruise ships by registered flag</t>
    </r>
    <r>
      <rPr>
        <sz val="10"/>
        <color theme="1"/>
        <rFont val="Arial"/>
        <family val="2"/>
      </rPr>
      <t>, numbers and gross tons</t>
    </r>
  </si>
  <si>
    <r>
      <t xml:space="preserve">gt </t>
    </r>
    <r>
      <rPr>
        <sz val="8"/>
        <color theme="1"/>
        <rFont val="Arial"/>
        <family val="2"/>
      </rPr>
      <t>(thousand)</t>
    </r>
  </si>
  <si>
    <r>
      <t xml:space="preserve">Break in time series due to inclusion of mopeds from 2001 in </t>
    </r>
    <r>
      <rPr>
        <b/>
        <sz val="8"/>
        <rFont val="Arial"/>
        <family val="2"/>
      </rPr>
      <t>ES</t>
    </r>
    <r>
      <rPr>
        <sz val="8"/>
        <rFont val="Arial"/>
        <family val="2"/>
      </rPr>
      <t xml:space="preserve">, from 2002 in </t>
    </r>
    <r>
      <rPr>
        <b/>
        <sz val="8"/>
        <rFont val="Arial"/>
        <family val="2"/>
      </rPr>
      <t xml:space="preserve">SI </t>
    </r>
    <r>
      <rPr>
        <sz val="8"/>
        <rFont val="Arial"/>
        <family val="2"/>
      </rPr>
      <t xml:space="preserve">and </t>
    </r>
    <r>
      <rPr>
        <b/>
        <sz val="8"/>
        <rFont val="Arial"/>
        <family val="2"/>
      </rPr>
      <t>HR</t>
    </r>
    <r>
      <rPr>
        <sz val="8"/>
        <rFont val="Arial"/>
        <family val="2"/>
      </rPr>
      <t xml:space="preserve">, from 2004 in </t>
    </r>
    <r>
      <rPr>
        <b/>
        <sz val="8"/>
        <rFont val="Arial"/>
        <family val="2"/>
      </rPr>
      <t>LV</t>
    </r>
    <r>
      <rPr>
        <sz val="8"/>
        <rFont val="Arial"/>
        <family val="2"/>
      </rPr>
      <t xml:space="preserve">, from 2005 in </t>
    </r>
    <r>
      <rPr>
        <b/>
        <sz val="8"/>
        <rFont val="Arial"/>
        <family val="2"/>
      </rPr>
      <t>PL</t>
    </r>
    <r>
      <rPr>
        <sz val="8"/>
        <rFont val="Arial"/>
        <family val="2"/>
      </rPr>
      <t xml:space="preserve">, from 2007 in </t>
    </r>
    <r>
      <rPr>
        <b/>
        <sz val="8"/>
        <rFont val="Arial"/>
        <family val="2"/>
      </rPr>
      <t xml:space="preserve">LT, </t>
    </r>
    <r>
      <rPr>
        <sz val="8"/>
        <rFont val="Arial"/>
        <family val="2"/>
      </rPr>
      <t xml:space="preserve">from 2009 </t>
    </r>
    <r>
      <rPr>
        <b/>
        <sz val="8"/>
        <rFont val="Arial"/>
        <family val="2"/>
      </rPr>
      <t xml:space="preserve">in SK, </t>
    </r>
    <r>
      <rPr>
        <sz val="8"/>
        <rFont val="Arial"/>
        <family val="2"/>
      </rPr>
      <t xml:space="preserve">from 2011 in </t>
    </r>
    <r>
      <rPr>
        <b/>
        <sz val="8"/>
        <rFont val="Arial"/>
        <family val="2"/>
      </rPr>
      <t xml:space="preserve">EE, </t>
    </r>
    <r>
      <rPr>
        <sz val="8"/>
        <rFont val="Arial"/>
        <family val="2"/>
      </rPr>
      <t>from 2018 in</t>
    </r>
    <r>
      <rPr>
        <b/>
        <sz val="8"/>
        <rFont val="Arial"/>
        <family val="2"/>
      </rPr>
      <t xml:space="preserve"> BE. </t>
    </r>
  </si>
  <si>
    <t xml:space="preserve">CZ: Revision in 2022 of the whole time series due to inclusion of the mopeds. </t>
  </si>
  <si>
    <t xml:space="preserve">Tricycles and quads are sometimes included in the data. SE data includes cross-country scooters. CH: mopeds include fast e-bikes. </t>
  </si>
  <si>
    <r>
      <t>Source:</t>
    </r>
    <r>
      <rPr>
        <sz val="8"/>
        <rFont val="Arial"/>
        <family val="2"/>
      </rPr>
      <t xml:space="preserve"> Eurostat [road_eqs_carage, tran_r_vehst], national statistics, Association des Constructeurs Européens de Motocycles (ACEM) for </t>
    </r>
    <r>
      <rPr>
        <b/>
        <sz val="8"/>
        <rFont val="Arial"/>
        <family val="2"/>
      </rPr>
      <t>FR</t>
    </r>
    <r>
      <rPr>
        <sz val="8"/>
        <rFont val="Arial"/>
        <family val="2"/>
      </rPr>
      <t xml:space="preserve"> (2017 data).</t>
    </r>
  </si>
  <si>
    <t>FI, IE, RS: figures in italics refer to value of previous year; BE: 2009 data;</t>
  </si>
  <si>
    <t>mtow: maximum take-off weight</t>
  </si>
  <si>
    <t>On 31 December 2022</t>
  </si>
  <si>
    <t>BA</t>
  </si>
  <si>
    <t>UA</t>
  </si>
  <si>
    <t>MD</t>
  </si>
  <si>
    <t>:</t>
  </si>
  <si>
    <t>change 20/21</t>
  </si>
  <si>
    <r>
      <t>National flag (</t>
    </r>
    <r>
      <rPr>
        <b/>
        <vertAlign val="superscript"/>
        <sz val="8"/>
        <rFont val="Arial"/>
        <family val="2"/>
      </rPr>
      <t>1</t>
    </r>
    <r>
      <rPr>
        <b/>
        <sz val="8"/>
        <rFont val="Arial"/>
        <family val="2"/>
      </rPr>
      <t>)</t>
    </r>
  </si>
  <si>
    <r>
      <t xml:space="preserve">Foreign flag         </t>
    </r>
    <r>
      <rPr>
        <sz val="8"/>
        <rFont val="Arial"/>
        <family val="2"/>
      </rPr>
      <t>(including other EU)</t>
    </r>
  </si>
  <si>
    <r>
      <t>Source</t>
    </r>
    <r>
      <rPr>
        <sz val="8"/>
        <rFont val="Arial"/>
        <family val="2"/>
      </rPr>
      <t>: ISL, based on updates from Clarkson Research Services Limited (CRSL)</t>
    </r>
  </si>
  <si>
    <r>
      <t>(</t>
    </r>
    <r>
      <rPr>
        <b/>
        <vertAlign val="superscript"/>
        <sz val="8"/>
        <rFont val="Arial"/>
        <family val="2"/>
      </rPr>
      <t>1</t>
    </r>
    <r>
      <rPr>
        <b/>
        <sz val="8"/>
        <rFont val="Arial"/>
        <family val="2"/>
      </rPr>
      <t>)</t>
    </r>
    <r>
      <rPr>
        <sz val="8"/>
        <rFont val="Arial"/>
        <family val="2"/>
      </rPr>
      <t xml:space="preserve"> including international registers like NIS and DIS. Including vessels registered at territorial dependencies.</t>
    </r>
  </si>
  <si>
    <t>On January 1st, 2022</t>
  </si>
  <si>
    <r>
      <t>For transport of goods and passengers: fleet by type of ship and country of domicile</t>
    </r>
    <r>
      <rPr>
        <sz val="10"/>
        <rFont val="Arial"/>
        <family val="2"/>
      </rPr>
      <t xml:space="preserve">, numbers and deadweight </t>
    </r>
  </si>
  <si>
    <r>
      <t xml:space="preserve">dwt </t>
    </r>
    <r>
      <rPr>
        <sz val="8"/>
        <rFont val="Arial"/>
        <family val="2"/>
      </rPr>
      <t>(thousand)</t>
    </r>
  </si>
  <si>
    <r>
      <t>For transport of goods and passengers: passenger and passenger / cargo ships by registered flag</t>
    </r>
    <r>
      <rPr>
        <sz val="10"/>
        <rFont val="Arial"/>
        <family val="2"/>
      </rPr>
      <t>, numbers and gross tons</t>
    </r>
  </si>
  <si>
    <r>
      <t xml:space="preserve">gt </t>
    </r>
    <r>
      <rPr>
        <sz val="8"/>
        <rFont val="Arial"/>
        <family val="2"/>
      </rPr>
      <t>(thousand)</t>
    </r>
  </si>
  <si>
    <r>
      <t>Source</t>
    </r>
    <r>
      <rPr>
        <sz val="8"/>
        <rFont val="Arial"/>
        <family val="2"/>
      </rPr>
      <t>: Institute for Shipping Economics and Logistics, Bremen</t>
    </r>
  </si>
  <si>
    <t>As mid 2022  (**)</t>
  </si>
  <si>
    <t>Change 20/21</t>
  </si>
  <si>
    <t>change 21/20 %</t>
  </si>
  <si>
    <t>change 20/21
%</t>
  </si>
  <si>
    <r>
      <t>Source</t>
    </r>
    <r>
      <rPr>
        <sz val="8"/>
        <rFont val="Arial"/>
        <family val="2"/>
      </rPr>
      <t xml:space="preserve">: Eurostat [road_eqs_lorroa, tran_r_vehst], national statistics, estimates </t>
    </r>
    <r>
      <rPr>
        <i/>
        <sz val="8"/>
        <rFont val="Arial"/>
        <family val="2"/>
      </rPr>
      <t>(in italics)</t>
    </r>
  </si>
  <si>
    <r>
      <rPr>
        <b/>
        <sz val="8"/>
        <rFont val="Arial"/>
        <family val="2"/>
      </rPr>
      <t>LV, RO, SK, FI, MK, NO:</t>
    </r>
    <r>
      <rPr>
        <sz val="8"/>
        <rFont val="Arial"/>
        <family val="2"/>
      </rPr>
      <t xml:space="preserve"> figures in italics refer to value of previous year;</t>
    </r>
    <r>
      <rPr>
        <b/>
        <sz val="8"/>
        <rFont val="Arial"/>
        <family val="2"/>
      </rPr>
      <t xml:space="preserve"> BE</t>
    </r>
    <r>
      <rPr>
        <sz val="8"/>
        <rFont val="Arial"/>
        <family val="2"/>
      </rPr>
      <t xml:space="preserve">: 2017 data; </t>
    </r>
    <r>
      <rPr>
        <b/>
        <sz val="8"/>
        <rFont val="Arial"/>
        <family val="2"/>
      </rPr>
      <t>UK</t>
    </r>
    <r>
      <rPr>
        <sz val="8"/>
        <rFont val="Arial"/>
        <family val="2"/>
      </rPr>
      <t>: 2014 data;</t>
    </r>
  </si>
  <si>
    <t>change (total)
21/22 (%)</t>
  </si>
  <si>
    <t>Zero emission vehicles* (thousands)</t>
  </si>
  <si>
    <t>2022 figures are provisional.</t>
  </si>
  <si>
    <t>Light goods vehicles (&lt; 3.5 t)</t>
  </si>
  <si>
    <t>Heavy goods vehicles (&gt;3.5 t)</t>
  </si>
  <si>
    <t>Total goods vehicles</t>
  </si>
  <si>
    <t>of which:                                                      'Lorries &gt; 3.5 t</t>
  </si>
  <si>
    <t xml:space="preserve">Road tractors </t>
  </si>
  <si>
    <t>Busses and coaches</t>
  </si>
  <si>
    <t>Share of zero emission vehicles (%)</t>
  </si>
  <si>
    <r>
      <t xml:space="preserve">* </t>
    </r>
    <r>
      <rPr>
        <sz val="8"/>
        <rFont val="Arial"/>
        <family val="2"/>
      </rPr>
      <t>Zero emission vehicles include battery electric vehicles and fuel cell electric vehicles, powered by hydrogen;</t>
    </r>
  </si>
  <si>
    <t xml:space="preserve">Heavy goods vehicles include lorries &gt; 3.5 t and road tractors. </t>
  </si>
  <si>
    <t>Zero-emission vehicles</t>
  </si>
  <si>
    <t xml:space="preserve"> zero-emission vehicles (%)</t>
  </si>
  <si>
    <t>(1) only the total is available, with no split between light goods vehicles and heavy goods vehicles.</t>
  </si>
  <si>
    <t>20</t>
  </si>
  <si>
    <t>60</t>
  </si>
  <si>
    <t xml:space="preserve">(2) included in Heavy goods vehicles </t>
  </si>
  <si>
    <t xml:space="preserve"> Change (total)'20/21 (%)</t>
  </si>
  <si>
    <r>
      <t>Source</t>
    </r>
    <r>
      <rPr>
        <sz val="8"/>
        <rFont val="Arial"/>
        <family val="2"/>
      </rPr>
      <t xml:space="preserve">: Eurostat since 2013, Association des Constructeurs Européens d'Automobiles (ACEA),  national sources (BG, CY, MT, PL, UK), </t>
    </r>
    <r>
      <rPr>
        <i/>
        <sz val="8"/>
        <rFont val="Arial"/>
        <family val="2"/>
      </rPr>
      <t>estimates (in italics)</t>
    </r>
  </si>
  <si>
    <t>Buses and coaches' includes troleybuses</t>
  </si>
  <si>
    <t>`</t>
  </si>
  <si>
    <r>
      <t xml:space="preserve">Source: </t>
    </r>
    <r>
      <rPr>
        <sz val="8"/>
        <rFont val="Arial"/>
        <family val="2"/>
      </rPr>
      <t>Association des Constructeurs Européens de Motocycles (ACEM), Eurostat (HU, LT, MK, TR, NO), national sources (BG, DK, CY, MT, RO, SE, CH), estimates</t>
    </r>
    <r>
      <rPr>
        <i/>
        <sz val="8"/>
        <rFont val="Arial"/>
        <family val="2"/>
      </rPr>
      <t xml:space="preserve"> (in italics</t>
    </r>
    <r>
      <rPr>
        <b/>
        <sz val="8"/>
        <rFont val="Arial"/>
        <family val="2"/>
      </rPr>
      <t>)</t>
    </r>
  </si>
  <si>
    <r>
      <t>Source</t>
    </r>
    <r>
      <rPr>
        <sz val="8"/>
        <rFont val="Arial"/>
        <family val="2"/>
      </rPr>
      <t xml:space="preserve">: Association des Constructeurs Européens de Motocycles (ACEM), Eurostat (FI, MT, SE, AL,RS, TR), national sources (BG, CY, DK, RO, CH), estimates </t>
    </r>
    <r>
      <rPr>
        <i/>
        <sz val="8"/>
        <rFont val="Arial"/>
        <family val="2"/>
      </rPr>
      <t>(in italics)</t>
    </r>
    <r>
      <rPr>
        <sz val="8"/>
        <rFont val="Arial"/>
        <family val="2"/>
      </rPr>
      <t xml:space="preserve">. </t>
    </r>
  </si>
  <si>
    <t xml:space="preserve">Official statistics on mopeds are often unavailable, therefore data and estimates should be considered as indicative. </t>
  </si>
  <si>
    <r>
      <rPr>
        <b/>
        <sz val="8"/>
        <rFont val="Arial"/>
        <family val="2"/>
      </rPr>
      <t>SI: S</t>
    </r>
    <r>
      <rPr>
        <sz val="8"/>
        <rFont val="Arial"/>
        <family val="2"/>
      </rPr>
      <t xml:space="preserve">ince May 2017 obligatory registration of mopeds with the maximum speed of 25 km/h </t>
    </r>
  </si>
  <si>
    <r>
      <t>Source</t>
    </r>
    <r>
      <rPr>
        <sz val="8"/>
        <rFont val="Arial"/>
        <family val="2"/>
      </rPr>
      <t xml:space="preserve">:  European Alternative Fuel Observatory (EAFO), Eurostat, Association des Constructeurs Européens d'Automobiles (ACEA) for data until 2013; national sources (CY and MT, TR until 2015;  ME, MK, RS all years), estimates </t>
    </r>
    <r>
      <rPr>
        <i/>
        <sz val="8"/>
        <rFont val="Arial"/>
        <family val="2"/>
      </rPr>
      <t>(italics);</t>
    </r>
  </si>
  <si>
    <t>(-2)</t>
  </si>
  <si>
    <t xml:space="preserve">zero-emission vehicles (%)% </t>
  </si>
  <si>
    <t>602</t>
  </si>
  <si>
    <t>Change (total)   20/21   (%)</t>
  </si>
  <si>
    <t>Zero emission vehicles*    (%)</t>
  </si>
  <si>
    <r>
      <t>Source</t>
    </r>
    <r>
      <rPr>
        <sz val="8"/>
        <rFont val="Arial"/>
        <family val="2"/>
      </rPr>
      <t>:  EUROSTAT and EAFO since  2013; ACEA and national sources for data up to 2013 or until column break;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</si>
</sst>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3">
    <numFmt numFmtId="164" formatCode="#,##0.0"/>
    <numFmt numFmtId="165" formatCode="#,##0.000"/>
    <numFmt numFmtId="166" formatCode="0.0"/>
    <numFmt numFmtId="167" formatCode="#\ ##0"/>
    <numFmt numFmtId="168" formatCode="0.000"/>
    <numFmt numFmtId="169" formatCode="0.0%"/>
    <numFmt numFmtId="170" formatCode="#,##0.0\ \ "/>
    <numFmt numFmtId="171" formatCode="#,###,##0"/>
    <numFmt numFmtId="172" formatCode="0.0\ \ \ "/>
    <numFmt numFmtId="173" formatCode="0.00\ "/>
    <numFmt numFmtId="174" formatCode="#,##0\ "/>
    <numFmt numFmtId="175" formatCode="_-* #,##0.00\ _F_t_-;\-* #,##0.00\ _F_t_-;_-* &quot;-&quot;??\ _F_t_-;_-@_-"/>
    <numFmt numFmtId="176" formatCode="#\ ##0.0"/>
    <numFmt numFmtId="177" formatCode="#\ ###\ ###\ ###\ ##0"/>
    <numFmt numFmtId="178" formatCode="#\ ##0.000"/>
    <numFmt numFmtId="179" formatCode="#\ ###\ ##0"/>
    <numFmt numFmtId="180" formatCode="########\ ##0.0"/>
    <numFmt numFmtId="181" formatCode="\(##\);\(##\)"/>
    <numFmt numFmtId="182" formatCode="##############\ ##0.0"/>
    <numFmt numFmtId="183" formatCode="####\ ##0.0"/>
    <numFmt numFmtId="184" formatCode="_-* #,##0.00\ _k_r_-;\-* #,##0.00\ _k_r_-;_-* &quot;-&quot;??\ _k_r_-;_-@_-"/>
    <numFmt numFmtId="185" formatCode="######\ ##0.0"/>
    <numFmt numFmtId="186" formatCode="##0\ "/>
  </numFmts>
  <fonts count="100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b/>
      <sz val="8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i/>
      <sz val="8"/>
      <name val="Arial"/>
      <family val="2"/>
    </font>
    <font>
      <b/>
      <i/>
      <sz val="8"/>
      <name val="Arial"/>
      <family val="2"/>
    </font>
    <font>
      <b/>
      <sz val="10"/>
      <color indexed="18"/>
      <name val="Arial"/>
      <family val="2"/>
    </font>
    <font>
      <b/>
      <sz val="10"/>
      <color indexed="8"/>
      <name val="Arial"/>
      <family val="2"/>
    </font>
    <font>
      <b/>
      <sz val="7"/>
      <name val="Arial"/>
      <family val="2"/>
    </font>
    <font>
      <b/>
      <sz val="16"/>
      <name val="Arial"/>
      <family val="2"/>
    </font>
    <font>
      <sz val="9"/>
      <name val="Arial"/>
      <family val="2"/>
    </font>
    <font>
      <sz val="8"/>
      <color indexed="8"/>
      <name val="Arial"/>
      <family val="2"/>
    </font>
    <font>
      <sz val="10"/>
      <name val="Times"/>
      <family val="1"/>
    </font>
    <font>
      <b/>
      <sz val="10"/>
      <name val="Times"/>
      <family val="1"/>
    </font>
    <font>
      <b/>
      <sz val="8"/>
      <name val="Times"/>
      <family val="1"/>
    </font>
    <font>
      <b/>
      <sz val="10"/>
      <name val="Times"/>
      <family val="1"/>
    </font>
    <font>
      <b/>
      <i/>
      <sz val="10"/>
      <name val="Times"/>
      <family val="1"/>
    </font>
    <font>
      <sz val="8"/>
      <name val="Times"/>
      <family val="1"/>
    </font>
    <font>
      <i/>
      <sz val="8"/>
      <name val="Times"/>
      <family val="1"/>
    </font>
    <font>
      <sz val="8"/>
      <color indexed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2"/>
      <color indexed="10"/>
      <name val="Arial"/>
      <family val="2"/>
    </font>
    <font>
      <sz val="10"/>
      <color indexed="10"/>
      <name val="Arial"/>
      <family val="2"/>
    </font>
    <font>
      <sz val="11"/>
      <name val="Arial"/>
      <family val="2"/>
    </font>
    <font>
      <sz val="10"/>
      <name val="MS Sans Serif"/>
      <family val="2"/>
    </font>
    <font>
      <sz val="10"/>
      <name val="Times New Roman CE"/>
      <charset val="238"/>
    </font>
    <font>
      <sz val="11"/>
      <name val="Arial"/>
      <family val="2"/>
    </font>
    <font>
      <sz val="10"/>
      <color indexed="8"/>
      <name val="Arial"/>
      <family val="2"/>
    </font>
    <font>
      <b/>
      <sz val="6"/>
      <color indexed="18"/>
      <name val="Arial"/>
      <family val="2"/>
    </font>
    <font>
      <b/>
      <sz val="8"/>
      <color indexed="8"/>
      <name val="Arial"/>
      <family val="2"/>
    </font>
    <font>
      <i/>
      <sz val="9"/>
      <color indexed="8"/>
      <name val="Arial"/>
      <family val="2"/>
    </font>
    <font>
      <b/>
      <sz val="10"/>
      <color indexed="37"/>
      <name val="Arial"/>
      <family val="2"/>
    </font>
    <font>
      <b/>
      <sz val="12"/>
      <color indexed="8"/>
      <name val="Arial"/>
      <family val="2"/>
    </font>
    <font>
      <b/>
      <i/>
      <sz val="12"/>
      <color indexed="10"/>
      <name val="Arial"/>
      <family val="2"/>
    </font>
    <font>
      <b/>
      <u/>
      <sz val="10"/>
      <color indexed="9"/>
      <name val="Arial"/>
      <family val="2"/>
    </font>
    <font>
      <b/>
      <i/>
      <sz val="10"/>
      <color indexed="18"/>
      <name val="Arial"/>
      <family val="2"/>
    </font>
    <font>
      <b/>
      <i/>
      <sz val="10"/>
      <color indexed="8"/>
      <name val="Arial"/>
      <family val="2"/>
    </font>
    <font>
      <sz val="10"/>
      <name val="Arial"/>
      <family val="2"/>
    </font>
    <font>
      <b/>
      <sz val="12"/>
      <name val="Times New Roman"/>
      <family val="1"/>
    </font>
    <font>
      <i/>
      <sz val="8"/>
      <color indexed="38"/>
      <name val="Arial"/>
      <family val="2"/>
    </font>
    <font>
      <sz val="10"/>
      <color indexed="56"/>
      <name val="Arial"/>
      <family val="2"/>
    </font>
    <font>
      <b/>
      <vertAlign val="superscript"/>
      <sz val="12"/>
      <color indexed="54"/>
      <name val="Arial"/>
      <family val="2"/>
    </font>
    <font>
      <sz val="10"/>
      <color indexed="54"/>
      <name val="Arial"/>
      <family val="2"/>
    </font>
    <font>
      <b/>
      <sz val="10"/>
      <color indexed="56"/>
      <name val="Arial"/>
      <family val="2"/>
    </font>
    <font>
      <i/>
      <sz val="8"/>
      <color indexed="57"/>
      <name val="Arial"/>
      <family val="2"/>
    </font>
    <font>
      <b/>
      <sz val="10"/>
      <color indexed="8"/>
      <name val="Arial"/>
      <family val="2"/>
    </font>
    <font>
      <sz val="11"/>
      <color indexed="9"/>
      <name val="Calibri"/>
      <family val="2"/>
    </font>
    <font>
      <i/>
      <sz val="8"/>
      <color indexed="38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u/>
      <sz val="10"/>
      <color indexed="36"/>
      <name val="Arial"/>
      <family val="2"/>
    </font>
    <font>
      <b/>
      <i/>
      <u/>
      <sz val="10"/>
      <name val="Arial"/>
      <family val="2"/>
    </font>
    <font>
      <sz val="11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u/>
      <sz val="10"/>
      <color theme="10"/>
      <name val="Arial"/>
      <family val="2"/>
    </font>
    <font>
      <sz val="11"/>
      <color rgb="FF3F3F76"/>
      <name val="Calibri"/>
      <family val="2"/>
      <scheme val="minor"/>
    </font>
    <font>
      <sz val="10"/>
      <color rgb="FF000000"/>
      <name val="Arial"/>
      <family val="2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indexed="8"/>
      <name val="Calibri"/>
      <family val="2"/>
      <scheme val="minor"/>
    </font>
    <font>
      <sz val="9.5"/>
      <color rgb="FF000000"/>
      <name val="Albany AMT"/>
    </font>
    <font>
      <sz val="10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333333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 Greek"/>
      <charset val="161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i/>
      <sz val="8"/>
      <color theme="1"/>
      <name val="Arial"/>
      <family val="2"/>
    </font>
    <font>
      <sz val="10"/>
      <name val="Arial"/>
      <family val="2"/>
      <charset val="204"/>
    </font>
    <font>
      <b/>
      <vertAlign val="superscript"/>
      <sz val="8"/>
      <name val="Arial"/>
      <family val="2"/>
    </font>
    <font>
      <sz val="8"/>
      <color rgb="FFC00000"/>
      <name val="Arial"/>
      <family val="2"/>
    </font>
    <font>
      <sz val="11"/>
      <name val="Calibri"/>
      <family val="2"/>
      <scheme val="minor"/>
    </font>
  </fonts>
  <fills count="57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36"/>
      </patternFill>
    </fill>
    <fill>
      <patternFill patternType="solid">
        <fgColor indexed="53"/>
      </patternFill>
    </fill>
    <fill>
      <patternFill patternType="solid">
        <fgColor indexed="43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4"/>
        <bgColor indexed="64"/>
      </patternFill>
    </fill>
    <fill>
      <patternFill patternType="lightGray">
        <fgColor indexed="9"/>
      </patternFill>
    </fill>
    <fill>
      <patternFill patternType="solid">
        <fgColor indexed="49"/>
        <bgColor indexed="64"/>
      </patternFill>
    </fill>
    <fill>
      <patternFill patternType="solid">
        <fgColor indexed="20"/>
        <bgColor indexed="64"/>
      </patternFill>
    </fill>
    <fill>
      <patternFill patternType="gray0625">
        <fgColor indexed="9"/>
      </patternFill>
    </fill>
    <fill>
      <patternFill patternType="gray0625">
        <fgColor indexed="9"/>
        <bgColor indexed="9"/>
      </patternFill>
    </fill>
    <fill>
      <patternFill patternType="solid">
        <fgColor indexed="9"/>
        <bgColor indexed="9"/>
      </patternFill>
    </fill>
    <fill>
      <patternFill patternType="lightGray">
        <fgColor indexed="13"/>
      </patternFill>
    </fill>
    <fill>
      <patternFill patternType="gray125">
        <fgColor indexed="9"/>
        <bgColor indexed="9"/>
      </patternFill>
    </fill>
    <fill>
      <patternFill patternType="lightGray">
        <fgColor indexed="9"/>
        <bgColor indexed="9"/>
      </patternFill>
    </fill>
    <fill>
      <patternFill patternType="lightGray">
        <fgColor indexed="22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FFFF"/>
        <bgColor rgb="FFFFFFFF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CCFFCC"/>
        <bgColor indexed="64"/>
      </patternFill>
    </fill>
    <fill>
      <patternFill patternType="solid">
        <fgColor theme="0"/>
        <bgColor indexed="64"/>
      </patternFill>
    </fill>
  </fills>
  <borders count="63">
    <border>
      <left/>
      <right/>
      <top/>
      <bottom/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56"/>
      </left>
      <right style="thin">
        <color indexed="56"/>
      </right>
      <top style="thin">
        <color indexed="56"/>
      </top>
      <bottom style="thin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ck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154">
    <xf numFmtId="0" fontId="0" fillId="0" borderId="0"/>
    <xf numFmtId="0" fontId="65" fillId="23" borderId="0" applyNumberFormat="0" applyBorder="0" applyAlignment="0" applyProtection="0"/>
    <xf numFmtId="0" fontId="65" fillId="23" borderId="0" applyNumberFormat="0" applyBorder="0" applyAlignment="0" applyProtection="0"/>
    <xf numFmtId="0" fontId="65" fillId="24" borderId="0" applyNumberFormat="0" applyBorder="0" applyAlignment="0" applyProtection="0"/>
    <xf numFmtId="0" fontId="65" fillId="25" borderId="0" applyNumberFormat="0" applyBorder="0" applyAlignment="0" applyProtection="0"/>
    <xf numFmtId="0" fontId="65" fillId="26" borderId="0" applyNumberFormat="0" applyBorder="0" applyAlignment="0" applyProtection="0"/>
    <xf numFmtId="0" fontId="65" fillId="27" borderId="0" applyNumberFormat="0" applyBorder="0" applyAlignment="0" applyProtection="0"/>
    <xf numFmtId="0" fontId="65" fillId="28" borderId="0" applyNumberFormat="0" applyBorder="0" applyAlignment="0" applyProtection="0"/>
    <xf numFmtId="0" fontId="65" fillId="29" borderId="0" applyNumberFormat="0" applyBorder="0" applyAlignment="0" applyProtection="0"/>
    <xf numFmtId="0" fontId="65" fillId="30" borderId="0" applyNumberFormat="0" applyBorder="0" applyAlignment="0" applyProtection="0"/>
    <xf numFmtId="0" fontId="65" fillId="31" borderId="0" applyNumberFormat="0" applyBorder="0" applyAlignment="0" applyProtection="0"/>
    <xf numFmtId="0" fontId="65" fillId="32" borderId="0" applyNumberFormat="0" applyBorder="0" applyAlignment="0" applyProtection="0"/>
    <xf numFmtId="0" fontId="65" fillId="33" borderId="0" applyNumberFormat="0" applyBorder="0" applyAlignment="0" applyProtection="0"/>
    <xf numFmtId="0" fontId="65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36" borderId="0" applyNumberFormat="0" applyBorder="0" applyAlignment="0" applyProtection="0"/>
    <xf numFmtId="0" fontId="66" fillId="37" borderId="0" applyNumberFormat="0" applyBorder="0" applyAlignment="0" applyProtection="0"/>
    <xf numFmtId="0" fontId="66" fillId="38" borderId="0" applyNumberFormat="0" applyBorder="0" applyAlignment="0" applyProtection="0"/>
    <xf numFmtId="0" fontId="66" fillId="39" borderId="0" applyNumberFormat="0" applyBorder="0" applyAlignment="0" applyProtection="0"/>
    <xf numFmtId="0" fontId="66" fillId="40" borderId="0" applyNumberFormat="0" applyBorder="0" applyAlignment="0" applyProtection="0"/>
    <xf numFmtId="0" fontId="66" fillId="41" borderId="0" applyNumberFormat="0" applyBorder="0" applyAlignment="0" applyProtection="0"/>
    <xf numFmtId="0" fontId="58" fillId="3" borderId="0" applyNumberFormat="0" applyBorder="0" applyAlignment="0" applyProtection="0"/>
    <xf numFmtId="0" fontId="66" fillId="42" borderId="0" applyNumberFormat="0" applyBorder="0" applyAlignment="0" applyProtection="0"/>
    <xf numFmtId="0" fontId="58" fillId="4" borderId="0" applyNumberFormat="0" applyBorder="0" applyAlignment="0" applyProtection="0"/>
    <xf numFmtId="0" fontId="66" fillId="43" borderId="0" applyNumberFormat="0" applyBorder="0" applyAlignment="0" applyProtection="0"/>
    <xf numFmtId="0" fontId="58" fillId="5" borderId="0" applyNumberFormat="0" applyBorder="0" applyAlignment="0" applyProtection="0"/>
    <xf numFmtId="0" fontId="66" fillId="44" borderId="0" applyNumberFormat="0" applyBorder="0" applyAlignment="0" applyProtection="0"/>
    <xf numFmtId="0" fontId="58" fillId="6" borderId="0" applyNumberFormat="0" applyBorder="0" applyAlignment="0" applyProtection="0"/>
    <xf numFmtId="0" fontId="66" fillId="45" borderId="0" applyNumberFormat="0" applyBorder="0" applyAlignment="0" applyProtection="0"/>
    <xf numFmtId="0" fontId="58" fillId="2" borderId="0" applyNumberFormat="0" applyBorder="0" applyAlignment="0" applyProtection="0"/>
    <xf numFmtId="0" fontId="66" fillId="46" borderId="0" applyNumberFormat="0" applyBorder="0" applyAlignment="0" applyProtection="0"/>
    <xf numFmtId="0" fontId="58" fillId="7" borderId="0" applyNumberFormat="0" applyBorder="0" applyAlignment="0" applyProtection="0"/>
    <xf numFmtId="0" fontId="67" fillId="47" borderId="0" applyNumberFormat="0" applyBorder="0" applyAlignment="0" applyProtection="0"/>
    <xf numFmtId="0" fontId="68" fillId="48" borderId="43" applyNumberFormat="0" applyAlignment="0" applyProtection="0"/>
    <xf numFmtId="0" fontId="4" fillId="8" borderId="0">
      <protection locked="0"/>
    </xf>
    <xf numFmtId="0" fontId="69" fillId="49" borderId="44" applyNumberFormat="0" applyAlignment="0" applyProtection="0"/>
    <xf numFmtId="49" fontId="4" fillId="9" borderId="1">
      <alignment vertical="top" wrapText="1"/>
    </xf>
    <xf numFmtId="0" fontId="4" fillId="10" borderId="2">
      <alignment horizontal="center" vertical="center"/>
      <protection locked="0"/>
    </xf>
    <xf numFmtId="175" fontId="37" fillId="0" borderId="0" applyFont="0" applyFill="0" applyBorder="0" applyAlignment="0" applyProtection="0"/>
    <xf numFmtId="184" fontId="4" fillId="0" borderId="0" applyFont="0" applyFill="0" applyBorder="0" applyAlignment="0" applyProtection="0"/>
    <xf numFmtId="49" fontId="49" fillId="0" borderId="0">
      <alignment vertical="top" wrapText="1"/>
    </xf>
    <xf numFmtId="171" fontId="39" fillId="11" borderId="0" applyNumberFormat="0" applyBorder="0">
      <protection locked="0"/>
    </xf>
    <xf numFmtId="3" fontId="52" fillId="0" borderId="1">
      <alignment horizontal="right" vertical="top"/>
    </xf>
    <xf numFmtId="164" fontId="52" fillId="0" borderId="3"/>
    <xf numFmtId="164" fontId="55" fillId="0" borderId="3"/>
    <xf numFmtId="0" fontId="13" fillId="12" borderId="4">
      <alignment horizontal="centerContinuous" vertical="top" wrapText="1"/>
    </xf>
    <xf numFmtId="0" fontId="56" fillId="0" borderId="0">
      <alignment horizontal="left" vertical="top"/>
    </xf>
    <xf numFmtId="0" fontId="70" fillId="0" borderId="0" applyNumberFormat="0" applyFill="0" applyBorder="0" applyAlignment="0" applyProtection="0"/>
    <xf numFmtId="0" fontId="4" fillId="13" borderId="0">
      <protection locked="0"/>
    </xf>
    <xf numFmtId="0" fontId="13" fillId="10" borderId="0">
      <alignment vertical="center"/>
      <protection locked="0"/>
    </xf>
    <xf numFmtId="0" fontId="62" fillId="0" borderId="0" applyNumberFormat="0" applyFill="0" applyBorder="0" applyAlignment="0" applyProtection="0">
      <alignment vertical="top"/>
      <protection locked="0"/>
    </xf>
    <xf numFmtId="0" fontId="13" fillId="0" borderId="0">
      <protection locked="0"/>
    </xf>
    <xf numFmtId="0" fontId="71" fillId="50" borderId="0" applyNumberFormat="0" applyBorder="0" applyAlignment="0" applyProtection="0"/>
    <xf numFmtId="0" fontId="6" fillId="0" borderId="0">
      <protection locked="0"/>
    </xf>
    <xf numFmtId="0" fontId="72" fillId="0" borderId="45" applyNumberFormat="0" applyFill="0" applyAlignment="0" applyProtection="0"/>
    <xf numFmtId="0" fontId="73" fillId="0" borderId="46" applyNumberFormat="0" applyFill="0" applyAlignment="0" applyProtection="0"/>
    <xf numFmtId="0" fontId="74" fillId="0" borderId="47" applyNumberFormat="0" applyFill="0" applyAlignment="0" applyProtection="0"/>
    <xf numFmtId="0" fontId="74" fillId="0" borderId="0" applyNumberFormat="0" applyFill="0" applyBorder="0" applyAlignment="0" applyProtection="0"/>
    <xf numFmtId="0" fontId="60" fillId="0" borderId="0" applyNumberFormat="0" applyFill="0" applyBorder="0" applyAlignment="0" applyProtection="0">
      <alignment vertical="top"/>
      <protection locked="0"/>
    </xf>
    <xf numFmtId="0" fontId="75" fillId="0" borderId="0" applyNumberFormat="0" applyFill="0" applyBorder="0" applyAlignment="0" applyProtection="0"/>
    <xf numFmtId="0" fontId="60" fillId="0" borderId="0" applyNumberFormat="0" applyFill="0" applyBorder="0" applyAlignment="0" applyProtection="0">
      <alignment vertical="top"/>
      <protection locked="0"/>
    </xf>
    <xf numFmtId="0" fontId="75" fillId="0" borderId="0" applyNumberFormat="0" applyFill="0" applyBorder="0" applyAlignment="0" applyProtection="0">
      <alignment vertical="top"/>
      <protection locked="0"/>
    </xf>
    <xf numFmtId="171" fontId="40" fillId="14" borderId="0" applyNumberFormat="0" applyBorder="0">
      <alignment horizontal="left"/>
      <protection locked="0"/>
    </xf>
    <xf numFmtId="0" fontId="76" fillId="51" borderId="43" applyNumberFormat="0" applyAlignment="0" applyProtection="0"/>
    <xf numFmtId="171" fontId="39" fillId="15" borderId="0" applyNumberFormat="0" applyBorder="0">
      <alignment horizontal="right"/>
      <protection locked="0"/>
    </xf>
    <xf numFmtId="171" fontId="77" fillId="52" borderId="0" applyNumberFormat="0" applyBorder="0">
      <alignment horizontal="right"/>
      <protection locked="0"/>
    </xf>
    <xf numFmtId="0" fontId="50" fillId="0" borderId="0"/>
    <xf numFmtId="0" fontId="78" fillId="0" borderId="48" applyNumberFormat="0" applyFill="0" applyAlignment="0" applyProtection="0"/>
    <xf numFmtId="171" fontId="41" fillId="15" borderId="0" applyNumberFormat="0" applyBorder="0">
      <alignment horizontal="right"/>
      <protection locked="0"/>
    </xf>
    <xf numFmtId="171" fontId="42" fillId="15" borderId="0" applyNumberFormat="0" applyBorder="0">
      <alignment horizontal="right"/>
      <protection locked="0"/>
    </xf>
    <xf numFmtId="0" fontId="79" fillId="53" borderId="0" applyNumberFormat="0" applyBorder="0" applyAlignment="0" applyProtection="0"/>
    <xf numFmtId="0" fontId="80" fillId="0" borderId="0"/>
    <xf numFmtId="0" fontId="81" fillId="0" borderId="0"/>
    <xf numFmtId="0" fontId="64" fillId="0" borderId="0"/>
    <xf numFmtId="0" fontId="65" fillId="0" borderId="0"/>
    <xf numFmtId="0" fontId="35" fillId="0" borderId="0"/>
    <xf numFmtId="0" fontId="4" fillId="0" borderId="0"/>
    <xf numFmtId="0" fontId="49" fillId="0" borderId="0"/>
    <xf numFmtId="0" fontId="4" fillId="0" borderId="0" applyFill="0"/>
    <xf numFmtId="0" fontId="61" fillId="0" borderId="0"/>
    <xf numFmtId="0" fontId="4" fillId="0" borderId="0"/>
    <xf numFmtId="0" fontId="65" fillId="0" borderId="0"/>
    <xf numFmtId="0" fontId="65" fillId="0" borderId="0"/>
    <xf numFmtId="0" fontId="65" fillId="0" borderId="0"/>
    <xf numFmtId="0" fontId="4" fillId="0" borderId="0" applyNumberFormat="0"/>
    <xf numFmtId="0" fontId="36" fillId="0" borderId="0"/>
    <xf numFmtId="0" fontId="82" fillId="0" borderId="0"/>
    <xf numFmtId="0" fontId="37" fillId="0" borderId="0"/>
    <xf numFmtId="0" fontId="38" fillId="0" borderId="0"/>
    <xf numFmtId="0" fontId="35" fillId="0" borderId="0"/>
    <xf numFmtId="0" fontId="39" fillId="0" borderId="0"/>
    <xf numFmtId="0" fontId="4" fillId="0" borderId="0">
      <protection locked="0"/>
    </xf>
    <xf numFmtId="0" fontId="7" fillId="0" borderId="0"/>
    <xf numFmtId="0" fontId="4" fillId="0" borderId="0"/>
    <xf numFmtId="0" fontId="54" fillId="0" borderId="0">
      <alignment vertical="top"/>
    </xf>
    <xf numFmtId="0" fontId="4" fillId="54" borderId="49" applyNumberFormat="0" applyFont="0" applyAlignment="0" applyProtection="0"/>
    <xf numFmtId="0" fontId="65" fillId="54" borderId="49" applyNumberFormat="0" applyFont="0" applyAlignment="0" applyProtection="0"/>
    <xf numFmtId="0" fontId="14" fillId="0" borderId="0"/>
    <xf numFmtId="181" fontId="53" fillId="0" borderId="0">
      <alignment horizontal="right"/>
    </xf>
    <xf numFmtId="0" fontId="83" fillId="48" borderId="50" applyNumberFormat="0" applyAlignment="0" applyProtection="0"/>
    <xf numFmtId="9" fontId="4" fillId="0" borderId="0" applyFont="0" applyFill="0" applyBorder="0" applyAlignment="0" applyProtection="0"/>
    <xf numFmtId="9" fontId="4" fillId="0" borderId="0" applyFill="0" applyBorder="0" applyAlignment="0" applyProtection="0"/>
    <xf numFmtId="0" fontId="63" fillId="0" borderId="0" applyNumberFormat="0" applyFill="0" applyBorder="0" applyAlignment="0" applyProtection="0"/>
    <xf numFmtId="0" fontId="4" fillId="10" borderId="5">
      <alignment vertical="center"/>
      <protection locked="0"/>
    </xf>
    <xf numFmtId="0" fontId="51" fillId="0" borderId="0">
      <alignment vertical="top" wrapText="1"/>
    </xf>
    <xf numFmtId="0" fontId="59" fillId="0" borderId="0">
      <alignment vertical="top" wrapText="1"/>
    </xf>
    <xf numFmtId="0" fontId="9" fillId="0" borderId="0"/>
    <xf numFmtId="0" fontId="4" fillId="8" borderId="0">
      <protection locked="0"/>
    </xf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171" fontId="43" fillId="17" borderId="0" applyNumberFormat="0" applyBorder="0">
      <alignment horizontal="center"/>
      <protection locked="0"/>
    </xf>
    <xf numFmtId="171" fontId="18" fillId="15" borderId="0" applyNumberFormat="0" applyBorder="0">
      <alignment horizontal="left"/>
      <protection locked="0"/>
    </xf>
    <xf numFmtId="171" fontId="77" fillId="52" borderId="0" applyNumberFormat="0" applyBorder="0">
      <alignment horizontal="left"/>
      <protection locked="0"/>
    </xf>
    <xf numFmtId="171" fontId="44" fillId="11" borderId="0" applyNumberFormat="0" applyBorder="0">
      <alignment horizontal="center"/>
      <protection locked="0"/>
    </xf>
    <xf numFmtId="171" fontId="44" fillId="15" borderId="0" applyNumberFormat="0" applyBorder="0">
      <alignment horizontal="left"/>
      <protection locked="0"/>
    </xf>
    <xf numFmtId="0" fontId="17" fillId="11" borderId="0" applyNumberFormat="0" applyBorder="0">
      <protection locked="0"/>
    </xf>
    <xf numFmtId="171" fontId="17" fillId="11" borderId="0" applyNumberFormat="0" applyBorder="0">
      <protection locked="0"/>
    </xf>
    <xf numFmtId="171" fontId="18" fillId="16" borderId="0" applyNumberFormat="0" applyBorder="0">
      <alignment horizontal="left"/>
      <protection locked="0"/>
    </xf>
    <xf numFmtId="171" fontId="77" fillId="52" borderId="0" applyNumberFormat="0" applyBorder="0">
      <alignment horizontal="left"/>
      <protection locked="0"/>
    </xf>
    <xf numFmtId="171" fontId="45" fillId="11" borderId="0" applyNumberFormat="0" applyBorder="0">
      <protection locked="0"/>
    </xf>
    <xf numFmtId="0" fontId="85" fillId="0" borderId="51" applyNumberFormat="0" applyFill="0" applyAlignment="0" applyProtection="0"/>
    <xf numFmtId="171" fontId="18" fillId="18" borderId="0" applyNumberFormat="0" applyBorder="0">
      <alignment horizontal="right"/>
      <protection locked="0"/>
    </xf>
    <xf numFmtId="171" fontId="57" fillId="18" borderId="0" applyNumberFormat="0" applyBorder="0">
      <protection locked="0"/>
    </xf>
    <xf numFmtId="171" fontId="18" fillId="18" borderId="0" applyNumberFormat="0" applyBorder="0">
      <protection locked="0"/>
    </xf>
    <xf numFmtId="0" fontId="18" fillId="14" borderId="0" applyNumberFormat="0" applyBorder="0">
      <protection locked="0"/>
    </xf>
    <xf numFmtId="171" fontId="46" fillId="19" borderId="0" applyNumberFormat="0" applyBorder="0">
      <protection locked="0"/>
    </xf>
    <xf numFmtId="171" fontId="47" fillId="19" borderId="0" applyNumberFormat="0" applyBorder="0">
      <protection locked="0"/>
    </xf>
    <xf numFmtId="171" fontId="18" fillId="15" borderId="0" applyNumberFormat="0" applyBorder="0">
      <protection locked="0"/>
    </xf>
    <xf numFmtId="171" fontId="18" fillId="15" borderId="0" applyNumberFormat="0" applyBorder="0">
      <protection locked="0"/>
    </xf>
    <xf numFmtId="171" fontId="18" fillId="15" borderId="0" applyNumberFormat="0" applyBorder="0">
      <protection locked="0"/>
    </xf>
    <xf numFmtId="171" fontId="18" fillId="14" borderId="0" applyNumberFormat="0" applyBorder="0">
      <protection locked="0"/>
    </xf>
    <xf numFmtId="171" fontId="48" fillId="20" borderId="0" applyNumberFormat="0" applyBorder="0">
      <protection locked="0"/>
    </xf>
    <xf numFmtId="184" fontId="4" fillId="0" borderId="0" applyFont="0" applyFill="0" applyBorder="0" applyAlignment="0" applyProtection="0"/>
    <xf numFmtId="38" fontId="36" fillId="0" borderId="0" applyFont="0" applyFill="0" applyBorder="0" applyAlignment="0" applyProtection="0"/>
    <xf numFmtId="40" fontId="36" fillId="0" borderId="0" applyFont="0" applyFill="0" applyBorder="0" applyAlignment="0" applyProtection="0"/>
    <xf numFmtId="0" fontId="86" fillId="0" borderId="0" applyNumberFormat="0" applyFill="0" applyBorder="0" applyAlignment="0" applyProtection="0"/>
    <xf numFmtId="0" fontId="92" fillId="0" borderId="0"/>
    <xf numFmtId="0" fontId="3" fillId="27" borderId="0" applyNumberFormat="0" applyBorder="0" applyAlignment="0" applyProtection="0"/>
    <xf numFmtId="0" fontId="2" fillId="0" borderId="0"/>
    <xf numFmtId="0" fontId="2" fillId="54" borderId="49" applyNumberFormat="0" applyFont="0" applyAlignment="0" applyProtection="0"/>
    <xf numFmtId="0" fontId="2" fillId="23" borderId="0" applyNumberFormat="0" applyBorder="0" applyAlignment="0" applyProtection="0"/>
    <xf numFmtId="0" fontId="2" fillId="29" borderId="0" applyNumberFormat="0" applyBorder="0" applyAlignment="0" applyProtection="0"/>
    <xf numFmtId="0" fontId="2" fillId="24" borderId="0" applyNumberFormat="0" applyBorder="0" applyAlignment="0" applyProtection="0"/>
    <xf numFmtId="0" fontId="2" fillId="30" borderId="0" applyNumberFormat="0" applyBorder="0" applyAlignment="0" applyProtection="0"/>
    <xf numFmtId="0" fontId="2" fillId="25" borderId="0" applyNumberFormat="0" applyBorder="0" applyAlignment="0" applyProtection="0"/>
    <xf numFmtId="0" fontId="2" fillId="31" borderId="0" applyNumberFormat="0" applyBorder="0" applyAlignment="0" applyProtection="0"/>
    <xf numFmtId="0" fontId="2" fillId="26" borderId="0" applyNumberFormat="0" applyBorder="0" applyAlignment="0" applyProtection="0"/>
    <xf numFmtId="0" fontId="2" fillId="32" borderId="0" applyNumberFormat="0" applyBorder="0" applyAlignment="0" applyProtection="0"/>
    <xf numFmtId="0" fontId="2" fillId="27" borderId="0" applyNumberFormat="0" applyBorder="0" applyAlignment="0" applyProtection="0"/>
    <xf numFmtId="0" fontId="2" fillId="33" borderId="0" applyNumberFormat="0" applyBorder="0" applyAlignment="0" applyProtection="0"/>
    <xf numFmtId="0" fontId="2" fillId="28" borderId="0" applyNumberFormat="0" applyBorder="0" applyAlignment="0" applyProtection="0"/>
    <xf numFmtId="0" fontId="2" fillId="34" borderId="0" applyNumberFormat="0" applyBorder="0" applyAlignment="0" applyProtection="0"/>
    <xf numFmtId="0" fontId="1" fillId="0" borderId="0"/>
    <xf numFmtId="0" fontId="96" fillId="0" borderId="0"/>
  </cellStyleXfs>
  <cellXfs count="1179">
    <xf numFmtId="0" fontId="0" fillId="0" borderId="0" xfId="0"/>
    <xf numFmtId="0" fontId="7" fillId="0" borderId="0" xfId="0" applyFont="1"/>
    <xf numFmtId="0" fontId="0" fillId="0" borderId="0" xfId="0" applyAlignment="1">
      <alignment horizontal="center"/>
    </xf>
    <xf numFmtId="1" fontId="8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right" vertical="top"/>
    </xf>
    <xf numFmtId="0" fontId="7" fillId="0" borderId="0" xfId="0" applyFont="1" applyAlignment="1">
      <alignment horizontal="center"/>
    </xf>
    <xf numFmtId="0" fontId="8" fillId="0" borderId="6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9" fillId="0" borderId="0" xfId="0" applyFont="1" applyAlignment="1">
      <alignment horizontal="left" vertical="top" wrapText="1"/>
    </xf>
    <xf numFmtId="0" fontId="13" fillId="0" borderId="0" xfId="0" applyFont="1" applyAlignment="1">
      <alignment horizontal="center" vertical="center"/>
    </xf>
    <xf numFmtId="0" fontId="9" fillId="0" borderId="0" xfId="0" applyFont="1"/>
    <xf numFmtId="0" fontId="10" fillId="0" borderId="0" xfId="0" quotePrefix="1" applyFont="1" applyAlignment="1">
      <alignment horizontal="right" vertical="top"/>
    </xf>
    <xf numFmtId="0" fontId="10" fillId="0" borderId="0" xfId="0" applyFont="1" applyAlignment="1">
      <alignment horizontal="center" vertical="center"/>
    </xf>
    <xf numFmtId="0" fontId="9" fillId="0" borderId="0" xfId="0" applyFont="1" applyAlignment="1">
      <alignment horizontal="right" vertical="center"/>
    </xf>
    <xf numFmtId="0" fontId="8" fillId="0" borderId="0" xfId="0" applyFont="1" applyAlignment="1">
      <alignment horizontal="center"/>
    </xf>
    <xf numFmtId="0" fontId="12" fillId="0" borderId="0" xfId="0" applyFont="1"/>
    <xf numFmtId="9" fontId="7" fillId="0" borderId="0" xfId="0" applyNumberFormat="1" applyFont="1" applyAlignment="1">
      <alignment horizontal="center"/>
    </xf>
    <xf numFmtId="1" fontId="7" fillId="0" borderId="0" xfId="0" applyNumberFormat="1" applyFont="1" applyAlignment="1">
      <alignment horizontal="center"/>
    </xf>
    <xf numFmtId="0" fontId="12" fillId="0" borderId="0" xfId="0" applyFont="1" applyAlignment="1">
      <alignment vertical="top" wrapText="1"/>
    </xf>
    <xf numFmtId="0" fontId="10" fillId="0" borderId="0" xfId="0" applyFont="1" applyAlignment="1">
      <alignment horizontal="right" vertical="top"/>
    </xf>
    <xf numFmtId="0" fontId="12" fillId="0" borderId="0" xfId="0" applyFont="1" applyAlignment="1">
      <alignment vertical="top"/>
    </xf>
    <xf numFmtId="9" fontId="10" fillId="0" borderId="0" xfId="0" quotePrefix="1" applyNumberFormat="1" applyFont="1" applyAlignment="1">
      <alignment horizontal="right" vertical="top"/>
    </xf>
    <xf numFmtId="0" fontId="7" fillId="0" borderId="8" xfId="0" applyFont="1" applyBorder="1" applyAlignment="1">
      <alignment horizontal="right" vertical="center"/>
    </xf>
    <xf numFmtId="1" fontId="19" fillId="0" borderId="0" xfId="0" applyNumberFormat="1" applyFont="1" applyAlignment="1">
      <alignment horizontal="right"/>
    </xf>
    <xf numFmtId="0" fontId="15" fillId="0" borderId="0" xfId="0" applyFont="1" applyAlignment="1">
      <alignment horizontal="left"/>
    </xf>
    <xf numFmtId="0" fontId="7" fillId="0" borderId="0" xfId="0" applyFont="1" applyAlignment="1">
      <alignment horizontal="right" vertical="center"/>
    </xf>
    <xf numFmtId="166" fontId="7" fillId="0" borderId="0" xfId="0" applyNumberFormat="1" applyFont="1"/>
    <xf numFmtId="0" fontId="0" fillId="0" borderId="0" xfId="0" applyAlignment="1">
      <alignment vertical="top"/>
    </xf>
    <xf numFmtId="1" fontId="8" fillId="21" borderId="9" xfId="0" applyNumberFormat="1" applyFont="1" applyFill="1" applyBorder="1" applyAlignment="1">
      <alignment horizontal="center" vertical="center"/>
    </xf>
    <xf numFmtId="1" fontId="8" fillId="21" borderId="8" xfId="0" applyNumberFormat="1" applyFont="1" applyFill="1" applyBorder="1" applyAlignment="1">
      <alignment horizontal="center" vertical="center"/>
    </xf>
    <xf numFmtId="1" fontId="8" fillId="21" borderId="10" xfId="0" applyNumberFormat="1" applyFont="1" applyFill="1" applyBorder="1" applyAlignment="1">
      <alignment horizontal="center" vertical="center"/>
    </xf>
    <xf numFmtId="0" fontId="19" fillId="22" borderId="6" xfId="0" applyFont="1" applyFill="1" applyBorder="1" applyAlignment="1">
      <alignment horizontal="center" vertical="center" wrapText="1"/>
    </xf>
    <xf numFmtId="0" fontId="19" fillId="22" borderId="7" xfId="0" applyFont="1" applyFill="1" applyBorder="1" applyAlignment="1">
      <alignment horizontal="center" vertical="center" wrapText="1"/>
    </xf>
    <xf numFmtId="0" fontId="8" fillId="22" borderId="2" xfId="0" applyFont="1" applyFill="1" applyBorder="1" applyAlignment="1">
      <alignment horizontal="center" vertical="center"/>
    </xf>
    <xf numFmtId="0" fontId="8" fillId="22" borderId="6" xfId="0" applyFont="1" applyFill="1" applyBorder="1" applyAlignment="1">
      <alignment horizontal="center" vertical="center"/>
    </xf>
    <xf numFmtId="1" fontId="8" fillId="21" borderId="11" xfId="0" applyNumberFormat="1" applyFont="1" applyFill="1" applyBorder="1" applyAlignment="1">
      <alignment horizontal="center" vertical="center"/>
    </xf>
    <xf numFmtId="1" fontId="8" fillId="21" borderId="5" xfId="0" applyNumberFormat="1" applyFont="1" applyFill="1" applyBorder="1" applyAlignment="1">
      <alignment horizontal="center" vertical="center"/>
    </xf>
    <xf numFmtId="1" fontId="8" fillId="21" borderId="12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vertical="top"/>
    </xf>
    <xf numFmtId="3" fontId="0" fillId="0" borderId="0" xfId="0" applyNumberFormat="1"/>
    <xf numFmtId="0" fontId="8" fillId="22" borderId="13" xfId="0" applyFont="1" applyFill="1" applyBorder="1" applyAlignment="1">
      <alignment horizontal="center" vertical="center"/>
    </xf>
    <xf numFmtId="0" fontId="8" fillId="22" borderId="14" xfId="0" applyFont="1" applyFill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171" fontId="8" fillId="22" borderId="15" xfId="0" applyNumberFormat="1" applyFont="1" applyFill="1" applyBorder="1" applyAlignment="1">
      <alignment horizontal="right" vertical="center"/>
    </xf>
    <xf numFmtId="171" fontId="8" fillId="22" borderId="16" xfId="0" applyNumberFormat="1" applyFont="1" applyFill="1" applyBorder="1" applyAlignment="1">
      <alignment horizontal="right" vertical="center"/>
    </xf>
    <xf numFmtId="171" fontId="7" fillId="0" borderId="15" xfId="0" applyNumberFormat="1" applyFont="1" applyBorder="1" applyAlignment="1">
      <alignment vertical="center"/>
    </xf>
    <xf numFmtId="171" fontId="7" fillId="0" borderId="16" xfId="0" applyNumberFormat="1" applyFont="1" applyBorder="1" applyAlignment="1">
      <alignment vertical="center"/>
    </xf>
    <xf numFmtId="171" fontId="7" fillId="22" borderId="17" xfId="0" applyNumberFormat="1" applyFont="1" applyFill="1" applyBorder="1" applyAlignment="1">
      <alignment vertical="center"/>
    </xf>
    <xf numFmtId="171" fontId="7" fillId="22" borderId="0" xfId="0" applyNumberFormat="1" applyFont="1" applyFill="1" applyAlignment="1">
      <alignment vertical="center"/>
    </xf>
    <xf numFmtId="171" fontId="7" fillId="0" borderId="17" xfId="0" quotePrefix="1" applyNumberFormat="1" applyFont="1" applyBorder="1" applyAlignment="1">
      <alignment horizontal="right" vertical="center"/>
    </xf>
    <xf numFmtId="171" fontId="7" fillId="0" borderId="0" xfId="0" quotePrefix="1" applyNumberFormat="1" applyFont="1" applyAlignment="1">
      <alignment horizontal="right" vertical="center"/>
    </xf>
    <xf numFmtId="171" fontId="7" fillId="0" borderId="0" xfId="0" applyNumberFormat="1" applyFont="1" applyAlignment="1">
      <alignment vertical="center"/>
    </xf>
    <xf numFmtId="171" fontId="7" fillId="0" borderId="17" xfId="0" applyNumberFormat="1" applyFont="1" applyBorder="1" applyAlignment="1">
      <alignment vertical="center"/>
    </xf>
    <xf numFmtId="171" fontId="7" fillId="0" borderId="0" xfId="0" applyNumberFormat="1" applyFont="1" applyAlignment="1">
      <alignment horizontal="right" vertical="center"/>
    </xf>
    <xf numFmtId="171" fontId="7" fillId="0" borderId="17" xfId="0" applyNumberFormat="1" applyFont="1" applyBorder="1" applyAlignment="1">
      <alignment horizontal="right" vertical="center"/>
    </xf>
    <xf numFmtId="0" fontId="4" fillId="0" borderId="0" xfId="0" applyFont="1"/>
    <xf numFmtId="0" fontId="10" fillId="0" borderId="0" xfId="0" applyFont="1" applyAlignment="1">
      <alignment horizontal="center" vertical="top"/>
    </xf>
    <xf numFmtId="0" fontId="13" fillId="0" borderId="0" xfId="0" applyFont="1" applyAlignment="1">
      <alignment horizontal="center" vertical="center" wrapText="1"/>
    </xf>
    <xf numFmtId="1" fontId="8" fillId="21" borderId="0" xfId="0" applyNumberFormat="1" applyFont="1" applyFill="1" applyAlignment="1">
      <alignment horizontal="center" vertical="center"/>
    </xf>
    <xf numFmtId="1" fontId="8" fillId="21" borderId="15" xfId="0" applyNumberFormat="1" applyFont="1" applyFill="1" applyBorder="1" applyAlignment="1">
      <alignment horizontal="center"/>
    </xf>
    <xf numFmtId="1" fontId="8" fillId="21" borderId="16" xfId="0" applyNumberFormat="1" applyFont="1" applyFill="1" applyBorder="1" applyAlignment="1">
      <alignment horizontal="center"/>
    </xf>
    <xf numFmtId="174" fontId="7" fillId="22" borderId="14" xfId="0" applyNumberFormat="1" applyFont="1" applyFill="1" applyBorder="1" applyAlignment="1">
      <alignment horizontal="right" vertical="center"/>
    </xf>
    <xf numFmtId="0" fontId="7" fillId="21" borderId="9" xfId="0" applyFont="1" applyFill="1" applyBorder="1" applyAlignment="1">
      <alignment horizontal="center" vertical="top" wrapText="1"/>
    </xf>
    <xf numFmtId="0" fontId="7" fillId="21" borderId="10" xfId="0" applyFont="1" applyFill="1" applyBorder="1" applyAlignment="1">
      <alignment horizontal="center" vertical="top" wrapText="1"/>
    </xf>
    <xf numFmtId="0" fontId="7" fillId="21" borderId="7" xfId="0" applyFont="1" applyFill="1" applyBorder="1" applyAlignment="1">
      <alignment horizontal="center" vertical="top" wrapText="1"/>
    </xf>
    <xf numFmtId="0" fontId="7" fillId="21" borderId="14" xfId="0" applyFont="1" applyFill="1" applyBorder="1" applyAlignment="1">
      <alignment horizontal="center" vertical="top" wrapText="1"/>
    </xf>
    <xf numFmtId="0" fontId="7" fillId="21" borderId="2" xfId="0" applyFont="1" applyFill="1" applyBorder="1" applyAlignment="1">
      <alignment horizontal="center" vertical="top" wrapText="1"/>
    </xf>
    <xf numFmtId="0" fontId="7" fillId="21" borderId="17" xfId="0" applyFont="1" applyFill="1" applyBorder="1" applyAlignment="1">
      <alignment horizontal="center" vertical="top" wrapText="1"/>
    </xf>
    <xf numFmtId="0" fontId="0" fillId="0" borderId="14" xfId="0" applyBorder="1"/>
    <xf numFmtId="0" fontId="0" fillId="0" borderId="10" xfId="0" applyBorder="1"/>
    <xf numFmtId="1" fontId="8" fillId="21" borderId="6" xfId="0" applyNumberFormat="1" applyFont="1" applyFill="1" applyBorder="1" applyAlignment="1">
      <alignment horizontal="center"/>
    </xf>
    <xf numFmtId="1" fontId="8" fillId="21" borderId="2" xfId="0" applyNumberFormat="1" applyFont="1" applyFill="1" applyBorder="1" applyAlignment="1">
      <alignment horizontal="center" vertical="center"/>
    </xf>
    <xf numFmtId="1" fontId="8" fillId="21" borderId="4" xfId="0" applyNumberFormat="1" applyFont="1" applyFill="1" applyBorder="1" applyAlignment="1">
      <alignment horizontal="center" vertical="center"/>
    </xf>
    <xf numFmtId="0" fontId="23" fillId="0" borderId="0" xfId="0" applyFont="1"/>
    <xf numFmtId="0" fontId="5" fillId="0" borderId="0" xfId="0" applyFont="1" applyAlignment="1">
      <alignment horizontal="center" vertical="center"/>
    </xf>
    <xf numFmtId="0" fontId="24" fillId="0" borderId="0" xfId="0" applyFont="1" applyAlignment="1">
      <alignment horizontal="center"/>
    </xf>
    <xf numFmtId="0" fontId="25" fillId="0" borderId="0" xfId="0" applyFont="1"/>
    <xf numFmtId="17" fontId="6" fillId="0" borderId="0" xfId="0" quotePrefix="1" applyNumberFormat="1" applyFont="1" applyAlignment="1">
      <alignment horizontal="center" vertical="center" wrapText="1"/>
    </xf>
    <xf numFmtId="0" fontId="25" fillId="0" borderId="0" xfId="0" applyFont="1" applyAlignment="1">
      <alignment horizontal="center"/>
    </xf>
    <xf numFmtId="49" fontId="5" fillId="0" borderId="0" xfId="0" applyNumberFormat="1" applyFont="1" applyAlignment="1">
      <alignment horizontal="left" vertical="center"/>
    </xf>
    <xf numFmtId="172" fontId="5" fillId="0" borderId="0" xfId="0" quotePrefix="1" applyNumberFormat="1" applyFont="1" applyAlignment="1">
      <alignment horizontal="left" vertical="center"/>
    </xf>
    <xf numFmtId="0" fontId="26" fillId="0" borderId="0" xfId="0" applyFont="1" applyAlignment="1">
      <alignment horizontal="left" vertical="center"/>
    </xf>
    <xf numFmtId="0" fontId="5" fillId="0" borderId="0" xfId="0" quotePrefix="1" applyFont="1" applyAlignment="1">
      <alignment horizontal="left" vertical="center"/>
    </xf>
    <xf numFmtId="173" fontId="5" fillId="0" borderId="0" xfId="0" quotePrefix="1" applyNumberFormat="1" applyFont="1" applyAlignment="1">
      <alignment horizontal="left" vertical="center"/>
    </xf>
    <xf numFmtId="0" fontId="27" fillId="0" borderId="0" xfId="0" applyFont="1" applyAlignment="1">
      <alignment horizontal="left"/>
    </xf>
    <xf numFmtId="0" fontId="28" fillId="0" borderId="0" xfId="0" applyFont="1" applyAlignment="1">
      <alignment horizontal="left" vertical="center"/>
    </xf>
    <xf numFmtId="0" fontId="29" fillId="0" borderId="0" xfId="0" applyFont="1"/>
    <xf numFmtId="174" fontId="7" fillId="0" borderId="14" xfId="0" applyNumberFormat="1" applyFont="1" applyBorder="1" applyAlignment="1">
      <alignment horizontal="right" vertical="center"/>
    </xf>
    <xf numFmtId="166" fontId="7" fillId="0" borderId="16" xfId="0" applyNumberFormat="1" applyFont="1" applyBorder="1" applyAlignment="1">
      <alignment horizontal="right" vertical="center"/>
    </xf>
    <xf numFmtId="166" fontId="7" fillId="22" borderId="0" xfId="0" applyNumberFormat="1" applyFont="1" applyFill="1" applyAlignment="1">
      <alignment horizontal="right" vertical="center"/>
    </xf>
    <xf numFmtId="166" fontId="7" fillId="0" borderId="0" xfId="0" applyNumberFormat="1" applyFont="1" applyAlignment="1">
      <alignment horizontal="right" vertical="center"/>
    </xf>
    <xf numFmtId="166" fontId="7" fillId="0" borderId="8" xfId="0" applyNumberFormat="1" applyFont="1" applyBorder="1" applyAlignment="1">
      <alignment horizontal="right" vertical="center"/>
    </xf>
    <xf numFmtId="1" fontId="8" fillId="21" borderId="17" xfId="0" applyNumberFormat="1" applyFont="1" applyFill="1" applyBorder="1" applyAlignment="1">
      <alignment horizontal="center" vertical="center"/>
    </xf>
    <xf numFmtId="166" fontId="7" fillId="0" borderId="15" xfId="0" applyNumberFormat="1" applyFont="1" applyBorder="1" applyAlignment="1">
      <alignment horizontal="right" vertical="center"/>
    </xf>
    <xf numFmtId="166" fontId="7" fillId="22" borderId="17" xfId="0" applyNumberFormat="1" applyFont="1" applyFill="1" applyBorder="1" applyAlignment="1">
      <alignment horizontal="right" vertical="center"/>
    </xf>
    <xf numFmtId="166" fontId="7" fillId="0" borderId="17" xfId="0" applyNumberFormat="1" applyFont="1" applyBorder="1" applyAlignment="1">
      <alignment horizontal="right" vertical="center"/>
    </xf>
    <xf numFmtId="166" fontId="0" fillId="0" borderId="0" xfId="0" applyNumberFormat="1"/>
    <xf numFmtId="0" fontId="8" fillId="0" borderId="0" xfId="0" applyFont="1"/>
    <xf numFmtId="0" fontId="10" fillId="0" borderId="0" xfId="0" applyFont="1" applyAlignment="1">
      <alignment horizontal="center"/>
    </xf>
    <xf numFmtId="1" fontId="12" fillId="0" borderId="0" xfId="0" applyNumberFormat="1" applyFont="1" applyAlignment="1">
      <alignment horizontal="center"/>
    </xf>
    <xf numFmtId="9" fontId="12" fillId="0" borderId="0" xfId="0" applyNumberFormat="1" applyFont="1" applyAlignment="1">
      <alignment horizontal="center"/>
    </xf>
    <xf numFmtId="0" fontId="19" fillId="21" borderId="13" xfId="0" applyFont="1" applyFill="1" applyBorder="1" applyAlignment="1">
      <alignment horizontal="center" wrapText="1"/>
    </xf>
    <xf numFmtId="0" fontId="8" fillId="21" borderId="14" xfId="0" applyFont="1" applyFill="1" applyBorder="1" applyAlignment="1">
      <alignment horizontal="center" vertical="top"/>
    </xf>
    <xf numFmtId="0" fontId="8" fillId="55" borderId="6" xfId="0" applyFont="1" applyFill="1" applyBorder="1" applyAlignment="1">
      <alignment horizontal="center" vertical="center"/>
    </xf>
    <xf numFmtId="0" fontId="8" fillId="55" borderId="2" xfId="0" applyFont="1" applyFill="1" applyBorder="1" applyAlignment="1">
      <alignment horizontal="center" vertical="center"/>
    </xf>
    <xf numFmtId="0" fontId="8" fillId="55" borderId="7" xfId="0" applyFont="1" applyFill="1" applyBorder="1" applyAlignment="1">
      <alignment horizontal="center" vertical="center"/>
    </xf>
    <xf numFmtId="167" fontId="7" fillId="0" borderId="2" xfId="0" applyNumberFormat="1" applyFont="1" applyBorder="1" applyAlignment="1">
      <alignment horizontal="right" vertical="center"/>
    </xf>
    <xf numFmtId="167" fontId="7" fillId="55" borderId="2" xfId="0" applyNumberFormat="1" applyFont="1" applyFill="1" applyBorder="1" applyAlignment="1">
      <alignment horizontal="right" vertical="center"/>
    </xf>
    <xf numFmtId="2" fontId="7" fillId="0" borderId="2" xfId="0" applyNumberFormat="1" applyFont="1" applyBorder="1" applyAlignment="1">
      <alignment horizontal="right" vertical="center"/>
    </xf>
    <xf numFmtId="2" fontId="7" fillId="55" borderId="2" xfId="0" applyNumberFormat="1" applyFont="1" applyFill="1" applyBorder="1" applyAlignment="1">
      <alignment horizontal="right" vertical="center"/>
    </xf>
    <xf numFmtId="2" fontId="7" fillId="0" borderId="7" xfId="0" applyNumberFormat="1" applyFont="1" applyBorder="1" applyAlignment="1">
      <alignment horizontal="right" vertical="center"/>
    </xf>
    <xf numFmtId="166" fontId="7" fillId="55" borderId="0" xfId="0" applyNumberFormat="1" applyFont="1" applyFill="1" applyAlignment="1">
      <alignment horizontal="right" vertical="center"/>
    </xf>
    <xf numFmtId="166" fontId="15" fillId="55" borderId="0" xfId="0" applyNumberFormat="1" applyFont="1" applyFill="1" applyAlignment="1">
      <alignment horizontal="right" vertical="center"/>
    </xf>
    <xf numFmtId="166" fontId="7" fillId="55" borderId="14" xfId="0" applyNumberFormat="1" applyFont="1" applyFill="1" applyBorder="1" applyAlignment="1">
      <alignment horizontal="right" vertical="center"/>
    </xf>
    <xf numFmtId="166" fontId="7" fillId="0" borderId="14" xfId="0" applyNumberFormat="1" applyFont="1" applyBorder="1" applyAlignment="1">
      <alignment horizontal="right" vertical="center"/>
    </xf>
    <xf numFmtId="1" fontId="31" fillId="21" borderId="11" xfId="0" applyNumberFormat="1" applyFont="1" applyFill="1" applyBorder="1" applyAlignment="1">
      <alignment horizontal="center" vertical="center"/>
    </xf>
    <xf numFmtId="1" fontId="31" fillId="21" borderId="5" xfId="0" applyNumberFormat="1" applyFont="1" applyFill="1" applyBorder="1" applyAlignment="1">
      <alignment horizontal="center" vertical="center"/>
    </xf>
    <xf numFmtId="166" fontId="8" fillId="22" borderId="15" xfId="0" applyNumberFormat="1" applyFont="1" applyFill="1" applyBorder="1" applyAlignment="1">
      <alignment horizontal="right" vertical="center"/>
    </xf>
    <xf numFmtId="0" fontId="31" fillId="22" borderId="2" xfId="0" applyFont="1" applyFill="1" applyBorder="1" applyAlignment="1">
      <alignment horizontal="center" vertical="center"/>
    </xf>
    <xf numFmtId="0" fontId="31" fillId="0" borderId="6" xfId="0" applyFont="1" applyBorder="1" applyAlignment="1">
      <alignment horizontal="center" vertical="center"/>
    </xf>
    <xf numFmtId="0" fontId="31" fillId="0" borderId="2" xfId="0" applyFont="1" applyBorder="1" applyAlignment="1">
      <alignment horizontal="center" vertical="center"/>
    </xf>
    <xf numFmtId="0" fontId="31" fillId="0" borderId="7" xfId="0" applyFont="1" applyBorder="1" applyAlignment="1">
      <alignment horizontal="center" vertical="center"/>
    </xf>
    <xf numFmtId="166" fontId="7" fillId="0" borderId="10" xfId="0" applyNumberFormat="1" applyFont="1" applyBorder="1" applyAlignment="1">
      <alignment horizontal="right" vertical="center"/>
    </xf>
    <xf numFmtId="0" fontId="8" fillId="21" borderId="0" xfId="0" applyFont="1" applyFill="1" applyAlignment="1">
      <alignment horizontal="center" vertical="center" wrapText="1"/>
    </xf>
    <xf numFmtId="0" fontId="8" fillId="21" borderId="14" xfId="0" applyFont="1" applyFill="1" applyBorder="1" applyAlignment="1">
      <alignment horizontal="center" vertical="center" wrapText="1"/>
    </xf>
    <xf numFmtId="0" fontId="12" fillId="0" borderId="0" xfId="0" applyFont="1" applyAlignment="1">
      <alignment horizontal="center"/>
    </xf>
    <xf numFmtId="0" fontId="33" fillId="0" borderId="0" xfId="0" quotePrefix="1" applyFont="1" applyAlignment="1">
      <alignment horizontal="right" vertical="top"/>
    </xf>
    <xf numFmtId="165" fontId="7" fillId="22" borderId="17" xfId="0" applyNumberFormat="1" applyFont="1" applyFill="1" applyBorder="1" applyAlignment="1">
      <alignment horizontal="right" vertical="center"/>
    </xf>
    <xf numFmtId="0" fontId="34" fillId="0" borderId="0" xfId="0" applyFont="1" applyAlignment="1">
      <alignment horizontal="center"/>
    </xf>
    <xf numFmtId="0" fontId="19" fillId="21" borderId="12" xfId="0" applyFont="1" applyFill="1" applyBorder="1" applyAlignment="1">
      <alignment horizontal="center" wrapText="1"/>
    </xf>
    <xf numFmtId="1" fontId="7" fillId="0" borderId="0" xfId="0" applyNumberFormat="1" applyFont="1" applyAlignment="1">
      <alignment horizontal="center" vertical="center"/>
    </xf>
    <xf numFmtId="165" fontId="8" fillId="22" borderId="15" xfId="0" applyNumberFormat="1" applyFont="1" applyFill="1" applyBorder="1" applyAlignment="1">
      <alignment horizontal="right" vertical="center"/>
    </xf>
    <xf numFmtId="0" fontId="8" fillId="55" borderId="7" xfId="0" applyFont="1" applyFill="1" applyBorder="1" applyAlignment="1">
      <alignment horizontal="center"/>
    </xf>
    <xf numFmtId="0" fontId="7" fillId="21" borderId="17" xfId="0" applyFont="1" applyFill="1" applyBorder="1" applyAlignment="1">
      <alignment horizontal="left" vertical="center"/>
    </xf>
    <xf numFmtId="0" fontId="8" fillId="21" borderId="17" xfId="0" applyFont="1" applyFill="1" applyBorder="1" applyAlignment="1">
      <alignment horizontal="center" vertical="center"/>
    </xf>
    <xf numFmtId="0" fontId="8" fillId="21" borderId="0" xfId="0" applyFont="1" applyFill="1" applyAlignment="1">
      <alignment horizontal="center" vertical="center"/>
    </xf>
    <xf numFmtId="0" fontId="8" fillId="21" borderId="14" xfId="0" applyFont="1" applyFill="1" applyBorder="1" applyAlignment="1">
      <alignment horizontal="center" vertical="center"/>
    </xf>
    <xf numFmtId="0" fontId="8" fillId="22" borderId="6" xfId="0" applyFont="1" applyFill="1" applyBorder="1" applyAlignment="1">
      <alignment horizontal="left" vertical="center"/>
    </xf>
    <xf numFmtId="168" fontId="7" fillId="0" borderId="15" xfId="0" applyNumberFormat="1" applyFont="1" applyBorder="1" applyAlignment="1">
      <alignment horizontal="right" vertical="center"/>
    </xf>
    <xf numFmtId="168" fontId="7" fillId="0" borderId="16" xfId="0" applyNumberFormat="1" applyFont="1" applyBorder="1" applyAlignment="1">
      <alignment vertical="center"/>
    </xf>
    <xf numFmtId="168" fontId="7" fillId="0" borderId="13" xfId="0" applyNumberFormat="1" applyFont="1" applyBorder="1" applyAlignment="1">
      <alignment vertical="center"/>
    </xf>
    <xf numFmtId="0" fontId="8" fillId="0" borderId="2" xfId="0" applyFont="1" applyBorder="1" applyAlignment="1">
      <alignment horizontal="left" vertical="center"/>
    </xf>
    <xf numFmtId="168" fontId="7" fillId="22" borderId="17" xfId="0" applyNumberFormat="1" applyFont="1" applyFill="1" applyBorder="1" applyAlignment="1">
      <alignment horizontal="right" vertical="center"/>
    </xf>
    <xf numFmtId="168" fontId="7" fillId="22" borderId="0" xfId="0" applyNumberFormat="1" applyFont="1" applyFill="1" applyAlignment="1">
      <alignment vertical="center"/>
    </xf>
    <xf numFmtId="168" fontId="7" fillId="22" borderId="14" xfId="0" applyNumberFormat="1" applyFont="1" applyFill="1" applyBorder="1" applyAlignment="1">
      <alignment vertical="center"/>
    </xf>
    <xf numFmtId="0" fontId="8" fillId="22" borderId="2" xfId="0" applyFont="1" applyFill="1" applyBorder="1" applyAlignment="1">
      <alignment horizontal="left" vertical="center"/>
    </xf>
    <xf numFmtId="168" fontId="7" fillId="0" borderId="17" xfId="0" applyNumberFormat="1" applyFont="1" applyBorder="1" applyAlignment="1">
      <alignment horizontal="right" vertical="center"/>
    </xf>
    <xf numFmtId="168" fontId="7" fillId="0" borderId="0" xfId="0" applyNumberFormat="1" applyFont="1" applyAlignment="1">
      <alignment vertical="center"/>
    </xf>
    <xf numFmtId="168" fontId="7" fillId="0" borderId="14" xfId="0" applyNumberFormat="1" applyFont="1" applyBorder="1" applyAlignment="1">
      <alignment vertical="center"/>
    </xf>
    <xf numFmtId="168" fontId="7" fillId="0" borderId="17" xfId="0" applyNumberFormat="1" applyFont="1" applyBorder="1" applyAlignment="1">
      <alignment vertical="center"/>
    </xf>
    <xf numFmtId="165" fontId="8" fillId="22" borderId="12" xfId="0" applyNumberFormat="1" applyFont="1" applyFill="1" applyBorder="1" applyAlignment="1">
      <alignment horizontal="right" vertical="center"/>
    </xf>
    <xf numFmtId="0" fontId="8" fillId="21" borderId="6" xfId="0" applyFont="1" applyFill="1" applyBorder="1" applyAlignment="1">
      <alignment horizontal="center" vertical="center" wrapText="1"/>
    </xf>
    <xf numFmtId="169" fontId="7" fillId="0" borderId="15" xfId="0" applyNumberFormat="1" applyFont="1" applyBorder="1" applyAlignment="1">
      <alignment horizontal="center" vertical="center"/>
    </xf>
    <xf numFmtId="169" fontId="7" fillId="0" borderId="16" xfId="0" applyNumberFormat="1" applyFont="1" applyBorder="1" applyAlignment="1">
      <alignment horizontal="center" vertical="center"/>
    </xf>
    <xf numFmtId="169" fontId="7" fillId="0" borderId="16" xfId="0" applyNumberFormat="1" applyFont="1" applyBorder="1" applyAlignment="1">
      <alignment horizontal="right" vertical="center"/>
    </xf>
    <xf numFmtId="169" fontId="7" fillId="0" borderId="13" xfId="0" applyNumberFormat="1" applyFont="1" applyBorder="1" applyAlignment="1">
      <alignment horizontal="center" vertical="center"/>
    </xf>
    <xf numFmtId="169" fontId="7" fillId="0" borderId="9" xfId="0" applyNumberFormat="1" applyFont="1" applyBorder="1" applyAlignment="1">
      <alignment horizontal="center" vertical="center"/>
    </xf>
    <xf numFmtId="169" fontId="7" fillId="0" borderId="8" xfId="0" applyNumberFormat="1" applyFont="1" applyBorder="1" applyAlignment="1">
      <alignment horizontal="center" vertical="center"/>
    </xf>
    <xf numFmtId="168" fontId="0" fillId="0" borderId="0" xfId="0" applyNumberFormat="1"/>
    <xf numFmtId="0" fontId="8" fillId="22" borderId="4" xfId="0" applyFont="1" applyFill="1" applyBorder="1" applyAlignment="1">
      <alignment horizontal="left" vertical="center" wrapText="1"/>
    </xf>
    <xf numFmtId="0" fontId="8" fillId="21" borderId="18" xfId="0" applyFont="1" applyFill="1" applyBorder="1" applyAlignment="1">
      <alignment horizontal="center" vertical="center" wrapText="1"/>
    </xf>
    <xf numFmtId="0" fontId="8" fillId="21" borderId="19" xfId="0" applyFont="1" applyFill="1" applyBorder="1" applyAlignment="1">
      <alignment horizontal="center" vertical="center" wrapText="1"/>
    </xf>
    <xf numFmtId="0" fontId="8" fillId="21" borderId="20" xfId="0" applyFont="1" applyFill="1" applyBorder="1" applyAlignment="1">
      <alignment horizontal="center" vertical="center" wrapText="1"/>
    </xf>
    <xf numFmtId="174" fontId="7" fillId="0" borderId="13" xfId="0" applyNumberFormat="1" applyFont="1" applyBorder="1" applyAlignment="1">
      <alignment horizontal="right" vertical="center"/>
    </xf>
    <xf numFmtId="0" fontId="7" fillId="0" borderId="0" xfId="0" applyFont="1" applyAlignment="1">
      <alignment horizontal="left" vertical="top" wrapText="1"/>
    </xf>
    <xf numFmtId="0" fontId="8" fillId="0" borderId="0" xfId="0" applyFont="1" applyAlignment="1">
      <alignment horizontal="left"/>
    </xf>
    <xf numFmtId="0" fontId="8" fillId="0" borderId="0" xfId="0" applyFont="1" applyAlignment="1">
      <alignment vertical="top"/>
    </xf>
    <xf numFmtId="166" fontId="8" fillId="22" borderId="2" xfId="0" applyNumberFormat="1" applyFont="1" applyFill="1" applyBorder="1" applyAlignment="1">
      <alignment horizontal="center" vertical="center"/>
    </xf>
    <xf numFmtId="166" fontId="8" fillId="0" borderId="2" xfId="0" applyNumberFormat="1" applyFont="1" applyBorder="1" applyAlignment="1">
      <alignment horizontal="center" vertical="center"/>
    </xf>
    <xf numFmtId="166" fontId="7" fillId="55" borderId="21" xfId="0" applyNumberFormat="1" applyFont="1" applyFill="1" applyBorder="1" applyAlignment="1">
      <alignment horizontal="right" vertical="center"/>
    </xf>
    <xf numFmtId="166" fontId="7" fillId="0" borderId="21" xfId="0" applyNumberFormat="1" applyFont="1" applyBorder="1" applyAlignment="1">
      <alignment horizontal="right" vertical="center"/>
    </xf>
    <xf numFmtId="166" fontId="8" fillId="0" borderId="7" xfId="0" applyNumberFormat="1" applyFont="1" applyBorder="1" applyAlignment="1">
      <alignment horizontal="center" vertical="center"/>
    </xf>
    <xf numFmtId="166" fontId="7" fillId="55" borderId="8" xfId="0" applyNumberFormat="1" applyFont="1" applyFill="1" applyBorder="1" applyAlignment="1">
      <alignment horizontal="right" vertical="center"/>
    </xf>
    <xf numFmtId="0" fontId="8" fillId="0" borderId="0" xfId="0" applyFont="1" applyAlignment="1">
      <alignment horizontal="left" vertical="top" wrapText="1"/>
    </xf>
    <xf numFmtId="1" fontId="8" fillId="21" borderId="16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7" fillId="0" borderId="0" xfId="0" applyFont="1" applyAlignment="1">
      <alignment horizontal="left" vertical="top"/>
    </xf>
    <xf numFmtId="0" fontId="0" fillId="0" borderId="0" xfId="0" applyAlignment="1">
      <alignment horizontal="left" vertical="top" wrapText="1"/>
    </xf>
    <xf numFmtId="0" fontId="8" fillId="0" borderId="0" xfId="0" applyFont="1" applyAlignment="1">
      <alignment horizontal="left" vertical="top"/>
    </xf>
    <xf numFmtId="0" fontId="8" fillId="21" borderId="0" xfId="0" applyFont="1" applyFill="1" applyAlignment="1">
      <alignment horizontal="center" vertical="top"/>
    </xf>
    <xf numFmtId="0" fontId="8" fillId="21" borderId="10" xfId="0" applyFont="1" applyFill="1" applyBorder="1" applyAlignment="1">
      <alignment horizontal="center" vertical="top"/>
    </xf>
    <xf numFmtId="0" fontId="8" fillId="21" borderId="8" xfId="0" applyFont="1" applyFill="1" applyBorder="1" applyAlignment="1">
      <alignment horizontal="center" vertical="top"/>
    </xf>
    <xf numFmtId="3" fontId="7" fillId="0" borderId="0" xfId="0" applyNumberFormat="1" applyFont="1"/>
    <xf numFmtId="0" fontId="35" fillId="0" borderId="0" xfId="75"/>
    <xf numFmtId="0" fontId="4" fillId="0" borderId="0" xfId="75" applyFont="1"/>
    <xf numFmtId="166" fontId="7" fillId="55" borderId="22" xfId="0" applyNumberFormat="1" applyFont="1" applyFill="1" applyBorder="1" applyAlignment="1">
      <alignment horizontal="right" vertical="center"/>
    </xf>
    <xf numFmtId="174" fontId="7" fillId="0" borderId="0" xfId="0" applyNumberFormat="1" applyFont="1"/>
    <xf numFmtId="166" fontId="15" fillId="0" borderId="0" xfId="0" applyNumberFormat="1" applyFont="1" applyAlignment="1">
      <alignment horizontal="right" vertical="center"/>
    </xf>
    <xf numFmtId="166" fontId="7" fillId="0" borderId="0" xfId="0" applyNumberFormat="1" applyFont="1" applyAlignment="1">
      <alignment horizontal="right" vertical="center" wrapText="1"/>
    </xf>
    <xf numFmtId="166" fontId="8" fillId="55" borderId="2" xfId="0" applyNumberFormat="1" applyFont="1" applyFill="1" applyBorder="1" applyAlignment="1">
      <alignment horizontal="center" vertical="center"/>
    </xf>
    <xf numFmtId="166" fontId="15" fillId="55" borderId="21" xfId="0" applyNumberFormat="1" applyFont="1" applyFill="1" applyBorder="1" applyAlignment="1">
      <alignment horizontal="right" vertical="center"/>
    </xf>
    <xf numFmtId="0" fontId="8" fillId="55" borderId="14" xfId="0" applyFont="1" applyFill="1" applyBorder="1" applyAlignment="1">
      <alignment horizontal="center" vertical="center"/>
    </xf>
    <xf numFmtId="0" fontId="8" fillId="55" borderId="10" xfId="0" applyFont="1" applyFill="1" applyBorder="1" applyAlignment="1">
      <alignment horizontal="center" vertical="center"/>
    </xf>
    <xf numFmtId="0" fontId="31" fillId="55" borderId="2" xfId="0" applyFont="1" applyFill="1" applyBorder="1" applyAlignment="1">
      <alignment horizontal="center" vertical="center"/>
    </xf>
    <xf numFmtId="166" fontId="7" fillId="55" borderId="17" xfId="0" applyNumberFormat="1" applyFont="1" applyFill="1" applyBorder="1" applyAlignment="1">
      <alignment horizontal="right" vertical="center"/>
    </xf>
    <xf numFmtId="0" fontId="31" fillId="55" borderId="7" xfId="0" applyFont="1" applyFill="1" applyBorder="1" applyAlignment="1">
      <alignment horizontal="center" vertical="center"/>
    </xf>
    <xf numFmtId="166" fontId="7" fillId="55" borderId="9" xfId="0" applyNumberFormat="1" applyFont="1" applyFill="1" applyBorder="1" applyAlignment="1">
      <alignment horizontal="right" vertical="center"/>
    </xf>
    <xf numFmtId="0" fontId="31" fillId="55" borderId="10" xfId="0" applyFont="1" applyFill="1" applyBorder="1" applyAlignment="1">
      <alignment horizontal="center" vertical="center"/>
    </xf>
    <xf numFmtId="165" fontId="7" fillId="55" borderId="17" xfId="0" applyNumberFormat="1" applyFont="1" applyFill="1" applyBorder="1" applyAlignment="1">
      <alignment horizontal="right" vertical="center"/>
    </xf>
    <xf numFmtId="165" fontId="7" fillId="55" borderId="9" xfId="0" applyNumberFormat="1" applyFont="1" applyFill="1" applyBorder="1" applyAlignment="1">
      <alignment horizontal="right" vertical="center"/>
    </xf>
    <xf numFmtId="0" fontId="8" fillId="0" borderId="2" xfId="0" applyFont="1" applyBorder="1" applyAlignment="1">
      <alignment horizontal="center"/>
    </xf>
    <xf numFmtId="168" fontId="7" fillId="22" borderId="22" xfId="0" applyNumberFormat="1" applyFont="1" applyFill="1" applyBorder="1" applyAlignment="1">
      <alignment vertical="center"/>
    </xf>
    <xf numFmtId="169" fontId="7" fillId="0" borderId="23" xfId="0" applyNumberFormat="1" applyFont="1" applyBorder="1" applyAlignment="1">
      <alignment horizontal="right" vertical="center"/>
    </xf>
    <xf numFmtId="174" fontId="7" fillId="55" borderId="14" xfId="0" applyNumberFormat="1" applyFont="1" applyFill="1" applyBorder="1" applyAlignment="1">
      <alignment horizontal="right" vertical="center"/>
    </xf>
    <xf numFmtId="0" fontId="14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top"/>
    </xf>
    <xf numFmtId="1" fontId="8" fillId="21" borderId="15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left" vertical="center"/>
    </xf>
    <xf numFmtId="171" fontId="7" fillId="55" borderId="17" xfId="0" applyNumberFormat="1" applyFont="1" applyFill="1" applyBorder="1" applyAlignment="1">
      <alignment vertical="center"/>
    </xf>
    <xf numFmtId="171" fontId="7" fillId="55" borderId="0" xfId="0" applyNumberFormat="1" applyFont="1" applyFill="1" applyAlignment="1">
      <alignment vertical="center"/>
    </xf>
    <xf numFmtId="171" fontId="7" fillId="55" borderId="17" xfId="0" quotePrefix="1" applyNumberFormat="1" applyFont="1" applyFill="1" applyBorder="1" applyAlignment="1">
      <alignment horizontal="right" vertical="center"/>
    </xf>
    <xf numFmtId="171" fontId="7" fillId="55" borderId="0" xfId="0" quotePrefix="1" applyNumberFormat="1" applyFont="1" applyFill="1" applyAlignment="1">
      <alignment horizontal="right" vertical="center"/>
    </xf>
    <xf numFmtId="167" fontId="7" fillId="0" borderId="7" xfId="0" applyNumberFormat="1" applyFont="1" applyBorder="1" applyAlignment="1">
      <alignment horizontal="right" vertical="center"/>
    </xf>
    <xf numFmtId="167" fontId="7" fillId="55" borderId="6" xfId="0" applyNumberFormat="1" applyFont="1" applyFill="1" applyBorder="1" applyAlignment="1">
      <alignment horizontal="right" vertical="center"/>
    </xf>
    <xf numFmtId="166" fontId="7" fillId="0" borderId="14" xfId="0" applyNumberFormat="1" applyFont="1" applyBorder="1" applyAlignment="1">
      <alignment horizontal="right" vertical="center" wrapText="1"/>
    </xf>
    <xf numFmtId="2" fontId="7" fillId="55" borderId="6" xfId="0" applyNumberFormat="1" applyFont="1" applyFill="1" applyBorder="1" applyAlignment="1">
      <alignment horizontal="right" vertical="center"/>
    </xf>
    <xf numFmtId="166" fontId="7" fillId="55" borderId="16" xfId="0" applyNumberFormat="1" applyFont="1" applyFill="1" applyBorder="1" applyAlignment="1">
      <alignment horizontal="right" vertical="center"/>
    </xf>
    <xf numFmtId="0" fontId="0" fillId="0" borderId="0" xfId="0" applyAlignment="1">
      <alignment horizontal="left" wrapText="1"/>
    </xf>
    <xf numFmtId="0" fontId="8" fillId="55" borderId="13" xfId="0" applyFont="1" applyFill="1" applyBorder="1" applyAlignment="1">
      <alignment horizontal="center" vertical="center"/>
    </xf>
    <xf numFmtId="166" fontId="7" fillId="0" borderId="23" xfId="0" applyNumberFormat="1" applyFont="1" applyBorder="1" applyAlignment="1">
      <alignment horizontal="right" vertical="center"/>
    </xf>
    <xf numFmtId="167" fontId="7" fillId="0" borderId="0" xfId="0" applyNumberFormat="1" applyFont="1" applyAlignment="1">
      <alignment horizontal="right" vertical="center"/>
    </xf>
    <xf numFmtId="167" fontId="7" fillId="55" borderId="0" xfId="0" applyNumberFormat="1" applyFont="1" applyFill="1" applyAlignment="1">
      <alignment horizontal="right" vertical="center"/>
    </xf>
    <xf numFmtId="167" fontId="7" fillId="55" borderId="21" xfId="0" applyNumberFormat="1" applyFont="1" applyFill="1" applyBorder="1" applyAlignment="1">
      <alignment horizontal="right" vertical="center"/>
    </xf>
    <xf numFmtId="167" fontId="7" fillId="0" borderId="21" xfId="0" applyNumberFormat="1" applyFont="1" applyBorder="1" applyAlignment="1">
      <alignment horizontal="right" vertical="center"/>
    </xf>
    <xf numFmtId="167" fontId="15" fillId="0" borderId="0" xfId="0" applyNumberFormat="1" applyFont="1" applyAlignment="1">
      <alignment horizontal="right" vertical="center"/>
    </xf>
    <xf numFmtId="167" fontId="7" fillId="55" borderId="22" xfId="0" applyNumberFormat="1" applyFont="1" applyFill="1" applyBorder="1" applyAlignment="1">
      <alignment horizontal="right" vertical="center"/>
    </xf>
    <xf numFmtId="167" fontId="15" fillId="55" borderId="0" xfId="0" applyNumberFormat="1" applyFont="1" applyFill="1" applyAlignment="1">
      <alignment horizontal="right" vertical="center"/>
    </xf>
    <xf numFmtId="167" fontId="7" fillId="55" borderId="14" xfId="0" applyNumberFormat="1" applyFont="1" applyFill="1" applyBorder="1" applyAlignment="1">
      <alignment horizontal="right" vertical="center"/>
    </xf>
    <xf numFmtId="167" fontId="7" fillId="0" borderId="14" xfId="0" applyNumberFormat="1" applyFont="1" applyBorder="1" applyAlignment="1">
      <alignment horizontal="right" vertical="center"/>
    </xf>
    <xf numFmtId="167" fontId="7" fillId="0" borderId="0" xfId="0" applyNumberFormat="1" applyFont="1" applyAlignment="1">
      <alignment horizontal="right" vertical="center" wrapText="1"/>
    </xf>
    <xf numFmtId="167" fontId="7" fillId="55" borderId="8" xfId="0" applyNumberFormat="1" applyFont="1" applyFill="1" applyBorder="1" applyAlignment="1">
      <alignment horizontal="right" vertical="center"/>
    </xf>
    <xf numFmtId="167" fontId="7" fillId="0" borderId="16" xfId="0" applyNumberFormat="1" applyFont="1" applyBorder="1" applyAlignment="1">
      <alignment horizontal="right" vertical="center"/>
    </xf>
    <xf numFmtId="167" fontId="7" fillId="0" borderId="8" xfId="0" applyNumberFormat="1" applyFont="1" applyBorder="1" applyAlignment="1">
      <alignment horizontal="right" vertical="center"/>
    </xf>
    <xf numFmtId="167" fontId="7" fillId="55" borderId="16" xfId="0" applyNumberFormat="1" applyFont="1" applyFill="1" applyBorder="1" applyAlignment="1">
      <alignment horizontal="right" vertical="center"/>
    </xf>
    <xf numFmtId="176" fontId="8" fillId="22" borderId="16" xfId="0" applyNumberFormat="1" applyFont="1" applyFill="1" applyBorder="1" applyAlignment="1">
      <alignment horizontal="right" vertical="center"/>
    </xf>
    <xf numFmtId="176" fontId="16" fillId="22" borderId="16" xfId="0" applyNumberFormat="1" applyFont="1" applyFill="1" applyBorder="1" applyAlignment="1">
      <alignment horizontal="right" vertical="center"/>
    </xf>
    <xf numFmtId="176" fontId="7" fillId="0" borderId="16" xfId="0" applyNumberFormat="1" applyFont="1" applyBorder="1" applyAlignment="1">
      <alignment horizontal="right" vertical="center"/>
    </xf>
    <xf numFmtId="176" fontId="7" fillId="0" borderId="23" xfId="0" applyNumberFormat="1" applyFont="1" applyBorder="1" applyAlignment="1">
      <alignment horizontal="right" vertical="center"/>
    </xf>
    <xf numFmtId="176" fontId="7" fillId="22" borderId="17" xfId="0" applyNumberFormat="1" applyFont="1" applyFill="1" applyBorder="1" applyAlignment="1">
      <alignment horizontal="right" vertical="center"/>
    </xf>
    <xf numFmtId="176" fontId="7" fillId="22" borderId="0" xfId="0" applyNumberFormat="1" applyFont="1" applyFill="1" applyAlignment="1">
      <alignment horizontal="right" vertical="center"/>
    </xf>
    <xf numFmtId="176" fontId="7" fillId="22" borderId="21" xfId="0" applyNumberFormat="1" applyFont="1" applyFill="1" applyBorder="1" applyAlignment="1">
      <alignment horizontal="right" vertical="center"/>
    </xf>
    <xf numFmtId="176" fontId="7" fillId="0" borderId="0" xfId="0" applyNumberFormat="1" applyFont="1" applyAlignment="1">
      <alignment horizontal="right" vertical="center"/>
    </xf>
    <xf numFmtId="176" fontId="7" fillId="0" borderId="17" xfId="0" applyNumberFormat="1" applyFont="1" applyBorder="1" applyAlignment="1">
      <alignment horizontal="right" vertical="center"/>
    </xf>
    <xf numFmtId="176" fontId="7" fillId="0" borderId="21" xfId="0" applyNumberFormat="1" applyFont="1" applyBorder="1" applyAlignment="1">
      <alignment horizontal="right" vertical="center"/>
    </xf>
    <xf numFmtId="176" fontId="7" fillId="0" borderId="22" xfId="0" applyNumberFormat="1" applyFont="1" applyBorder="1" applyAlignment="1">
      <alignment horizontal="right" vertical="center"/>
    </xf>
    <xf numFmtId="176" fontId="7" fillId="22" borderId="22" xfId="0" applyNumberFormat="1" applyFont="1" applyFill="1" applyBorder="1" applyAlignment="1">
      <alignment horizontal="right" vertical="center"/>
    </xf>
    <xf numFmtId="176" fontId="7" fillId="55" borderId="17" xfId="0" applyNumberFormat="1" applyFont="1" applyFill="1" applyBorder="1" applyAlignment="1">
      <alignment horizontal="right" vertical="center"/>
    </xf>
    <xf numFmtId="176" fontId="7" fillId="55" borderId="0" xfId="0" applyNumberFormat="1" applyFont="1" applyFill="1" applyAlignment="1">
      <alignment horizontal="right" vertical="center"/>
    </xf>
    <xf numFmtId="176" fontId="7" fillId="55" borderId="22" xfId="0" applyNumberFormat="1" applyFont="1" applyFill="1" applyBorder="1" applyAlignment="1">
      <alignment horizontal="right" vertical="center"/>
    </xf>
    <xf numFmtId="176" fontId="7" fillId="55" borderId="21" xfId="0" applyNumberFormat="1" applyFont="1" applyFill="1" applyBorder="1" applyAlignment="1">
      <alignment horizontal="right" vertical="center"/>
    </xf>
    <xf numFmtId="176" fontId="15" fillId="55" borderId="0" xfId="0" applyNumberFormat="1" applyFont="1" applyFill="1" applyAlignment="1">
      <alignment horizontal="right" vertical="center"/>
    </xf>
    <xf numFmtId="176" fontId="7" fillId="55" borderId="9" xfId="0" applyNumberFormat="1" applyFont="1" applyFill="1" applyBorder="1" applyAlignment="1">
      <alignment horizontal="right" vertical="center"/>
    </xf>
    <xf numFmtId="176" fontId="7" fillId="55" borderId="8" xfId="0" applyNumberFormat="1" applyFont="1" applyFill="1" applyBorder="1" applyAlignment="1">
      <alignment horizontal="right" vertical="center"/>
    </xf>
    <xf numFmtId="176" fontId="7" fillId="0" borderId="15" xfId="0" applyNumberFormat="1" applyFont="1" applyBorder="1" applyAlignment="1">
      <alignment horizontal="right" vertical="center"/>
    </xf>
    <xf numFmtId="176" fontId="7" fillId="0" borderId="9" xfId="0" applyNumberFormat="1" applyFont="1" applyBorder="1" applyAlignment="1">
      <alignment horizontal="right" vertical="center"/>
    </xf>
    <xf numFmtId="176" fontId="7" fillId="0" borderId="8" xfId="0" applyNumberFormat="1" applyFont="1" applyBorder="1" applyAlignment="1">
      <alignment horizontal="right" vertical="center"/>
    </xf>
    <xf numFmtId="176" fontId="7" fillId="55" borderId="16" xfId="0" applyNumberFormat="1" applyFont="1" applyFill="1" applyBorder="1" applyAlignment="1">
      <alignment horizontal="right" vertical="center"/>
    </xf>
    <xf numFmtId="176" fontId="8" fillId="22" borderId="15" xfId="0" applyNumberFormat="1" applyFont="1" applyFill="1" applyBorder="1" applyAlignment="1">
      <alignment horizontal="center" vertical="center"/>
    </xf>
    <xf numFmtId="176" fontId="8" fillId="22" borderId="16" xfId="0" applyNumberFormat="1" applyFont="1" applyFill="1" applyBorder="1" applyAlignment="1">
      <alignment horizontal="center" vertical="center"/>
    </xf>
    <xf numFmtId="176" fontId="7" fillId="22" borderId="14" xfId="0" applyNumberFormat="1" applyFont="1" applyFill="1" applyBorder="1" applyAlignment="1">
      <alignment horizontal="right" vertical="center"/>
    </xf>
    <xf numFmtId="176" fontId="15" fillId="55" borderId="17" xfId="0" applyNumberFormat="1" applyFont="1" applyFill="1" applyBorder="1" applyAlignment="1">
      <alignment horizontal="right" vertical="center"/>
    </xf>
    <xf numFmtId="166" fontId="30" fillId="0" borderId="9" xfId="0" applyNumberFormat="1" applyFont="1" applyBorder="1" applyAlignment="1">
      <alignment horizontal="right" vertical="center"/>
    </xf>
    <xf numFmtId="166" fontId="30" fillId="0" borderId="8" xfId="0" applyNumberFormat="1" applyFont="1" applyBorder="1" applyAlignment="1">
      <alignment horizontal="right" vertical="center"/>
    </xf>
    <xf numFmtId="176" fontId="7" fillId="55" borderId="14" xfId="0" applyNumberFormat="1" applyFont="1" applyFill="1" applyBorder="1" applyAlignment="1">
      <alignment horizontal="right" vertical="center"/>
    </xf>
    <xf numFmtId="176" fontId="32" fillId="0" borderId="0" xfId="0" applyNumberFormat="1" applyFont="1" applyAlignment="1">
      <alignment horizontal="center" vertical="center"/>
    </xf>
    <xf numFmtId="176" fontId="7" fillId="55" borderId="10" xfId="0" applyNumberFormat="1" applyFont="1" applyFill="1" applyBorder="1" applyAlignment="1">
      <alignment horizontal="right" vertical="center"/>
    </xf>
    <xf numFmtId="176" fontId="30" fillId="0" borderId="8" xfId="0" applyNumberFormat="1" applyFont="1" applyBorder="1" applyAlignment="1">
      <alignment horizontal="right" vertical="center"/>
    </xf>
    <xf numFmtId="176" fontId="7" fillId="0" borderId="10" xfId="0" applyNumberFormat="1" applyFont="1" applyBorder="1" applyAlignment="1">
      <alignment horizontal="right" vertical="center"/>
    </xf>
    <xf numFmtId="165" fontId="7" fillId="55" borderId="15" xfId="0" applyNumberFormat="1" applyFont="1" applyFill="1" applyBorder="1" applyAlignment="1">
      <alignment horizontal="right" vertical="center"/>
    </xf>
    <xf numFmtId="167" fontId="16" fillId="22" borderId="16" xfId="0" applyNumberFormat="1" applyFont="1" applyFill="1" applyBorder="1" applyAlignment="1">
      <alignment horizontal="right" vertical="center"/>
    </xf>
    <xf numFmtId="167" fontId="8" fillId="22" borderId="16" xfId="0" applyNumberFormat="1" applyFont="1" applyFill="1" applyBorder="1" applyAlignment="1">
      <alignment horizontal="right" vertical="center"/>
    </xf>
    <xf numFmtId="167" fontId="8" fillId="22" borderId="15" xfId="0" applyNumberFormat="1" applyFont="1" applyFill="1" applyBorder="1" applyAlignment="1">
      <alignment horizontal="right" vertical="center"/>
    </xf>
    <xf numFmtId="167" fontId="7" fillId="55" borderId="9" xfId="0" applyNumberFormat="1" applyFont="1" applyFill="1" applyBorder="1" applyAlignment="1">
      <alignment horizontal="right" vertical="center"/>
    </xf>
    <xf numFmtId="167" fontId="7" fillId="0" borderId="17" xfId="0" applyNumberFormat="1" applyFont="1" applyBorder="1" applyAlignment="1">
      <alignment vertical="center"/>
    </xf>
    <xf numFmtId="167" fontId="7" fillId="0" borderId="0" xfId="0" applyNumberFormat="1" applyFont="1" applyAlignment="1">
      <alignment vertical="center"/>
    </xf>
    <xf numFmtId="167" fontId="7" fillId="55" borderId="17" xfId="0" applyNumberFormat="1" applyFont="1" applyFill="1" applyBorder="1" applyAlignment="1">
      <alignment vertical="center"/>
    </xf>
    <xf numFmtId="167" fontId="7" fillId="55" borderId="0" xfId="0" applyNumberFormat="1" applyFont="1" applyFill="1" applyAlignment="1">
      <alignment vertical="center"/>
    </xf>
    <xf numFmtId="167" fontId="7" fillId="0" borderId="9" xfId="0" applyNumberFormat="1" applyFont="1" applyBorder="1" applyAlignment="1">
      <alignment vertical="center"/>
    </xf>
    <xf numFmtId="167" fontId="7" fillId="0" borderId="8" xfId="0" applyNumberFormat="1" applyFont="1" applyBorder="1" applyAlignment="1">
      <alignment vertical="center"/>
    </xf>
    <xf numFmtId="176" fontId="16" fillId="22" borderId="15" xfId="0" applyNumberFormat="1" applyFont="1" applyFill="1" applyBorder="1" applyAlignment="1">
      <alignment horizontal="right" vertical="center"/>
    </xf>
    <xf numFmtId="0" fontId="0" fillId="0" borderId="0" xfId="0" applyAlignment="1">
      <alignment wrapText="1"/>
    </xf>
    <xf numFmtId="167" fontId="15" fillId="0" borderId="0" xfId="0" applyNumberFormat="1" applyFont="1" applyAlignment="1">
      <alignment vertical="center"/>
    </xf>
    <xf numFmtId="167" fontId="7" fillId="0" borderId="17" xfId="0" quotePrefix="1" applyNumberFormat="1" applyFont="1" applyBorder="1" applyAlignment="1">
      <alignment horizontal="right" vertical="center"/>
    </xf>
    <xf numFmtId="167" fontId="7" fillId="0" borderId="0" xfId="0" quotePrefix="1" applyNumberFormat="1" applyFont="1" applyAlignment="1">
      <alignment horizontal="right" vertical="center"/>
    </xf>
    <xf numFmtId="167" fontId="7" fillId="0" borderId="22" xfId="0" applyNumberFormat="1" applyFont="1" applyBorder="1" applyAlignment="1">
      <alignment vertical="center"/>
    </xf>
    <xf numFmtId="167" fontId="15" fillId="0" borderId="17" xfId="0" applyNumberFormat="1" applyFont="1" applyBorder="1" applyAlignment="1">
      <alignment vertical="center"/>
    </xf>
    <xf numFmtId="167" fontId="7" fillId="0" borderId="21" xfId="0" applyNumberFormat="1" applyFont="1" applyBorder="1" applyAlignment="1">
      <alignment vertical="center"/>
    </xf>
    <xf numFmtId="167" fontId="15" fillId="22" borderId="0" xfId="0" applyNumberFormat="1" applyFont="1" applyFill="1" applyAlignment="1">
      <alignment vertical="center"/>
    </xf>
    <xf numFmtId="167" fontId="7" fillId="0" borderId="0" xfId="0" applyNumberFormat="1" applyFont="1"/>
    <xf numFmtId="167" fontId="15" fillId="0" borderId="0" xfId="0" applyNumberFormat="1" applyFont="1"/>
    <xf numFmtId="167" fontId="7" fillId="55" borderId="21" xfId="0" applyNumberFormat="1" applyFont="1" applyFill="1" applyBorder="1" applyAlignment="1">
      <alignment vertical="center"/>
    </xf>
    <xf numFmtId="167" fontId="15" fillId="55" borderId="0" xfId="0" applyNumberFormat="1" applyFont="1" applyFill="1" applyAlignment="1">
      <alignment vertical="center"/>
    </xf>
    <xf numFmtId="167" fontId="7" fillId="55" borderId="17" xfId="0" quotePrefix="1" applyNumberFormat="1" applyFont="1" applyFill="1" applyBorder="1" applyAlignment="1">
      <alignment horizontal="right" vertical="center"/>
    </xf>
    <xf numFmtId="167" fontId="7" fillId="55" borderId="0" xfId="0" quotePrefix="1" applyNumberFormat="1" applyFont="1" applyFill="1" applyAlignment="1">
      <alignment horizontal="right" vertical="center"/>
    </xf>
    <xf numFmtId="167" fontId="7" fillId="55" borderId="8" xfId="0" applyNumberFormat="1" applyFont="1" applyFill="1" applyBorder="1" applyAlignment="1">
      <alignment vertical="center"/>
    </xf>
    <xf numFmtId="167" fontId="16" fillId="22" borderId="13" xfId="0" applyNumberFormat="1" applyFont="1" applyFill="1" applyBorder="1" applyAlignment="1">
      <alignment horizontal="right" vertical="center"/>
    </xf>
    <xf numFmtId="167" fontId="15" fillId="0" borderId="14" xfId="0" applyNumberFormat="1" applyFont="1" applyBorder="1" applyAlignment="1">
      <alignment vertical="center"/>
    </xf>
    <xf numFmtId="167" fontId="7" fillId="22" borderId="14" xfId="0" applyNumberFormat="1" applyFont="1" applyFill="1" applyBorder="1" applyAlignment="1">
      <alignment vertical="center"/>
    </xf>
    <xf numFmtId="167" fontId="7" fillId="0" borderId="14" xfId="0" applyNumberFormat="1" applyFont="1" applyBorder="1" applyAlignment="1">
      <alignment vertical="center"/>
    </xf>
    <xf numFmtId="167" fontId="7" fillId="55" borderId="14" xfId="0" applyNumberFormat="1" applyFont="1" applyFill="1" applyBorder="1" applyAlignment="1">
      <alignment vertical="center"/>
    </xf>
    <xf numFmtId="167" fontId="7" fillId="55" borderId="10" xfId="0" applyNumberFormat="1" applyFont="1" applyFill="1" applyBorder="1" applyAlignment="1">
      <alignment vertical="center"/>
    </xf>
    <xf numFmtId="167" fontId="7" fillId="0" borderId="10" xfId="0" applyNumberFormat="1" applyFont="1" applyBorder="1" applyAlignment="1">
      <alignment vertical="center"/>
    </xf>
    <xf numFmtId="167" fontId="7" fillId="0" borderId="15" xfId="0" applyNumberFormat="1" applyFont="1" applyBorder="1" applyAlignment="1">
      <alignment vertical="center"/>
    </xf>
    <xf numFmtId="167" fontId="7" fillId="0" borderId="16" xfId="0" applyNumberFormat="1" applyFont="1" applyBorder="1" applyAlignment="1">
      <alignment vertical="center"/>
    </xf>
    <xf numFmtId="167" fontId="15" fillId="0" borderId="16" xfId="0" applyNumberFormat="1" applyFont="1" applyBorder="1" applyAlignment="1">
      <alignment vertical="center"/>
    </xf>
    <xf numFmtId="167" fontId="7" fillId="0" borderId="13" xfId="0" applyNumberFormat="1" applyFont="1" applyBorder="1" applyAlignment="1">
      <alignment vertical="center"/>
    </xf>
    <xf numFmtId="167" fontId="7" fillId="0" borderId="14" xfId="0" quotePrefix="1" applyNumberFormat="1" applyFont="1" applyBorder="1" applyAlignment="1">
      <alignment horizontal="right" vertical="center"/>
    </xf>
    <xf numFmtId="167" fontId="15" fillId="55" borderId="14" xfId="0" applyNumberFormat="1" applyFont="1" applyFill="1" applyBorder="1" applyAlignment="1">
      <alignment vertical="center"/>
    </xf>
    <xf numFmtId="167" fontId="7" fillId="55" borderId="14" xfId="0" quotePrefix="1" applyNumberFormat="1" applyFont="1" applyFill="1" applyBorder="1" applyAlignment="1">
      <alignment horizontal="right" vertical="center"/>
    </xf>
    <xf numFmtId="167" fontId="7" fillId="0" borderId="25" xfId="0" applyNumberFormat="1" applyFont="1" applyBorder="1" applyAlignment="1">
      <alignment vertical="center"/>
    </xf>
    <xf numFmtId="167" fontId="15" fillId="55" borderId="8" xfId="0" applyNumberFormat="1" applyFont="1" applyFill="1" applyBorder="1" applyAlignment="1">
      <alignment vertical="center"/>
    </xf>
    <xf numFmtId="167" fontId="7" fillId="0" borderId="0" xfId="0" applyNumberFormat="1" applyFont="1" applyAlignment="1">
      <alignment horizontal="center"/>
    </xf>
    <xf numFmtId="167" fontId="8" fillId="0" borderId="0" xfId="0" applyNumberFormat="1" applyFont="1" applyAlignment="1">
      <alignment horizontal="center" vertical="center"/>
    </xf>
    <xf numFmtId="167" fontId="7" fillId="0" borderId="28" xfId="0" applyNumberFormat="1" applyFont="1" applyBorder="1" applyAlignment="1">
      <alignment horizontal="right" vertical="center"/>
    </xf>
    <xf numFmtId="171" fontId="7" fillId="55" borderId="15" xfId="0" quotePrefix="1" applyNumberFormat="1" applyFont="1" applyFill="1" applyBorder="1" applyAlignment="1">
      <alignment horizontal="right" vertical="center"/>
    </xf>
    <xf numFmtId="171" fontId="7" fillId="55" borderId="16" xfId="0" quotePrefix="1" applyNumberFormat="1" applyFont="1" applyFill="1" applyBorder="1" applyAlignment="1">
      <alignment horizontal="right" vertical="center"/>
    </xf>
    <xf numFmtId="167" fontId="7" fillId="22" borderId="25" xfId="0" applyNumberFormat="1" applyFont="1" applyFill="1" applyBorder="1" applyAlignment="1">
      <alignment vertical="center"/>
    </xf>
    <xf numFmtId="167" fontId="15" fillId="22" borderId="14" xfId="0" applyNumberFormat="1" applyFont="1" applyFill="1" applyBorder="1" applyAlignment="1">
      <alignment horizontal="right" vertical="center"/>
    </xf>
    <xf numFmtId="167" fontId="7" fillId="55" borderId="25" xfId="0" applyNumberFormat="1" applyFont="1" applyFill="1" applyBorder="1" applyAlignment="1">
      <alignment vertical="center"/>
    </xf>
    <xf numFmtId="167" fontId="7" fillId="55" borderId="16" xfId="0" quotePrefix="1" applyNumberFormat="1" applyFont="1" applyFill="1" applyBorder="1" applyAlignment="1">
      <alignment horizontal="right" vertical="center"/>
    </xf>
    <xf numFmtId="167" fontId="7" fillId="55" borderId="13" xfId="0" quotePrefix="1" applyNumberFormat="1" applyFont="1" applyFill="1" applyBorder="1" applyAlignment="1">
      <alignment horizontal="right" vertical="center"/>
    </xf>
    <xf numFmtId="178" fontId="8" fillId="22" borderId="11" xfId="0" applyNumberFormat="1" applyFont="1" applyFill="1" applyBorder="1" applyAlignment="1">
      <alignment horizontal="right" vertical="center"/>
    </xf>
    <xf numFmtId="178" fontId="8" fillId="22" borderId="5" xfId="0" applyNumberFormat="1" applyFont="1" applyFill="1" applyBorder="1" applyAlignment="1">
      <alignment horizontal="right" vertical="center"/>
    </xf>
    <xf numFmtId="180" fontId="7" fillId="0" borderId="0" xfId="0" applyNumberFormat="1" applyFont="1" applyAlignment="1">
      <alignment horizontal="right" vertical="center"/>
    </xf>
    <xf numFmtId="180" fontId="7" fillId="55" borderId="0" xfId="0" applyNumberFormat="1" applyFont="1" applyFill="1" applyAlignment="1">
      <alignment horizontal="right" vertical="center"/>
    </xf>
    <xf numFmtId="167" fontId="7" fillId="0" borderId="22" xfId="0" applyNumberFormat="1" applyFont="1" applyBorder="1" applyAlignment="1">
      <alignment horizontal="right" vertical="center"/>
    </xf>
    <xf numFmtId="164" fontId="7" fillId="55" borderId="2" xfId="0" applyNumberFormat="1" applyFont="1" applyFill="1" applyBorder="1" applyAlignment="1">
      <alignment horizontal="right" vertical="center"/>
    </xf>
    <xf numFmtId="164" fontId="7" fillId="0" borderId="2" xfId="0" applyNumberFormat="1" applyFont="1" applyBorder="1" applyAlignment="1">
      <alignment horizontal="right" vertical="center"/>
    </xf>
    <xf numFmtId="1" fontId="8" fillId="21" borderId="4" xfId="0" applyNumberFormat="1" applyFont="1" applyFill="1" applyBorder="1" applyAlignment="1">
      <alignment horizontal="center" vertical="center" wrapText="1"/>
    </xf>
    <xf numFmtId="174" fontId="7" fillId="0" borderId="10" xfId="0" applyNumberFormat="1" applyFont="1" applyBorder="1" applyAlignment="1">
      <alignment horizontal="right" vertical="center"/>
    </xf>
    <xf numFmtId="0" fontId="13" fillId="0" borderId="0" xfId="0" applyFont="1" applyAlignment="1">
      <alignment horizontal="center" vertical="top" wrapText="1"/>
    </xf>
    <xf numFmtId="0" fontId="10" fillId="0" borderId="0" xfId="0" applyFont="1" applyAlignment="1">
      <alignment horizontal="center" vertical="top" wrapText="1"/>
    </xf>
    <xf numFmtId="167" fontId="7" fillId="22" borderId="22" xfId="0" applyNumberFormat="1" applyFont="1" applyFill="1" applyBorder="1" applyAlignment="1">
      <alignment vertical="center"/>
    </xf>
    <xf numFmtId="167" fontId="15" fillId="55" borderId="0" xfId="0" quotePrefix="1" applyNumberFormat="1" applyFont="1" applyFill="1" applyAlignment="1">
      <alignment horizontal="right" vertical="center"/>
    </xf>
    <xf numFmtId="167" fontId="15" fillId="55" borderId="14" xfId="0" quotePrefix="1" applyNumberFormat="1" applyFont="1" applyFill="1" applyBorder="1" applyAlignment="1">
      <alignment horizontal="right" vertical="center"/>
    </xf>
    <xf numFmtId="0" fontId="75" fillId="0" borderId="0" xfId="59"/>
    <xf numFmtId="166" fontId="7" fillId="0" borderId="22" xfId="0" applyNumberFormat="1" applyFont="1" applyBorder="1" applyAlignment="1">
      <alignment horizontal="right" vertical="center"/>
    </xf>
    <xf numFmtId="166" fontId="7" fillId="55" borderId="14" xfId="0" applyNumberFormat="1" applyFont="1" applyFill="1" applyBorder="1" applyAlignment="1">
      <alignment horizontal="right" vertical="center" wrapText="1"/>
    </xf>
    <xf numFmtId="167" fontId="7" fillId="55" borderId="22" xfId="0" applyNumberFormat="1" applyFont="1" applyFill="1" applyBorder="1" applyAlignment="1">
      <alignment vertical="center"/>
    </xf>
    <xf numFmtId="1" fontId="8" fillId="21" borderId="13" xfId="0" applyNumberFormat="1" applyFont="1" applyFill="1" applyBorder="1" applyAlignment="1">
      <alignment horizontal="center"/>
    </xf>
    <xf numFmtId="166" fontId="7" fillId="55" borderId="0" xfId="0" applyNumberFormat="1" applyFont="1" applyFill="1" applyAlignment="1">
      <alignment horizontal="right" vertical="center" wrapText="1"/>
    </xf>
    <xf numFmtId="0" fontId="8" fillId="55" borderId="4" xfId="0" applyFont="1" applyFill="1" applyBorder="1" applyAlignment="1">
      <alignment horizontal="center" vertical="center"/>
    </xf>
    <xf numFmtId="167" fontId="8" fillId="55" borderId="4" xfId="0" applyNumberFormat="1" applyFont="1" applyFill="1" applyBorder="1" applyAlignment="1">
      <alignment horizontal="right"/>
    </xf>
    <xf numFmtId="166" fontId="8" fillId="55" borderId="4" xfId="0" applyNumberFormat="1" applyFont="1" applyFill="1" applyBorder="1" applyAlignment="1">
      <alignment horizontal="right"/>
    </xf>
    <xf numFmtId="166" fontId="8" fillId="22" borderId="4" xfId="0" applyNumberFormat="1" applyFont="1" applyFill="1" applyBorder="1" applyAlignment="1">
      <alignment horizontal="center" vertical="center"/>
    </xf>
    <xf numFmtId="166" fontId="8" fillId="55" borderId="11" xfId="0" applyNumberFormat="1" applyFont="1" applyFill="1" applyBorder="1" applyAlignment="1">
      <alignment horizontal="right"/>
    </xf>
    <xf numFmtId="166" fontId="16" fillId="55" borderId="5" xfId="0" applyNumberFormat="1" applyFont="1" applyFill="1" applyBorder="1" applyAlignment="1">
      <alignment horizontal="right"/>
    </xf>
    <xf numFmtId="167" fontId="8" fillId="22" borderId="11" xfId="0" applyNumberFormat="1" applyFont="1" applyFill="1" applyBorder="1" applyAlignment="1">
      <alignment horizontal="right" vertical="center"/>
    </xf>
    <xf numFmtId="167" fontId="8" fillId="22" borderId="5" xfId="0" applyNumberFormat="1" applyFont="1" applyFill="1" applyBorder="1" applyAlignment="1">
      <alignment horizontal="right" vertical="center"/>
    </xf>
    <xf numFmtId="167" fontId="16" fillId="22" borderId="5" xfId="0" applyNumberFormat="1" applyFont="1" applyFill="1" applyBorder="1" applyAlignment="1">
      <alignment horizontal="right" vertical="center"/>
    </xf>
    <xf numFmtId="167" fontId="16" fillId="22" borderId="12" xfId="0" applyNumberFormat="1" applyFont="1" applyFill="1" applyBorder="1" applyAlignment="1">
      <alignment horizontal="right" vertical="center"/>
    </xf>
    <xf numFmtId="0" fontId="8" fillId="22" borderId="12" xfId="0" applyFont="1" applyFill="1" applyBorder="1" applyAlignment="1">
      <alignment horizontal="center" vertical="center"/>
    </xf>
    <xf numFmtId="0" fontId="87" fillId="0" borderId="0" xfId="0" applyFont="1" applyAlignment="1">
      <alignment vertical="center" wrapText="1"/>
    </xf>
    <xf numFmtId="167" fontId="7" fillId="0" borderId="22" xfId="0" applyNumberFormat="1" applyFont="1" applyBorder="1"/>
    <xf numFmtId="177" fontId="8" fillId="22" borderId="5" xfId="0" applyNumberFormat="1" applyFont="1" applyFill="1" applyBorder="1" applyAlignment="1">
      <alignment horizontal="right" vertical="center"/>
    </xf>
    <xf numFmtId="169" fontId="7" fillId="0" borderId="37" xfId="0" applyNumberFormat="1" applyFont="1" applyBorder="1" applyAlignment="1">
      <alignment horizontal="center" vertical="center"/>
    </xf>
    <xf numFmtId="169" fontId="7" fillId="0" borderId="37" xfId="0" applyNumberFormat="1" applyFont="1" applyBorder="1" applyAlignment="1">
      <alignment horizontal="right" vertical="center"/>
    </xf>
    <xf numFmtId="169" fontId="7" fillId="0" borderId="38" xfId="0" applyNumberFormat="1" applyFont="1" applyBorder="1" applyAlignment="1">
      <alignment horizontal="right" vertical="center"/>
    </xf>
    <xf numFmtId="169" fontId="7" fillId="0" borderId="39" xfId="0" applyNumberFormat="1" applyFont="1" applyBorder="1" applyAlignment="1">
      <alignment horizontal="center" vertical="center"/>
    </xf>
    <xf numFmtId="0" fontId="8" fillId="56" borderId="2" xfId="0" applyFont="1" applyFill="1" applyBorder="1" applyAlignment="1">
      <alignment horizontal="center" vertical="center"/>
    </xf>
    <xf numFmtId="166" fontId="8" fillId="55" borderId="4" xfId="0" applyNumberFormat="1" applyFont="1" applyFill="1" applyBorder="1" applyAlignment="1">
      <alignment horizontal="center"/>
    </xf>
    <xf numFmtId="0" fontId="19" fillId="21" borderId="4" xfId="0" applyFont="1" applyFill="1" applyBorder="1" applyAlignment="1">
      <alignment horizontal="center" vertical="center" wrapText="1"/>
    </xf>
    <xf numFmtId="1" fontId="31" fillId="21" borderId="0" xfId="0" applyNumberFormat="1" applyFont="1" applyFill="1" applyAlignment="1">
      <alignment horizontal="center" vertical="center"/>
    </xf>
    <xf numFmtId="0" fontId="0" fillId="0" borderId="2" xfId="0" applyBorder="1"/>
    <xf numFmtId="0" fontId="7" fillId="0" borderId="2" xfId="0" applyFont="1" applyBorder="1"/>
    <xf numFmtId="1" fontId="31" fillId="21" borderId="16" xfId="0" applyNumberFormat="1" applyFont="1" applyFill="1" applyBorder="1" applyAlignment="1">
      <alignment horizontal="center" vertical="center"/>
    </xf>
    <xf numFmtId="166" fontId="8" fillId="55" borderId="4" xfId="0" applyNumberFormat="1" applyFont="1" applyFill="1" applyBorder="1" applyAlignment="1">
      <alignment horizontal="center" vertical="center"/>
    </xf>
    <xf numFmtId="166" fontId="8" fillId="0" borderId="0" xfId="0" applyNumberFormat="1" applyFont="1" applyAlignment="1">
      <alignment horizontal="center"/>
    </xf>
    <xf numFmtId="164" fontId="7" fillId="55" borderId="4" xfId="0" applyNumberFormat="1" applyFont="1" applyFill="1" applyBorder="1" applyAlignment="1">
      <alignment horizontal="right" vertical="center"/>
    </xf>
    <xf numFmtId="166" fontId="15" fillId="55" borderId="5" xfId="0" applyNumberFormat="1" applyFont="1" applyFill="1" applyBorder="1" applyAlignment="1">
      <alignment horizontal="right" vertical="center"/>
    </xf>
    <xf numFmtId="166" fontId="15" fillId="55" borderId="35" xfId="0" applyNumberFormat="1" applyFont="1" applyFill="1" applyBorder="1" applyAlignment="1">
      <alignment horizontal="right" vertical="center"/>
    </xf>
    <xf numFmtId="166" fontId="7" fillId="55" borderId="5" xfId="0" applyNumberFormat="1" applyFont="1" applyFill="1" applyBorder="1" applyAlignment="1">
      <alignment horizontal="right" vertical="center"/>
    </xf>
    <xf numFmtId="166" fontId="7" fillId="55" borderId="12" xfId="0" applyNumberFormat="1" applyFont="1" applyFill="1" applyBorder="1" applyAlignment="1">
      <alignment horizontal="right" vertical="center"/>
    </xf>
    <xf numFmtId="176" fontId="16" fillId="22" borderId="5" xfId="0" applyNumberFormat="1" applyFont="1" applyFill="1" applyBorder="1" applyAlignment="1">
      <alignment horizontal="right" vertical="center"/>
    </xf>
    <xf numFmtId="166" fontId="7" fillId="0" borderId="9" xfId="0" applyNumberFormat="1" applyFont="1" applyBorder="1" applyAlignment="1">
      <alignment horizontal="right" vertical="center"/>
    </xf>
    <xf numFmtId="0" fontId="7" fillId="0" borderId="14" xfId="0" applyFont="1" applyBorder="1"/>
    <xf numFmtId="0" fontId="7" fillId="0" borderId="14" xfId="0" applyFont="1" applyBorder="1" applyAlignment="1">
      <alignment horizontal="center"/>
    </xf>
    <xf numFmtId="167" fontId="8" fillId="55" borderId="5" xfId="0" applyNumberFormat="1" applyFont="1" applyFill="1" applyBorder="1" applyAlignment="1">
      <alignment horizontal="right"/>
    </xf>
    <xf numFmtId="0" fontId="8" fillId="0" borderId="0" xfId="0" applyFont="1" applyAlignment="1">
      <alignment horizontal="center" vertical="top"/>
    </xf>
    <xf numFmtId="1" fontId="8" fillId="0" borderId="2" xfId="0" applyNumberFormat="1" applyFont="1" applyBorder="1" applyAlignment="1">
      <alignment horizontal="center" vertical="center"/>
    </xf>
    <xf numFmtId="166" fontId="15" fillId="0" borderId="14" xfId="0" applyNumberFormat="1" applyFont="1" applyBorder="1" applyAlignment="1">
      <alignment horizontal="right" vertical="center"/>
    </xf>
    <xf numFmtId="166" fontId="8" fillId="0" borderId="6" xfId="0" applyNumberFormat="1" applyFont="1" applyBorder="1" applyAlignment="1">
      <alignment horizontal="center" vertical="center"/>
    </xf>
    <xf numFmtId="167" fontId="15" fillId="0" borderId="8" xfId="0" applyNumberFormat="1" applyFont="1" applyBorder="1" applyAlignment="1">
      <alignment vertical="center"/>
    </xf>
    <xf numFmtId="167" fontId="88" fillId="22" borderId="15" xfId="0" applyNumberFormat="1" applyFont="1" applyFill="1" applyBorder="1" applyAlignment="1">
      <alignment horizontal="right" vertical="center"/>
    </xf>
    <xf numFmtId="167" fontId="89" fillId="22" borderId="16" xfId="0" applyNumberFormat="1" applyFont="1" applyFill="1" applyBorder="1" applyAlignment="1">
      <alignment horizontal="right" vertical="center"/>
    </xf>
    <xf numFmtId="167" fontId="88" fillId="22" borderId="16" xfId="0" applyNumberFormat="1" applyFont="1" applyFill="1" applyBorder="1" applyAlignment="1">
      <alignment horizontal="right" vertical="center"/>
    </xf>
    <xf numFmtId="0" fontId="89" fillId="22" borderId="16" xfId="0" applyFont="1" applyFill="1" applyBorder="1" applyAlignment="1">
      <alignment horizontal="right" vertical="center"/>
    </xf>
    <xf numFmtId="9" fontId="89" fillId="22" borderId="13" xfId="0" applyNumberFormat="1" applyFont="1" applyFill="1" applyBorder="1" applyAlignment="1">
      <alignment horizontal="right" vertical="center"/>
    </xf>
    <xf numFmtId="176" fontId="8" fillId="22" borderId="5" xfId="0" applyNumberFormat="1" applyFont="1" applyFill="1" applyBorder="1" applyAlignment="1">
      <alignment horizontal="right" vertical="center"/>
    </xf>
    <xf numFmtId="166" fontId="8" fillId="22" borderId="16" xfId="0" applyNumberFormat="1" applyFont="1" applyFill="1" applyBorder="1" applyAlignment="1">
      <alignment horizontal="right" vertical="center"/>
    </xf>
    <xf numFmtId="0" fontId="9" fillId="0" borderId="17" xfId="0" applyFont="1" applyBorder="1" applyAlignment="1">
      <alignment horizontal="right" vertical="center"/>
    </xf>
    <xf numFmtId="0" fontId="8" fillId="56" borderId="7" xfId="0" applyFont="1" applyFill="1" applyBorder="1" applyAlignment="1">
      <alignment horizontal="center" vertical="center"/>
    </xf>
    <xf numFmtId="176" fontId="7" fillId="56" borderId="0" xfId="0" applyNumberFormat="1" applyFont="1" applyFill="1" applyAlignment="1">
      <alignment horizontal="right" vertic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166" fontId="8" fillId="22" borderId="6" xfId="0" applyNumberFormat="1" applyFont="1" applyFill="1" applyBorder="1" applyAlignment="1">
      <alignment horizontal="center" vertical="center"/>
    </xf>
    <xf numFmtId="1" fontId="7" fillId="0" borderId="0" xfId="0" applyNumberFormat="1" applyFont="1" applyAlignment="1">
      <alignment horizontal="right" vertical="center" wrapText="1"/>
    </xf>
    <xf numFmtId="1" fontId="7" fillId="55" borderId="0" xfId="0" applyNumberFormat="1" applyFont="1" applyFill="1" applyAlignment="1">
      <alignment horizontal="right" vertical="center"/>
    </xf>
    <xf numFmtId="1" fontId="7" fillId="0" borderId="0" xfId="0" applyNumberFormat="1" applyFont="1" applyAlignment="1">
      <alignment horizontal="right" vertical="center"/>
    </xf>
    <xf numFmtId="1" fontId="7" fillId="0" borderId="8" xfId="0" applyNumberFormat="1" applyFont="1" applyBorder="1" applyAlignment="1">
      <alignment horizontal="right" vertical="center"/>
    </xf>
    <xf numFmtId="166" fontId="7" fillId="0" borderId="40" xfId="0" applyNumberFormat="1" applyFont="1" applyBorder="1" applyAlignment="1">
      <alignment horizontal="right" vertical="center"/>
    </xf>
    <xf numFmtId="1" fontId="12" fillId="0" borderId="0" xfId="0" applyNumberFormat="1" applyFont="1" applyAlignment="1">
      <alignment vertical="top" wrapText="1"/>
    </xf>
    <xf numFmtId="1" fontId="12" fillId="0" borderId="0" xfId="0" applyNumberFormat="1" applyFont="1"/>
    <xf numFmtId="1" fontId="7" fillId="0" borderId="0" xfId="0" applyNumberFormat="1" applyFont="1"/>
    <xf numFmtId="1" fontId="8" fillId="0" borderId="0" xfId="0" applyNumberFormat="1" applyFont="1" applyAlignment="1">
      <alignment horizontal="center"/>
    </xf>
    <xf numFmtId="1" fontId="10" fillId="0" borderId="0" xfId="0" quotePrefix="1" applyNumberFormat="1" applyFont="1" applyAlignment="1">
      <alignment horizontal="right" vertical="top"/>
    </xf>
    <xf numFmtId="1" fontId="0" fillId="0" borderId="0" xfId="0" applyNumberFormat="1"/>
    <xf numFmtId="1" fontId="8" fillId="0" borderId="0" xfId="0" applyNumberFormat="1" applyFont="1"/>
    <xf numFmtId="1" fontId="0" fillId="0" borderId="14" xfId="0" applyNumberFormat="1" applyBorder="1"/>
    <xf numFmtId="1" fontId="0" fillId="0" borderId="10" xfId="0" applyNumberFormat="1" applyBorder="1"/>
    <xf numFmtId="1" fontId="8" fillId="21" borderId="7" xfId="0" applyNumberFormat="1" applyFont="1" applyFill="1" applyBorder="1" applyAlignment="1">
      <alignment horizontal="center" vertical="center"/>
    </xf>
    <xf numFmtId="1" fontId="8" fillId="22" borderId="6" xfId="0" applyNumberFormat="1" applyFont="1" applyFill="1" applyBorder="1" applyAlignment="1">
      <alignment horizontal="center" vertical="center"/>
    </xf>
    <xf numFmtId="1" fontId="8" fillId="22" borderId="15" xfId="0" quotePrefix="1" applyNumberFormat="1" applyFont="1" applyFill="1" applyBorder="1" applyAlignment="1">
      <alignment horizontal="right" vertical="center"/>
    </xf>
    <xf numFmtId="1" fontId="8" fillId="22" borderId="6" xfId="0" quotePrefix="1" applyNumberFormat="1" applyFont="1" applyFill="1" applyBorder="1" applyAlignment="1">
      <alignment horizontal="right" vertical="center"/>
    </xf>
    <xf numFmtId="1" fontId="8" fillId="22" borderId="16" xfId="0" quotePrefix="1" applyNumberFormat="1" applyFont="1" applyFill="1" applyBorder="1" applyAlignment="1">
      <alignment horizontal="right" vertical="center"/>
    </xf>
    <xf numFmtId="1" fontId="8" fillId="22" borderId="16" xfId="0" applyNumberFormat="1" applyFont="1" applyFill="1" applyBorder="1" applyAlignment="1">
      <alignment horizontal="right" vertical="center"/>
    </xf>
    <xf numFmtId="1" fontId="8" fillId="0" borderId="6" xfId="0" applyNumberFormat="1" applyFont="1" applyBorder="1" applyAlignment="1">
      <alignment horizontal="center" vertical="center"/>
    </xf>
    <xf numFmtId="1" fontId="7" fillId="0" borderId="15" xfId="0" quotePrefix="1" applyNumberFormat="1" applyFont="1" applyBorder="1" applyAlignment="1">
      <alignment horizontal="right" vertical="center"/>
    </xf>
    <xf numFmtId="1" fontId="7" fillId="0" borderId="6" xfId="0" quotePrefix="1" applyNumberFormat="1" applyFont="1" applyBorder="1" applyAlignment="1">
      <alignment horizontal="right" vertical="center"/>
    </xf>
    <xf numFmtId="1" fontId="7" fillId="0" borderId="16" xfId="0" quotePrefix="1" applyNumberFormat="1" applyFont="1" applyBorder="1" applyAlignment="1">
      <alignment horizontal="right" vertical="center"/>
    </xf>
    <xf numFmtId="1" fontId="7" fillId="0" borderId="16" xfId="0" applyNumberFormat="1" applyFont="1" applyBorder="1" applyAlignment="1">
      <alignment horizontal="right" vertical="center"/>
    </xf>
    <xf numFmtId="1" fontId="7" fillId="0" borderId="40" xfId="0" applyNumberFormat="1" applyFont="1" applyBorder="1" applyAlignment="1">
      <alignment horizontal="right" vertical="center"/>
    </xf>
    <xf numFmtId="1" fontId="15" fillId="0" borderId="0" xfId="0" applyNumberFormat="1" applyFont="1" applyAlignment="1">
      <alignment horizontal="right" vertical="center"/>
    </xf>
    <xf numFmtId="1" fontId="8" fillId="22" borderId="2" xfId="0" applyNumberFormat="1" applyFont="1" applyFill="1" applyBorder="1" applyAlignment="1">
      <alignment horizontal="center" vertical="center"/>
    </xf>
    <xf numFmtId="1" fontId="7" fillId="22" borderId="17" xfId="0" applyNumberFormat="1" applyFont="1" applyFill="1" applyBorder="1" applyAlignment="1">
      <alignment horizontal="right" vertical="center"/>
    </xf>
    <xf numFmtId="1" fontId="7" fillId="22" borderId="2" xfId="0" applyNumberFormat="1" applyFont="1" applyFill="1" applyBorder="1" applyAlignment="1">
      <alignment horizontal="right" vertical="center"/>
    </xf>
    <xf numFmtId="1" fontId="7" fillId="22" borderId="21" xfId="0" applyNumberFormat="1" applyFont="1" applyFill="1" applyBorder="1" applyAlignment="1">
      <alignment horizontal="right" vertical="center"/>
    </xf>
    <xf numFmtId="1" fontId="7" fillId="0" borderId="17" xfId="0" quotePrefix="1" applyNumberFormat="1" applyFont="1" applyBorder="1" applyAlignment="1">
      <alignment horizontal="right" vertical="center"/>
    </xf>
    <xf numFmtId="1" fontId="7" fillId="0" borderId="2" xfId="0" quotePrefix="1" applyNumberFormat="1" applyFont="1" applyBorder="1" applyAlignment="1">
      <alignment horizontal="right" vertical="center"/>
    </xf>
    <xf numFmtId="1" fontId="7" fillId="0" borderId="0" xfId="0" quotePrefix="1" applyNumberFormat="1" applyFont="1" applyAlignment="1">
      <alignment horizontal="right" vertical="center"/>
    </xf>
    <xf numFmtId="1" fontId="7" fillId="0" borderId="0" xfId="0" applyNumberFormat="1" applyFont="1" applyAlignment="1">
      <alignment vertical="top" wrapText="1"/>
    </xf>
    <xf numFmtId="1" fontId="7" fillId="0" borderId="17" xfId="0" applyNumberFormat="1" applyFont="1" applyBorder="1" applyAlignment="1">
      <alignment horizontal="right" vertical="center"/>
    </xf>
    <xf numFmtId="1" fontId="7" fillId="0" borderId="2" xfId="0" applyNumberFormat="1" applyFont="1" applyBorder="1" applyAlignment="1">
      <alignment horizontal="right" vertical="center"/>
    </xf>
    <xf numFmtId="1" fontId="7" fillId="0" borderId="21" xfId="0" applyNumberFormat="1" applyFont="1" applyBorder="1" applyAlignment="1">
      <alignment horizontal="right" vertical="center"/>
    </xf>
    <xf numFmtId="1" fontId="7" fillId="0" borderId="22" xfId="0" applyNumberFormat="1" applyFont="1" applyBorder="1" applyAlignment="1">
      <alignment horizontal="right" vertical="center"/>
    </xf>
    <xf numFmtId="1" fontId="8" fillId="55" borderId="2" xfId="0" applyNumberFormat="1" applyFont="1" applyFill="1" applyBorder="1" applyAlignment="1">
      <alignment horizontal="center" vertical="center"/>
    </xf>
    <xf numFmtId="1" fontId="7" fillId="55" borderId="17" xfId="0" applyNumberFormat="1" applyFont="1" applyFill="1" applyBorder="1" applyAlignment="1">
      <alignment horizontal="right" vertical="center"/>
    </xf>
    <xf numFmtId="1" fontId="7" fillId="55" borderId="2" xfId="0" applyNumberFormat="1" applyFont="1" applyFill="1" applyBorder="1" applyAlignment="1">
      <alignment horizontal="right" vertical="center"/>
    </xf>
    <xf numFmtId="1" fontId="7" fillId="55" borderId="22" xfId="0" applyNumberFormat="1" applyFont="1" applyFill="1" applyBorder="1" applyAlignment="1">
      <alignment horizontal="right" vertical="center"/>
    </xf>
    <xf numFmtId="1" fontId="7" fillId="0" borderId="22" xfId="0" applyNumberFormat="1" applyFont="1" applyBorder="1"/>
    <xf numFmtId="1" fontId="7" fillId="55" borderId="21" xfId="0" applyNumberFormat="1" applyFont="1" applyFill="1" applyBorder="1" applyAlignment="1">
      <alignment horizontal="right" vertical="center"/>
    </xf>
    <xf numFmtId="1" fontId="15" fillId="55" borderId="0" xfId="0" applyNumberFormat="1" applyFont="1" applyFill="1" applyAlignment="1">
      <alignment horizontal="right" vertical="center"/>
    </xf>
    <xf numFmtId="1" fontId="8" fillId="0" borderId="7" xfId="0" applyNumberFormat="1" applyFont="1" applyBorder="1" applyAlignment="1">
      <alignment horizontal="center" vertical="center"/>
    </xf>
    <xf numFmtId="1" fontId="7" fillId="55" borderId="8" xfId="0" applyNumberFormat="1" applyFont="1" applyFill="1" applyBorder="1" applyAlignment="1">
      <alignment horizontal="right" vertical="center"/>
    </xf>
    <xf numFmtId="1" fontId="8" fillId="55" borderId="6" xfId="0" applyNumberFormat="1" applyFont="1" applyFill="1" applyBorder="1" applyAlignment="1">
      <alignment horizontal="center" vertical="center"/>
    </xf>
    <xf numFmtId="166" fontId="7" fillId="55" borderId="10" xfId="0" applyNumberFormat="1" applyFont="1" applyFill="1" applyBorder="1" applyAlignment="1">
      <alignment horizontal="right" vertical="center"/>
    </xf>
    <xf numFmtId="0" fontId="0" fillId="0" borderId="0" xfId="0" applyAlignment="1">
      <alignment horizontal="center" vertical="center"/>
    </xf>
    <xf numFmtId="174" fontId="8" fillId="22" borderId="12" xfId="0" applyNumberFormat="1" applyFont="1" applyFill="1" applyBorder="1" applyAlignment="1">
      <alignment horizontal="center"/>
    </xf>
    <xf numFmtId="174" fontId="7" fillId="0" borderId="14" xfId="0" applyNumberFormat="1" applyFont="1" applyBorder="1" applyAlignment="1">
      <alignment horizontal="center"/>
    </xf>
    <xf numFmtId="174" fontId="7" fillId="22" borderId="14" xfId="0" applyNumberFormat="1" applyFont="1" applyFill="1" applyBorder="1" applyAlignment="1">
      <alignment horizontal="center"/>
    </xf>
    <xf numFmtId="174" fontId="7" fillId="55" borderId="14" xfId="0" applyNumberFormat="1" applyFont="1" applyFill="1" applyBorder="1" applyAlignment="1">
      <alignment horizontal="center"/>
    </xf>
    <xf numFmtId="174" fontId="7" fillId="0" borderId="10" xfId="0" applyNumberFormat="1" applyFont="1" applyBorder="1" applyAlignment="1">
      <alignment horizontal="center"/>
    </xf>
    <xf numFmtId="167" fontId="8" fillId="22" borderId="15" xfId="0" applyNumberFormat="1" applyFont="1" applyFill="1" applyBorder="1" applyAlignment="1">
      <alignment horizontal="center"/>
    </xf>
    <xf numFmtId="167" fontId="7" fillId="0" borderId="15" xfId="0" applyNumberFormat="1" applyFont="1" applyBorder="1" applyAlignment="1">
      <alignment horizontal="center"/>
    </xf>
    <xf numFmtId="167" fontId="7" fillId="0" borderId="16" xfId="0" applyNumberFormat="1" applyFont="1" applyBorder="1" applyAlignment="1">
      <alignment horizontal="center"/>
    </xf>
    <xf numFmtId="167" fontId="7" fillId="0" borderId="13" xfId="0" applyNumberFormat="1" applyFont="1" applyBorder="1" applyAlignment="1">
      <alignment horizontal="center"/>
    </xf>
    <xf numFmtId="167" fontId="7" fillId="22" borderId="17" xfId="0" applyNumberFormat="1" applyFont="1" applyFill="1" applyBorder="1" applyAlignment="1">
      <alignment horizontal="center"/>
    </xf>
    <xf numFmtId="167" fontId="7" fillId="55" borderId="0" xfId="0" applyNumberFormat="1" applyFont="1" applyFill="1" applyAlignment="1">
      <alignment horizontal="center"/>
    </xf>
    <xf numFmtId="167" fontId="7" fillId="55" borderId="14" xfId="0" applyNumberFormat="1" applyFont="1" applyFill="1" applyBorder="1" applyAlignment="1">
      <alignment horizontal="center"/>
    </xf>
    <xf numFmtId="167" fontId="7" fillId="0" borderId="17" xfId="0" applyNumberFormat="1" applyFont="1" applyBorder="1" applyAlignment="1">
      <alignment horizontal="center"/>
    </xf>
    <xf numFmtId="167" fontId="7" fillId="0" borderId="14" xfId="0" applyNumberFormat="1" applyFont="1" applyBorder="1" applyAlignment="1">
      <alignment horizontal="center"/>
    </xf>
    <xf numFmtId="167" fontId="7" fillId="55" borderId="17" xfId="0" applyNumberFormat="1" applyFont="1" applyFill="1" applyBorder="1" applyAlignment="1">
      <alignment horizontal="center"/>
    </xf>
    <xf numFmtId="167" fontId="7" fillId="0" borderId="9" xfId="0" applyNumberFormat="1" applyFont="1" applyBorder="1" applyAlignment="1">
      <alignment horizontal="center"/>
    </xf>
    <xf numFmtId="167" fontId="7" fillId="0" borderId="8" xfId="0" applyNumberFormat="1" applyFont="1" applyBorder="1" applyAlignment="1">
      <alignment horizontal="center"/>
    </xf>
    <xf numFmtId="167" fontId="7" fillId="0" borderId="10" xfId="0" applyNumberFormat="1" applyFont="1" applyBorder="1" applyAlignment="1">
      <alignment horizontal="center"/>
    </xf>
    <xf numFmtId="167" fontId="8" fillId="22" borderId="16" xfId="0" applyNumberFormat="1" applyFont="1" applyFill="1" applyBorder="1" applyAlignment="1">
      <alignment horizontal="center" vertical="center"/>
    </xf>
    <xf numFmtId="167" fontId="7" fillId="0" borderId="16" xfId="0" applyNumberFormat="1" applyFont="1" applyBorder="1" applyAlignment="1">
      <alignment horizontal="center" vertical="center"/>
    </xf>
    <xf numFmtId="167" fontId="7" fillId="22" borderId="17" xfId="0" applyNumberFormat="1" applyFont="1" applyFill="1" applyBorder="1" applyAlignment="1">
      <alignment horizontal="center" vertical="center"/>
    </xf>
    <xf numFmtId="167" fontId="7" fillId="55" borderId="0" xfId="0" applyNumberFormat="1" applyFont="1" applyFill="1" applyAlignment="1">
      <alignment horizontal="center" vertical="center"/>
    </xf>
    <xf numFmtId="167" fontId="7" fillId="0" borderId="0" xfId="0" applyNumberFormat="1" applyFont="1" applyAlignment="1">
      <alignment horizontal="center" vertical="center"/>
    </xf>
    <xf numFmtId="167" fontId="7" fillId="0" borderId="17" xfId="0" applyNumberFormat="1" applyFont="1" applyBorder="1" applyAlignment="1">
      <alignment horizontal="center" vertical="center"/>
    </xf>
    <xf numFmtId="167" fontId="7" fillId="0" borderId="8" xfId="0" applyNumberFormat="1" applyFont="1" applyBorder="1" applyAlignment="1">
      <alignment horizontal="center" vertical="center"/>
    </xf>
    <xf numFmtId="167" fontId="7" fillId="55" borderId="17" xfId="0" applyNumberFormat="1" applyFont="1" applyFill="1" applyBorder="1" applyAlignment="1">
      <alignment horizontal="center" vertical="center"/>
    </xf>
    <xf numFmtId="167" fontId="7" fillId="0" borderId="9" xfId="0" applyNumberFormat="1" applyFont="1" applyBorder="1" applyAlignment="1">
      <alignment horizontal="center" vertical="center"/>
    </xf>
    <xf numFmtId="166" fontId="8" fillId="0" borderId="14" xfId="0" applyNumberFormat="1" applyFont="1" applyBorder="1" applyAlignment="1">
      <alignment horizontal="center" vertical="center"/>
    </xf>
    <xf numFmtId="166" fontId="8" fillId="22" borderId="14" xfId="0" applyNumberFormat="1" applyFont="1" applyFill="1" applyBorder="1" applyAlignment="1">
      <alignment horizontal="center" vertical="center"/>
    </xf>
    <xf numFmtId="1" fontId="31" fillId="21" borderId="13" xfId="0" applyNumberFormat="1" applyFont="1" applyFill="1" applyBorder="1" applyAlignment="1">
      <alignment horizontal="center" vertical="center"/>
    </xf>
    <xf numFmtId="1" fontId="8" fillId="0" borderId="9" xfId="0" applyNumberFormat="1" applyFont="1" applyBorder="1" applyAlignment="1">
      <alignment horizontal="center" vertical="center"/>
    </xf>
    <xf numFmtId="1" fontId="7" fillId="22" borderId="0" xfId="0" applyNumberFormat="1" applyFont="1" applyFill="1" applyAlignment="1">
      <alignment vertical="center"/>
    </xf>
    <xf numFmtId="1" fontId="7" fillId="22" borderId="22" xfId="0" applyNumberFormat="1" applyFont="1" applyFill="1" applyBorder="1" applyAlignment="1">
      <alignment vertical="center"/>
    </xf>
    <xf numFmtId="0" fontId="7" fillId="0" borderId="0" xfId="0" applyFont="1" applyAlignment="1">
      <alignment horizontal="center" vertical="center"/>
    </xf>
    <xf numFmtId="166" fontId="8" fillId="55" borderId="6" xfId="0" applyNumberFormat="1" applyFont="1" applyFill="1" applyBorder="1" applyAlignment="1">
      <alignment horizontal="center" vertical="center"/>
    </xf>
    <xf numFmtId="176" fontId="8" fillId="22" borderId="12" xfId="0" applyNumberFormat="1" applyFont="1" applyFill="1" applyBorder="1" applyAlignment="1">
      <alignment horizontal="right" vertical="center"/>
    </xf>
    <xf numFmtId="0" fontId="13" fillId="0" borderId="16" xfId="0" applyFont="1" applyBorder="1" applyAlignment="1">
      <alignment horizontal="center" vertical="center"/>
    </xf>
    <xf numFmtId="167" fontId="7" fillId="22" borderId="0" xfId="0" applyNumberFormat="1" applyFont="1" applyFill="1" applyAlignment="1">
      <alignment vertical="center"/>
    </xf>
    <xf numFmtId="166" fontId="8" fillId="22" borderId="13" xfId="0" applyNumberFormat="1" applyFont="1" applyFill="1" applyBorder="1" applyAlignment="1">
      <alignment horizontal="center" vertical="center"/>
    </xf>
    <xf numFmtId="166" fontId="8" fillId="0" borderId="10" xfId="0" applyNumberFormat="1" applyFont="1" applyBorder="1" applyAlignment="1">
      <alignment horizontal="center" vertical="center"/>
    </xf>
    <xf numFmtId="166" fontId="8" fillId="55" borderId="10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left" wrapText="1"/>
    </xf>
    <xf numFmtId="167" fontId="15" fillId="55" borderId="16" xfId="0" quotePrefix="1" applyNumberFormat="1" applyFont="1" applyFill="1" applyBorder="1" applyAlignment="1">
      <alignment horizontal="right" vertical="center"/>
    </xf>
    <xf numFmtId="169" fontId="7" fillId="0" borderId="52" xfId="0" applyNumberFormat="1" applyFont="1" applyBorder="1" applyAlignment="1">
      <alignment horizontal="right" vertical="center"/>
    </xf>
    <xf numFmtId="167" fontId="15" fillId="0" borderId="14" xfId="0" applyNumberFormat="1" applyFont="1" applyBorder="1" applyAlignment="1">
      <alignment horizontal="right" vertical="center"/>
    </xf>
    <xf numFmtId="166" fontId="7" fillId="0" borderId="0" xfId="0" applyNumberFormat="1" applyFont="1" applyAlignment="1">
      <alignment horizontal="center" vertical="center"/>
    </xf>
    <xf numFmtId="166" fontId="8" fillId="0" borderId="0" xfId="0" applyNumberFormat="1" applyFont="1" applyAlignment="1">
      <alignment horizontal="center" vertical="center" wrapText="1"/>
    </xf>
    <xf numFmtId="167" fontId="15" fillId="22" borderId="0" xfId="0" applyNumberFormat="1" applyFont="1" applyFill="1" applyAlignment="1">
      <alignment horizontal="right" vertical="center"/>
    </xf>
    <xf numFmtId="167" fontId="15" fillId="55" borderId="36" xfId="0" applyNumberFormat="1" applyFont="1" applyFill="1" applyBorder="1" applyAlignment="1">
      <alignment vertical="center"/>
    </xf>
    <xf numFmtId="167" fontId="89" fillId="55" borderId="17" xfId="0" applyNumberFormat="1" applyFont="1" applyFill="1" applyBorder="1" applyAlignment="1">
      <alignment horizontal="center"/>
    </xf>
    <xf numFmtId="167" fontId="89" fillId="55" borderId="0" xfId="0" applyNumberFormat="1" applyFont="1" applyFill="1" applyAlignment="1">
      <alignment horizontal="center"/>
    </xf>
    <xf numFmtId="167" fontId="89" fillId="55" borderId="14" xfId="0" applyNumberFormat="1" applyFont="1" applyFill="1" applyBorder="1" applyAlignment="1">
      <alignment horizontal="center"/>
    </xf>
    <xf numFmtId="167" fontId="89" fillId="0" borderId="0" xfId="0" applyNumberFormat="1" applyFont="1" applyAlignment="1">
      <alignment horizontal="center" vertical="center"/>
    </xf>
    <xf numFmtId="0" fontId="88" fillId="21" borderId="10" xfId="0" applyFont="1" applyFill="1" applyBorder="1" applyAlignment="1">
      <alignment horizontal="center" vertical="top" wrapText="1"/>
    </xf>
    <xf numFmtId="1" fontId="15" fillId="22" borderId="0" xfId="0" applyNumberFormat="1" applyFont="1" applyFill="1" applyAlignment="1">
      <alignment vertical="center"/>
    </xf>
    <xf numFmtId="166" fontId="8" fillId="55" borderId="5" xfId="0" applyNumberFormat="1" applyFont="1" applyFill="1" applyBorder="1" applyAlignment="1">
      <alignment horizontal="right"/>
    </xf>
    <xf numFmtId="1" fontId="8" fillId="21" borderId="6" xfId="0" applyNumberFormat="1" applyFont="1" applyFill="1" applyBorder="1" applyAlignment="1">
      <alignment horizontal="center" vertical="center" wrapText="1"/>
    </xf>
    <xf numFmtId="1" fontId="7" fillId="0" borderId="14" xfId="0" applyNumberFormat="1" applyFont="1" applyBorder="1" applyAlignment="1">
      <alignment horizontal="right" vertical="center"/>
    </xf>
    <xf numFmtId="0" fontId="11" fillId="0" borderId="0" xfId="0" applyFont="1" applyAlignment="1">
      <alignment horizontal="left" wrapText="1"/>
    </xf>
    <xf numFmtId="166" fontId="31" fillId="0" borderId="6" xfId="0" applyNumberFormat="1" applyFont="1" applyBorder="1" applyAlignment="1">
      <alignment horizontal="center" vertical="center"/>
    </xf>
    <xf numFmtId="166" fontId="31" fillId="22" borderId="2" xfId="0" applyNumberFormat="1" applyFont="1" applyFill="1" applyBorder="1" applyAlignment="1">
      <alignment horizontal="center" vertical="center"/>
    </xf>
    <xf numFmtId="166" fontId="31" fillId="0" borderId="2" xfId="0" applyNumberFormat="1" applyFont="1" applyBorder="1" applyAlignment="1">
      <alignment horizontal="center" vertical="center"/>
    </xf>
    <xf numFmtId="166" fontId="31" fillId="55" borderId="2" xfId="0" applyNumberFormat="1" applyFont="1" applyFill="1" applyBorder="1" applyAlignment="1">
      <alignment horizontal="center" vertical="center"/>
    </xf>
    <xf numFmtId="166" fontId="31" fillId="0" borderId="7" xfId="0" applyNumberFormat="1" applyFont="1" applyBorder="1" applyAlignment="1">
      <alignment horizontal="center" vertical="center"/>
    </xf>
    <xf numFmtId="166" fontId="31" fillId="55" borderId="7" xfId="0" applyNumberFormat="1" applyFont="1" applyFill="1" applyBorder="1" applyAlignment="1">
      <alignment horizontal="center" vertical="center"/>
    </xf>
    <xf numFmtId="166" fontId="31" fillId="55" borderId="10" xfId="0" applyNumberFormat="1" applyFont="1" applyFill="1" applyBorder="1" applyAlignment="1">
      <alignment horizontal="center" vertical="center"/>
    </xf>
    <xf numFmtId="0" fontId="8" fillId="21" borderId="6" xfId="0" applyFont="1" applyFill="1" applyBorder="1" applyAlignment="1">
      <alignment horizontal="center" vertical="top" wrapText="1"/>
    </xf>
    <xf numFmtId="0" fontId="8" fillId="21" borderId="10" xfId="0" applyFont="1" applyFill="1" applyBorder="1" applyAlignment="1">
      <alignment horizontal="center" vertical="top" wrapText="1"/>
    </xf>
    <xf numFmtId="167" fontId="89" fillId="22" borderId="14" xfId="0" applyNumberFormat="1" applyFont="1" applyFill="1" applyBorder="1" applyAlignment="1">
      <alignment vertical="center"/>
    </xf>
    <xf numFmtId="167" fontId="89" fillId="0" borderId="14" xfId="0" applyNumberFormat="1" applyFont="1" applyBorder="1" applyAlignment="1">
      <alignment vertical="center"/>
    </xf>
    <xf numFmtId="1" fontId="7" fillId="55" borderId="14" xfId="0" applyNumberFormat="1" applyFont="1" applyFill="1" applyBorder="1" applyAlignment="1">
      <alignment horizontal="right" vertical="center"/>
    </xf>
    <xf numFmtId="179" fontId="88" fillId="22" borderId="11" xfId="0" applyNumberFormat="1" applyFont="1" applyFill="1" applyBorder="1" applyAlignment="1">
      <alignment horizontal="right" vertical="center"/>
    </xf>
    <xf numFmtId="179" fontId="88" fillId="22" borderId="29" xfId="0" applyNumberFormat="1" applyFont="1" applyFill="1" applyBorder="1" applyAlignment="1">
      <alignment horizontal="right" vertical="center"/>
    </xf>
    <xf numFmtId="179" fontId="88" fillId="22" borderId="5" xfId="0" applyNumberFormat="1" applyFont="1" applyFill="1" applyBorder="1" applyAlignment="1">
      <alignment horizontal="right" vertical="center"/>
    </xf>
    <xf numFmtId="179" fontId="88" fillId="22" borderId="29" xfId="0" applyNumberFormat="1" applyFont="1" applyFill="1" applyBorder="1" applyAlignment="1">
      <alignment horizontal="center" vertical="center"/>
    </xf>
    <xf numFmtId="179" fontId="88" fillId="22" borderId="15" xfId="0" applyNumberFormat="1" applyFont="1" applyFill="1" applyBorder="1" applyAlignment="1">
      <alignment horizontal="right" vertical="center"/>
    </xf>
    <xf numFmtId="179" fontId="89" fillId="22" borderId="32" xfId="0" applyNumberFormat="1" applyFont="1" applyFill="1" applyBorder="1" applyAlignment="1">
      <alignment horizontal="right" vertical="center"/>
    </xf>
    <xf numFmtId="179" fontId="88" fillId="22" borderId="41" xfId="0" applyNumberFormat="1" applyFont="1" applyFill="1" applyBorder="1" applyAlignment="1">
      <alignment horizontal="right" vertical="center"/>
    </xf>
    <xf numFmtId="179" fontId="88" fillId="22" borderId="16" xfId="0" applyNumberFormat="1" applyFont="1" applyFill="1" applyBorder="1" applyAlignment="1">
      <alignment horizontal="right" vertical="center"/>
    </xf>
    <xf numFmtId="179" fontId="89" fillId="22" borderId="29" xfId="0" applyNumberFormat="1" applyFont="1" applyFill="1" applyBorder="1" applyAlignment="1">
      <alignment horizontal="right" vertical="center"/>
    </xf>
    <xf numFmtId="179" fontId="88" fillId="22" borderId="42" xfId="0" applyNumberFormat="1" applyFont="1" applyFill="1" applyBorder="1" applyAlignment="1">
      <alignment horizontal="right" vertical="center"/>
    </xf>
    <xf numFmtId="179" fontId="88" fillId="22" borderId="17" xfId="0" applyNumberFormat="1" applyFont="1" applyFill="1" applyBorder="1" applyAlignment="1">
      <alignment horizontal="right" vertical="center"/>
    </xf>
    <xf numFmtId="179" fontId="89" fillId="22" borderId="30" xfId="0" applyNumberFormat="1" applyFont="1" applyFill="1" applyBorder="1" applyAlignment="1">
      <alignment horizontal="right" vertical="center"/>
    </xf>
    <xf numFmtId="9" fontId="88" fillId="22" borderId="5" xfId="0" applyNumberFormat="1" applyFont="1" applyFill="1" applyBorder="1" applyAlignment="1">
      <alignment horizontal="right" vertical="center"/>
    </xf>
    <xf numFmtId="3" fontId="88" fillId="22" borderId="29" xfId="0" applyNumberFormat="1" applyFont="1" applyFill="1" applyBorder="1" applyAlignment="1">
      <alignment horizontal="right" vertical="center"/>
    </xf>
    <xf numFmtId="179" fontId="88" fillId="22" borderId="30" xfId="0" applyNumberFormat="1" applyFont="1" applyFill="1" applyBorder="1" applyAlignment="1">
      <alignment horizontal="right" vertical="center"/>
    </xf>
    <xf numFmtId="3" fontId="89" fillId="22" borderId="32" xfId="0" applyNumberFormat="1" applyFont="1" applyFill="1" applyBorder="1" applyAlignment="1">
      <alignment horizontal="right" vertical="center"/>
    </xf>
    <xf numFmtId="3" fontId="89" fillId="22" borderId="29" xfId="0" applyNumberFormat="1" applyFont="1" applyFill="1" applyBorder="1" applyAlignment="1">
      <alignment horizontal="right" vertical="center"/>
    </xf>
    <xf numFmtId="3" fontId="89" fillId="22" borderId="30" xfId="0" applyNumberFormat="1" applyFont="1" applyFill="1" applyBorder="1" applyAlignment="1">
      <alignment horizontal="right" vertical="center"/>
    </xf>
    <xf numFmtId="9" fontId="88" fillId="22" borderId="12" xfId="0" applyNumberFormat="1" applyFont="1" applyFill="1" applyBorder="1" applyAlignment="1">
      <alignment horizontal="right" vertical="center"/>
    </xf>
    <xf numFmtId="9" fontId="88" fillId="22" borderId="14" xfId="0" applyNumberFormat="1" applyFont="1" applyFill="1" applyBorder="1" applyAlignment="1">
      <alignment horizontal="right" vertical="center"/>
    </xf>
    <xf numFmtId="9" fontId="88" fillId="22" borderId="13" xfId="0" applyNumberFormat="1" applyFont="1" applyFill="1" applyBorder="1" applyAlignment="1">
      <alignment horizontal="right" vertical="center"/>
    </xf>
    <xf numFmtId="9" fontId="88" fillId="22" borderId="54" xfId="0" applyNumberFormat="1" applyFont="1" applyFill="1" applyBorder="1" applyAlignment="1">
      <alignment horizontal="right" vertical="center"/>
    </xf>
    <xf numFmtId="9" fontId="88" fillId="22" borderId="55" xfId="0" applyNumberFormat="1" applyFont="1" applyFill="1" applyBorder="1" applyAlignment="1">
      <alignment horizontal="right" vertical="center"/>
    </xf>
    <xf numFmtId="9" fontId="88" fillId="22" borderId="53" xfId="0" applyNumberFormat="1" applyFont="1" applyFill="1" applyBorder="1" applyAlignment="1">
      <alignment horizontal="right" vertical="center"/>
    </xf>
    <xf numFmtId="0" fontId="88" fillId="22" borderId="6" xfId="0" applyFont="1" applyFill="1" applyBorder="1" applyAlignment="1">
      <alignment horizontal="left" vertical="center" wrapText="1"/>
    </xf>
    <xf numFmtId="0" fontId="89" fillId="21" borderId="6" xfId="0" applyFont="1" applyFill="1" applyBorder="1" applyAlignment="1">
      <alignment horizontal="left" vertical="top" wrapText="1"/>
    </xf>
    <xf numFmtId="0" fontId="88" fillId="21" borderId="7" xfId="0" applyFont="1" applyFill="1" applyBorder="1" applyAlignment="1">
      <alignment horizontal="center" vertical="top" wrapText="1"/>
    </xf>
    <xf numFmtId="2" fontId="7" fillId="0" borderId="0" xfId="0" applyNumberFormat="1" applyFont="1" applyAlignment="1">
      <alignment horizontal="right" vertical="center"/>
    </xf>
    <xf numFmtId="2" fontId="7" fillId="0" borderId="14" xfId="0" applyNumberFormat="1" applyFont="1" applyBorder="1" applyAlignment="1">
      <alignment horizontal="right" vertical="center"/>
    </xf>
    <xf numFmtId="2" fontId="7" fillId="22" borderId="0" xfId="0" applyNumberFormat="1" applyFont="1" applyFill="1" applyAlignment="1">
      <alignment horizontal="right" vertical="center"/>
    </xf>
    <xf numFmtId="2" fontId="7" fillId="22" borderId="14" xfId="0" applyNumberFormat="1" applyFont="1" applyFill="1" applyBorder="1" applyAlignment="1">
      <alignment horizontal="right" vertical="center"/>
    </xf>
    <xf numFmtId="1" fontId="8" fillId="21" borderId="16" xfId="0" applyNumberFormat="1" applyFont="1" applyFill="1" applyBorder="1" applyAlignment="1">
      <alignment horizontal="center" wrapText="1"/>
    </xf>
    <xf numFmtId="166" fontId="8" fillId="55" borderId="14" xfId="0" applyNumberFormat="1" applyFont="1" applyFill="1" applyBorder="1" applyAlignment="1">
      <alignment horizontal="center" vertical="center"/>
    </xf>
    <xf numFmtId="167" fontId="7" fillId="56" borderId="7" xfId="0" applyNumberFormat="1" applyFont="1" applyFill="1" applyBorder="1" applyAlignment="1">
      <alignment horizontal="right" vertical="center"/>
    </xf>
    <xf numFmtId="167" fontId="7" fillId="56" borderId="8" xfId="0" applyNumberFormat="1" applyFont="1" applyFill="1" applyBorder="1" applyAlignment="1">
      <alignment horizontal="right" vertical="center"/>
    </xf>
    <xf numFmtId="1" fontId="8" fillId="0" borderId="8" xfId="0" applyNumberFormat="1" applyFont="1" applyBorder="1" applyAlignment="1">
      <alignment horizontal="center" vertical="center"/>
    </xf>
    <xf numFmtId="166" fontId="7" fillId="22" borderId="14" xfId="0" applyNumberFormat="1" applyFont="1" applyFill="1" applyBorder="1" applyAlignment="1">
      <alignment horizontal="right" vertical="center"/>
    </xf>
    <xf numFmtId="166" fontId="15" fillId="22" borderId="0" xfId="0" applyNumberFormat="1" applyFont="1" applyFill="1" applyAlignment="1">
      <alignment horizontal="right" vertical="center"/>
    </xf>
    <xf numFmtId="166" fontId="7" fillId="56" borderId="0" xfId="0" applyNumberFormat="1" applyFont="1" applyFill="1" applyAlignment="1">
      <alignment horizontal="right" vertical="center"/>
    </xf>
    <xf numFmtId="166" fontId="7" fillId="56" borderId="14" xfId="0" applyNumberFormat="1" applyFont="1" applyFill="1" applyBorder="1" applyAlignment="1">
      <alignment horizontal="right" vertical="center"/>
    </xf>
    <xf numFmtId="1" fontId="8" fillId="21" borderId="14" xfId="0" applyNumberFormat="1" applyFont="1" applyFill="1" applyBorder="1" applyAlignment="1">
      <alignment horizontal="center" vertical="center"/>
    </xf>
    <xf numFmtId="177" fontId="7" fillId="22" borderId="17" xfId="0" applyNumberFormat="1" applyFont="1" applyFill="1" applyBorder="1" applyAlignment="1">
      <alignment vertical="center"/>
    </xf>
    <xf numFmtId="177" fontId="7" fillId="55" borderId="17" xfId="0" applyNumberFormat="1" applyFont="1" applyFill="1" applyBorder="1" applyAlignment="1">
      <alignment vertical="center"/>
    </xf>
    <xf numFmtId="167" fontId="15" fillId="0" borderId="14" xfId="0" applyNumberFormat="1" applyFont="1" applyBorder="1"/>
    <xf numFmtId="167" fontId="89" fillId="55" borderId="0" xfId="0" applyNumberFormat="1" applyFont="1" applyFill="1" applyAlignment="1">
      <alignment vertical="center"/>
    </xf>
    <xf numFmtId="167" fontId="89" fillId="55" borderId="14" xfId="0" applyNumberFormat="1" applyFont="1" applyFill="1" applyBorder="1" applyAlignment="1">
      <alignment vertical="center"/>
    </xf>
    <xf numFmtId="167" fontId="15" fillId="0" borderId="14" xfId="0" quotePrefix="1" applyNumberFormat="1" applyFont="1" applyBorder="1" applyAlignment="1">
      <alignment horizontal="right" vertical="center"/>
    </xf>
    <xf numFmtId="166" fontId="8" fillId="22" borderId="12" xfId="0" applyNumberFormat="1" applyFont="1" applyFill="1" applyBorder="1" applyAlignment="1">
      <alignment horizontal="center" vertical="center"/>
    </xf>
    <xf numFmtId="166" fontId="8" fillId="55" borderId="7" xfId="0" applyNumberFormat="1" applyFont="1" applyFill="1" applyBorder="1" applyAlignment="1">
      <alignment horizontal="center" vertical="center"/>
    </xf>
    <xf numFmtId="0" fontId="93" fillId="0" borderId="0" xfId="0" applyFont="1" applyAlignment="1">
      <alignment horizontal="left" vertical="top"/>
    </xf>
    <xf numFmtId="0" fontId="89" fillId="0" borderId="0" xfId="0" applyFont="1"/>
    <xf numFmtId="0" fontId="94" fillId="0" borderId="0" xfId="0" quotePrefix="1" applyFont="1" applyAlignment="1">
      <alignment horizontal="right" vertical="top"/>
    </xf>
    <xf numFmtId="0" fontId="88" fillId="0" borderId="0" xfId="0" applyFont="1" applyAlignment="1">
      <alignment horizontal="left" vertical="top"/>
    </xf>
    <xf numFmtId="0" fontId="89" fillId="0" borderId="0" xfId="0" applyFont="1" applyAlignment="1">
      <alignment vertical="top"/>
    </xf>
    <xf numFmtId="0" fontId="88" fillId="0" borderId="0" xfId="0" applyFont="1" applyAlignment="1">
      <alignment horizontal="left"/>
    </xf>
    <xf numFmtId="0" fontId="88" fillId="0" borderId="0" xfId="0" applyFont="1" applyAlignment="1">
      <alignment horizontal="center" vertical="center" wrapText="1"/>
    </xf>
    <xf numFmtId="0" fontId="89" fillId="21" borderId="8" xfId="0" applyFont="1" applyFill="1" applyBorder="1" applyAlignment="1">
      <alignment horizontal="center" vertical="center"/>
    </xf>
    <xf numFmtId="0" fontId="89" fillId="0" borderId="14" xfId="0" applyFont="1" applyBorder="1"/>
    <xf numFmtId="0" fontId="89" fillId="0" borderId="14" xfId="0" applyFont="1" applyBorder="1" applyAlignment="1">
      <alignment horizontal="center"/>
    </xf>
    <xf numFmtId="0" fontId="89" fillId="0" borderId="0" xfId="0" applyFont="1" applyAlignment="1">
      <alignment horizontal="center"/>
    </xf>
    <xf numFmtId="0" fontId="90" fillId="0" borderId="0" xfId="0" applyFont="1"/>
    <xf numFmtId="0" fontId="90" fillId="0" borderId="0" xfId="0" applyFont="1" applyAlignment="1">
      <alignment vertical="top"/>
    </xf>
    <xf numFmtId="0" fontId="90" fillId="0" borderId="0" xfId="0" applyFont="1" applyAlignment="1">
      <alignment vertical="center"/>
    </xf>
    <xf numFmtId="164" fontId="7" fillId="0" borderId="7" xfId="0" applyNumberFormat="1" applyFont="1" applyBorder="1" applyAlignment="1">
      <alignment horizontal="right" vertical="center"/>
    </xf>
    <xf numFmtId="166" fontId="7" fillId="0" borderId="24" xfId="0" applyNumberFormat="1" applyFont="1" applyBorder="1" applyAlignment="1">
      <alignment horizontal="right" vertical="center"/>
    </xf>
    <xf numFmtId="166" fontId="7" fillId="0" borderId="8" xfId="0" applyNumberFormat="1" applyFont="1" applyBorder="1" applyAlignment="1">
      <alignment horizontal="right" vertical="center" wrapText="1"/>
    </xf>
    <xf numFmtId="166" fontId="7" fillId="0" borderId="10" xfId="0" applyNumberFormat="1" applyFont="1" applyBorder="1" applyAlignment="1">
      <alignment horizontal="right" vertical="center" wrapText="1"/>
    </xf>
    <xf numFmtId="1" fontId="7" fillId="0" borderId="9" xfId="0" quotePrefix="1" applyNumberFormat="1" applyFont="1" applyBorder="1" applyAlignment="1">
      <alignment horizontal="right" vertical="center"/>
    </xf>
    <xf numFmtId="1" fontId="7" fillId="0" borderId="7" xfId="0" quotePrefix="1" applyNumberFormat="1" applyFont="1" applyBorder="1" applyAlignment="1">
      <alignment horizontal="right" vertical="center"/>
    </xf>
    <xf numFmtId="1" fontId="7" fillId="0" borderId="8" xfId="0" quotePrefix="1" applyNumberFormat="1" applyFont="1" applyBorder="1" applyAlignment="1">
      <alignment horizontal="right" vertical="center"/>
    </xf>
    <xf numFmtId="1" fontId="8" fillId="0" borderId="17" xfId="0" applyNumberFormat="1" applyFont="1" applyBorder="1" applyAlignment="1">
      <alignment horizontal="center" vertical="center"/>
    </xf>
    <xf numFmtId="167" fontId="0" fillId="0" borderId="0" xfId="0" applyNumberFormat="1"/>
    <xf numFmtId="0" fontId="94" fillId="0" borderId="0" xfId="0" applyFont="1" applyAlignment="1">
      <alignment horizontal="center" vertical="top"/>
    </xf>
    <xf numFmtId="0" fontId="91" fillId="0" borderId="0" xfId="0" applyFont="1" applyAlignment="1">
      <alignment horizontal="center" vertical="top"/>
    </xf>
    <xf numFmtId="0" fontId="89" fillId="0" borderId="0" xfId="0" applyFont="1" applyAlignment="1">
      <alignment horizontal="center" vertical="center"/>
    </xf>
    <xf numFmtId="171" fontId="7" fillId="55" borderId="9" xfId="0" applyNumberFormat="1" applyFont="1" applyFill="1" applyBorder="1" applyAlignment="1">
      <alignment horizontal="right" vertical="center"/>
    </xf>
    <xf numFmtId="171" fontId="7" fillId="55" borderId="8" xfId="0" applyNumberFormat="1" applyFont="1" applyFill="1" applyBorder="1" applyAlignment="1">
      <alignment horizontal="right" vertical="center"/>
    </xf>
    <xf numFmtId="167" fontId="7" fillId="55" borderId="13" xfId="0" applyNumberFormat="1" applyFont="1" applyFill="1" applyBorder="1" applyAlignment="1">
      <alignment horizontal="right" vertical="center"/>
    </xf>
    <xf numFmtId="167" fontId="8" fillId="0" borderId="13" xfId="0" applyNumberFormat="1" applyFont="1" applyBorder="1" applyAlignment="1">
      <alignment horizontal="center"/>
    </xf>
    <xf numFmtId="167" fontId="8" fillId="55" borderId="14" xfId="0" applyNumberFormat="1" applyFont="1" applyFill="1" applyBorder="1" applyAlignment="1">
      <alignment horizontal="center"/>
    </xf>
    <xf numFmtId="167" fontId="8" fillId="0" borderId="14" xfId="0" applyNumberFormat="1" applyFont="1" applyBorder="1" applyAlignment="1">
      <alignment horizontal="center"/>
    </xf>
    <xf numFmtId="167" fontId="88" fillId="55" borderId="14" xfId="0" applyNumberFormat="1" applyFont="1" applyFill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0" fontId="8" fillId="22" borderId="7" xfId="0" applyFont="1" applyFill="1" applyBorder="1" applyAlignment="1">
      <alignment horizontal="center" vertical="center"/>
    </xf>
    <xf numFmtId="166" fontId="8" fillId="22" borderId="10" xfId="0" applyNumberFormat="1" applyFont="1" applyFill="1" applyBorder="1" applyAlignment="1">
      <alignment horizontal="center" vertical="center"/>
    </xf>
    <xf numFmtId="0" fontId="8" fillId="22" borderId="10" xfId="0" applyFont="1" applyFill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166" fontId="8" fillId="0" borderId="12" xfId="0" applyNumberFormat="1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176" fontId="15" fillId="22" borderId="14" xfId="0" applyNumberFormat="1" applyFont="1" applyFill="1" applyBorder="1" applyAlignment="1">
      <alignment horizontal="right" vertical="center"/>
    </xf>
    <xf numFmtId="176" fontId="12" fillId="0" borderId="0" xfId="0" applyNumberFormat="1" applyFont="1"/>
    <xf numFmtId="176" fontId="7" fillId="0" borderId="0" xfId="0" applyNumberFormat="1" applyFont="1"/>
    <xf numFmtId="3" fontId="7" fillId="0" borderId="0" xfId="0" applyNumberFormat="1" applyFont="1" applyAlignment="1">
      <alignment horizontal="center" vertical="center"/>
    </xf>
    <xf numFmtId="167" fontId="7" fillId="0" borderId="5" xfId="0" applyNumberFormat="1" applyFont="1" applyBorder="1" applyAlignment="1">
      <alignment horizontal="center" vertical="center"/>
    </xf>
    <xf numFmtId="167" fontId="89" fillId="0" borderId="5" xfId="0" applyNumberFormat="1" applyFont="1" applyBorder="1" applyAlignment="1">
      <alignment horizontal="center" vertical="center"/>
    </xf>
    <xf numFmtId="174" fontId="7" fillId="0" borderId="5" xfId="0" applyNumberFormat="1" applyFont="1" applyBorder="1" applyAlignment="1">
      <alignment horizontal="right" vertical="center"/>
    </xf>
    <xf numFmtId="167" fontId="7" fillId="55" borderId="56" xfId="0" applyNumberFormat="1" applyFont="1" applyFill="1" applyBorder="1" applyAlignment="1">
      <alignment horizontal="right" vertical="center"/>
    </xf>
    <xf numFmtId="1" fontId="7" fillId="0" borderId="14" xfId="0" applyNumberFormat="1" applyFont="1" applyBorder="1" applyAlignment="1">
      <alignment horizontal="right" vertical="center" wrapText="1"/>
    </xf>
    <xf numFmtId="1" fontId="7" fillId="0" borderId="10" xfId="0" applyNumberFormat="1" applyFont="1" applyBorder="1" applyAlignment="1">
      <alignment horizontal="right" vertical="center"/>
    </xf>
    <xf numFmtId="167" fontId="7" fillId="56" borderId="10" xfId="0" applyNumberFormat="1" applyFont="1" applyFill="1" applyBorder="1" applyAlignment="1">
      <alignment horizontal="right" vertical="center"/>
    </xf>
    <xf numFmtId="1" fontId="7" fillId="56" borderId="14" xfId="0" applyNumberFormat="1" applyFont="1" applyFill="1" applyBorder="1" applyAlignment="1">
      <alignment horizontal="right" vertical="center"/>
    </xf>
    <xf numFmtId="1" fontId="7" fillId="55" borderId="10" xfId="0" applyNumberFormat="1" applyFont="1" applyFill="1" applyBorder="1" applyAlignment="1">
      <alignment horizontal="right" vertical="center"/>
    </xf>
    <xf numFmtId="186" fontId="16" fillId="22" borderId="16" xfId="0" applyNumberFormat="1" applyFont="1" applyFill="1" applyBorder="1" applyAlignment="1">
      <alignment horizontal="right" vertical="center"/>
    </xf>
    <xf numFmtId="186" fontId="8" fillId="22" borderId="5" xfId="0" applyNumberFormat="1" applyFont="1" applyFill="1" applyBorder="1" applyAlignment="1">
      <alignment horizontal="right" vertical="center"/>
    </xf>
    <xf numFmtId="186" fontId="7" fillId="0" borderId="6" xfId="0" applyNumberFormat="1" applyFont="1" applyBorder="1" applyAlignment="1">
      <alignment horizontal="right" vertical="center"/>
    </xf>
    <xf numFmtId="186" fontId="7" fillId="0" borderId="15" xfId="0" applyNumberFormat="1" applyFont="1" applyBorder="1" applyAlignment="1">
      <alignment horizontal="right" vertical="center"/>
    </xf>
    <xf numFmtId="186" fontId="7" fillId="0" borderId="16" xfId="0" applyNumberFormat="1" applyFont="1" applyBorder="1" applyAlignment="1">
      <alignment horizontal="right" vertical="center"/>
    </xf>
    <xf numFmtId="1" fontId="7" fillId="0" borderId="0" xfId="0" applyNumberFormat="1" applyFont="1" applyAlignment="1">
      <alignment vertical="center"/>
    </xf>
    <xf numFmtId="186" fontId="7" fillId="22" borderId="2" xfId="0" applyNumberFormat="1" applyFont="1" applyFill="1" applyBorder="1" applyAlignment="1">
      <alignment horizontal="right" vertical="center"/>
    </xf>
    <xf numFmtId="186" fontId="7" fillId="22" borderId="17" xfId="0" applyNumberFormat="1" applyFont="1" applyFill="1" applyBorder="1" applyAlignment="1">
      <alignment horizontal="right" vertical="center"/>
    </xf>
    <xf numFmtId="186" fontId="7" fillId="22" borderId="0" xfId="0" applyNumberFormat="1" applyFont="1" applyFill="1" applyAlignment="1">
      <alignment horizontal="right" vertical="center"/>
    </xf>
    <xf numFmtId="186" fontId="7" fillId="0" borderId="2" xfId="0" applyNumberFormat="1" applyFont="1" applyBorder="1" applyAlignment="1">
      <alignment horizontal="right" vertical="center"/>
    </xf>
    <xf numFmtId="186" fontId="7" fillId="0" borderId="17" xfId="0" applyNumberFormat="1" applyFont="1" applyBorder="1" applyAlignment="1">
      <alignment horizontal="right" vertical="center"/>
    </xf>
    <xf numFmtId="186" fontId="7" fillId="0" borderId="0" xfId="0" applyNumberFormat="1" applyFont="1" applyAlignment="1">
      <alignment horizontal="right" vertical="center"/>
    </xf>
    <xf numFmtId="186" fontId="7" fillId="0" borderId="22" xfId="0" applyNumberFormat="1" applyFont="1" applyBorder="1" applyAlignment="1">
      <alignment horizontal="right" vertical="center"/>
    </xf>
    <xf numFmtId="1" fontId="7" fillId="22" borderId="21" xfId="0" applyNumberFormat="1" applyFont="1" applyFill="1" applyBorder="1" applyAlignment="1">
      <alignment vertical="center"/>
    </xf>
    <xf numFmtId="186" fontId="7" fillId="55" borderId="2" xfId="0" applyNumberFormat="1" applyFont="1" applyFill="1" applyBorder="1" applyAlignment="1">
      <alignment horizontal="right" vertical="center"/>
    </xf>
    <xf numFmtId="186" fontId="7" fillId="55" borderId="17" xfId="0" applyNumberFormat="1" applyFont="1" applyFill="1" applyBorder="1" applyAlignment="1">
      <alignment horizontal="right" vertical="center"/>
    </xf>
    <xf numFmtId="186" fontId="7" fillId="55" borderId="0" xfId="0" applyNumberFormat="1" applyFont="1" applyFill="1" applyAlignment="1">
      <alignment horizontal="right" vertical="center"/>
    </xf>
    <xf numFmtId="186" fontId="7" fillId="55" borderId="22" xfId="0" applyNumberFormat="1" applyFont="1" applyFill="1" applyBorder="1" applyAlignment="1">
      <alignment horizontal="right" vertical="center"/>
    </xf>
    <xf numFmtId="1" fontId="7" fillId="0" borderId="21" xfId="0" applyNumberFormat="1" applyFont="1" applyBorder="1" applyAlignment="1">
      <alignment vertical="center"/>
    </xf>
    <xf numFmtId="186" fontId="15" fillId="55" borderId="17" xfId="0" applyNumberFormat="1" applyFont="1" applyFill="1" applyBorder="1" applyAlignment="1">
      <alignment horizontal="right" vertical="center"/>
    </xf>
    <xf numFmtId="186" fontId="15" fillId="55" borderId="0" xfId="0" applyNumberFormat="1" applyFont="1" applyFill="1" applyAlignment="1">
      <alignment horizontal="right" vertical="center"/>
    </xf>
    <xf numFmtId="186" fontId="7" fillId="0" borderId="7" xfId="0" applyNumberFormat="1" applyFont="1" applyBorder="1" applyAlignment="1">
      <alignment horizontal="right" vertical="center"/>
    </xf>
    <xf numFmtId="186" fontId="7" fillId="0" borderId="8" xfId="0" applyNumberFormat="1" applyFont="1" applyBorder="1" applyAlignment="1">
      <alignment horizontal="right" vertical="center"/>
    </xf>
    <xf numFmtId="1" fontId="7" fillId="22" borderId="5" xfId="0" applyNumberFormat="1" applyFont="1" applyFill="1" applyBorder="1" applyAlignment="1">
      <alignment vertical="center"/>
    </xf>
    <xf numFmtId="1" fontId="7" fillId="0" borderId="8" xfId="0" applyNumberFormat="1" applyFont="1" applyBorder="1" applyAlignment="1">
      <alignment vertical="center"/>
    </xf>
    <xf numFmtId="1" fontId="7" fillId="0" borderId="14" xfId="0" applyNumberFormat="1" applyFont="1" applyBorder="1" applyAlignment="1">
      <alignment horizontal="center" vertical="center"/>
    </xf>
    <xf numFmtId="1" fontId="7" fillId="55" borderId="14" xfId="0" applyNumberFormat="1" applyFont="1" applyFill="1" applyBorder="1" applyAlignment="1">
      <alignment horizontal="center" vertical="center"/>
    </xf>
    <xf numFmtId="1" fontId="7" fillId="0" borderId="10" xfId="0" applyNumberFormat="1" applyFont="1" applyBorder="1" applyAlignment="1">
      <alignment horizontal="center" vertical="center"/>
    </xf>
    <xf numFmtId="1" fontId="7" fillId="22" borderId="14" xfId="0" applyNumberFormat="1" applyFont="1" applyFill="1" applyBorder="1" applyAlignment="1">
      <alignment horizontal="center" vertical="center"/>
    </xf>
    <xf numFmtId="1" fontId="15" fillId="0" borderId="0" xfId="0" applyNumberFormat="1" applyFont="1" applyAlignment="1">
      <alignment vertical="center"/>
    </xf>
    <xf numFmtId="1" fontId="7" fillId="55" borderId="0" xfId="0" applyNumberFormat="1" applyFont="1" applyFill="1" applyAlignment="1">
      <alignment horizontal="center" vertical="center"/>
    </xf>
    <xf numFmtId="1" fontId="7" fillId="22" borderId="0" xfId="0" applyNumberFormat="1" applyFont="1" applyFill="1" applyAlignment="1">
      <alignment horizontal="center" vertical="center"/>
    </xf>
    <xf numFmtId="1" fontId="7" fillId="0" borderId="8" xfId="0" applyNumberFormat="1" applyFont="1" applyBorder="1" applyAlignment="1">
      <alignment horizontal="center" vertical="center"/>
    </xf>
    <xf numFmtId="186" fontId="7" fillId="55" borderId="4" xfId="0" applyNumberFormat="1" applyFont="1" applyFill="1" applyBorder="1" applyAlignment="1">
      <alignment horizontal="right" vertical="center"/>
    </xf>
    <xf numFmtId="186" fontId="7" fillId="55" borderId="5" xfId="0" applyNumberFormat="1" applyFont="1" applyFill="1" applyBorder="1" applyAlignment="1">
      <alignment horizontal="right" vertical="center"/>
    </xf>
    <xf numFmtId="0" fontId="13" fillId="0" borderId="0" xfId="0" applyFont="1"/>
    <xf numFmtId="0" fontId="7" fillId="0" borderId="0" xfId="0" applyFont="1" applyAlignment="1">
      <alignment horizontal="right"/>
    </xf>
    <xf numFmtId="3" fontId="21" fillId="0" borderId="0" xfId="0" applyNumberFormat="1" applyFont="1" applyAlignment="1">
      <alignment horizontal="right" vertical="center" shrinkToFit="1"/>
    </xf>
    <xf numFmtId="0" fontId="8" fillId="0" borderId="16" xfId="0" applyFont="1" applyBorder="1" applyAlignment="1">
      <alignment wrapText="1"/>
    </xf>
    <xf numFmtId="0" fontId="8" fillId="0" borderId="0" xfId="0" applyFont="1" applyAlignment="1">
      <alignment wrapText="1"/>
    </xf>
    <xf numFmtId="0" fontId="20" fillId="0" borderId="0" xfId="0" quotePrefix="1" applyFont="1" applyAlignment="1">
      <alignment horizontal="left"/>
    </xf>
    <xf numFmtId="0" fontId="8" fillId="21" borderId="7" xfId="0" applyFont="1" applyFill="1" applyBorder="1" applyAlignment="1">
      <alignment horizontal="center" vertical="top" wrapText="1"/>
    </xf>
    <xf numFmtId="0" fontId="8" fillId="0" borderId="16" xfId="0" applyFont="1" applyBorder="1" applyAlignment="1">
      <alignment horizontal="left" wrapText="1"/>
    </xf>
    <xf numFmtId="0" fontId="30" fillId="0" borderId="0" xfId="0" applyFont="1" applyAlignment="1">
      <alignment horizontal="right" vertical="top"/>
    </xf>
    <xf numFmtId="166" fontId="7" fillId="0" borderId="0" xfId="0" applyNumberFormat="1" applyFont="1" applyAlignment="1">
      <alignment horizontal="right" vertical="top"/>
    </xf>
    <xf numFmtId="176" fontId="7" fillId="0" borderId="13" xfId="0" applyNumberFormat="1" applyFont="1" applyBorder="1" applyAlignment="1">
      <alignment horizontal="right" vertical="center"/>
    </xf>
    <xf numFmtId="176" fontId="15" fillId="0" borderId="14" xfId="0" applyNumberFormat="1" applyFont="1" applyBorder="1" applyAlignment="1">
      <alignment horizontal="right" vertical="center"/>
    </xf>
    <xf numFmtId="176" fontId="7" fillId="0" borderId="14" xfId="0" applyNumberFormat="1" applyFont="1" applyBorder="1" applyAlignment="1">
      <alignment horizontal="right" vertical="center"/>
    </xf>
    <xf numFmtId="176" fontId="15" fillId="0" borderId="0" xfId="0" applyNumberFormat="1" applyFont="1" applyAlignment="1">
      <alignment horizontal="right" vertical="center"/>
    </xf>
    <xf numFmtId="176" fontId="7" fillId="0" borderId="36" xfId="0" applyNumberFormat="1" applyFont="1" applyBorder="1" applyAlignment="1">
      <alignment horizontal="right" vertical="center"/>
    </xf>
    <xf numFmtId="0" fontId="4" fillId="0" borderId="0" xfId="0" applyFont="1" applyAlignment="1">
      <alignment horizontal="center"/>
    </xf>
    <xf numFmtId="165" fontId="7" fillId="0" borderId="15" xfId="0" applyNumberFormat="1" applyFont="1" applyBorder="1" applyAlignment="1">
      <alignment horizontal="right" vertical="center"/>
    </xf>
    <xf numFmtId="166" fontId="8" fillId="0" borderId="13" xfId="0" applyNumberFormat="1" applyFont="1" applyBorder="1" applyAlignment="1">
      <alignment horizontal="center" vertical="center"/>
    </xf>
    <xf numFmtId="165" fontId="7" fillId="0" borderId="17" xfId="0" applyNumberFormat="1" applyFont="1" applyBorder="1" applyAlignment="1">
      <alignment horizontal="right" vertical="center"/>
    </xf>
    <xf numFmtId="185" fontId="7" fillId="55" borderId="0" xfId="0" applyNumberFormat="1" applyFont="1" applyFill="1" applyAlignment="1">
      <alignment horizontal="right" vertical="center"/>
    </xf>
    <xf numFmtId="183" fontId="7" fillId="55" borderId="0" xfId="0" applyNumberFormat="1" applyFont="1" applyFill="1" applyAlignment="1">
      <alignment horizontal="right" vertical="center"/>
    </xf>
    <xf numFmtId="165" fontId="7" fillId="0" borderId="9" xfId="0" applyNumberFormat="1" applyFont="1" applyBorder="1" applyAlignment="1">
      <alignment horizontal="right" vertical="center"/>
    </xf>
    <xf numFmtId="0" fontId="8" fillId="0" borderId="0" xfId="0" applyFont="1" applyAlignment="1">
      <alignment horizontal="center" vertical="center" wrapText="1"/>
    </xf>
    <xf numFmtId="3" fontId="7" fillId="21" borderId="7" xfId="0" applyNumberFormat="1" applyFont="1" applyFill="1" applyBorder="1" applyAlignment="1">
      <alignment horizontal="center" vertical="center"/>
    </xf>
    <xf numFmtId="0" fontId="7" fillId="21" borderId="8" xfId="0" applyFont="1" applyFill="1" applyBorder="1" applyAlignment="1">
      <alignment horizontal="center" vertical="center"/>
    </xf>
    <xf numFmtId="3" fontId="7" fillId="21" borderId="9" xfId="0" applyNumberFormat="1" applyFont="1" applyFill="1" applyBorder="1" applyAlignment="1">
      <alignment horizontal="center" vertical="center"/>
    </xf>
    <xf numFmtId="0" fontId="7" fillId="21" borderId="9" xfId="0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center" textRotation="90"/>
    </xf>
    <xf numFmtId="0" fontId="8" fillId="22" borderId="4" xfId="0" applyFont="1" applyFill="1" applyBorder="1" applyAlignment="1">
      <alignment horizontal="center"/>
    </xf>
    <xf numFmtId="167" fontId="8" fillId="55" borderId="11" xfId="0" applyNumberFormat="1" applyFont="1" applyFill="1" applyBorder="1" applyAlignment="1">
      <alignment horizontal="right" vertical="center"/>
    </xf>
    <xf numFmtId="0" fontId="8" fillId="56" borderId="2" xfId="0" applyFont="1" applyFill="1" applyBorder="1" applyAlignment="1">
      <alignment horizontal="center"/>
    </xf>
    <xf numFmtId="1" fontId="7" fillId="56" borderId="17" xfId="0" applyNumberFormat="1" applyFont="1" applyFill="1" applyBorder="1" applyAlignment="1">
      <alignment horizontal="right" vertical="center"/>
    </xf>
    <xf numFmtId="1" fontId="7" fillId="56" borderId="0" xfId="0" applyNumberFormat="1" applyFont="1" applyFill="1" applyAlignment="1">
      <alignment horizontal="right" vertical="center"/>
    </xf>
    <xf numFmtId="0" fontId="8" fillId="55" borderId="2" xfId="0" applyFont="1" applyFill="1" applyBorder="1" applyAlignment="1">
      <alignment horizontal="center"/>
    </xf>
    <xf numFmtId="1" fontId="7" fillId="55" borderId="14" xfId="0" quotePrefix="1" applyNumberFormat="1" applyFont="1" applyFill="1" applyBorder="1" applyAlignment="1">
      <alignment horizontal="right" vertical="center"/>
    </xf>
    <xf numFmtId="1" fontId="7" fillId="55" borderId="0" xfId="0" quotePrefix="1" applyNumberFormat="1" applyFont="1" applyFill="1" applyAlignment="1">
      <alignment horizontal="right" vertical="center"/>
    </xf>
    <xf numFmtId="167" fontId="7" fillId="55" borderId="17" xfId="0" applyNumberFormat="1" applyFont="1" applyFill="1" applyBorder="1" applyAlignment="1">
      <alignment horizontal="right" vertical="center"/>
    </xf>
    <xf numFmtId="0" fontId="8" fillId="0" borderId="7" xfId="0" applyFont="1" applyBorder="1" applyAlignment="1">
      <alignment horizontal="center"/>
    </xf>
    <xf numFmtId="1" fontId="7" fillId="55" borderId="5" xfId="0" applyNumberFormat="1" applyFont="1" applyFill="1" applyBorder="1" applyAlignment="1">
      <alignment horizontal="right" vertical="center"/>
    </xf>
    <xf numFmtId="169" fontId="7" fillId="55" borderId="0" xfId="0" applyNumberFormat="1" applyFont="1" applyFill="1" applyAlignment="1">
      <alignment horizontal="right" vertical="center"/>
    </xf>
    <xf numFmtId="1" fontId="7" fillId="56" borderId="9" xfId="0" applyNumberFormat="1" applyFont="1" applyFill="1" applyBorder="1" applyAlignment="1">
      <alignment horizontal="right" vertical="center"/>
    </xf>
    <xf numFmtId="1" fontId="7" fillId="55" borderId="9" xfId="0" applyNumberFormat="1" applyFont="1" applyFill="1" applyBorder="1" applyAlignment="1">
      <alignment horizontal="right" vertical="center"/>
    </xf>
    <xf numFmtId="0" fontId="8" fillId="0" borderId="0" xfId="0" applyFont="1" applyAlignment="1">
      <alignment horizontal="left" vertical="center" wrapText="1"/>
    </xf>
    <xf numFmtId="1" fontId="7" fillId="0" borderId="14" xfId="0" quotePrefix="1" applyNumberFormat="1" applyFont="1" applyBorder="1" applyAlignment="1">
      <alignment horizontal="right" vertical="center"/>
    </xf>
    <xf numFmtId="1" fontId="7" fillId="55" borderId="8" xfId="0" quotePrefix="1" applyNumberFormat="1" applyFont="1" applyFill="1" applyBorder="1" applyAlignment="1">
      <alignment horizontal="right" vertical="center"/>
    </xf>
    <xf numFmtId="1" fontId="7" fillId="55" borderId="10" xfId="0" quotePrefix="1" applyNumberFormat="1" applyFont="1" applyFill="1" applyBorder="1" applyAlignment="1">
      <alignment horizontal="right" vertical="center"/>
    </xf>
    <xf numFmtId="1" fontId="8" fillId="55" borderId="2" xfId="0" quotePrefix="1" applyNumberFormat="1" applyFont="1" applyFill="1" applyBorder="1" applyAlignment="1">
      <alignment horizontal="right" vertical="center"/>
    </xf>
    <xf numFmtId="1" fontId="8" fillId="0" borderId="2" xfId="0" quotePrefix="1" applyNumberFormat="1" applyFont="1" applyBorder="1" applyAlignment="1">
      <alignment horizontal="right" vertical="center"/>
    </xf>
    <xf numFmtId="1" fontId="8" fillId="55" borderId="7" xfId="0" quotePrefix="1" applyNumberFormat="1" applyFont="1" applyFill="1" applyBorder="1" applyAlignment="1">
      <alignment horizontal="right" vertical="center"/>
    </xf>
    <xf numFmtId="169" fontId="7" fillId="56" borderId="0" xfId="0" applyNumberFormat="1" applyFont="1" applyFill="1" applyAlignment="1">
      <alignment horizontal="right" vertical="center"/>
    </xf>
    <xf numFmtId="169" fontId="7" fillId="56" borderId="14" xfId="0" applyNumberFormat="1" applyFont="1" applyFill="1" applyBorder="1" applyAlignment="1">
      <alignment horizontal="right" vertical="center"/>
    </xf>
    <xf numFmtId="169" fontId="7" fillId="0" borderId="0" xfId="0" applyNumberFormat="1" applyFont="1" applyAlignment="1">
      <alignment horizontal="right" vertical="center"/>
    </xf>
    <xf numFmtId="0" fontId="7" fillId="0" borderId="14" xfId="0" applyFont="1" applyBorder="1" applyAlignment="1">
      <alignment horizontal="right"/>
    </xf>
    <xf numFmtId="0" fontId="8" fillId="22" borderId="4" xfId="0" applyFont="1" applyFill="1" applyBorder="1" applyAlignment="1">
      <alignment horizontal="right"/>
    </xf>
    <xf numFmtId="1" fontId="8" fillId="22" borderId="12" xfId="0" applyNumberFormat="1" applyFont="1" applyFill="1" applyBorder="1" applyAlignment="1">
      <alignment horizontal="right"/>
    </xf>
    <xf numFmtId="1" fontId="8" fillId="22" borderId="11" xfId="0" applyNumberFormat="1" applyFont="1" applyFill="1" applyBorder="1" applyAlignment="1">
      <alignment horizontal="right"/>
    </xf>
    <xf numFmtId="169" fontId="8" fillId="22" borderId="11" xfId="0" applyNumberFormat="1" applyFont="1" applyFill="1" applyBorder="1" applyAlignment="1">
      <alignment horizontal="right"/>
    </xf>
    <xf numFmtId="169" fontId="8" fillId="22" borderId="12" xfId="0" applyNumberFormat="1" applyFont="1" applyFill="1" applyBorder="1" applyAlignment="1">
      <alignment horizontal="right"/>
    </xf>
    <xf numFmtId="0" fontId="8" fillId="56" borderId="2" xfId="0" applyFont="1" applyFill="1" applyBorder="1" applyAlignment="1">
      <alignment horizontal="right"/>
    </xf>
    <xf numFmtId="169" fontId="7" fillId="56" borderId="17" xfId="0" applyNumberFormat="1" applyFont="1" applyFill="1" applyBorder="1" applyAlignment="1">
      <alignment horizontal="right" vertical="center"/>
    </xf>
    <xf numFmtId="0" fontId="8" fillId="55" borderId="2" xfId="0" applyFont="1" applyFill="1" applyBorder="1" applyAlignment="1">
      <alignment horizontal="right"/>
    </xf>
    <xf numFmtId="0" fontId="8" fillId="0" borderId="2" xfId="0" applyFont="1" applyBorder="1" applyAlignment="1">
      <alignment horizontal="right"/>
    </xf>
    <xf numFmtId="0" fontId="8" fillId="0" borderId="7" xfId="0" applyFont="1" applyBorder="1" applyAlignment="1">
      <alignment horizontal="right"/>
    </xf>
    <xf numFmtId="169" fontId="7" fillId="56" borderId="9" xfId="0" applyNumberFormat="1" applyFont="1" applyFill="1" applyBorder="1" applyAlignment="1">
      <alignment horizontal="right" vertical="center"/>
    </xf>
    <xf numFmtId="169" fontId="7" fillId="56" borderId="8" xfId="0" applyNumberFormat="1" applyFont="1" applyFill="1" applyBorder="1" applyAlignment="1">
      <alignment horizontal="right" vertical="center"/>
    </xf>
    <xf numFmtId="0" fontId="8" fillId="55" borderId="7" xfId="0" applyFont="1" applyFill="1" applyBorder="1" applyAlignment="1">
      <alignment horizontal="right"/>
    </xf>
    <xf numFmtId="169" fontId="7" fillId="55" borderId="8" xfId="0" applyNumberFormat="1" applyFont="1" applyFill="1" applyBorder="1" applyAlignment="1">
      <alignment horizontal="right" vertical="center"/>
    </xf>
    <xf numFmtId="169" fontId="7" fillId="55" borderId="10" xfId="0" applyNumberFormat="1" applyFont="1" applyFill="1" applyBorder="1" applyAlignment="1">
      <alignment horizontal="right" vertical="center"/>
    </xf>
    <xf numFmtId="0" fontId="8" fillId="0" borderId="2" xfId="0" applyFont="1" applyBorder="1" applyAlignment="1">
      <alignment horizontal="right" vertical="center"/>
    </xf>
    <xf numFmtId="0" fontId="8" fillId="55" borderId="2" xfId="0" applyFont="1" applyFill="1" applyBorder="1" applyAlignment="1">
      <alignment horizontal="right" vertical="center"/>
    </xf>
    <xf numFmtId="0" fontId="7" fillId="55" borderId="14" xfId="0" applyFont="1" applyFill="1" applyBorder="1" applyAlignment="1">
      <alignment horizontal="right"/>
    </xf>
    <xf numFmtId="169" fontId="7" fillId="55" borderId="9" xfId="0" applyNumberFormat="1" applyFont="1" applyFill="1" applyBorder="1" applyAlignment="1">
      <alignment horizontal="right" vertical="center"/>
    </xf>
    <xf numFmtId="179" fontId="8" fillId="22" borderId="29" xfId="0" applyNumberFormat="1" applyFont="1" applyFill="1" applyBorder="1" applyAlignment="1">
      <alignment horizontal="right" vertical="center"/>
    </xf>
    <xf numFmtId="0" fontId="8" fillId="22" borderId="2" xfId="0" applyFont="1" applyFill="1" applyBorder="1" applyAlignment="1">
      <alignment horizontal="left" vertical="center" wrapText="1"/>
    </xf>
    <xf numFmtId="179" fontId="88" fillId="22" borderId="0" xfId="0" applyNumberFormat="1" applyFont="1" applyFill="1" applyAlignment="1">
      <alignment horizontal="right" vertical="center"/>
    </xf>
    <xf numFmtId="179" fontId="8" fillId="22" borderId="30" xfId="0" applyNumberFormat="1" applyFont="1" applyFill="1" applyBorder="1" applyAlignment="1">
      <alignment horizontal="right" vertical="center"/>
    </xf>
    <xf numFmtId="0" fontId="7" fillId="0" borderId="2" xfId="0" applyFont="1" applyBorder="1" applyAlignment="1">
      <alignment horizontal="left" vertical="center" wrapText="1"/>
    </xf>
    <xf numFmtId="179" fontId="89" fillId="0" borderId="17" xfId="0" applyNumberFormat="1" applyFont="1" applyBorder="1" applyAlignment="1">
      <alignment horizontal="right" vertical="center"/>
    </xf>
    <xf numFmtId="179" fontId="89" fillId="0" borderId="30" xfId="0" applyNumberFormat="1" applyFont="1" applyBorder="1" applyAlignment="1">
      <alignment horizontal="right" vertical="center"/>
    </xf>
    <xf numFmtId="179" fontId="89" fillId="0" borderId="31" xfId="0" applyNumberFormat="1" applyFont="1" applyBorder="1" applyAlignment="1">
      <alignment horizontal="right" vertical="center"/>
    </xf>
    <xf numFmtId="3" fontId="89" fillId="0" borderId="30" xfId="0" applyNumberFormat="1" applyFont="1" applyBorder="1" applyAlignment="1">
      <alignment horizontal="right" vertical="center"/>
    </xf>
    <xf numFmtId="9" fontId="89" fillId="0" borderId="55" xfId="0" applyNumberFormat="1" applyFont="1" applyBorder="1" applyAlignment="1">
      <alignment horizontal="right" vertical="center"/>
    </xf>
    <xf numFmtId="179" fontId="89" fillId="0" borderId="0" xfId="0" applyNumberFormat="1" applyFont="1" applyAlignment="1">
      <alignment horizontal="right" vertical="center"/>
    </xf>
    <xf numFmtId="179" fontId="7" fillId="0" borderId="30" xfId="0" applyNumberFormat="1" applyFont="1" applyBorder="1" applyAlignment="1">
      <alignment horizontal="right" vertical="center"/>
    </xf>
    <xf numFmtId="9" fontId="89" fillId="0" borderId="14" xfId="0" applyNumberFormat="1" applyFont="1" applyBorder="1" applyAlignment="1">
      <alignment horizontal="right" vertical="center"/>
    </xf>
    <xf numFmtId="0" fontId="8" fillId="0" borderId="2" xfId="0" applyFont="1" applyBorder="1" applyAlignment="1">
      <alignment horizontal="right" vertical="center" wrapText="1"/>
    </xf>
    <xf numFmtId="179" fontId="15" fillId="0" borderId="30" xfId="0" applyNumberFormat="1" applyFont="1" applyBorder="1" applyAlignment="1">
      <alignment horizontal="right" vertical="center"/>
    </xf>
    <xf numFmtId="0" fontId="8" fillId="22" borderId="6" xfId="0" applyFont="1" applyFill="1" applyBorder="1" applyAlignment="1">
      <alignment horizontal="left" vertical="center" wrapText="1"/>
    </xf>
    <xf numFmtId="179" fontId="7" fillId="22" borderId="32" xfId="0" applyNumberFormat="1" applyFont="1" applyFill="1" applyBorder="1" applyAlignment="1">
      <alignment horizontal="right" vertical="center"/>
    </xf>
    <xf numFmtId="9" fontId="89" fillId="0" borderId="0" xfId="0" applyNumberFormat="1" applyFont="1" applyAlignment="1">
      <alignment horizontal="right" vertical="center"/>
    </xf>
    <xf numFmtId="0" fontId="8" fillId="0" borderId="7" xfId="0" applyFont="1" applyBorder="1" applyAlignment="1">
      <alignment horizontal="left" vertical="center" wrapText="1"/>
    </xf>
    <xf numFmtId="179" fontId="89" fillId="0" borderId="9" xfId="0" applyNumberFormat="1" applyFont="1" applyBorder="1" applyAlignment="1">
      <alignment horizontal="right" vertical="center"/>
    </xf>
    <xf numFmtId="179" fontId="89" fillId="0" borderId="33" xfId="0" applyNumberFormat="1" applyFont="1" applyBorder="1" applyAlignment="1">
      <alignment horizontal="right" vertical="center"/>
    </xf>
    <xf numFmtId="179" fontId="89" fillId="0" borderId="34" xfId="0" applyNumberFormat="1" applyFont="1" applyBorder="1" applyAlignment="1">
      <alignment horizontal="right" vertical="center"/>
    </xf>
    <xf numFmtId="3" fontId="89" fillId="0" borderId="33" xfId="0" applyNumberFormat="1" applyFont="1" applyBorder="1" applyAlignment="1">
      <alignment horizontal="right" vertical="center"/>
    </xf>
    <xf numFmtId="9" fontId="89" fillId="0" borderId="8" xfId="0" applyNumberFormat="1" applyFont="1" applyBorder="1" applyAlignment="1">
      <alignment horizontal="right" vertical="center"/>
    </xf>
    <xf numFmtId="179" fontId="89" fillId="0" borderId="8" xfId="0" applyNumberFormat="1" applyFont="1" applyBorder="1" applyAlignment="1">
      <alignment horizontal="right" vertical="center"/>
    </xf>
    <xf numFmtId="179" fontId="7" fillId="0" borderId="33" xfId="0" applyNumberFormat="1" applyFont="1" applyBorder="1" applyAlignment="1">
      <alignment horizontal="right" vertical="center"/>
    </xf>
    <xf numFmtId="9" fontId="89" fillId="0" borderId="10" xfId="0" applyNumberFormat="1" applyFont="1" applyBorder="1" applyAlignment="1">
      <alignment horizontal="right" vertical="center"/>
    </xf>
    <xf numFmtId="179" fontId="7" fillId="22" borderId="29" xfId="0" applyNumberFormat="1" applyFont="1" applyFill="1" applyBorder="1" applyAlignment="1">
      <alignment horizontal="right" vertical="center"/>
    </xf>
    <xf numFmtId="9" fontId="88" fillId="22" borderId="0" xfId="0" applyNumberFormat="1" applyFont="1" applyFill="1" applyAlignment="1">
      <alignment horizontal="right" vertical="center"/>
    </xf>
    <xf numFmtId="179" fontId="7" fillId="22" borderId="30" xfId="0" applyNumberFormat="1" applyFont="1" applyFill="1" applyBorder="1" applyAlignment="1">
      <alignment horizontal="right" vertical="center"/>
    </xf>
    <xf numFmtId="0" fontId="8" fillId="0" borderId="7" xfId="0" applyFont="1" applyBorder="1" applyAlignment="1">
      <alignment horizontal="right" vertical="center" wrapText="1"/>
    </xf>
    <xf numFmtId="3" fontId="8" fillId="0" borderId="0" xfId="0" applyNumberFormat="1" applyFont="1" applyAlignment="1">
      <alignment horizontal="right" vertical="center"/>
    </xf>
    <xf numFmtId="3" fontId="7" fillId="0" borderId="0" xfId="0" applyNumberFormat="1" applyFont="1" applyAlignment="1">
      <alignment horizontal="right" vertical="center"/>
    </xf>
    <xf numFmtId="165" fontId="7" fillId="0" borderId="0" xfId="0" applyNumberFormat="1" applyFont="1" applyAlignment="1">
      <alignment horizontal="right" vertical="center"/>
    </xf>
    <xf numFmtId="3" fontId="89" fillId="22" borderId="0" xfId="0" applyNumberFormat="1" applyFont="1" applyFill="1" applyAlignment="1">
      <alignment horizontal="right" vertical="center"/>
    </xf>
    <xf numFmtId="0" fontId="88" fillId="0" borderId="2" xfId="0" applyFont="1" applyBorder="1" applyAlignment="1">
      <alignment horizontal="left" vertical="center" wrapText="1"/>
    </xf>
    <xf numFmtId="167" fontId="89" fillId="0" borderId="17" xfId="0" applyNumberFormat="1" applyFont="1" applyBorder="1" applyAlignment="1">
      <alignment horizontal="right" vertical="center"/>
    </xf>
    <xf numFmtId="167" fontId="89" fillId="0" borderId="30" xfId="0" applyNumberFormat="1" applyFont="1" applyBorder="1" applyAlignment="1">
      <alignment horizontal="right" vertical="center"/>
    </xf>
    <xf numFmtId="167" fontId="89" fillId="0" borderId="31" xfId="0" applyNumberFormat="1" applyFont="1" applyBorder="1" applyAlignment="1">
      <alignment horizontal="right" vertical="center"/>
    </xf>
    <xf numFmtId="3" fontId="89" fillId="0" borderId="0" xfId="0" applyNumberFormat="1" applyFont="1" applyAlignment="1">
      <alignment horizontal="right" vertical="center"/>
    </xf>
    <xf numFmtId="167" fontId="89" fillId="0" borderId="0" xfId="0" applyNumberFormat="1" applyFont="1" applyAlignment="1">
      <alignment horizontal="right" vertical="center"/>
    </xf>
    <xf numFmtId="0" fontId="89" fillId="0" borderId="0" xfId="0" applyFont="1" applyAlignment="1">
      <alignment horizontal="right" vertical="center"/>
    </xf>
    <xf numFmtId="0" fontId="88" fillId="0" borderId="7" xfId="0" applyFont="1" applyBorder="1" applyAlignment="1">
      <alignment horizontal="left" vertical="center" wrapText="1"/>
    </xf>
    <xf numFmtId="167" fontId="89" fillId="0" borderId="9" xfId="0" applyNumberFormat="1" applyFont="1" applyBorder="1" applyAlignment="1">
      <alignment horizontal="right" vertical="center"/>
    </xf>
    <xf numFmtId="167" fontId="89" fillId="0" borderId="33" xfId="0" applyNumberFormat="1" applyFont="1" applyBorder="1" applyAlignment="1">
      <alignment horizontal="right" vertical="center"/>
    </xf>
    <xf numFmtId="167" fontId="89" fillId="0" borderId="34" xfId="0" applyNumberFormat="1" applyFont="1" applyBorder="1" applyAlignment="1">
      <alignment horizontal="right" vertical="center"/>
    </xf>
    <xf numFmtId="3" fontId="89" fillId="0" borderId="8" xfId="0" applyNumberFormat="1" applyFont="1" applyBorder="1" applyAlignment="1">
      <alignment horizontal="right" vertical="center"/>
    </xf>
    <xf numFmtId="167" fontId="89" fillId="0" borderId="8" xfId="0" applyNumberFormat="1" applyFont="1" applyBorder="1" applyAlignment="1">
      <alignment horizontal="right" vertical="center"/>
    </xf>
    <xf numFmtId="0" fontId="89" fillId="0" borderId="8" xfId="0" applyFont="1" applyBorder="1" applyAlignment="1">
      <alignment horizontal="right" vertical="center"/>
    </xf>
    <xf numFmtId="0" fontId="89" fillId="0" borderId="16" xfId="0" applyFont="1" applyBorder="1" applyAlignment="1">
      <alignment horizontal="left" vertical="center" wrapText="1"/>
    </xf>
    <xf numFmtId="3" fontId="89" fillId="0" borderId="16" xfId="0" applyNumberFormat="1" applyFont="1" applyBorder="1" applyAlignment="1">
      <alignment horizontal="right" vertical="center"/>
    </xf>
    <xf numFmtId="9" fontId="89" fillId="0" borderId="16" xfId="0" applyNumberFormat="1" applyFont="1" applyBorder="1" applyAlignment="1">
      <alignment horizontal="right" vertical="center" wrapText="1"/>
    </xf>
    <xf numFmtId="0" fontId="89" fillId="0" borderId="16" xfId="0" applyFont="1" applyBorder="1" applyAlignment="1">
      <alignment horizontal="right" vertical="center"/>
    </xf>
    <xf numFmtId="9" fontId="89" fillId="0" borderId="16" xfId="0" applyNumberFormat="1" applyFont="1" applyBorder="1" applyAlignment="1">
      <alignment horizontal="right" vertical="center"/>
    </xf>
    <xf numFmtId="0" fontId="88" fillId="0" borderId="7" xfId="0" applyFont="1" applyBorder="1" applyAlignment="1">
      <alignment horizontal="right" vertical="center" wrapText="1"/>
    </xf>
    <xf numFmtId="3" fontId="88" fillId="0" borderId="9" xfId="0" applyNumberFormat="1" applyFont="1" applyBorder="1" applyAlignment="1">
      <alignment horizontal="right" vertical="center"/>
    </xf>
    <xf numFmtId="3" fontId="88" fillId="0" borderId="33" xfId="0" applyNumberFormat="1" applyFont="1" applyBorder="1" applyAlignment="1">
      <alignment horizontal="right" vertical="center"/>
    </xf>
    <xf numFmtId="3" fontId="88" fillId="0" borderId="34" xfId="0" applyNumberFormat="1" applyFont="1" applyBorder="1" applyAlignment="1">
      <alignment horizontal="right" vertical="center"/>
    </xf>
    <xf numFmtId="9" fontId="89" fillId="0" borderId="10" xfId="0" applyNumberFormat="1" applyFont="1" applyBorder="1" applyAlignment="1">
      <alignment horizontal="right" vertical="center" wrapText="1"/>
    </xf>
    <xf numFmtId="167" fontId="88" fillId="0" borderId="9" xfId="0" applyNumberFormat="1" applyFont="1" applyBorder="1" applyAlignment="1">
      <alignment horizontal="right" vertical="center"/>
    </xf>
    <xf numFmtId="0" fontId="88" fillId="0" borderId="8" xfId="0" applyFont="1" applyBorder="1" applyAlignment="1">
      <alignment horizontal="right" vertical="center"/>
    </xf>
    <xf numFmtId="167" fontId="88" fillId="0" borderId="42" xfId="0" applyNumberFormat="1" applyFont="1" applyBorder="1" applyAlignment="1">
      <alignment horizontal="right" vertical="center"/>
    </xf>
    <xf numFmtId="167" fontId="7" fillId="0" borderId="17" xfId="0" applyNumberFormat="1" applyFont="1" applyBorder="1" applyAlignment="1">
      <alignment horizontal="right" vertical="center"/>
    </xf>
    <xf numFmtId="167" fontId="7" fillId="0" borderId="24" xfId="0" applyNumberFormat="1" applyFont="1" applyBorder="1" applyAlignment="1">
      <alignment vertical="center"/>
    </xf>
    <xf numFmtId="167" fontId="15" fillId="0" borderId="10" xfId="0" applyNumberFormat="1" applyFont="1" applyBorder="1" applyAlignment="1">
      <alignment vertical="center"/>
    </xf>
    <xf numFmtId="167" fontId="95" fillId="22" borderId="14" xfId="0" applyNumberFormat="1" applyFont="1" applyFill="1" applyBorder="1" applyAlignment="1">
      <alignment vertical="center"/>
    </xf>
    <xf numFmtId="171" fontId="7" fillId="55" borderId="17" xfId="0" applyNumberFormat="1" applyFont="1" applyFill="1" applyBorder="1" applyAlignment="1">
      <alignment horizontal="right" vertical="center"/>
    </xf>
    <xf numFmtId="171" fontId="7" fillId="55" borderId="0" xfId="0" applyNumberFormat="1" applyFont="1" applyFill="1" applyAlignment="1">
      <alignment horizontal="right" vertical="center"/>
    </xf>
    <xf numFmtId="167" fontId="7" fillId="0" borderId="40" xfId="0" applyNumberFormat="1" applyFont="1" applyBorder="1" applyAlignment="1">
      <alignment vertical="center"/>
    </xf>
    <xf numFmtId="167" fontId="7" fillId="0" borderId="26" xfId="0" applyNumberFormat="1" applyFont="1" applyBorder="1" applyAlignment="1">
      <alignment horizontal="center"/>
    </xf>
    <xf numFmtId="167" fontId="8" fillId="0" borderId="27" xfId="0" applyNumberFormat="1" applyFont="1" applyBorder="1" applyAlignment="1">
      <alignment horizontal="center" vertical="center"/>
    </xf>
    <xf numFmtId="167" fontId="15" fillId="0" borderId="5" xfId="0" applyNumberFormat="1" applyFont="1" applyBorder="1" applyAlignment="1">
      <alignment vertical="center"/>
    </xf>
    <xf numFmtId="167" fontId="7" fillId="55" borderId="14" xfId="0" quotePrefix="1" applyNumberFormat="1" applyFont="1" applyFill="1" applyBorder="1" applyAlignment="1">
      <alignment horizontal="center" vertical="center"/>
    </xf>
    <xf numFmtId="167" fontId="15" fillId="55" borderId="14" xfId="0" applyNumberFormat="1" applyFont="1" applyFill="1" applyBorder="1" applyAlignment="1">
      <alignment horizontal="right" vertical="center"/>
    </xf>
    <xf numFmtId="171" fontId="7" fillId="0" borderId="11" xfId="0" applyNumberFormat="1" applyFont="1" applyBorder="1" applyAlignment="1">
      <alignment vertical="center"/>
    </xf>
    <xf numFmtId="171" fontId="7" fillId="0" borderId="5" xfId="0" applyNumberFormat="1" applyFont="1" applyBorder="1" applyAlignment="1">
      <alignment vertical="center"/>
    </xf>
    <xf numFmtId="167" fontId="7" fillId="0" borderId="5" xfId="0" applyNumberFormat="1" applyFont="1" applyBorder="1" applyAlignment="1">
      <alignment vertical="center"/>
    </xf>
    <xf numFmtId="167" fontId="7" fillId="0" borderId="5" xfId="0" applyNumberFormat="1" applyFont="1" applyBorder="1" applyAlignment="1">
      <alignment horizontal="right" vertical="center"/>
    </xf>
    <xf numFmtId="167" fontId="7" fillId="0" borderId="12" xfId="0" applyNumberFormat="1" applyFont="1" applyBorder="1" applyAlignment="1">
      <alignment horizontal="right" vertical="center"/>
    </xf>
    <xf numFmtId="0" fontId="98" fillId="0" borderId="0" xfId="0" applyFont="1" applyAlignment="1">
      <alignment horizontal="center"/>
    </xf>
    <xf numFmtId="0" fontId="98" fillId="0" borderId="0" xfId="0" applyFont="1"/>
    <xf numFmtId="176" fontId="15" fillId="55" borderId="14" xfId="0" applyNumberFormat="1" applyFont="1" applyFill="1" applyBorder="1" applyAlignment="1">
      <alignment horizontal="right" vertical="center"/>
    </xf>
    <xf numFmtId="176" fontId="7" fillId="0" borderId="12" xfId="0" applyNumberFormat="1" applyFont="1" applyBorder="1" applyAlignment="1">
      <alignment horizontal="right" vertical="center"/>
    </xf>
    <xf numFmtId="176" fontId="15" fillId="22" borderId="0" xfId="0" applyNumberFormat="1" applyFont="1" applyFill="1" applyAlignment="1">
      <alignment horizontal="right" vertical="center"/>
    </xf>
    <xf numFmtId="176" fontId="7" fillId="0" borderId="5" xfId="0" applyNumberFormat="1" applyFont="1" applyBorder="1" applyAlignment="1">
      <alignment horizontal="right" vertical="center"/>
    </xf>
    <xf numFmtId="0" fontId="8" fillId="21" borderId="10" xfId="0" applyFont="1" applyFill="1" applyBorder="1" applyAlignment="1">
      <alignment horizontal="center" vertical="center"/>
    </xf>
    <xf numFmtId="186" fontId="7" fillId="0" borderId="9" xfId="0" applyNumberFormat="1" applyFont="1" applyBorder="1" applyAlignment="1">
      <alignment horizontal="right" vertical="center"/>
    </xf>
    <xf numFmtId="186" fontId="16" fillId="22" borderId="5" xfId="0" applyNumberFormat="1" applyFont="1" applyFill="1" applyBorder="1" applyAlignment="1">
      <alignment horizontal="right" vertical="center"/>
    </xf>
    <xf numFmtId="186" fontId="8" fillId="22" borderId="12" xfId="0" applyNumberFormat="1" applyFont="1" applyFill="1" applyBorder="1" applyAlignment="1">
      <alignment horizontal="right" vertical="center"/>
    </xf>
    <xf numFmtId="167" fontId="7" fillId="55" borderId="0" xfId="0" applyNumberFormat="1" applyFont="1" applyFill="1" applyAlignment="1">
      <alignment horizontal="right" vertical="center" wrapText="1"/>
    </xf>
    <xf numFmtId="1" fontId="7" fillId="55" borderId="0" xfId="0" applyNumberFormat="1" applyFont="1" applyFill="1" applyAlignment="1">
      <alignment horizontal="right" vertical="center" wrapText="1"/>
    </xf>
    <xf numFmtId="1" fontId="7" fillId="55" borderId="14" xfId="0" applyNumberFormat="1" applyFont="1" applyFill="1" applyBorder="1" applyAlignment="1">
      <alignment horizontal="right" vertical="center" wrapText="1"/>
    </xf>
    <xf numFmtId="166" fontId="7" fillId="55" borderId="8" xfId="0" applyNumberFormat="1" applyFont="1" applyFill="1" applyBorder="1" applyAlignment="1">
      <alignment horizontal="right" vertical="center" wrapText="1"/>
    </xf>
    <xf numFmtId="166" fontId="15" fillId="0" borderId="8" xfId="0" applyNumberFormat="1" applyFont="1" applyBorder="1" applyAlignment="1">
      <alignment horizontal="right" vertical="center"/>
    </xf>
    <xf numFmtId="1" fontId="8" fillId="22" borderId="5" xfId="0" applyNumberFormat="1" applyFont="1" applyFill="1" applyBorder="1" applyAlignment="1">
      <alignment horizontal="right" vertical="center"/>
    </xf>
    <xf numFmtId="1" fontId="8" fillId="22" borderId="12" xfId="0" applyNumberFormat="1" applyFont="1" applyFill="1" applyBorder="1" applyAlignment="1">
      <alignment horizontal="right" vertical="center"/>
    </xf>
    <xf numFmtId="1" fontId="7" fillId="55" borderId="17" xfId="0" quotePrefix="1" applyNumberFormat="1" applyFont="1" applyFill="1" applyBorder="1" applyAlignment="1">
      <alignment horizontal="right" vertical="center"/>
    </xf>
    <xf numFmtId="1" fontId="7" fillId="55" borderId="2" xfId="0" quotePrefix="1" applyNumberFormat="1" applyFont="1" applyFill="1" applyBorder="1" applyAlignment="1">
      <alignment horizontal="right" vertical="center"/>
    </xf>
    <xf numFmtId="1" fontId="8" fillId="55" borderId="4" xfId="0" applyNumberFormat="1" applyFont="1" applyFill="1" applyBorder="1" applyAlignment="1">
      <alignment horizontal="center" vertical="center"/>
    </xf>
    <xf numFmtId="1" fontId="7" fillId="55" borderId="11" xfId="0" quotePrefix="1" applyNumberFormat="1" applyFont="1" applyFill="1" applyBorder="1" applyAlignment="1">
      <alignment horizontal="right" vertical="center"/>
    </xf>
    <xf numFmtId="1" fontId="7" fillId="55" borderId="4" xfId="0" quotePrefix="1" applyNumberFormat="1" applyFont="1" applyFill="1" applyBorder="1" applyAlignment="1">
      <alignment horizontal="right" vertical="center"/>
    </xf>
    <xf numFmtId="1" fontId="7" fillId="55" borderId="5" xfId="0" quotePrefix="1" applyNumberFormat="1" applyFont="1" applyFill="1" applyBorder="1" applyAlignment="1">
      <alignment horizontal="right" vertical="center"/>
    </xf>
    <xf numFmtId="1" fontId="88" fillId="22" borderId="2" xfId="0" applyNumberFormat="1" applyFont="1" applyFill="1" applyBorder="1" applyAlignment="1">
      <alignment horizontal="center" vertical="center"/>
    </xf>
    <xf numFmtId="1" fontId="89" fillId="22" borderId="17" xfId="0" applyNumberFormat="1" applyFont="1" applyFill="1" applyBorder="1" applyAlignment="1">
      <alignment horizontal="right" vertical="center"/>
    </xf>
    <xf numFmtId="1" fontId="89" fillId="22" borderId="2" xfId="0" applyNumberFormat="1" applyFont="1" applyFill="1" applyBorder="1" applyAlignment="1">
      <alignment horizontal="right" vertical="center"/>
    </xf>
    <xf numFmtId="1" fontId="89" fillId="55" borderId="0" xfId="0" applyNumberFormat="1" applyFont="1" applyFill="1" applyAlignment="1">
      <alignment horizontal="right" vertical="center"/>
    </xf>
    <xf numFmtId="1" fontId="89" fillId="22" borderId="22" xfId="0" applyNumberFormat="1" applyFont="1" applyFill="1" applyBorder="1" applyAlignment="1">
      <alignment horizontal="right" vertical="center"/>
    </xf>
    <xf numFmtId="1" fontId="95" fillId="22" borderId="22" xfId="0" applyNumberFormat="1" applyFont="1" applyFill="1" applyBorder="1" applyAlignment="1">
      <alignment horizontal="right" vertical="center"/>
    </xf>
    <xf numFmtId="1" fontId="89" fillId="22" borderId="0" xfId="0" applyNumberFormat="1" applyFont="1" applyFill="1" applyAlignment="1">
      <alignment horizontal="right" vertical="center"/>
    </xf>
    <xf numFmtId="166" fontId="88" fillId="55" borderId="2" xfId="0" applyNumberFormat="1" applyFont="1" applyFill="1" applyBorder="1" applyAlignment="1">
      <alignment horizontal="center" vertical="center"/>
    </xf>
    <xf numFmtId="1" fontId="88" fillId="55" borderId="2" xfId="0" applyNumberFormat="1" applyFont="1" applyFill="1" applyBorder="1" applyAlignment="1">
      <alignment horizontal="center" vertical="center"/>
    </xf>
    <xf numFmtId="1" fontId="7" fillId="0" borderId="13" xfId="0" applyNumberFormat="1" applyFont="1" applyBorder="1" applyAlignment="1">
      <alignment horizontal="right" vertical="center"/>
    </xf>
    <xf numFmtId="166" fontId="15" fillId="22" borderId="14" xfId="0" applyNumberFormat="1" applyFont="1" applyFill="1" applyBorder="1" applyAlignment="1">
      <alignment horizontal="right" vertical="center"/>
    </xf>
    <xf numFmtId="166" fontId="7" fillId="0" borderId="8" xfId="0" applyNumberFormat="1" applyFont="1" applyBorder="1" applyAlignment="1">
      <alignment vertical="top"/>
    </xf>
    <xf numFmtId="176" fontId="15" fillId="0" borderId="5" xfId="0" applyNumberFormat="1" applyFont="1" applyBorder="1" applyAlignment="1">
      <alignment horizontal="right" vertical="center"/>
    </xf>
    <xf numFmtId="1" fontId="8" fillId="0" borderId="7" xfId="0" quotePrefix="1" applyNumberFormat="1" applyFont="1" applyBorder="1" applyAlignment="1">
      <alignment horizontal="right" vertical="center"/>
    </xf>
    <xf numFmtId="1" fontId="7" fillId="0" borderId="10" xfId="0" quotePrefix="1" applyNumberFormat="1" applyFont="1" applyBorder="1" applyAlignment="1">
      <alignment horizontal="right" vertical="center"/>
    </xf>
    <xf numFmtId="167" fontId="89" fillId="22" borderId="0" xfId="0" applyNumberFormat="1" applyFont="1" applyFill="1" applyAlignment="1">
      <alignment vertical="center"/>
    </xf>
    <xf numFmtId="167" fontId="89" fillId="0" borderId="0" xfId="0" applyNumberFormat="1" applyFont="1" applyAlignment="1">
      <alignment vertical="center"/>
    </xf>
    <xf numFmtId="166" fontId="8" fillId="55" borderId="14" xfId="0" quotePrefix="1" applyNumberFormat="1" applyFont="1" applyFill="1" applyBorder="1" applyAlignment="1">
      <alignment horizontal="center" vertical="center"/>
    </xf>
    <xf numFmtId="167" fontId="7" fillId="0" borderId="2" xfId="0" quotePrefix="1" applyNumberFormat="1" applyFont="1" applyBorder="1" applyAlignment="1">
      <alignment horizontal="center" vertical="center"/>
    </xf>
    <xf numFmtId="167" fontId="15" fillId="22" borderId="14" xfId="0" applyNumberFormat="1" applyFont="1" applyFill="1" applyBorder="1" applyAlignment="1">
      <alignment vertical="center"/>
    </xf>
    <xf numFmtId="176" fontId="89" fillId="0" borderId="16" xfId="0" applyNumberFormat="1" applyFont="1" applyBorder="1" applyAlignment="1">
      <alignment horizontal="right" vertical="center"/>
    </xf>
    <xf numFmtId="166" fontId="89" fillId="0" borderId="16" xfId="0" applyNumberFormat="1" applyFont="1" applyBorder="1" applyAlignment="1">
      <alignment horizontal="right" vertical="center"/>
    </xf>
    <xf numFmtId="166" fontId="89" fillId="0" borderId="0" xfId="0" applyNumberFormat="1" applyFont="1" applyAlignment="1">
      <alignment horizontal="right" vertical="center"/>
    </xf>
    <xf numFmtId="166" fontId="89" fillId="0" borderId="14" xfId="0" applyNumberFormat="1" applyFont="1" applyBorder="1" applyAlignment="1">
      <alignment horizontal="right" vertical="center"/>
    </xf>
    <xf numFmtId="176" fontId="89" fillId="55" borderId="0" xfId="0" applyNumberFormat="1" applyFont="1" applyFill="1" applyAlignment="1">
      <alignment horizontal="right" vertical="center"/>
    </xf>
    <xf numFmtId="166" fontId="89" fillId="55" borderId="0" xfId="0" applyNumberFormat="1" applyFont="1" applyFill="1" applyAlignment="1">
      <alignment horizontal="right" vertical="center"/>
    </xf>
    <xf numFmtId="166" fontId="89" fillId="55" borderId="14" xfId="0" applyNumberFormat="1" applyFont="1" applyFill="1" applyBorder="1" applyAlignment="1">
      <alignment horizontal="right" vertical="center"/>
    </xf>
    <xf numFmtId="176" fontId="89" fillId="0" borderId="0" xfId="0" applyNumberFormat="1" applyFont="1" applyAlignment="1">
      <alignment horizontal="right" vertical="center"/>
    </xf>
    <xf numFmtId="176" fontId="89" fillId="0" borderId="8" xfId="0" applyNumberFormat="1" applyFont="1" applyBorder="1" applyAlignment="1">
      <alignment horizontal="right" vertical="center"/>
    </xf>
    <xf numFmtId="166" fontId="89" fillId="0" borderId="8" xfId="0" applyNumberFormat="1" applyFont="1" applyBorder="1" applyAlignment="1">
      <alignment horizontal="right" vertical="center"/>
    </xf>
    <xf numFmtId="166" fontId="89" fillId="0" borderId="10" xfId="0" applyNumberFormat="1" applyFont="1" applyBorder="1" applyAlignment="1">
      <alignment horizontal="right" vertical="center"/>
    </xf>
    <xf numFmtId="166" fontId="89" fillId="55" borderId="16" xfId="0" applyNumberFormat="1" applyFont="1" applyFill="1" applyBorder="1" applyAlignment="1">
      <alignment horizontal="right" vertical="center"/>
    </xf>
    <xf numFmtId="176" fontId="89" fillId="55" borderId="8" xfId="0" applyNumberFormat="1" applyFont="1" applyFill="1" applyBorder="1" applyAlignment="1">
      <alignment horizontal="right" vertical="center"/>
    </xf>
    <xf numFmtId="166" fontId="89" fillId="55" borderId="8" xfId="0" applyNumberFormat="1" applyFont="1" applyFill="1" applyBorder="1" applyAlignment="1">
      <alignment horizontal="right" vertical="center"/>
    </xf>
    <xf numFmtId="166" fontId="89" fillId="55" borderId="10" xfId="0" applyNumberFormat="1" applyFont="1" applyFill="1" applyBorder="1" applyAlignment="1">
      <alignment horizontal="right" vertical="center"/>
    </xf>
    <xf numFmtId="182" fontId="89" fillId="0" borderId="0" xfId="0" applyNumberFormat="1" applyFont="1" applyAlignment="1">
      <alignment horizontal="right" vertical="center"/>
    </xf>
    <xf numFmtId="166" fontId="89" fillId="55" borderId="5" xfId="0" applyNumberFormat="1" applyFont="1" applyFill="1" applyBorder="1" applyAlignment="1">
      <alignment horizontal="right" vertical="center"/>
    </xf>
    <xf numFmtId="166" fontId="89" fillId="0" borderId="13" xfId="0" applyNumberFormat="1" applyFont="1" applyBorder="1" applyAlignment="1">
      <alignment horizontal="right" vertical="center"/>
    </xf>
    <xf numFmtId="167" fontId="8" fillId="22" borderId="5" xfId="0" applyNumberFormat="1" applyFont="1" applyFill="1" applyBorder="1" applyAlignment="1">
      <alignment horizontal="right"/>
    </xf>
    <xf numFmtId="167" fontId="8" fillId="22" borderId="12" xfId="0" applyNumberFormat="1" applyFont="1" applyFill="1" applyBorder="1" applyAlignment="1">
      <alignment horizontal="right"/>
    </xf>
    <xf numFmtId="167" fontId="16" fillId="22" borderId="5" xfId="0" applyNumberFormat="1" applyFont="1" applyFill="1" applyBorder="1" applyAlignment="1">
      <alignment horizontal="right"/>
    </xf>
    <xf numFmtId="167" fontId="16" fillId="22" borderId="12" xfId="0" applyNumberFormat="1" applyFont="1" applyFill="1" applyBorder="1" applyAlignment="1">
      <alignment horizontal="right"/>
    </xf>
    <xf numFmtId="177" fontId="7" fillId="0" borderId="17" xfId="0" applyNumberFormat="1" applyFont="1" applyBorder="1" applyAlignment="1">
      <alignment vertical="center"/>
    </xf>
    <xf numFmtId="177" fontId="7" fillId="0" borderId="0" xfId="0" applyNumberFormat="1" applyFont="1" applyAlignment="1">
      <alignment vertical="center"/>
    </xf>
    <xf numFmtId="177" fontId="7" fillId="22" borderId="0" xfId="0" quotePrefix="1" applyNumberFormat="1" applyFont="1" applyFill="1" applyAlignment="1">
      <alignment horizontal="center" vertical="center"/>
    </xf>
    <xf numFmtId="177" fontId="7" fillId="22" borderId="21" xfId="0" quotePrefix="1" applyNumberFormat="1" applyFont="1" applyFill="1" applyBorder="1" applyAlignment="1">
      <alignment horizontal="center" vertical="center"/>
    </xf>
    <xf numFmtId="177" fontId="7" fillId="22" borderId="0" xfId="0" applyNumberFormat="1" applyFont="1" applyFill="1" applyAlignment="1">
      <alignment vertical="center"/>
    </xf>
    <xf numFmtId="177" fontId="7" fillId="55" borderId="0" xfId="0" applyNumberFormat="1" applyFont="1" applyFill="1" applyAlignment="1">
      <alignment vertical="center"/>
    </xf>
    <xf numFmtId="177" fontId="7" fillId="0" borderId="9" xfId="0" applyNumberFormat="1" applyFont="1" applyBorder="1" applyAlignment="1">
      <alignment vertical="center"/>
    </xf>
    <xf numFmtId="177" fontId="7" fillId="0" borderId="8" xfId="0" applyNumberFormat="1" applyFont="1" applyBorder="1" applyAlignment="1">
      <alignment vertical="center"/>
    </xf>
    <xf numFmtId="166" fontId="7" fillId="22" borderId="5" xfId="0" applyNumberFormat="1" applyFont="1" applyFill="1" applyBorder="1" applyAlignment="1">
      <alignment horizontal="center"/>
    </xf>
    <xf numFmtId="166" fontId="7" fillId="0" borderId="16" xfId="0" applyNumberFormat="1" applyFont="1" applyBorder="1" applyAlignment="1">
      <alignment horizontal="center" vertical="center"/>
    </xf>
    <xf numFmtId="166" fontId="7" fillId="0" borderId="14" xfId="0" applyNumberFormat="1" applyFont="1" applyBorder="1" applyAlignment="1">
      <alignment horizontal="center" vertical="center"/>
    </xf>
    <xf numFmtId="166" fontId="7" fillId="22" borderId="17" xfId="0" applyNumberFormat="1" applyFont="1" applyFill="1" applyBorder="1" applyAlignment="1">
      <alignment horizontal="center" vertical="center"/>
    </xf>
    <xf numFmtId="166" fontId="7" fillId="22" borderId="0" xfId="0" applyNumberFormat="1" applyFont="1" applyFill="1" applyAlignment="1">
      <alignment horizontal="center" vertical="center"/>
    </xf>
    <xf numFmtId="166" fontId="7" fillId="22" borderId="14" xfId="0" applyNumberFormat="1" applyFont="1" applyFill="1" applyBorder="1" applyAlignment="1">
      <alignment horizontal="center" vertical="center"/>
    </xf>
    <xf numFmtId="166" fontId="7" fillId="0" borderId="17" xfId="0" applyNumberFormat="1" applyFont="1" applyBorder="1" applyAlignment="1">
      <alignment horizontal="center" vertical="center"/>
    </xf>
    <xf numFmtId="166" fontId="7" fillId="55" borderId="17" xfId="0" applyNumberFormat="1" applyFont="1" applyFill="1" applyBorder="1" applyAlignment="1">
      <alignment horizontal="center" vertical="center"/>
    </xf>
    <xf numFmtId="166" fontId="7" fillId="55" borderId="0" xfId="0" applyNumberFormat="1" applyFont="1" applyFill="1" applyAlignment="1">
      <alignment horizontal="center" vertical="center"/>
    </xf>
    <xf numFmtId="166" fontId="7" fillId="55" borderId="14" xfId="0" applyNumberFormat="1" applyFont="1" applyFill="1" applyBorder="1" applyAlignment="1">
      <alignment horizontal="center" vertical="center"/>
    </xf>
    <xf numFmtId="166" fontId="7" fillId="0" borderId="9" xfId="0" applyNumberFormat="1" applyFont="1" applyBorder="1" applyAlignment="1">
      <alignment horizontal="center" vertical="center"/>
    </xf>
    <xf numFmtId="166" fontId="7" fillId="0" borderId="8" xfId="0" applyNumberFormat="1" applyFont="1" applyBorder="1" applyAlignment="1">
      <alignment horizontal="center" vertical="center"/>
    </xf>
    <xf numFmtId="166" fontId="7" fillId="0" borderId="10" xfId="0" applyNumberFormat="1" applyFont="1" applyBorder="1" applyAlignment="1">
      <alignment horizontal="center" vertical="center"/>
    </xf>
    <xf numFmtId="166" fontId="7" fillId="22" borderId="9" xfId="0" applyNumberFormat="1" applyFont="1" applyFill="1" applyBorder="1" applyAlignment="1">
      <alignment horizontal="center" vertical="center"/>
    </xf>
    <xf numFmtId="166" fontId="7" fillId="22" borderId="8" xfId="0" applyNumberFormat="1" applyFont="1" applyFill="1" applyBorder="1" applyAlignment="1">
      <alignment horizontal="center" vertical="center"/>
    </xf>
    <xf numFmtId="166" fontId="7" fillId="22" borderId="10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vertical="top"/>
    </xf>
    <xf numFmtId="0" fontId="4" fillId="0" borderId="14" xfId="0" applyFont="1" applyBorder="1"/>
    <xf numFmtId="0" fontId="4" fillId="0" borderId="10" xfId="0" applyFont="1" applyBorder="1"/>
    <xf numFmtId="166" fontId="8" fillId="22" borderId="5" xfId="0" applyNumberFormat="1" applyFont="1" applyFill="1" applyBorder="1" applyAlignment="1">
      <alignment horizontal="right"/>
    </xf>
    <xf numFmtId="177" fontId="7" fillId="0" borderId="0" xfId="124" applyNumberFormat="1" applyFont="1" applyFill="1" applyBorder="1" applyAlignment="1">
      <alignment vertical="center"/>
      <protection locked="0"/>
    </xf>
    <xf numFmtId="177" fontId="7" fillId="0" borderId="16" xfId="124" applyNumberFormat="1" applyFont="1" applyFill="1" applyBorder="1" applyAlignment="1">
      <alignment vertical="center"/>
      <protection locked="0"/>
    </xf>
    <xf numFmtId="177" fontId="7" fillId="0" borderId="0" xfId="124" applyNumberFormat="1" applyFont="1" applyFill="1" applyBorder="1" applyAlignment="1">
      <alignment horizontal="right"/>
      <protection locked="0"/>
    </xf>
    <xf numFmtId="177" fontId="7" fillId="0" borderId="14" xfId="124" applyNumberFormat="1" applyFont="1" applyFill="1" applyBorder="1" applyAlignment="1">
      <alignment horizontal="right"/>
      <protection locked="0"/>
    </xf>
    <xf numFmtId="166" fontId="7" fillId="0" borderId="0" xfId="124" applyNumberFormat="1" applyFont="1" applyFill="1" applyBorder="1" applyAlignment="1">
      <alignment horizontal="right"/>
      <protection locked="0"/>
    </xf>
    <xf numFmtId="167" fontId="7" fillId="0" borderId="0" xfId="124" applyNumberFormat="1" applyFont="1" applyFill="1" applyBorder="1" applyAlignment="1">
      <alignment horizontal="right"/>
      <protection locked="0"/>
    </xf>
    <xf numFmtId="167" fontId="7" fillId="0" borderId="40" xfId="124" applyNumberFormat="1" applyFont="1" applyFill="1" applyBorder="1" applyAlignment="1">
      <alignment horizontal="right"/>
      <protection locked="0"/>
    </xf>
    <xf numFmtId="167" fontId="7" fillId="0" borderId="14" xfId="124" applyNumberFormat="1" applyFont="1" applyFill="1" applyBorder="1" applyAlignment="1">
      <alignment horizontal="right"/>
      <protection locked="0"/>
    </xf>
    <xf numFmtId="167" fontId="7" fillId="0" borderId="16" xfId="124" applyNumberFormat="1" applyFont="1" applyFill="1" applyBorder="1" applyAlignment="1">
      <alignment horizontal="right"/>
      <protection locked="0"/>
    </xf>
    <xf numFmtId="167" fontId="4" fillId="0" borderId="0" xfId="0" applyNumberFormat="1" applyFont="1"/>
    <xf numFmtId="177" fontId="7" fillId="22" borderId="0" xfId="124" applyNumberFormat="1" applyFont="1" applyFill="1" applyBorder="1" applyAlignment="1">
      <alignment vertical="center"/>
      <protection locked="0"/>
    </xf>
    <xf numFmtId="177" fontId="7" fillId="22" borderId="0" xfId="124" applyNumberFormat="1" applyFont="1" applyFill="1" applyBorder="1" applyAlignment="1">
      <alignment horizontal="right"/>
      <protection locked="0"/>
    </xf>
    <xf numFmtId="177" fontId="7" fillId="22" borderId="14" xfId="124" applyNumberFormat="1" applyFont="1" applyFill="1" applyBorder="1" applyAlignment="1">
      <alignment horizontal="right"/>
      <protection locked="0"/>
    </xf>
    <xf numFmtId="166" fontId="7" fillId="22" borderId="0" xfId="124" applyNumberFormat="1" applyFont="1" applyFill="1" applyBorder="1" applyAlignment="1">
      <alignment horizontal="right"/>
      <protection locked="0"/>
    </xf>
    <xf numFmtId="49" fontId="7" fillId="22" borderId="0" xfId="124" quotePrefix="1" applyNumberFormat="1" applyFont="1" applyFill="1" applyBorder="1" applyAlignment="1">
      <alignment horizontal="right"/>
      <protection locked="0"/>
    </xf>
    <xf numFmtId="49" fontId="7" fillId="22" borderId="21" xfId="124" quotePrefix="1" applyNumberFormat="1" applyFont="1" applyFill="1" applyBorder="1" applyAlignment="1">
      <alignment horizontal="right"/>
      <protection locked="0"/>
    </xf>
    <xf numFmtId="49" fontId="7" fillId="55" borderId="0" xfId="124" quotePrefix="1" applyNumberFormat="1" applyFont="1" applyFill="1" applyBorder="1" applyAlignment="1">
      <alignment horizontal="right"/>
      <protection locked="0"/>
    </xf>
    <xf numFmtId="49" fontId="7" fillId="55" borderId="14" xfId="124" quotePrefix="1" applyNumberFormat="1" applyFont="1" applyFill="1" applyBorder="1" applyAlignment="1">
      <alignment horizontal="right"/>
      <protection locked="0"/>
    </xf>
    <xf numFmtId="49" fontId="7" fillId="22" borderId="0" xfId="124" applyNumberFormat="1" applyFont="1" applyFill="1" applyBorder="1" applyAlignment="1">
      <alignment horizontal="right"/>
      <protection locked="0"/>
    </xf>
    <xf numFmtId="49" fontId="7" fillId="55" borderId="0" xfId="124" applyNumberFormat="1" applyFont="1" applyFill="1" applyBorder="1" applyAlignment="1">
      <alignment horizontal="right"/>
      <protection locked="0"/>
    </xf>
    <xf numFmtId="49" fontId="7" fillId="22" borderId="17" xfId="124" applyNumberFormat="1" applyFont="1" applyFill="1" applyBorder="1" applyAlignment="1">
      <alignment horizontal="right"/>
      <protection locked="0"/>
    </xf>
    <xf numFmtId="177" fontId="7" fillId="0" borderId="21" xfId="124" applyNumberFormat="1" applyFont="1" applyFill="1" applyBorder="1" applyAlignment="1">
      <alignment vertical="center"/>
      <protection locked="0"/>
    </xf>
    <xf numFmtId="167" fontId="7" fillId="0" borderId="17" xfId="124" applyNumberFormat="1" applyFont="1" applyFill="1" applyBorder="1" applyAlignment="1">
      <alignment horizontal="right"/>
      <protection locked="0"/>
    </xf>
    <xf numFmtId="167" fontId="7" fillId="0" borderId="21" xfId="124" applyNumberFormat="1" applyFont="1" applyFill="1" applyBorder="1" applyAlignment="1">
      <alignment horizontal="right"/>
      <protection locked="0"/>
    </xf>
    <xf numFmtId="177" fontId="7" fillId="22" borderId="21" xfId="124" applyNumberFormat="1" applyFont="1" applyFill="1" applyBorder="1" applyAlignment="1">
      <alignment vertical="center"/>
      <protection locked="0"/>
    </xf>
    <xf numFmtId="167" fontId="7" fillId="22" borderId="17" xfId="124" applyNumberFormat="1" applyFont="1" applyFill="1" applyBorder="1" applyAlignment="1">
      <alignment horizontal="right"/>
      <protection locked="0"/>
    </xf>
    <xf numFmtId="167" fontId="7" fillId="22" borderId="0" xfId="124" applyNumberFormat="1" applyFont="1" applyFill="1" applyBorder="1" applyAlignment="1">
      <alignment horizontal="right"/>
      <protection locked="0"/>
    </xf>
    <xf numFmtId="167" fontId="7" fillId="22" borderId="21" xfId="124" applyNumberFormat="1" applyFont="1" applyFill="1" applyBorder="1" applyAlignment="1">
      <alignment horizontal="right"/>
      <protection locked="0"/>
    </xf>
    <xf numFmtId="167" fontId="7" fillId="22" borderId="14" xfId="124" applyNumberFormat="1" applyFont="1" applyFill="1" applyBorder="1" applyAlignment="1">
      <alignment horizontal="right"/>
      <protection locked="0"/>
    </xf>
    <xf numFmtId="167" fontId="7" fillId="22" borderId="0" xfId="124" quotePrefix="1" applyNumberFormat="1" applyFont="1" applyFill="1" applyBorder="1" applyAlignment="1">
      <alignment horizontal="right"/>
      <protection locked="0"/>
    </xf>
    <xf numFmtId="167" fontId="15" fillId="0" borderId="0" xfId="124" applyNumberFormat="1" applyFont="1" applyFill="1" applyBorder="1" applyAlignment="1">
      <alignment horizontal="right"/>
      <protection locked="0"/>
    </xf>
    <xf numFmtId="177" fontId="7" fillId="0" borderId="22" xfId="124" applyNumberFormat="1" applyFont="1" applyFill="1" applyBorder="1" applyAlignment="1">
      <alignment vertical="center"/>
      <protection locked="0"/>
    </xf>
    <xf numFmtId="167" fontId="7" fillId="0" borderId="0" xfId="124" quotePrefix="1" applyNumberFormat="1" applyFont="1" applyFill="1" applyBorder="1" applyAlignment="1">
      <alignment horizontal="right"/>
      <protection locked="0"/>
    </xf>
    <xf numFmtId="167" fontId="7" fillId="0" borderId="14" xfId="124" quotePrefix="1" applyNumberFormat="1" applyFont="1" applyFill="1" applyBorder="1" applyAlignment="1">
      <alignment horizontal="right"/>
      <protection locked="0"/>
    </xf>
    <xf numFmtId="177" fontId="7" fillId="55" borderId="0" xfId="124" applyNumberFormat="1" applyFont="1" applyFill="1" applyBorder="1" applyAlignment="1">
      <alignment vertical="center"/>
      <protection locked="0"/>
    </xf>
    <xf numFmtId="177" fontId="7" fillId="55" borderId="21" xfId="124" applyNumberFormat="1" applyFont="1" applyFill="1" applyBorder="1" applyAlignment="1">
      <alignment vertical="center"/>
      <protection locked="0"/>
    </xf>
    <xf numFmtId="177" fontId="7" fillId="55" borderId="22" xfId="124" applyNumberFormat="1" applyFont="1" applyFill="1" applyBorder="1" applyAlignment="1">
      <alignment vertical="center"/>
      <protection locked="0"/>
    </xf>
    <xf numFmtId="167" fontId="7" fillId="55" borderId="17" xfId="124" applyNumberFormat="1" applyFont="1" applyFill="1" applyBorder="1" applyAlignment="1">
      <alignment horizontal="right"/>
      <protection locked="0"/>
    </xf>
    <xf numFmtId="167" fontId="7" fillId="55" borderId="0" xfId="124" applyNumberFormat="1" applyFont="1" applyFill="1" applyBorder="1" applyAlignment="1">
      <alignment horizontal="right"/>
      <protection locked="0"/>
    </xf>
    <xf numFmtId="167" fontId="7" fillId="55" borderId="21" xfId="124" applyNumberFormat="1" applyFont="1" applyFill="1" applyBorder="1" applyAlignment="1">
      <alignment horizontal="right"/>
      <protection locked="0"/>
    </xf>
    <xf numFmtId="167" fontId="7" fillId="55" borderId="14" xfId="124" applyNumberFormat="1" applyFont="1" applyFill="1" applyBorder="1" applyAlignment="1">
      <alignment horizontal="right"/>
      <protection locked="0"/>
    </xf>
    <xf numFmtId="49" fontId="7" fillId="0" borderId="0" xfId="124" quotePrefix="1" applyNumberFormat="1" applyFont="1" applyFill="1" applyBorder="1" applyAlignment="1">
      <alignment horizontal="right"/>
      <protection locked="0"/>
    </xf>
    <xf numFmtId="177" fontId="7" fillId="55" borderId="0" xfId="124" applyNumberFormat="1" applyFont="1" applyFill="1" applyBorder="1" applyAlignment="1">
      <alignment horizontal="right"/>
      <protection locked="0"/>
    </xf>
    <xf numFmtId="177" fontId="7" fillId="55" borderId="14" xfId="124" applyNumberFormat="1" applyFont="1" applyFill="1" applyBorder="1" applyAlignment="1">
      <alignment horizontal="right"/>
      <protection locked="0"/>
    </xf>
    <xf numFmtId="166" fontId="7" fillId="55" borderId="0" xfId="124" applyNumberFormat="1" applyFont="1" applyFill="1" applyBorder="1" applyAlignment="1">
      <alignment horizontal="right"/>
      <protection locked="0"/>
    </xf>
    <xf numFmtId="167" fontId="7" fillId="55" borderId="0" xfId="124" quotePrefix="1" applyNumberFormat="1" applyFont="1" applyFill="1" applyBorder="1" applyAlignment="1">
      <alignment horizontal="right"/>
      <protection locked="0"/>
    </xf>
    <xf numFmtId="49" fontId="7" fillId="55" borderId="21" xfId="124" applyNumberFormat="1" applyFont="1" applyFill="1" applyBorder="1" applyAlignment="1">
      <alignment horizontal="right"/>
      <protection locked="0"/>
    </xf>
    <xf numFmtId="177" fontId="7" fillId="0" borderId="8" xfId="124" applyNumberFormat="1" applyFont="1" applyFill="1" applyBorder="1" applyAlignment="1">
      <alignment vertical="center"/>
      <protection locked="0"/>
    </xf>
    <xf numFmtId="177" fontId="7" fillId="0" borderId="24" xfId="124" applyNumberFormat="1" applyFont="1" applyFill="1" applyBorder="1" applyAlignment="1">
      <alignment vertical="center"/>
      <protection locked="0"/>
    </xf>
    <xf numFmtId="177" fontId="7" fillId="0" borderId="8" xfId="124" applyNumberFormat="1" applyFont="1" applyFill="1" applyBorder="1" applyAlignment="1">
      <alignment horizontal="right"/>
      <protection locked="0"/>
    </xf>
    <xf numFmtId="177" fontId="7" fillId="0" borderId="10" xfId="124" applyNumberFormat="1" applyFont="1" applyFill="1" applyBorder="1" applyAlignment="1">
      <alignment horizontal="right"/>
      <protection locked="0"/>
    </xf>
    <xf numFmtId="166" fontId="7" fillId="0" borderId="8" xfId="124" applyNumberFormat="1" applyFont="1" applyFill="1" applyBorder="1" applyAlignment="1">
      <alignment horizontal="right"/>
      <protection locked="0"/>
    </xf>
    <xf numFmtId="167" fontId="7" fillId="0" borderId="9" xfId="124" applyNumberFormat="1" applyFont="1" applyFill="1" applyBorder="1" applyAlignment="1">
      <alignment horizontal="right"/>
      <protection locked="0"/>
    </xf>
    <xf numFmtId="167" fontId="7" fillId="0" borderId="8" xfId="124" applyNumberFormat="1" applyFont="1" applyFill="1" applyBorder="1" applyAlignment="1">
      <alignment horizontal="right"/>
      <protection locked="0"/>
    </xf>
    <xf numFmtId="167" fontId="7" fillId="0" borderId="24" xfId="124" applyNumberFormat="1" applyFont="1" applyFill="1" applyBorder="1" applyAlignment="1">
      <alignment horizontal="right"/>
      <protection locked="0"/>
    </xf>
    <xf numFmtId="167" fontId="7" fillId="0" borderId="10" xfId="124" applyNumberFormat="1" applyFont="1" applyFill="1" applyBorder="1" applyAlignment="1">
      <alignment horizontal="right"/>
      <protection locked="0"/>
    </xf>
    <xf numFmtId="177" fontId="7" fillId="22" borderId="23" xfId="124" applyNumberFormat="1" applyFont="1" applyFill="1" applyBorder="1" applyAlignment="1">
      <alignment vertical="center"/>
      <protection locked="0"/>
    </xf>
    <xf numFmtId="177" fontId="7" fillId="22" borderId="16" xfId="124" applyNumberFormat="1" applyFont="1" applyFill="1" applyBorder="1" applyAlignment="1">
      <alignment vertical="center"/>
      <protection locked="0"/>
    </xf>
    <xf numFmtId="49" fontId="7" fillId="0" borderId="17" xfId="124" applyNumberFormat="1" applyFont="1" applyFill="1" applyBorder="1" applyAlignment="1">
      <alignment horizontal="right"/>
      <protection locked="0"/>
    </xf>
    <xf numFmtId="49" fontId="7" fillId="0" borderId="0" xfId="124" applyNumberFormat="1" applyFont="1" applyFill="1" applyBorder="1" applyAlignment="1">
      <alignment horizontal="right"/>
      <protection locked="0"/>
    </xf>
    <xf numFmtId="49" fontId="7" fillId="0" borderId="14" xfId="124" quotePrefix="1" applyNumberFormat="1" applyFont="1" applyFill="1" applyBorder="1" applyAlignment="1">
      <alignment horizontal="right"/>
      <protection locked="0"/>
    </xf>
    <xf numFmtId="49" fontId="7" fillId="0" borderId="9" xfId="124" applyNumberFormat="1" applyFont="1" applyFill="1" applyBorder="1" applyAlignment="1">
      <alignment horizontal="right"/>
      <protection locked="0"/>
    </xf>
    <xf numFmtId="49" fontId="7" fillId="0" borderId="8" xfId="124" applyNumberFormat="1" applyFont="1" applyFill="1" applyBorder="1" applyAlignment="1">
      <alignment horizontal="right"/>
      <protection locked="0"/>
    </xf>
    <xf numFmtId="49" fontId="7" fillId="0" borderId="8" xfId="124" quotePrefix="1" applyNumberFormat="1" applyFont="1" applyFill="1" applyBorder="1" applyAlignment="1">
      <alignment horizontal="right"/>
      <protection locked="0"/>
    </xf>
    <xf numFmtId="49" fontId="7" fillId="0" borderId="10" xfId="124" quotePrefix="1" applyNumberFormat="1" applyFont="1" applyFill="1" applyBorder="1" applyAlignment="1">
      <alignment horizontal="right"/>
      <protection locked="0"/>
    </xf>
    <xf numFmtId="177" fontId="4" fillId="0" borderId="0" xfId="0" applyNumberFormat="1" applyFont="1"/>
    <xf numFmtId="0" fontId="99" fillId="0" borderId="0" xfId="0" applyFont="1"/>
    <xf numFmtId="167" fontId="15" fillId="55" borderId="0" xfId="124" applyNumberFormat="1" applyFont="1" applyFill="1" applyBorder="1" applyAlignment="1">
      <alignment horizontal="right"/>
      <protection locked="0"/>
    </xf>
    <xf numFmtId="49" fontId="15" fillId="55" borderId="0" xfId="124" quotePrefix="1" applyNumberFormat="1" applyFont="1" applyFill="1" applyBorder="1" applyAlignment="1">
      <alignment horizontal="right"/>
      <protection locked="0"/>
    </xf>
    <xf numFmtId="49" fontId="7" fillId="55" borderId="17" xfId="124" quotePrefix="1" applyNumberFormat="1" applyFont="1" applyFill="1" applyBorder="1" applyAlignment="1">
      <alignment horizontal="right"/>
      <protection locked="0"/>
    </xf>
    <xf numFmtId="49" fontId="7" fillId="55" borderId="21" xfId="124" quotePrefix="1" applyNumberFormat="1" applyFont="1" applyFill="1" applyBorder="1" applyAlignment="1">
      <alignment horizontal="right"/>
      <protection locked="0"/>
    </xf>
    <xf numFmtId="167" fontId="7" fillId="0" borderId="17" xfId="124" applyNumberFormat="1" applyFont="1" applyFill="1" applyBorder="1" applyAlignment="1">
      <alignment horizontal="right" vertical="center"/>
      <protection locked="0"/>
    </xf>
    <xf numFmtId="167" fontId="7" fillId="0" borderId="0" xfId="124" applyNumberFormat="1" applyFont="1" applyFill="1" applyBorder="1" applyAlignment="1">
      <alignment horizontal="right" vertical="center"/>
      <protection locked="0"/>
    </xf>
    <xf numFmtId="167" fontId="7" fillId="0" borderId="14" xfId="124" applyNumberFormat="1" applyFont="1" applyFill="1" applyBorder="1" applyAlignment="1">
      <alignment horizontal="right" vertical="center"/>
      <protection locked="0"/>
    </xf>
    <xf numFmtId="167" fontId="7" fillId="55" borderId="17" xfId="124" applyNumberFormat="1" applyFont="1" applyFill="1" applyBorder="1" applyAlignment="1">
      <alignment horizontal="right" vertical="center"/>
      <protection locked="0"/>
    </xf>
    <xf numFmtId="167" fontId="7" fillId="55" borderId="0" xfId="124" applyNumberFormat="1" applyFont="1" applyFill="1" applyBorder="1" applyAlignment="1">
      <alignment horizontal="right" vertical="center"/>
      <protection locked="0"/>
    </xf>
    <xf numFmtId="167" fontId="15" fillId="22" borderId="0" xfId="124" applyNumberFormat="1" applyFont="1" applyFill="1" applyBorder="1" applyAlignment="1">
      <alignment horizontal="right" vertical="center"/>
      <protection locked="0"/>
    </xf>
    <xf numFmtId="167" fontId="7" fillId="55" borderId="14" xfId="124" applyNumberFormat="1" applyFont="1" applyFill="1" applyBorder="1" applyAlignment="1">
      <alignment horizontal="right" vertical="center"/>
      <protection locked="0"/>
    </xf>
    <xf numFmtId="167" fontId="7" fillId="0" borderId="21" xfId="124" applyNumberFormat="1" applyFont="1" applyFill="1" applyBorder="1" applyAlignment="1">
      <alignment horizontal="right" vertical="center"/>
      <protection locked="0"/>
    </xf>
    <xf numFmtId="167" fontId="7" fillId="55" borderId="21" xfId="124" applyNumberFormat="1" applyFont="1" applyFill="1" applyBorder="1" applyAlignment="1">
      <alignment horizontal="right" vertical="center"/>
      <protection locked="0"/>
    </xf>
    <xf numFmtId="167" fontId="7" fillId="55" borderId="17" xfId="124" quotePrefix="1" applyNumberFormat="1" applyFont="1" applyFill="1" applyBorder="1" applyAlignment="1">
      <alignment horizontal="right" vertical="center"/>
      <protection locked="0"/>
    </xf>
    <xf numFmtId="167" fontId="7" fillId="55" borderId="0" xfId="124" quotePrefix="1" applyNumberFormat="1" applyFont="1" applyFill="1" applyBorder="1" applyAlignment="1">
      <alignment horizontal="right" vertical="center"/>
      <protection locked="0"/>
    </xf>
    <xf numFmtId="167" fontId="7" fillId="55" borderId="21" xfId="124" quotePrefix="1" applyNumberFormat="1" applyFont="1" applyFill="1" applyBorder="1" applyAlignment="1">
      <alignment horizontal="right" vertical="center"/>
      <protection locked="0"/>
    </xf>
    <xf numFmtId="167" fontId="7" fillId="0" borderId="9" xfId="124" applyNumberFormat="1" applyFont="1" applyFill="1" applyBorder="1" applyAlignment="1">
      <alignment horizontal="right" vertical="center"/>
      <protection locked="0"/>
    </xf>
    <xf numFmtId="167" fontId="7" fillId="0" borderId="8" xfId="124" applyNumberFormat="1" applyFont="1" applyFill="1" applyBorder="1" applyAlignment="1">
      <alignment horizontal="right" vertical="center"/>
      <protection locked="0"/>
    </xf>
    <xf numFmtId="167" fontId="7" fillId="0" borderId="24" xfId="124" applyNumberFormat="1" applyFont="1" applyFill="1" applyBorder="1" applyAlignment="1">
      <alignment horizontal="right" vertical="center"/>
      <protection locked="0"/>
    </xf>
    <xf numFmtId="167" fontId="7" fillId="0" borderId="10" xfId="124" applyNumberFormat="1" applyFont="1" applyFill="1" applyBorder="1" applyAlignment="1">
      <alignment horizontal="right" vertical="center"/>
      <protection locked="0"/>
    </xf>
    <xf numFmtId="167" fontId="7" fillId="55" borderId="40" xfId="124" applyNumberFormat="1" applyFont="1" applyFill="1" applyBorder="1" applyAlignment="1">
      <alignment horizontal="right" vertical="center"/>
      <protection locked="0"/>
    </xf>
    <xf numFmtId="167" fontId="7" fillId="55" borderId="9" xfId="124" applyNumberFormat="1" applyFont="1" applyFill="1" applyBorder="1" applyAlignment="1">
      <alignment horizontal="right" vertical="center"/>
      <protection locked="0"/>
    </xf>
    <xf numFmtId="167" fontId="7" fillId="55" borderId="8" xfId="124" applyNumberFormat="1" applyFont="1" applyFill="1" applyBorder="1" applyAlignment="1">
      <alignment horizontal="right" vertical="center"/>
      <protection locked="0"/>
    </xf>
    <xf numFmtId="167" fontId="7" fillId="55" borderId="10" xfId="124" applyNumberFormat="1" applyFont="1" applyFill="1" applyBorder="1" applyAlignment="1">
      <alignment horizontal="right" vertical="center"/>
      <protection locked="0"/>
    </xf>
    <xf numFmtId="167" fontId="8" fillId="22" borderId="11" xfId="0" applyNumberFormat="1" applyFont="1" applyFill="1" applyBorder="1" applyAlignment="1">
      <alignment horizontal="right"/>
    </xf>
    <xf numFmtId="167" fontId="8" fillId="22" borderId="4" xfId="0" applyNumberFormat="1" applyFont="1" applyFill="1" applyBorder="1" applyAlignment="1">
      <alignment horizontal="right"/>
    </xf>
    <xf numFmtId="177" fontId="7" fillId="22" borderId="14" xfId="124" applyNumberFormat="1" applyFont="1" applyFill="1" applyBorder="1" applyAlignment="1">
      <alignment vertical="center"/>
      <protection locked="0"/>
    </xf>
    <xf numFmtId="167" fontId="7" fillId="22" borderId="14" xfId="124" quotePrefix="1" applyNumberFormat="1" applyFont="1" applyFill="1" applyBorder="1" applyAlignment="1">
      <alignment horizontal="right"/>
      <protection locked="0"/>
    </xf>
    <xf numFmtId="167" fontId="7" fillId="22" borderId="17" xfId="124" quotePrefix="1" applyNumberFormat="1" applyFont="1" applyFill="1" applyBorder="1" applyAlignment="1">
      <alignment horizontal="right"/>
      <protection locked="0"/>
    </xf>
    <xf numFmtId="177" fontId="7" fillId="0" borderId="0" xfId="0" quotePrefix="1" applyNumberFormat="1" applyFont="1" applyAlignment="1">
      <alignment horizontal="center" vertical="center"/>
    </xf>
    <xf numFmtId="49" fontId="7" fillId="0" borderId="21" xfId="124" quotePrefix="1" applyNumberFormat="1" applyFont="1" applyFill="1" applyBorder="1" applyAlignment="1">
      <alignment horizontal="right"/>
      <protection locked="0"/>
    </xf>
    <xf numFmtId="177" fontId="7" fillId="55" borderId="0" xfId="0" quotePrefix="1" applyNumberFormat="1" applyFont="1" applyFill="1" applyAlignment="1">
      <alignment horizontal="center" vertical="center"/>
    </xf>
    <xf numFmtId="167" fontId="7" fillId="0" borderId="17" xfId="124" quotePrefix="1" applyNumberFormat="1" applyFont="1" applyFill="1" applyBorder="1" applyAlignment="1">
      <alignment horizontal="right"/>
      <protection locked="0"/>
    </xf>
    <xf numFmtId="49" fontId="7" fillId="0" borderId="17" xfId="124" quotePrefix="1" applyNumberFormat="1" applyFont="1" applyFill="1" applyBorder="1" applyAlignment="1">
      <alignment horizontal="right"/>
      <protection locked="0"/>
    </xf>
    <xf numFmtId="49" fontId="7" fillId="0" borderId="14" xfId="124" quotePrefix="1" applyNumberFormat="1" applyFont="1" applyFill="1" applyBorder="1" applyAlignment="1">
      <alignment horizontal="center"/>
      <protection locked="0"/>
    </xf>
    <xf numFmtId="167" fontId="7" fillId="55" borderId="14" xfId="124" applyNumberFormat="1" applyFont="1" applyFill="1" applyBorder="1" applyAlignment="1">
      <alignment horizontal="center"/>
      <protection locked="0"/>
    </xf>
    <xf numFmtId="49" fontId="7" fillId="0" borderId="10" xfId="124" quotePrefix="1" applyNumberFormat="1" applyFont="1" applyFill="1" applyBorder="1" applyAlignment="1">
      <alignment horizontal="center"/>
      <protection locked="0"/>
    </xf>
    <xf numFmtId="49" fontId="7" fillId="0" borderId="21" xfId="124" applyNumberFormat="1" applyFont="1" applyFill="1" applyBorder="1" applyAlignment="1">
      <alignment horizontal="right"/>
      <protection locked="0"/>
    </xf>
    <xf numFmtId="167" fontId="8" fillId="22" borderId="35" xfId="0" applyNumberFormat="1" applyFont="1" applyFill="1" applyBorder="1" applyAlignment="1">
      <alignment horizontal="right"/>
    </xf>
    <xf numFmtId="49" fontId="7" fillId="0" borderId="24" xfId="124" applyNumberFormat="1" applyFont="1" applyFill="1" applyBorder="1" applyAlignment="1">
      <alignment horizontal="right"/>
      <protection locked="0"/>
    </xf>
    <xf numFmtId="177" fontId="7" fillId="22" borderId="56" xfId="124" applyNumberFormat="1" applyFont="1" applyFill="1" applyBorder="1" applyAlignment="1">
      <alignment horizontal="right"/>
      <protection locked="0"/>
    </xf>
    <xf numFmtId="177" fontId="7" fillId="0" borderId="23" xfId="124" applyNumberFormat="1" applyFont="1" applyFill="1" applyBorder="1" applyAlignment="1">
      <alignment vertical="center"/>
      <protection locked="0"/>
    </xf>
    <xf numFmtId="177" fontId="7" fillId="22" borderId="22" xfId="124" applyNumberFormat="1" applyFont="1" applyFill="1" applyBorder="1" applyAlignment="1">
      <alignment vertical="center"/>
      <protection locked="0"/>
    </xf>
    <xf numFmtId="167" fontId="7" fillId="0" borderId="16" xfId="124" applyNumberFormat="1" applyFont="1" applyFill="1" applyBorder="1" applyAlignment="1">
      <alignment horizontal="right" vertical="center"/>
      <protection locked="0"/>
    </xf>
    <xf numFmtId="177" fontId="8" fillId="22" borderId="35" xfId="0" applyNumberFormat="1" applyFont="1" applyFill="1" applyBorder="1" applyAlignment="1">
      <alignment horizontal="right" vertical="center"/>
    </xf>
    <xf numFmtId="167" fontId="7" fillId="0" borderId="40" xfId="124" applyNumberFormat="1" applyFont="1" applyFill="1" applyBorder="1" applyAlignment="1">
      <alignment horizontal="right" vertical="center"/>
      <protection locked="0"/>
    </xf>
    <xf numFmtId="0" fontId="7" fillId="0" borderId="0" xfId="0" quotePrefix="1" applyFont="1" applyAlignment="1">
      <alignment vertical="top"/>
    </xf>
    <xf numFmtId="176" fontId="8" fillId="0" borderId="16" xfId="0" applyNumberFormat="1" applyFont="1" applyBorder="1" applyAlignment="1">
      <alignment horizontal="right" vertical="center"/>
    </xf>
    <xf numFmtId="0" fontId="7" fillId="0" borderId="0" xfId="0" applyFont="1" applyAlignment="1">
      <alignment horizontal="left"/>
    </xf>
    <xf numFmtId="0" fontId="8" fillId="21" borderId="0" xfId="0" quotePrefix="1" applyFont="1" applyFill="1" applyAlignment="1">
      <alignment horizontal="center" vertical="center" wrapText="1"/>
    </xf>
    <xf numFmtId="0" fontId="8" fillId="21" borderId="14" xfId="0" quotePrefix="1" applyFont="1" applyFill="1" applyBorder="1" applyAlignment="1">
      <alignment horizontal="center" vertical="center" wrapText="1"/>
    </xf>
    <xf numFmtId="177" fontId="7" fillId="0" borderId="56" xfId="124" applyNumberFormat="1" applyFont="1" applyFill="1" applyBorder="1" applyAlignment="1">
      <alignment horizontal="right"/>
      <protection locked="0"/>
    </xf>
    <xf numFmtId="177" fontId="7" fillId="0" borderId="22" xfId="124" applyNumberFormat="1" applyFont="1" applyFill="1" applyBorder="1" applyAlignment="1">
      <alignment horizontal="right"/>
      <protection locked="0"/>
    </xf>
    <xf numFmtId="0" fontId="8" fillId="55" borderId="17" xfId="0" applyFont="1" applyFill="1" applyBorder="1" applyAlignment="1">
      <alignment horizontal="center" vertical="center"/>
    </xf>
    <xf numFmtId="49" fontId="7" fillId="55" borderId="22" xfId="124" quotePrefix="1" applyNumberFormat="1" applyFont="1" applyFill="1" applyBorder="1" applyAlignment="1">
      <alignment horizontal="right"/>
      <protection locked="0"/>
    </xf>
    <xf numFmtId="177" fontId="22" fillId="0" borderId="0" xfId="124" applyNumberFormat="1" applyFont="1" applyFill="1" applyBorder="1" applyAlignment="1">
      <alignment vertical="center"/>
      <protection locked="0"/>
    </xf>
    <xf numFmtId="167" fontId="7" fillId="22" borderId="0" xfId="124" applyNumberFormat="1" applyFont="1" applyFill="1" applyBorder="1" applyAlignment="1">
      <alignment horizontal="right" vertical="center"/>
      <protection locked="0"/>
    </xf>
    <xf numFmtId="167" fontId="7" fillId="22" borderId="8" xfId="124" applyNumberFormat="1" applyFont="1" applyFill="1" applyBorder="1" applyAlignment="1">
      <alignment horizontal="right" vertical="center"/>
      <protection locked="0"/>
    </xf>
    <xf numFmtId="167" fontId="7" fillId="55" borderId="22" xfId="124" quotePrefix="1" applyNumberFormat="1" applyFont="1" applyFill="1" applyBorder="1" applyAlignment="1">
      <alignment horizontal="right" vertical="center"/>
      <protection locked="0"/>
    </xf>
    <xf numFmtId="0" fontId="0" fillId="0" borderId="0" xfId="0" applyAlignment="1">
      <alignment horizontal="left"/>
    </xf>
    <xf numFmtId="176" fontId="8" fillId="22" borderId="61" xfId="0" applyNumberFormat="1" applyFont="1" applyFill="1" applyBorder="1" applyAlignment="1">
      <alignment horizontal="right" vertical="center"/>
    </xf>
    <xf numFmtId="1" fontId="31" fillId="0" borderId="9" xfId="0" applyNumberFormat="1" applyFont="1" applyBorder="1" applyAlignment="1">
      <alignment horizontal="center" vertical="center"/>
    </xf>
    <xf numFmtId="167" fontId="7" fillId="55" borderId="24" xfId="124" applyNumberFormat="1" applyFont="1" applyFill="1" applyBorder="1" applyAlignment="1">
      <alignment horizontal="right" vertical="center"/>
      <protection locked="0"/>
    </xf>
    <xf numFmtId="177" fontId="8" fillId="22" borderId="12" xfId="0" applyNumberFormat="1" applyFont="1" applyFill="1" applyBorder="1" applyAlignment="1">
      <alignment horizontal="right" vertical="center"/>
    </xf>
    <xf numFmtId="0" fontId="8" fillId="21" borderId="8" xfId="0" quotePrefix="1" applyFont="1" applyFill="1" applyBorder="1" applyAlignment="1">
      <alignment horizontal="center" vertical="center" wrapText="1"/>
    </xf>
    <xf numFmtId="166" fontId="8" fillId="22" borderId="4" xfId="0" applyNumberFormat="1" applyFont="1" applyFill="1" applyBorder="1" applyAlignment="1">
      <alignment horizontal="center"/>
    </xf>
    <xf numFmtId="166" fontId="7" fillId="0" borderId="14" xfId="124" applyNumberFormat="1" applyFont="1" applyFill="1" applyBorder="1" applyAlignment="1">
      <alignment horizontal="center"/>
      <protection locked="0"/>
    </xf>
    <xf numFmtId="166" fontId="7" fillId="22" borderId="14" xfId="124" applyNumberFormat="1" applyFont="1" applyFill="1" applyBorder="1" applyAlignment="1">
      <alignment horizontal="center"/>
      <protection locked="0"/>
    </xf>
    <xf numFmtId="166" fontId="7" fillId="55" borderId="14" xfId="124" applyNumberFormat="1" applyFont="1" applyFill="1" applyBorder="1" applyAlignment="1">
      <alignment horizontal="center"/>
      <protection locked="0"/>
    </xf>
    <xf numFmtId="166" fontId="7" fillId="0" borderId="10" xfId="124" applyNumberFormat="1" applyFont="1" applyFill="1" applyBorder="1" applyAlignment="1">
      <alignment horizontal="center"/>
      <protection locked="0"/>
    </xf>
    <xf numFmtId="0" fontId="8" fillId="21" borderId="53" xfId="0" quotePrefix="1" applyFont="1" applyFill="1" applyBorder="1" applyAlignment="1">
      <alignment horizontal="center" vertical="center" wrapText="1"/>
    </xf>
    <xf numFmtId="1" fontId="8" fillId="21" borderId="20" xfId="0" applyNumberFormat="1" applyFont="1" applyFill="1" applyBorder="1" applyAlignment="1">
      <alignment horizontal="center" vertical="center"/>
    </xf>
    <xf numFmtId="166" fontId="8" fillId="22" borderId="12" xfId="0" applyNumberFormat="1" applyFont="1" applyFill="1" applyBorder="1" applyAlignment="1">
      <alignment horizontal="center"/>
    </xf>
    <xf numFmtId="49" fontId="4" fillId="0" borderId="0" xfId="0" applyNumberFormat="1" applyFont="1"/>
    <xf numFmtId="0" fontId="7" fillId="21" borderId="20" xfId="0" quotePrefix="1" applyFont="1" applyFill="1" applyBorder="1" applyAlignment="1">
      <alignment horizontal="center" vertical="center" wrapText="1"/>
    </xf>
    <xf numFmtId="0" fontId="8" fillId="0" borderId="16" xfId="0" applyFont="1" applyBorder="1"/>
    <xf numFmtId="167" fontId="8" fillId="55" borderId="12" xfId="0" applyNumberFormat="1" applyFont="1" applyFill="1" applyBorder="1" applyAlignment="1">
      <alignment horizontal="right"/>
    </xf>
    <xf numFmtId="176" fontId="7" fillId="0" borderId="40" xfId="0" applyNumberFormat="1" applyFont="1" applyBorder="1" applyAlignment="1">
      <alignment horizontal="right" vertical="center"/>
    </xf>
    <xf numFmtId="176" fontId="7" fillId="0" borderId="24" xfId="0" applyNumberFormat="1" applyFont="1" applyBorder="1" applyAlignment="1">
      <alignment horizontal="right" vertical="center"/>
    </xf>
    <xf numFmtId="176" fontId="7" fillId="55" borderId="40" xfId="0" applyNumberFormat="1" applyFont="1" applyFill="1" applyBorder="1" applyAlignment="1">
      <alignment horizontal="right" vertical="center"/>
    </xf>
    <xf numFmtId="176" fontId="7" fillId="55" borderId="24" xfId="0" applyNumberFormat="1" applyFont="1" applyFill="1" applyBorder="1" applyAlignment="1">
      <alignment horizontal="right" vertical="center"/>
    </xf>
    <xf numFmtId="0" fontId="8" fillId="21" borderId="9" xfId="0" applyFont="1" applyFill="1" applyBorder="1" applyAlignment="1">
      <alignment vertical="top" wrapText="1"/>
    </xf>
    <xf numFmtId="0" fontId="8" fillId="21" borderId="8" xfId="0" applyFont="1" applyFill="1" applyBorder="1" applyAlignment="1">
      <alignment vertical="top" wrapText="1"/>
    </xf>
    <xf numFmtId="0" fontId="8" fillId="21" borderId="10" xfId="0" applyFont="1" applyFill="1" applyBorder="1" applyAlignment="1">
      <alignment vertical="top" wrapText="1"/>
    </xf>
    <xf numFmtId="0" fontId="6" fillId="0" borderId="0" xfId="0" applyFont="1" applyAlignment="1">
      <alignment horizontal="center" vertical="top" wrapText="1"/>
    </xf>
    <xf numFmtId="1" fontId="6" fillId="0" borderId="0" xfId="0" quotePrefix="1" applyNumberFormat="1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vertical="top" wrapText="1"/>
    </xf>
    <xf numFmtId="0" fontId="8" fillId="0" borderId="0" xfId="0" applyFont="1"/>
    <xf numFmtId="0" fontId="12" fillId="0" borderId="0" xfId="0" applyFont="1" applyAlignment="1">
      <alignment vertical="top" wrapText="1"/>
    </xf>
    <xf numFmtId="0" fontId="10" fillId="0" borderId="0" xfId="0" applyFont="1" applyAlignment="1">
      <alignment horizontal="center" vertical="top"/>
    </xf>
    <xf numFmtId="0" fontId="13" fillId="0" borderId="0" xfId="0" applyFont="1" applyAlignment="1">
      <alignment horizontal="center" vertical="top" wrapText="1"/>
    </xf>
    <xf numFmtId="0" fontId="7" fillId="0" borderId="0" xfId="0" applyFont="1" applyAlignment="1">
      <alignment wrapText="1"/>
    </xf>
    <xf numFmtId="0" fontId="0" fillId="0" borderId="0" xfId="0" applyAlignment="1">
      <alignment wrapText="1"/>
    </xf>
    <xf numFmtId="0" fontId="13" fillId="0" borderId="0" xfId="0" applyFont="1" applyAlignment="1">
      <alignment horizontal="center" vertical="top"/>
    </xf>
    <xf numFmtId="0" fontId="8" fillId="0" borderId="16" xfId="0" applyFont="1" applyBorder="1" applyAlignment="1">
      <alignment wrapText="1"/>
    </xf>
    <xf numFmtId="0" fontId="8" fillId="0" borderId="0" xfId="0" applyFont="1" applyAlignment="1">
      <alignment wrapText="1"/>
    </xf>
    <xf numFmtId="0" fontId="7" fillId="0" borderId="8" xfId="0" applyFont="1" applyBorder="1" applyAlignment="1">
      <alignment horizontal="right" vertical="center"/>
    </xf>
    <xf numFmtId="0" fontId="13" fillId="0" borderId="0" xfId="0" applyFont="1" applyAlignment="1">
      <alignment horizontal="center" vertical="center"/>
    </xf>
    <xf numFmtId="1" fontId="8" fillId="0" borderId="0" xfId="0" applyNumberFormat="1" applyFont="1" applyAlignment="1">
      <alignment wrapText="1"/>
    </xf>
    <xf numFmtId="1" fontId="7" fillId="0" borderId="0" xfId="0" applyNumberFormat="1" applyFont="1" applyAlignment="1">
      <alignment wrapText="1"/>
    </xf>
    <xf numFmtId="1" fontId="7" fillId="0" borderId="0" xfId="0" applyNumberFormat="1" applyFont="1" applyAlignment="1">
      <alignment vertical="top" wrapText="1"/>
    </xf>
    <xf numFmtId="1" fontId="12" fillId="0" borderId="0" xfId="0" applyNumberFormat="1" applyFont="1" applyAlignment="1">
      <alignment vertical="top" wrapText="1"/>
    </xf>
    <xf numFmtId="1" fontId="10" fillId="0" borderId="0" xfId="0" applyNumberFormat="1" applyFont="1" applyAlignment="1">
      <alignment horizontal="center" vertical="top"/>
    </xf>
    <xf numFmtId="1" fontId="13" fillId="0" borderId="0" xfId="0" applyNumberFormat="1" applyFont="1" applyAlignment="1">
      <alignment horizontal="center" vertical="center"/>
    </xf>
    <xf numFmtId="1" fontId="8" fillId="0" borderId="16" xfId="0" applyNumberFormat="1" applyFont="1" applyBorder="1" applyAlignment="1">
      <alignment horizontal="left" wrapText="1"/>
    </xf>
    <xf numFmtId="1" fontId="0" fillId="0" borderId="16" xfId="0" applyNumberFormat="1" applyBorder="1" applyAlignment="1">
      <alignment horizontal="left" wrapText="1"/>
    </xf>
    <xf numFmtId="1" fontId="7" fillId="0" borderId="8" xfId="0" applyNumberFormat="1" applyFont="1" applyBorder="1" applyAlignment="1">
      <alignment horizontal="right" vertical="center"/>
    </xf>
    <xf numFmtId="0" fontId="7" fillId="0" borderId="0" xfId="0" applyFont="1" applyAlignment="1">
      <alignment vertical="top" wrapText="1"/>
    </xf>
    <xf numFmtId="0" fontId="10" fillId="0" borderId="0" xfId="0" applyFont="1" applyAlignment="1">
      <alignment horizontal="center" vertical="top" wrapText="1"/>
    </xf>
    <xf numFmtId="0" fontId="13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10" fillId="0" borderId="0" xfId="0" quotePrefix="1" applyFont="1" applyAlignment="1">
      <alignment horizontal="right" vertical="top"/>
    </xf>
    <xf numFmtId="0" fontId="13" fillId="0" borderId="0" xfId="0" applyFont="1" applyAlignment="1">
      <alignment horizontal="center"/>
    </xf>
    <xf numFmtId="166" fontId="7" fillId="0" borderId="8" xfId="0" applyNumberFormat="1" applyFont="1" applyBorder="1" applyAlignment="1">
      <alignment horizontal="right" vertical="top"/>
    </xf>
    <xf numFmtId="0" fontId="7" fillId="0" borderId="0" xfId="0" applyFont="1" applyAlignment="1">
      <alignment horizontal="left" wrapText="1"/>
    </xf>
    <xf numFmtId="166" fontId="7" fillId="0" borderId="8" xfId="0" applyNumberFormat="1" applyFont="1" applyBorder="1" applyAlignment="1">
      <alignment horizontal="center" vertical="top"/>
    </xf>
    <xf numFmtId="166" fontId="7" fillId="0" borderId="8" xfId="0" applyNumberFormat="1" applyFont="1" applyBorder="1" applyAlignment="1">
      <alignment horizontal="center" vertical="top" wrapText="1"/>
    </xf>
    <xf numFmtId="0" fontId="8" fillId="0" borderId="0" xfId="0" applyFont="1" applyAlignment="1">
      <alignment horizontal="left"/>
    </xf>
    <xf numFmtId="0" fontId="8" fillId="0" borderId="0" xfId="0" applyFont="1" applyAlignment="1">
      <alignment horizontal="left" wrapText="1"/>
    </xf>
    <xf numFmtId="0" fontId="8" fillId="0" borderId="16" xfId="0" applyFont="1" applyBorder="1" applyAlignment="1">
      <alignment horizontal="left" vertical="top" wrapText="1"/>
    </xf>
    <xf numFmtId="0" fontId="8" fillId="0" borderId="16" xfId="0" applyFont="1" applyBorder="1" applyAlignment="1">
      <alignment horizontal="left" wrapText="1"/>
    </xf>
    <xf numFmtId="0" fontId="8" fillId="21" borderId="15" xfId="0" applyFont="1" applyFill="1" applyBorder="1" applyAlignment="1">
      <alignment horizontal="center" vertical="top" wrapText="1"/>
    </xf>
    <xf numFmtId="0" fontId="8" fillId="21" borderId="16" xfId="0" applyFont="1" applyFill="1" applyBorder="1" applyAlignment="1">
      <alignment horizontal="center" vertical="top" wrapText="1"/>
    </xf>
    <xf numFmtId="0" fontId="8" fillId="21" borderId="13" xfId="0" applyFont="1" applyFill="1" applyBorder="1" applyAlignment="1">
      <alignment horizontal="center" vertical="top" wrapText="1"/>
    </xf>
    <xf numFmtId="0" fontId="8" fillId="21" borderId="57" xfId="0" applyFont="1" applyFill="1" applyBorder="1" applyAlignment="1">
      <alignment horizontal="center" vertical="center" wrapText="1"/>
    </xf>
    <xf numFmtId="0" fontId="8" fillId="21" borderId="52" xfId="0" applyFont="1" applyFill="1" applyBorder="1" applyAlignment="1">
      <alignment horizontal="center" vertical="center" wrapText="1"/>
    </xf>
    <xf numFmtId="0" fontId="8" fillId="21" borderId="62" xfId="0" applyFont="1" applyFill="1" applyBorder="1" applyAlignment="1">
      <alignment horizontal="center" vertical="center" wrapText="1"/>
    </xf>
    <xf numFmtId="0" fontId="8" fillId="21" borderId="6" xfId="0" applyFont="1" applyFill="1" applyBorder="1" applyAlignment="1">
      <alignment horizontal="center" vertical="center" wrapText="1"/>
    </xf>
    <xf numFmtId="0" fontId="8" fillId="21" borderId="2" xfId="0" applyFont="1" applyFill="1" applyBorder="1" applyAlignment="1">
      <alignment horizontal="center" vertical="center" wrapText="1"/>
    </xf>
    <xf numFmtId="0" fontId="8" fillId="21" borderId="7" xfId="0" applyFont="1" applyFill="1" applyBorder="1" applyAlignment="1">
      <alignment horizontal="center" vertical="center" wrapText="1"/>
    </xf>
    <xf numFmtId="0" fontId="8" fillId="21" borderId="9" xfId="0" quotePrefix="1" applyFont="1" applyFill="1" applyBorder="1" applyAlignment="1">
      <alignment horizontal="center" vertical="center" wrapText="1"/>
    </xf>
    <xf numFmtId="0" fontId="8" fillId="21" borderId="8" xfId="0" quotePrefix="1" applyFont="1" applyFill="1" applyBorder="1" applyAlignment="1">
      <alignment horizontal="center" vertical="center" wrapText="1"/>
    </xf>
    <xf numFmtId="0" fontId="8" fillId="21" borderId="33" xfId="0" quotePrefix="1" applyFont="1" applyFill="1" applyBorder="1" applyAlignment="1">
      <alignment horizontal="center" vertical="center" wrapText="1"/>
    </xf>
    <xf numFmtId="0" fontId="8" fillId="21" borderId="15" xfId="0" applyFont="1" applyFill="1" applyBorder="1" applyAlignment="1">
      <alignment horizontal="center" vertical="center" wrapText="1"/>
    </xf>
    <xf numFmtId="0" fontId="8" fillId="21" borderId="16" xfId="0" applyFont="1" applyFill="1" applyBorder="1" applyAlignment="1">
      <alignment horizontal="center" vertical="center" wrapText="1"/>
    </xf>
    <xf numFmtId="0" fontId="8" fillId="21" borderId="32" xfId="0" applyFont="1" applyFill="1" applyBorder="1" applyAlignment="1">
      <alignment horizontal="center" vertical="center" wrapText="1"/>
    </xf>
    <xf numFmtId="0" fontId="7" fillId="21" borderId="60" xfId="0" quotePrefix="1" applyFont="1" applyFill="1" applyBorder="1" applyAlignment="1">
      <alignment horizontal="center" vertical="center" wrapText="1"/>
    </xf>
    <xf numFmtId="0" fontId="7" fillId="21" borderId="59" xfId="0" quotePrefix="1" applyFont="1" applyFill="1" applyBorder="1" applyAlignment="1">
      <alignment horizontal="center" vertical="center" wrapText="1"/>
    </xf>
    <xf numFmtId="0" fontId="7" fillId="21" borderId="58" xfId="0" quotePrefix="1" applyFont="1" applyFill="1" applyBorder="1" applyAlignment="1">
      <alignment horizontal="center" vertical="center" wrapText="1"/>
    </xf>
    <xf numFmtId="0" fontId="8" fillId="21" borderId="8" xfId="0" quotePrefix="1" applyFont="1" applyFill="1" applyBorder="1" applyAlignment="1">
      <alignment horizontal="left" vertical="center" wrapText="1"/>
    </xf>
    <xf numFmtId="0" fontId="8" fillId="21" borderId="10" xfId="0" quotePrefix="1" applyFont="1" applyFill="1" applyBorder="1" applyAlignment="1">
      <alignment horizontal="center" vertical="center" wrapText="1"/>
    </xf>
    <xf numFmtId="0" fontId="8" fillId="21" borderId="17" xfId="0" quotePrefix="1" applyFont="1" applyFill="1" applyBorder="1" applyAlignment="1">
      <alignment horizontal="center" vertical="center" wrapText="1"/>
    </xf>
    <xf numFmtId="0" fontId="8" fillId="21" borderId="0" xfId="0" quotePrefix="1" applyFont="1" applyFill="1" applyAlignment="1">
      <alignment horizontal="center" vertical="center" wrapText="1"/>
    </xf>
    <xf numFmtId="0" fontId="8" fillId="21" borderId="13" xfId="0" applyFont="1" applyFill="1" applyBorder="1" applyAlignment="1">
      <alignment horizontal="center" vertical="center" wrapText="1"/>
    </xf>
    <xf numFmtId="0" fontId="8" fillId="21" borderId="17" xfId="0" applyFont="1" applyFill="1" applyBorder="1" applyAlignment="1">
      <alignment horizontal="center" vertical="center" wrapText="1"/>
    </xf>
    <xf numFmtId="0" fontId="8" fillId="21" borderId="0" xfId="0" applyFont="1" applyFill="1" applyAlignment="1">
      <alignment horizontal="center" vertical="center" wrapText="1"/>
    </xf>
    <xf numFmtId="0" fontId="8" fillId="21" borderId="14" xfId="0" applyFont="1" applyFill="1" applyBorder="1" applyAlignment="1">
      <alignment horizontal="center" vertical="center" wrapText="1"/>
    </xf>
    <xf numFmtId="1" fontId="8" fillId="21" borderId="6" xfId="0" quotePrefix="1" applyNumberFormat="1" applyFont="1" applyFill="1" applyBorder="1" applyAlignment="1">
      <alignment horizontal="center" vertical="center" wrapText="1"/>
    </xf>
    <xf numFmtId="1" fontId="8" fillId="21" borderId="2" xfId="0" quotePrefix="1" applyNumberFormat="1" applyFont="1" applyFill="1" applyBorder="1" applyAlignment="1">
      <alignment horizontal="center" vertical="center" wrapText="1"/>
    </xf>
    <xf numFmtId="1" fontId="8" fillId="21" borderId="7" xfId="0" quotePrefix="1" applyNumberFormat="1" applyFont="1" applyFill="1" applyBorder="1" applyAlignment="1">
      <alignment horizontal="center" vertical="center" wrapText="1"/>
    </xf>
    <xf numFmtId="0" fontId="7" fillId="0" borderId="0" xfId="0" applyFont="1" applyAlignment="1">
      <alignment horizontal="left"/>
    </xf>
    <xf numFmtId="0" fontId="7" fillId="0" borderId="8" xfId="0" applyFont="1" applyBorder="1" applyAlignment="1">
      <alignment horizontal="right" vertical="top"/>
    </xf>
    <xf numFmtId="0" fontId="8" fillId="0" borderId="0" xfId="0" applyFont="1" applyAlignment="1">
      <alignment horizontal="left" vertical="top" wrapText="1"/>
    </xf>
    <xf numFmtId="0" fontId="89" fillId="0" borderId="0" xfId="0" applyFont="1" applyAlignment="1">
      <alignment horizontal="center" vertical="center"/>
    </xf>
    <xf numFmtId="0" fontId="20" fillId="0" borderId="0" xfId="0" quotePrefix="1" applyFont="1" applyAlignment="1">
      <alignment horizontal="left"/>
    </xf>
    <xf numFmtId="0" fontId="8" fillId="21" borderId="2" xfId="0" applyFont="1" applyFill="1" applyBorder="1" applyAlignment="1">
      <alignment horizontal="center" vertical="top" wrapText="1"/>
    </xf>
    <xf numFmtId="0" fontId="8" fillId="21" borderId="7" xfId="0" applyFont="1" applyFill="1" applyBorder="1" applyAlignment="1">
      <alignment horizontal="center" vertical="top" wrapText="1"/>
    </xf>
    <xf numFmtId="0" fontId="13" fillId="21" borderId="15" xfId="0" applyFont="1" applyFill="1" applyBorder="1" applyAlignment="1">
      <alignment horizontal="center" vertical="center" wrapText="1"/>
    </xf>
    <xf numFmtId="0" fontId="13" fillId="21" borderId="16" xfId="0" applyFont="1" applyFill="1" applyBorder="1" applyAlignment="1">
      <alignment horizontal="center" vertical="center" wrapText="1"/>
    </xf>
    <xf numFmtId="0" fontId="13" fillId="21" borderId="13" xfId="0" applyFont="1" applyFill="1" applyBorder="1" applyAlignment="1">
      <alignment horizontal="center" vertical="center" wrapText="1"/>
    </xf>
    <xf numFmtId="0" fontId="8" fillId="21" borderId="9" xfId="0" applyFont="1" applyFill="1" applyBorder="1" applyAlignment="1">
      <alignment horizontal="center" vertical="center" wrapText="1"/>
    </xf>
    <xf numFmtId="0" fontId="8" fillId="21" borderId="8" xfId="0" applyFont="1" applyFill="1" applyBorder="1" applyAlignment="1">
      <alignment horizontal="center" vertical="center" wrapText="1"/>
    </xf>
    <xf numFmtId="0" fontId="8" fillId="21" borderId="10" xfId="0" applyFont="1" applyFill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top"/>
    </xf>
    <xf numFmtId="170" fontId="8" fillId="21" borderId="9" xfId="0" applyNumberFormat="1" applyFont="1" applyFill="1" applyBorder="1" applyAlignment="1">
      <alignment horizontal="center" vertical="center"/>
    </xf>
    <xf numFmtId="170" fontId="8" fillId="21" borderId="8" xfId="0" applyNumberFormat="1" applyFont="1" applyFill="1" applyBorder="1" applyAlignment="1">
      <alignment horizontal="center" vertical="center"/>
    </xf>
    <xf numFmtId="170" fontId="8" fillId="21" borderId="10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left" vertical="top" wrapText="1"/>
    </xf>
    <xf numFmtId="0" fontId="5" fillId="0" borderId="0" xfId="0" applyFont="1" applyAlignment="1">
      <alignment vertical="top" wrapText="1"/>
    </xf>
    <xf numFmtId="0" fontId="91" fillId="0" borderId="8" xfId="0" applyFont="1" applyBorder="1" applyAlignment="1">
      <alignment horizontal="center" vertical="center" wrapText="1"/>
    </xf>
    <xf numFmtId="0" fontId="88" fillId="21" borderId="15" xfId="0" applyFont="1" applyFill="1" applyBorder="1" applyAlignment="1">
      <alignment horizontal="center" vertical="center" wrapText="1"/>
    </xf>
    <xf numFmtId="0" fontId="88" fillId="21" borderId="16" xfId="0" applyFont="1" applyFill="1" applyBorder="1" applyAlignment="1">
      <alignment horizontal="center" vertical="center" wrapText="1"/>
    </xf>
    <xf numFmtId="0" fontId="88" fillId="21" borderId="13" xfId="0" applyFont="1" applyFill="1" applyBorder="1" applyAlignment="1">
      <alignment horizontal="center" vertical="center" wrapText="1"/>
    </xf>
    <xf numFmtId="0" fontId="88" fillId="21" borderId="9" xfId="0" applyFont="1" applyFill="1" applyBorder="1" applyAlignment="1">
      <alignment horizontal="center" vertical="top"/>
    </xf>
    <xf numFmtId="0" fontId="88" fillId="21" borderId="33" xfId="0" applyFont="1" applyFill="1" applyBorder="1" applyAlignment="1">
      <alignment horizontal="center" vertical="top"/>
    </xf>
    <xf numFmtId="0" fontId="88" fillId="21" borderId="34" xfId="0" applyFont="1" applyFill="1" applyBorder="1" applyAlignment="1">
      <alignment horizontal="center" vertical="top" wrapText="1"/>
    </xf>
    <xf numFmtId="0" fontId="88" fillId="21" borderId="33" xfId="0" applyFont="1" applyFill="1" applyBorder="1" applyAlignment="1">
      <alignment horizontal="center" vertical="top" wrapText="1"/>
    </xf>
    <xf numFmtId="0" fontId="8" fillId="21" borderId="9" xfId="0" applyFont="1" applyFill="1" applyBorder="1" applyAlignment="1">
      <alignment horizontal="center" vertical="top"/>
    </xf>
    <xf numFmtId="0" fontId="8" fillId="21" borderId="33" xfId="0" applyFont="1" applyFill="1" applyBorder="1" applyAlignment="1">
      <alignment horizontal="center" vertical="top"/>
    </xf>
    <xf numFmtId="0" fontId="8" fillId="21" borderId="34" xfId="0" applyFont="1" applyFill="1" applyBorder="1" applyAlignment="1">
      <alignment horizontal="center" vertical="top" wrapText="1"/>
    </xf>
    <xf numFmtId="0" fontId="8" fillId="21" borderId="33" xfId="0" applyFont="1" applyFill="1" applyBorder="1" applyAlignment="1">
      <alignment horizontal="center" vertical="top" wrapText="1"/>
    </xf>
    <xf numFmtId="0" fontId="8" fillId="21" borderId="8" xfId="0" applyFont="1" applyFill="1" applyBorder="1" applyAlignment="1">
      <alignment horizontal="center" vertical="top" wrapText="1"/>
    </xf>
    <xf numFmtId="0" fontId="13" fillId="0" borderId="8" xfId="0" applyFont="1" applyBorder="1" applyAlignment="1">
      <alignment horizontal="center" wrapText="1"/>
    </xf>
    <xf numFmtId="17" fontId="7" fillId="0" borderId="0" xfId="0" applyNumberFormat="1" applyFont="1" applyAlignment="1">
      <alignment horizontal="center" vertical="center"/>
    </xf>
    <xf numFmtId="17" fontId="7" fillId="0" borderId="0" xfId="0" quotePrefix="1" applyNumberFormat="1" applyFont="1" applyAlignment="1">
      <alignment horizontal="center" vertical="center"/>
    </xf>
    <xf numFmtId="0" fontId="8" fillId="21" borderId="15" xfId="0" applyFont="1" applyFill="1" applyBorder="1" applyAlignment="1">
      <alignment horizontal="center" vertical="center"/>
    </xf>
    <xf numFmtId="0" fontId="8" fillId="21" borderId="16" xfId="0" applyFont="1" applyFill="1" applyBorder="1" applyAlignment="1">
      <alignment horizontal="center" vertical="center"/>
    </xf>
    <xf numFmtId="0" fontId="8" fillId="21" borderId="13" xfId="0" applyFont="1" applyFill="1" applyBorder="1" applyAlignment="1">
      <alignment horizontal="center" vertical="center"/>
    </xf>
    <xf numFmtId="0" fontId="8" fillId="0" borderId="16" xfId="0" applyFont="1" applyBorder="1" applyAlignment="1">
      <alignment horizontal="left"/>
    </xf>
    <xf numFmtId="0" fontId="8" fillId="21" borderId="9" xfId="0" applyFont="1" applyFill="1" applyBorder="1" applyAlignment="1">
      <alignment horizontal="center" vertical="top" wrapText="1"/>
    </xf>
    <xf numFmtId="0" fontId="8" fillId="21" borderId="10" xfId="0" applyFont="1" applyFill="1" applyBorder="1" applyAlignment="1">
      <alignment horizontal="center" vertical="top" wrapText="1"/>
    </xf>
    <xf numFmtId="17" fontId="21" fillId="0" borderId="0" xfId="0" applyNumberFormat="1" applyFont="1" applyAlignment="1">
      <alignment horizontal="center" vertical="center"/>
    </xf>
    <xf numFmtId="17" fontId="21" fillId="0" borderId="0" xfId="0" quotePrefix="1" applyNumberFormat="1" applyFont="1" applyAlignment="1">
      <alignment horizontal="center" vertical="center"/>
    </xf>
    <xf numFmtId="0" fontId="8" fillId="21" borderId="6" xfId="0" applyFont="1" applyFill="1" applyBorder="1" applyAlignment="1">
      <alignment horizontal="center" vertical="top" wrapText="1"/>
    </xf>
    <xf numFmtId="0" fontId="8" fillId="21" borderId="17" xfId="0" applyFont="1" applyFill="1" applyBorder="1" applyAlignment="1">
      <alignment horizontal="center" vertical="top" wrapText="1"/>
    </xf>
    <xf numFmtId="0" fontId="8" fillId="21" borderId="14" xfId="0" applyFont="1" applyFill="1" applyBorder="1" applyAlignment="1">
      <alignment horizontal="center" vertical="top" wrapText="1"/>
    </xf>
    <xf numFmtId="0" fontId="8" fillId="56" borderId="16" xfId="0" applyFont="1" applyFill="1" applyBorder="1" applyAlignment="1">
      <alignment horizontal="left" wrapText="1"/>
    </xf>
    <xf numFmtId="0" fontId="0" fillId="56" borderId="16" xfId="0" applyFill="1" applyBorder="1" applyAlignment="1">
      <alignment horizontal="left" wrapText="1"/>
    </xf>
    <xf numFmtId="0" fontId="7" fillId="0" borderId="0" xfId="0" applyFont="1" applyAlignment="1">
      <alignment vertical="center"/>
    </xf>
    <xf numFmtId="0" fontId="13" fillId="0" borderId="8" xfId="0" applyFont="1" applyBorder="1" applyAlignment="1">
      <alignment horizontal="center" vertical="top" wrapText="1"/>
    </xf>
    <xf numFmtId="0" fontId="0" fillId="0" borderId="16" xfId="0" applyBorder="1" applyAlignment="1">
      <alignment horizontal="left" wrapText="1"/>
    </xf>
    <xf numFmtId="0" fontId="7" fillId="0" borderId="0" xfId="0" applyFont="1" applyAlignment="1">
      <alignment horizontal="left" vertical="top"/>
    </xf>
    <xf numFmtId="0" fontId="0" fillId="0" borderId="0" xfId="0" applyAlignment="1">
      <alignment vertical="top"/>
    </xf>
    <xf numFmtId="0" fontId="13" fillId="0" borderId="8" xfId="0" applyFont="1" applyBorder="1" applyAlignment="1">
      <alignment horizontal="center" vertical="top"/>
    </xf>
  </cellXfs>
  <cellStyles count="154">
    <cellStyle name="20% - Accent1 2" xfId="2" xr:uid="{00000000-0005-0000-0000-000001000000}"/>
    <cellStyle name="20% - Accent1 3" xfId="140" xr:uid="{00000000-0005-0000-0000-000002000000}"/>
    <cellStyle name="20% - Accent2 2" xfId="142" xr:uid="{00000000-0005-0000-0000-000004000000}"/>
    <cellStyle name="20% - Accent3 2" xfId="144" xr:uid="{00000000-0005-0000-0000-000006000000}"/>
    <cellStyle name="20% - Accent4 2" xfId="146" xr:uid="{00000000-0005-0000-0000-000008000000}"/>
    <cellStyle name="20% - Accent5 2" xfId="137" xr:uid="{00000000-0005-0000-0000-00000A000000}"/>
    <cellStyle name="20% - Accent5 3" xfId="148" xr:uid="{00000000-0005-0000-0000-00000B000000}"/>
    <cellStyle name="20% - Accent6 2" xfId="150" xr:uid="{00000000-0005-0000-0000-00000D000000}"/>
    <cellStyle name="20% - Акцент1" xfId="1" builtinId="30" customBuiltin="1"/>
    <cellStyle name="20% - Акцент2" xfId="3" builtinId="34" customBuiltin="1"/>
    <cellStyle name="20% - Акцент3" xfId="4" builtinId="38" customBuiltin="1"/>
    <cellStyle name="20% - Акцент4" xfId="5" builtinId="42" customBuiltin="1"/>
    <cellStyle name="20% - Акцент5" xfId="6" builtinId="46" customBuiltin="1"/>
    <cellStyle name="20% - Акцент6" xfId="7" builtinId="50" customBuiltin="1"/>
    <cellStyle name="40% - Accent1 2" xfId="141" xr:uid="{00000000-0005-0000-0000-00000F000000}"/>
    <cellStyle name="40% - Accent2 2" xfId="143" xr:uid="{00000000-0005-0000-0000-000011000000}"/>
    <cellStyle name="40% - Accent3 2" xfId="145" xr:uid="{00000000-0005-0000-0000-000013000000}"/>
    <cellStyle name="40% - Accent4 2" xfId="147" xr:uid="{00000000-0005-0000-0000-000015000000}"/>
    <cellStyle name="40% - Accent5 2" xfId="149" xr:uid="{00000000-0005-0000-0000-000017000000}"/>
    <cellStyle name="40% - Accent6 2" xfId="151" xr:uid="{00000000-0005-0000-0000-000019000000}"/>
    <cellStyle name="40% - Акцент1" xfId="8" builtinId="31" customBuiltin="1"/>
    <cellStyle name="40% - Акцент2" xfId="9" builtinId="35" customBuiltin="1"/>
    <cellStyle name="40% - Акцент3" xfId="10" builtinId="39" customBuiltin="1"/>
    <cellStyle name="40% - Акцент4" xfId="11" builtinId="43" customBuiltin="1"/>
    <cellStyle name="40% - Акцент5" xfId="12" builtinId="47" customBuiltin="1"/>
    <cellStyle name="40% - Акцент6" xfId="13" builtinId="51" customBuiltin="1"/>
    <cellStyle name="60% - Акцент1" xfId="14" builtinId="32" customBuiltin="1"/>
    <cellStyle name="60% - Акцент2" xfId="15" builtinId="36" customBuiltin="1"/>
    <cellStyle name="60% - Акцент3" xfId="16" builtinId="40" customBuiltin="1"/>
    <cellStyle name="60% - Акцент4" xfId="17" builtinId="44" customBuiltin="1"/>
    <cellStyle name="60% - Акцент5" xfId="18" builtinId="48" customBuiltin="1"/>
    <cellStyle name="60% - Акцент6" xfId="19" builtinId="52" customBuiltin="1"/>
    <cellStyle name="Accent1 2" xfId="21" xr:uid="{00000000-0005-0000-0000-000021000000}"/>
    <cellStyle name="Accent2 2" xfId="23" xr:uid="{00000000-0005-0000-0000-000023000000}"/>
    <cellStyle name="Accent3 2" xfId="25" xr:uid="{00000000-0005-0000-0000-000025000000}"/>
    <cellStyle name="Accent4 2" xfId="27" xr:uid="{00000000-0005-0000-0000-000027000000}"/>
    <cellStyle name="Accent5 2" xfId="29" xr:uid="{00000000-0005-0000-0000-000029000000}"/>
    <cellStyle name="Accent6 2" xfId="31" xr:uid="{00000000-0005-0000-0000-00002B000000}"/>
    <cellStyle name="cells" xfId="34" xr:uid="{00000000-0005-0000-0000-00002E000000}"/>
    <cellStyle name="coin" xfId="36" xr:uid="{00000000-0005-0000-0000-000030000000}"/>
    <cellStyle name="column field" xfId="37" xr:uid="{00000000-0005-0000-0000-000031000000}"/>
    <cellStyle name="Comma 2" xfId="38" xr:uid="{00000000-0005-0000-0000-000032000000}"/>
    <cellStyle name="Comma 3" xfId="39" xr:uid="{00000000-0005-0000-0000-000033000000}"/>
    <cellStyle name="contenu_unite" xfId="40" xr:uid="{00000000-0005-0000-0000-000034000000}"/>
    <cellStyle name="Detail ligne" xfId="41" xr:uid="{00000000-0005-0000-0000-000035000000}"/>
    <cellStyle name="donn_normal" xfId="42" xr:uid="{00000000-0005-0000-0000-000036000000}"/>
    <cellStyle name="donnnormal1" xfId="43" xr:uid="{00000000-0005-0000-0000-000037000000}"/>
    <cellStyle name="donntotal1" xfId="44" xr:uid="{00000000-0005-0000-0000-000038000000}"/>
    <cellStyle name="ent_col_ser" xfId="45" xr:uid="{00000000-0005-0000-0000-000039000000}"/>
    <cellStyle name="entete_indice" xfId="46" xr:uid="{00000000-0005-0000-0000-00003A000000}"/>
    <cellStyle name="field" xfId="48" xr:uid="{00000000-0005-0000-0000-00003C000000}"/>
    <cellStyle name="field names" xfId="49" xr:uid="{00000000-0005-0000-0000-00003D000000}"/>
    <cellStyle name="Följde hyperlänken" xfId="50" xr:uid="{00000000-0005-0000-0000-00003E000000}"/>
    <cellStyle name="footer" xfId="51" xr:uid="{00000000-0005-0000-0000-00003F000000}"/>
    <cellStyle name="heading" xfId="53" xr:uid="{00000000-0005-0000-0000-000041000000}"/>
    <cellStyle name="Hyperlänk 2" xfId="58" xr:uid="{00000000-0005-0000-0000-000046000000}"/>
    <cellStyle name="Hyperlink 2" xfId="60" xr:uid="{00000000-0005-0000-0000-000048000000}"/>
    <cellStyle name="Hyperlink 3" xfId="61" xr:uid="{00000000-0005-0000-0000-000049000000}"/>
    <cellStyle name="Identification requete" xfId="62" xr:uid="{00000000-0005-0000-0000-00004A000000}"/>
    <cellStyle name="Ligne détail" xfId="64" xr:uid="{00000000-0005-0000-0000-00004C000000}"/>
    <cellStyle name="Ligne détail 2" xfId="65" xr:uid="{00000000-0005-0000-0000-00004D000000}"/>
    <cellStyle name="ligne_titre_0" xfId="66" xr:uid="{00000000-0005-0000-0000-00004E000000}"/>
    <cellStyle name="MEV1" xfId="68" xr:uid="{00000000-0005-0000-0000-000050000000}"/>
    <cellStyle name="MEV2" xfId="69" xr:uid="{00000000-0005-0000-0000-000051000000}"/>
    <cellStyle name="Normal 10" xfId="71" xr:uid="{00000000-0005-0000-0000-000054000000}"/>
    <cellStyle name="Normal 11" xfId="72" xr:uid="{00000000-0005-0000-0000-000055000000}"/>
    <cellStyle name="Normal 12" xfId="73" xr:uid="{00000000-0005-0000-0000-000056000000}"/>
    <cellStyle name="Normal 13" xfId="74" xr:uid="{00000000-0005-0000-0000-000057000000}"/>
    <cellStyle name="Normal 14" xfId="136" xr:uid="{00000000-0005-0000-0000-000058000000}"/>
    <cellStyle name="Normal 15" xfId="138" xr:uid="{00000000-0005-0000-0000-000059000000}"/>
    <cellStyle name="Normal 16" xfId="152" xr:uid="{CBF22CB5-3ECD-43E0-9D18-4A7D27DF7D35}"/>
    <cellStyle name="Normal 2" xfId="75" xr:uid="{00000000-0005-0000-0000-00005A000000}"/>
    <cellStyle name="Normal 2 2" xfId="76" xr:uid="{00000000-0005-0000-0000-00005B000000}"/>
    <cellStyle name="Normal 2 3" xfId="77" xr:uid="{00000000-0005-0000-0000-00005C000000}"/>
    <cellStyle name="Normal 2 3 2" xfId="78" xr:uid="{00000000-0005-0000-0000-00005D000000}"/>
    <cellStyle name="Normal 2 4" xfId="79" xr:uid="{00000000-0005-0000-0000-00005E000000}"/>
    <cellStyle name="Normal 2 5" xfId="153" xr:uid="{BD821AB2-3E68-4957-8D7F-6171DD7B5FE1}"/>
    <cellStyle name="Normal 3" xfId="80" xr:uid="{00000000-0005-0000-0000-00005F000000}"/>
    <cellStyle name="Normal 3 2" xfId="81" xr:uid="{00000000-0005-0000-0000-000060000000}"/>
    <cellStyle name="Normal 3 2 2" xfId="82" xr:uid="{00000000-0005-0000-0000-000061000000}"/>
    <cellStyle name="Normal 3 3" xfId="83" xr:uid="{00000000-0005-0000-0000-000062000000}"/>
    <cellStyle name="Normal 3 4" xfId="84" xr:uid="{00000000-0005-0000-0000-000063000000}"/>
    <cellStyle name="Normal 4" xfId="85" xr:uid="{00000000-0005-0000-0000-000064000000}"/>
    <cellStyle name="Normal 4 2" xfId="86" xr:uid="{00000000-0005-0000-0000-000065000000}"/>
    <cellStyle name="Normal 5" xfId="87" xr:uid="{00000000-0005-0000-0000-000066000000}"/>
    <cellStyle name="Normal 6" xfId="88" xr:uid="{00000000-0005-0000-0000-000067000000}"/>
    <cellStyle name="Normal 6 2" xfId="89" xr:uid="{00000000-0005-0000-0000-000068000000}"/>
    <cellStyle name="Normal 7" xfId="90" xr:uid="{00000000-0005-0000-0000-000069000000}"/>
    <cellStyle name="Normal 8" xfId="91" xr:uid="{00000000-0005-0000-0000-00006A000000}"/>
    <cellStyle name="Normal 9" xfId="92" xr:uid="{00000000-0005-0000-0000-00006B000000}"/>
    <cellStyle name="Normál_t6" xfId="93" xr:uid="{00000000-0005-0000-0000-00006C000000}"/>
    <cellStyle name="Note 2" xfId="94" xr:uid="{00000000-0005-0000-0000-00006D000000}"/>
    <cellStyle name="Note 3" xfId="95" xr:uid="{00000000-0005-0000-0000-00006E000000}"/>
    <cellStyle name="Note 4" xfId="96" xr:uid="{00000000-0005-0000-0000-00006F000000}"/>
    <cellStyle name="Note 5" xfId="139" xr:uid="{00000000-0005-0000-0000-000070000000}"/>
    <cellStyle name="notice_theme" xfId="97" xr:uid="{00000000-0005-0000-0000-000071000000}"/>
    <cellStyle name="num_note" xfId="98" xr:uid="{00000000-0005-0000-0000-000072000000}"/>
    <cellStyle name="Percent 2" xfId="100" xr:uid="{00000000-0005-0000-0000-000074000000}"/>
    <cellStyle name="Procent 2" xfId="101" xr:uid="{00000000-0005-0000-0000-000075000000}"/>
    <cellStyle name="Resultat" xfId="102" xr:uid="{00000000-0005-0000-0000-000076000000}"/>
    <cellStyle name="rowfield" xfId="103" xr:uid="{00000000-0005-0000-0000-000077000000}"/>
    <cellStyle name="source" xfId="104" xr:uid="{00000000-0005-0000-0000-000078000000}"/>
    <cellStyle name="source 2" xfId="105" xr:uid="{00000000-0005-0000-0000-000079000000}"/>
    <cellStyle name="Standard_E00seit45" xfId="106" xr:uid="{00000000-0005-0000-0000-00007A000000}"/>
    <cellStyle name="Test" xfId="107" xr:uid="{00000000-0005-0000-0000-00007B000000}"/>
    <cellStyle name="Title 2" xfId="109" xr:uid="{00000000-0005-0000-0000-00007D000000}"/>
    <cellStyle name="Titre colonne" xfId="110" xr:uid="{00000000-0005-0000-0000-00007E000000}"/>
    <cellStyle name="Titre colonnes" xfId="111" xr:uid="{00000000-0005-0000-0000-00007F000000}"/>
    <cellStyle name="Titre colonnes 2" xfId="112" xr:uid="{00000000-0005-0000-0000-000080000000}"/>
    <cellStyle name="Titre general" xfId="113" xr:uid="{00000000-0005-0000-0000-000081000000}"/>
    <cellStyle name="Titre général" xfId="114" xr:uid="{00000000-0005-0000-0000-000082000000}"/>
    <cellStyle name="Titre ligne" xfId="115" xr:uid="{00000000-0005-0000-0000-000083000000}"/>
    <cellStyle name="Titre ligne 2" xfId="116" xr:uid="{00000000-0005-0000-0000-000084000000}"/>
    <cellStyle name="Titre lignes" xfId="117" xr:uid="{00000000-0005-0000-0000-000085000000}"/>
    <cellStyle name="Titre lignes 2" xfId="118" xr:uid="{00000000-0005-0000-0000-000086000000}"/>
    <cellStyle name="Titre tableau" xfId="119" xr:uid="{00000000-0005-0000-0000-000087000000}"/>
    <cellStyle name="Total 2" xfId="121" xr:uid="{00000000-0005-0000-0000-000089000000}"/>
    <cellStyle name="Total 3" xfId="122" xr:uid="{00000000-0005-0000-0000-00008A000000}"/>
    <cellStyle name="Total 4" xfId="123" xr:uid="{00000000-0005-0000-0000-00008B000000}"/>
    <cellStyle name="Total intermediaire" xfId="124" xr:uid="{00000000-0005-0000-0000-00008C000000}"/>
    <cellStyle name="Total intermediaire 0" xfId="125" xr:uid="{00000000-0005-0000-0000-00008D000000}"/>
    <cellStyle name="Total intermediaire 1" xfId="126" xr:uid="{00000000-0005-0000-0000-00008E000000}"/>
    <cellStyle name="Total intermediaire 2" xfId="127" xr:uid="{00000000-0005-0000-0000-00008F000000}"/>
    <cellStyle name="Total intermediaire 3" xfId="128" xr:uid="{00000000-0005-0000-0000-000090000000}"/>
    <cellStyle name="Total intermediaire 4" xfId="129" xr:uid="{00000000-0005-0000-0000-000091000000}"/>
    <cellStyle name="Total intermediaire 5" xfId="130" xr:uid="{00000000-0005-0000-0000-000092000000}"/>
    <cellStyle name="Total tableau" xfId="131" xr:uid="{00000000-0005-0000-0000-000093000000}"/>
    <cellStyle name="Tusental 2" xfId="132" xr:uid="{00000000-0005-0000-0000-000094000000}"/>
    <cellStyle name="Virgül [0]_08-01" xfId="133" xr:uid="{00000000-0005-0000-0000-000095000000}"/>
    <cellStyle name="Virgül_08-01" xfId="134" xr:uid="{00000000-0005-0000-0000-000096000000}"/>
    <cellStyle name="Акцент1" xfId="20" builtinId="29" customBuiltin="1"/>
    <cellStyle name="Акцент2" xfId="22" builtinId="33" customBuiltin="1"/>
    <cellStyle name="Акцент3" xfId="24" builtinId="37" customBuiltin="1"/>
    <cellStyle name="Акцент4" xfId="26" builtinId="41" customBuiltin="1"/>
    <cellStyle name="Акцент5" xfId="28" builtinId="45" customBuiltin="1"/>
    <cellStyle name="Акцент6" xfId="30" builtinId="49" customBuiltin="1"/>
    <cellStyle name="Вход" xfId="63" builtinId="20" customBuiltin="1"/>
    <cellStyle name="Добър" xfId="52" builtinId="26" customBuiltin="1"/>
    <cellStyle name="Заглавие" xfId="108" builtinId="15" customBuiltin="1"/>
    <cellStyle name="Заглавие 1" xfId="54" builtinId="16" customBuiltin="1"/>
    <cellStyle name="Заглавие 2" xfId="55" builtinId="17" customBuiltin="1"/>
    <cellStyle name="Заглавие 3" xfId="56" builtinId="18" customBuiltin="1"/>
    <cellStyle name="Заглавие 4" xfId="57" builtinId="19" customBuiltin="1"/>
    <cellStyle name="Изход" xfId="99" builtinId="21" customBuiltin="1"/>
    <cellStyle name="Изчисление" xfId="33" builtinId="22" customBuiltin="1"/>
    <cellStyle name="Контролна клетка" xfId="35" builtinId="23" customBuiltin="1"/>
    <cellStyle name="Лош" xfId="32" builtinId="27" customBuiltin="1"/>
    <cellStyle name="Неутрален" xfId="70" builtinId="28" customBuiltin="1"/>
    <cellStyle name="Нормален" xfId="0" builtinId="0"/>
    <cellStyle name="Обяснителен текст" xfId="47" builtinId="53" customBuiltin="1"/>
    <cellStyle name="Предупредителен текст" xfId="135" builtinId="11" customBuiltin="1"/>
    <cellStyle name="Свързана клетка" xfId="67" builtinId="24" customBuiltin="1"/>
    <cellStyle name="Сума" xfId="120" builtinId="25" customBuiltin="1"/>
    <cellStyle name="Хипервръзка" xfId="59" builtin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AF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AF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00FFFF"/>
      <rgbColor rgb="00993300"/>
      <rgbColor rgb="00993366"/>
      <rgbColor rgb="00333399"/>
      <rgbColor rgb="00333333"/>
    </indexedColors>
    <mruColors>
      <color rgb="FFCCFFCC"/>
      <color rgb="FF99FF99"/>
      <color rgb="FF66FF99"/>
      <color rgb="FF99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2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76E09B97-E1D8-42FF-93C3-368BDC2C5076}">
  <we:reference id="d6dd2127-69ce-4e3d-ae3c-aba4d9d49ee9" version="1.0.0.0" store="https://eceuropaeu.sharepoint.com/sites/AppCatalog" storeType="SPCatalog"/>
  <we:alternateReferences/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741"/>
  <dimension ref="B1:D60"/>
  <sheetViews>
    <sheetView zoomScale="85" zoomScaleNormal="85" workbookViewId="0">
      <selection activeCell="B9" sqref="B9"/>
    </sheetView>
  </sheetViews>
  <sheetFormatPr defaultColWidth="9.1328125" defaultRowHeight="13.15"/>
  <cols>
    <col min="1" max="1" width="0.86328125" style="76" customWidth="1"/>
    <col min="2" max="2" width="7.73046875" style="78" customWidth="1"/>
    <col min="3" max="3" width="2" style="79" customWidth="1"/>
    <col min="4" max="4" width="65.86328125" style="76" customWidth="1"/>
    <col min="5" max="16384" width="9.1328125" style="76"/>
  </cols>
  <sheetData>
    <row r="1" spans="2:4" ht="20.100000000000001" customHeight="1">
      <c r="B1" s="1055" t="s">
        <v>90</v>
      </c>
      <c r="C1" s="1055"/>
      <c r="D1" s="1055"/>
    </row>
    <row r="2" spans="2:4" ht="20.100000000000001" customHeight="1">
      <c r="B2" s="1056" t="s">
        <v>91</v>
      </c>
      <c r="C2" s="1056"/>
      <c r="D2" s="1056"/>
    </row>
    <row r="3" spans="2:4" ht="20.100000000000001" customHeight="1">
      <c r="B3" s="1057" t="s">
        <v>99</v>
      </c>
      <c r="C3" s="1057"/>
      <c r="D3" s="1057"/>
    </row>
    <row r="4" spans="2:4" ht="20.100000000000001" customHeight="1">
      <c r="B4" s="1058" t="s">
        <v>93</v>
      </c>
      <c r="C4" s="1058"/>
      <c r="D4" s="1058"/>
    </row>
    <row r="5" spans="2:4" ht="20.100000000000001" customHeight="1">
      <c r="B5" s="77"/>
      <c r="C5" s="77"/>
      <c r="D5" s="77"/>
    </row>
    <row r="6" spans="2:4" ht="20.100000000000001" customHeight="1"/>
    <row r="7" spans="2:4" ht="20.100000000000001" customHeight="1">
      <c r="B7" s="1055" t="s">
        <v>100</v>
      </c>
      <c r="C7" s="1055"/>
      <c r="D7" s="1055"/>
    </row>
    <row r="8" spans="2:4" ht="20.100000000000001" customHeight="1">
      <c r="B8" s="1054">
        <v>2023</v>
      </c>
      <c r="C8" s="1054"/>
      <c r="D8" s="1054"/>
    </row>
    <row r="9" spans="2:4" ht="20.100000000000001" customHeight="1">
      <c r="B9" s="80"/>
      <c r="C9" s="80"/>
      <c r="D9" s="80"/>
    </row>
    <row r="10" spans="2:4" ht="20.100000000000001" customHeight="1">
      <c r="B10" s="1059" t="s">
        <v>101</v>
      </c>
      <c r="C10" s="1059"/>
      <c r="D10" s="1059"/>
    </row>
    <row r="11" spans="2:4" ht="20.100000000000001" customHeight="1">
      <c r="B11" s="81"/>
    </row>
    <row r="12" spans="2:4" ht="20.100000000000001" customHeight="1">
      <c r="B12" s="1053" t="s">
        <v>102</v>
      </c>
      <c r="C12" s="1053"/>
      <c r="D12" s="1053"/>
    </row>
    <row r="13" spans="2:4" customFormat="1" ht="20.100000000000001" customHeight="1">
      <c r="B13" s="1053" t="s">
        <v>92</v>
      </c>
      <c r="C13" s="1053"/>
      <c r="D13" s="1053"/>
    </row>
    <row r="14" spans="2:4" ht="20.100000000000001" customHeight="1">
      <c r="B14" s="81"/>
      <c r="D14"/>
    </row>
    <row r="15" spans="2:4" ht="20.100000000000001" customHeight="1">
      <c r="B15" s="81"/>
    </row>
    <row r="16" spans="2:4" customFormat="1" ht="15" customHeight="1">
      <c r="B16" s="82" t="s">
        <v>103</v>
      </c>
      <c r="C16" s="83"/>
      <c r="D16" s="396" t="s">
        <v>294</v>
      </c>
    </row>
    <row r="17" spans="2:4" customFormat="1" ht="15" customHeight="1">
      <c r="B17" s="82" t="s">
        <v>104</v>
      </c>
      <c r="C17" s="84"/>
      <c r="D17" s="396" t="s">
        <v>273</v>
      </c>
    </row>
    <row r="18" spans="2:4" customFormat="1" ht="15" customHeight="1">
      <c r="B18" s="82" t="s">
        <v>105</v>
      </c>
      <c r="C18" s="84"/>
      <c r="D18" s="396" t="s">
        <v>274</v>
      </c>
    </row>
    <row r="19" spans="2:4" customFormat="1" ht="15" customHeight="1">
      <c r="B19" s="82" t="s">
        <v>106</v>
      </c>
      <c r="C19" s="83"/>
      <c r="D19" s="397" t="s">
        <v>275</v>
      </c>
    </row>
    <row r="20" spans="2:4" ht="15" customHeight="1">
      <c r="B20" s="82" t="s">
        <v>107</v>
      </c>
      <c r="C20" s="83"/>
      <c r="D20" s="396" t="s">
        <v>276</v>
      </c>
    </row>
    <row r="21" spans="2:4" ht="15" customHeight="1">
      <c r="B21" s="82" t="s">
        <v>108</v>
      </c>
      <c r="C21" s="83"/>
      <c r="D21" s="396" t="s">
        <v>277</v>
      </c>
    </row>
    <row r="22" spans="2:4" customFormat="1" ht="15" customHeight="1">
      <c r="B22" s="82" t="s">
        <v>109</v>
      </c>
      <c r="C22" s="85"/>
      <c r="D22" s="396" t="s">
        <v>278</v>
      </c>
    </row>
    <row r="23" spans="2:4" ht="15" customHeight="1">
      <c r="B23" s="82" t="s">
        <v>110</v>
      </c>
      <c r="C23" s="85"/>
      <c r="D23" s="396" t="s">
        <v>281</v>
      </c>
    </row>
    <row r="24" spans="2:4" ht="15" customHeight="1">
      <c r="B24" s="82" t="s">
        <v>111</v>
      </c>
      <c r="C24" s="83"/>
      <c r="D24" s="396" t="s">
        <v>279</v>
      </c>
    </row>
    <row r="25" spans="2:4" ht="15" customHeight="1">
      <c r="B25" s="82" t="s">
        <v>112</v>
      </c>
      <c r="C25" s="83"/>
      <c r="D25" s="396" t="s">
        <v>280</v>
      </c>
    </row>
    <row r="26" spans="2:4" ht="15" customHeight="1">
      <c r="B26" s="82" t="s">
        <v>113</v>
      </c>
      <c r="C26" s="86"/>
      <c r="D26" s="397" t="s">
        <v>282</v>
      </c>
    </row>
    <row r="27" spans="2:4" ht="15" customHeight="1">
      <c r="B27" s="82" t="s">
        <v>114</v>
      </c>
      <c r="C27" s="86"/>
      <c r="D27" s="397" t="s">
        <v>283</v>
      </c>
    </row>
    <row r="28" spans="2:4" ht="15" customHeight="1">
      <c r="B28" s="82" t="s">
        <v>115</v>
      </c>
      <c r="C28" s="86"/>
      <c r="D28" s="397" t="s">
        <v>284</v>
      </c>
    </row>
    <row r="29" spans="2:4" ht="15" customHeight="1">
      <c r="B29" s="82" t="s">
        <v>116</v>
      </c>
      <c r="C29" s="85"/>
      <c r="D29" s="396" t="s">
        <v>285</v>
      </c>
    </row>
    <row r="30" spans="2:4" ht="15" customHeight="1">
      <c r="B30" s="82" t="s">
        <v>117</v>
      </c>
      <c r="C30" s="85"/>
      <c r="D30" s="396" t="s">
        <v>286</v>
      </c>
    </row>
    <row r="31" spans="2:4" ht="15" customHeight="1">
      <c r="B31" s="82" t="s">
        <v>118</v>
      </c>
      <c r="C31" s="83"/>
      <c r="D31" s="396" t="s">
        <v>287</v>
      </c>
    </row>
    <row r="32" spans="2:4" ht="15" customHeight="1">
      <c r="B32" s="82" t="s">
        <v>119</v>
      </c>
      <c r="C32" s="83"/>
      <c r="D32" s="396" t="s">
        <v>295</v>
      </c>
    </row>
    <row r="33" spans="2:4" ht="15" customHeight="1">
      <c r="B33" s="82" t="s">
        <v>120</v>
      </c>
      <c r="C33" s="83"/>
      <c r="D33" s="396" t="s">
        <v>288</v>
      </c>
    </row>
    <row r="34" spans="2:4">
      <c r="B34" s="81"/>
    </row>
    <row r="35" spans="2:4">
      <c r="B35" s="81"/>
    </row>
    <row r="36" spans="2:4">
      <c r="B36" s="81"/>
    </row>
    <row r="37" spans="2:4">
      <c r="B37" s="81"/>
    </row>
    <row r="38" spans="2:4">
      <c r="B38" s="81"/>
    </row>
    <row r="40" spans="2:4">
      <c r="B40" s="87"/>
    </row>
    <row r="41" spans="2:4">
      <c r="B41" s="81"/>
    </row>
    <row r="42" spans="2:4">
      <c r="B42" s="81"/>
    </row>
    <row r="43" spans="2:4">
      <c r="B43" s="81"/>
    </row>
    <row r="50" spans="3:4">
      <c r="C50" s="88"/>
      <c r="D50" s="89"/>
    </row>
    <row r="57" spans="3:4" customFormat="1" ht="12.75"/>
    <row r="60" spans="3:4">
      <c r="C60"/>
      <c r="D60"/>
    </row>
  </sheetData>
  <mergeCells count="9">
    <mergeCell ref="B12:D12"/>
    <mergeCell ref="B13:D13"/>
    <mergeCell ref="B8:D8"/>
    <mergeCell ref="B7:D7"/>
    <mergeCell ref="B1:D1"/>
    <mergeCell ref="B2:D2"/>
    <mergeCell ref="B3:D3"/>
    <mergeCell ref="B4:D4"/>
    <mergeCell ref="B10:D10"/>
  </mergeCells>
  <phoneticPr fontId="7" type="noConversion"/>
  <printOptions horizontalCentered="1"/>
  <pageMargins left="0.6692913385826772" right="0.27559055118110237" top="0.51181102362204722" bottom="0.27559055118110237" header="0" footer="0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81"/>
  <dimension ref="B1:AC41"/>
  <sheetViews>
    <sheetView zoomScaleNormal="100" workbookViewId="0">
      <pane xSplit="2" topLeftCell="L1" activePane="topRight" state="frozen"/>
      <selection pane="topRight" activeCell="AH25" sqref="AH25"/>
    </sheetView>
  </sheetViews>
  <sheetFormatPr defaultRowHeight="12.75"/>
  <cols>
    <col min="2" max="2" width="4.73046875" customWidth="1"/>
    <col min="3" max="11" width="7.86328125" hidden="1" customWidth="1"/>
    <col min="12" max="18" width="7.86328125" customWidth="1"/>
    <col min="19" max="20" width="7.265625" customWidth="1"/>
    <col min="21" max="27" width="7.86328125" style="2" hidden="1" customWidth="1"/>
    <col min="28" max="28" width="7.86328125" style="2" customWidth="1"/>
    <col min="29" max="29" width="7.86328125" customWidth="1"/>
  </cols>
  <sheetData>
    <row r="1" spans="2:29" ht="15">
      <c r="B1" s="19"/>
      <c r="AC1" s="20" t="s">
        <v>110</v>
      </c>
    </row>
    <row r="2" spans="2:29" s="28" customFormat="1" ht="15">
      <c r="B2" s="1056" t="s">
        <v>257</v>
      </c>
      <c r="C2" s="1056"/>
      <c r="D2" s="1056"/>
      <c r="E2" s="1056"/>
      <c r="F2" s="1056"/>
      <c r="G2" s="1056"/>
      <c r="H2" s="1056"/>
      <c r="I2" s="1056"/>
      <c r="J2" s="1056"/>
      <c r="K2" s="1056"/>
      <c r="L2" s="1056"/>
      <c r="M2" s="1056"/>
      <c r="N2" s="1056"/>
      <c r="O2" s="1056"/>
      <c r="P2" s="1056"/>
      <c r="Q2" s="1056"/>
      <c r="R2" s="1056"/>
      <c r="S2" s="1056"/>
      <c r="T2" s="1056"/>
      <c r="U2" s="1056"/>
      <c r="V2" s="1056"/>
      <c r="W2" s="1056"/>
      <c r="X2" s="1056"/>
      <c r="Y2" s="1056"/>
      <c r="Z2" s="1056"/>
      <c r="AA2" s="1056"/>
      <c r="AB2" s="1056"/>
      <c r="AC2" s="1056"/>
    </row>
    <row r="3" spans="2:29" ht="13.15">
      <c r="B3" s="1067" t="s">
        <v>73</v>
      </c>
      <c r="C3" s="1067"/>
      <c r="D3" s="1067"/>
      <c r="E3" s="1067"/>
      <c r="F3" s="1067"/>
      <c r="G3" s="1067"/>
      <c r="H3" s="1067"/>
      <c r="I3" s="1067"/>
      <c r="J3" s="1067"/>
      <c r="K3" s="1067"/>
      <c r="L3" s="1067"/>
      <c r="M3" s="1067"/>
      <c r="N3" s="1067"/>
      <c r="O3" s="1067"/>
      <c r="P3" s="1067"/>
      <c r="Q3" s="1067"/>
      <c r="R3" s="1067"/>
      <c r="S3" s="1067"/>
      <c r="T3" s="1067"/>
      <c r="U3" s="1067"/>
      <c r="V3" s="1067"/>
      <c r="W3" s="1067"/>
      <c r="X3" s="1067"/>
      <c r="Y3" s="1067"/>
      <c r="Z3" s="1067"/>
      <c r="AA3" s="1067"/>
      <c r="AB3" s="1067"/>
      <c r="AC3" s="1067"/>
    </row>
    <row r="4" spans="2:29" ht="12.75" customHeight="1">
      <c r="B4" s="71"/>
      <c r="C4" s="1108" t="s">
        <v>341</v>
      </c>
      <c r="D4" s="1109"/>
      <c r="E4" s="1109"/>
      <c r="F4" s="1109"/>
      <c r="G4" s="1109"/>
      <c r="H4" s="1109"/>
      <c r="I4" s="1109"/>
      <c r="J4" s="1109"/>
      <c r="K4" s="1109"/>
      <c r="L4" s="1109"/>
      <c r="M4" s="1109"/>
      <c r="N4" s="1109"/>
      <c r="O4" s="1109"/>
      <c r="P4" s="1109"/>
      <c r="Q4" s="1109"/>
      <c r="R4" s="1109"/>
      <c r="S4" s="1109"/>
      <c r="T4" s="1118"/>
      <c r="U4" s="1108" t="s">
        <v>342</v>
      </c>
      <c r="V4" s="1109"/>
      <c r="W4" s="1109"/>
      <c r="X4" s="1109"/>
      <c r="Y4" s="1109"/>
      <c r="Z4" s="1109"/>
      <c r="AA4" s="1118"/>
      <c r="AB4" s="1122" t="s">
        <v>351</v>
      </c>
      <c r="AC4" s="680"/>
    </row>
    <row r="5" spans="2:29" ht="12.75" customHeight="1">
      <c r="B5" s="71"/>
      <c r="C5" s="126"/>
      <c r="D5" s="126"/>
      <c r="E5" s="126"/>
      <c r="F5" s="126"/>
      <c r="G5" s="1120"/>
      <c r="H5" s="1120"/>
      <c r="I5" s="1120"/>
      <c r="J5" s="1120"/>
      <c r="K5" s="126"/>
      <c r="L5" s="126"/>
      <c r="M5" s="126"/>
      <c r="N5" s="126"/>
      <c r="O5" s="126"/>
      <c r="P5" s="126"/>
      <c r="Q5" s="126"/>
      <c r="R5" s="126"/>
      <c r="S5" s="126"/>
      <c r="T5" s="127"/>
      <c r="U5" s="1119"/>
      <c r="V5" s="1120"/>
      <c r="W5" s="1120"/>
      <c r="X5" s="1120"/>
      <c r="Y5" s="1120"/>
      <c r="Z5" s="1120"/>
      <c r="AA5" s="1121"/>
      <c r="AB5" s="1123"/>
      <c r="AC5" s="680"/>
    </row>
    <row r="6" spans="2:29">
      <c r="B6" s="72"/>
      <c r="C6" s="30">
        <v>2004</v>
      </c>
      <c r="D6" s="30">
        <v>2005</v>
      </c>
      <c r="E6" s="30">
        <v>2006</v>
      </c>
      <c r="F6" s="30">
        <v>2007</v>
      </c>
      <c r="G6" s="30">
        <v>2008</v>
      </c>
      <c r="H6" s="30">
        <v>2009</v>
      </c>
      <c r="I6" s="61">
        <v>2010</v>
      </c>
      <c r="J6" s="61">
        <v>2011</v>
      </c>
      <c r="K6" s="30">
        <v>2012</v>
      </c>
      <c r="L6" s="30">
        <v>2013</v>
      </c>
      <c r="M6" s="30">
        <v>2014</v>
      </c>
      <c r="N6" s="30">
        <v>2015</v>
      </c>
      <c r="O6" s="30">
        <v>2016</v>
      </c>
      <c r="P6" s="30">
        <v>2017</v>
      </c>
      <c r="Q6" s="30">
        <v>2018</v>
      </c>
      <c r="R6" s="30">
        <v>2019</v>
      </c>
      <c r="S6" s="30">
        <v>2020</v>
      </c>
      <c r="T6" s="31">
        <v>2021</v>
      </c>
      <c r="U6" s="30">
        <v>2015</v>
      </c>
      <c r="V6" s="30">
        <v>2016</v>
      </c>
      <c r="W6" s="30">
        <v>2017</v>
      </c>
      <c r="X6" s="30">
        <v>2018</v>
      </c>
      <c r="Y6" s="30">
        <v>2019</v>
      </c>
      <c r="Z6" s="30">
        <v>2020</v>
      </c>
      <c r="AA6" s="31">
        <v>2021</v>
      </c>
      <c r="AB6" s="1124"/>
      <c r="AC6" s="3"/>
    </row>
    <row r="7" spans="2:29" ht="12.75" customHeight="1">
      <c r="B7" s="344" t="s">
        <v>237</v>
      </c>
      <c r="C7" s="352"/>
      <c r="D7" s="352"/>
      <c r="E7" s="357">
        <f>SUM(E8:E34)</f>
        <v>38387</v>
      </c>
      <c r="F7" s="357">
        <f t="shared" ref="F7:T7" si="0">SUM(F8:F34)</f>
        <v>40156</v>
      </c>
      <c r="G7" s="357">
        <f t="shared" si="0"/>
        <v>41011</v>
      </c>
      <c r="H7" s="357">
        <f t="shared" si="0"/>
        <v>32761</v>
      </c>
      <c r="I7" s="357">
        <f t="shared" si="0"/>
        <v>29754</v>
      </c>
      <c r="J7" s="357">
        <f t="shared" si="0"/>
        <v>30116</v>
      </c>
      <c r="K7" s="1013">
        <f t="shared" si="0"/>
        <v>25860</v>
      </c>
      <c r="L7" s="357">
        <f t="shared" si="0"/>
        <v>29180</v>
      </c>
      <c r="M7" s="357">
        <f t="shared" si="0"/>
        <v>31338</v>
      </c>
      <c r="N7" s="357">
        <f t="shared" si="0"/>
        <v>37043</v>
      </c>
      <c r="O7" s="357">
        <f t="shared" si="0"/>
        <v>35096</v>
      </c>
      <c r="P7" s="357">
        <f t="shared" si="0"/>
        <v>36640</v>
      </c>
      <c r="Q7" s="357">
        <f t="shared" si="0"/>
        <v>37177</v>
      </c>
      <c r="R7" s="357">
        <f t="shared" si="0"/>
        <v>38868</v>
      </c>
      <c r="S7" s="357">
        <f t="shared" si="0"/>
        <v>29717</v>
      </c>
      <c r="T7" s="1032">
        <f t="shared" si="0"/>
        <v>31296</v>
      </c>
      <c r="U7" s="882">
        <v>0.747</v>
      </c>
      <c r="V7" s="882">
        <v>1.056</v>
      </c>
      <c r="W7" s="882">
        <v>1.752</v>
      </c>
      <c r="X7" s="882">
        <v>1.6970000000000001</v>
      </c>
      <c r="Y7" s="882">
        <v>4.3499999999999996</v>
      </c>
      <c r="Z7" s="882">
        <v>6</v>
      </c>
      <c r="AA7" s="882">
        <v>8.8219999999999992</v>
      </c>
      <c r="AB7" s="369">
        <f t="shared" ref="AB7:AB38" si="1">T7/S7*100-100</f>
        <v>5.3134569438368686</v>
      </c>
      <c r="AC7" s="344" t="s">
        <v>237</v>
      </c>
    </row>
    <row r="8" spans="2:29" ht="12.75" customHeight="1">
      <c r="B8" s="7" t="s">
        <v>45</v>
      </c>
      <c r="C8" s="973">
        <v>1176</v>
      </c>
      <c r="D8" s="974">
        <v>1183</v>
      </c>
      <c r="E8" s="974">
        <v>1144</v>
      </c>
      <c r="F8" s="974">
        <v>1095</v>
      </c>
      <c r="G8" s="974">
        <v>1206</v>
      </c>
      <c r="H8" s="974">
        <v>979</v>
      </c>
      <c r="I8" s="974">
        <v>1015</v>
      </c>
      <c r="J8" s="1012">
        <v>708</v>
      </c>
      <c r="K8" s="1014">
        <v>690</v>
      </c>
      <c r="L8" s="974">
        <v>765</v>
      </c>
      <c r="M8" s="974">
        <v>1142</v>
      </c>
      <c r="N8" s="974">
        <v>925</v>
      </c>
      <c r="O8" s="974">
        <v>714</v>
      </c>
      <c r="P8" s="974">
        <v>871</v>
      </c>
      <c r="Q8" s="974">
        <v>1062</v>
      </c>
      <c r="R8" s="974">
        <v>1313</v>
      </c>
      <c r="S8" s="974">
        <v>792</v>
      </c>
      <c r="T8" s="975">
        <v>944</v>
      </c>
      <c r="U8" s="883">
        <v>0</v>
      </c>
      <c r="V8" s="883">
        <v>0</v>
      </c>
      <c r="W8" s="883">
        <v>13.432</v>
      </c>
      <c r="X8" s="883">
        <v>1.3180000000000001</v>
      </c>
      <c r="Y8" s="883">
        <v>2.8170000000000002</v>
      </c>
      <c r="Z8" s="883">
        <v>1.5149999999999999</v>
      </c>
      <c r="AA8" s="884">
        <v>3.0720000000000001</v>
      </c>
      <c r="AB8" s="477">
        <f t="shared" si="1"/>
        <v>19.191919191919183</v>
      </c>
      <c r="AC8" s="44" t="s">
        <v>45</v>
      </c>
    </row>
    <row r="9" spans="2:29" ht="12.75" customHeight="1">
      <c r="B9" s="34" t="s">
        <v>28</v>
      </c>
      <c r="C9" s="976"/>
      <c r="D9" s="977">
        <v>856</v>
      </c>
      <c r="E9" s="977">
        <v>788</v>
      </c>
      <c r="F9" s="977">
        <v>525</v>
      </c>
      <c r="G9" s="977">
        <v>1047</v>
      </c>
      <c r="H9" s="977">
        <v>424</v>
      </c>
      <c r="I9" s="977">
        <v>107</v>
      </c>
      <c r="J9" s="977">
        <v>57</v>
      </c>
      <c r="K9" s="981">
        <v>46</v>
      </c>
      <c r="L9" s="977">
        <v>286</v>
      </c>
      <c r="M9" s="977">
        <v>511</v>
      </c>
      <c r="N9" s="977">
        <v>379</v>
      </c>
      <c r="O9" s="977">
        <v>363</v>
      </c>
      <c r="P9" s="977">
        <v>363</v>
      </c>
      <c r="Q9" s="978">
        <v>416</v>
      </c>
      <c r="R9" s="978">
        <v>362</v>
      </c>
      <c r="S9" s="977">
        <v>181</v>
      </c>
      <c r="T9" s="979">
        <v>270</v>
      </c>
      <c r="U9" s="885">
        <v>12.401</v>
      </c>
      <c r="V9" s="886">
        <v>0</v>
      </c>
      <c r="W9" s="886">
        <v>0</v>
      </c>
      <c r="X9" s="886">
        <v>3.3650000000000002</v>
      </c>
      <c r="Y9" s="886">
        <v>4.4189999999999996</v>
      </c>
      <c r="Z9" s="886">
        <v>7.734</v>
      </c>
      <c r="AA9" s="887">
        <v>25.555</v>
      </c>
      <c r="AB9" s="478">
        <f t="shared" si="1"/>
        <v>49.171270718232051</v>
      </c>
      <c r="AC9" s="42" t="s">
        <v>28</v>
      </c>
    </row>
    <row r="10" spans="2:29" ht="12.75" customHeight="1">
      <c r="B10" s="7" t="s">
        <v>30</v>
      </c>
      <c r="C10" s="973">
        <v>924</v>
      </c>
      <c r="D10" s="974">
        <v>876</v>
      </c>
      <c r="E10" s="974">
        <v>966</v>
      </c>
      <c r="F10" s="974">
        <v>969</v>
      </c>
      <c r="G10" s="974">
        <v>1224</v>
      </c>
      <c r="H10" s="974">
        <v>946</v>
      </c>
      <c r="I10" s="974">
        <v>665</v>
      </c>
      <c r="J10" s="974">
        <v>719</v>
      </c>
      <c r="K10" s="980">
        <v>588</v>
      </c>
      <c r="L10" s="974">
        <v>1207</v>
      </c>
      <c r="M10" s="974">
        <v>1452</v>
      </c>
      <c r="N10" s="974">
        <v>1428</v>
      </c>
      <c r="O10" s="974">
        <v>1070</v>
      </c>
      <c r="P10" s="974">
        <v>828</v>
      </c>
      <c r="Q10" s="974">
        <v>318</v>
      </c>
      <c r="R10" s="974">
        <v>1301</v>
      </c>
      <c r="S10" s="974">
        <v>1383</v>
      </c>
      <c r="T10" s="974">
        <v>1253</v>
      </c>
      <c r="U10" s="888">
        <v>0.21</v>
      </c>
      <c r="V10" s="495">
        <v>0.28000000000000003</v>
      </c>
      <c r="W10" s="495">
        <v>2.657</v>
      </c>
      <c r="X10" s="495">
        <v>15.723000000000001</v>
      </c>
      <c r="Y10" s="495">
        <v>0.999</v>
      </c>
      <c r="Z10" s="495">
        <v>0.50600000000000001</v>
      </c>
      <c r="AA10" s="884">
        <v>0.23899999999999999</v>
      </c>
      <c r="AB10" s="477">
        <f t="shared" si="1"/>
        <v>-9.3998553868402013</v>
      </c>
      <c r="AC10" s="44" t="s">
        <v>30</v>
      </c>
    </row>
    <row r="11" spans="2:29" ht="12.75" customHeight="1">
      <c r="B11" s="34" t="s">
        <v>41</v>
      </c>
      <c r="C11" s="976">
        <v>1757</v>
      </c>
      <c r="D11" s="977">
        <v>2443</v>
      </c>
      <c r="E11" s="977">
        <v>3188</v>
      </c>
      <c r="F11" s="977">
        <v>3912</v>
      </c>
      <c r="G11" s="977">
        <v>1191</v>
      </c>
      <c r="H11" s="977">
        <v>1112</v>
      </c>
      <c r="I11" s="977">
        <v>1004</v>
      </c>
      <c r="J11" s="977">
        <v>802</v>
      </c>
      <c r="K11" s="981">
        <v>764</v>
      </c>
      <c r="L11" s="977">
        <v>616</v>
      </c>
      <c r="M11" s="977">
        <v>798</v>
      </c>
      <c r="N11" s="977">
        <v>835</v>
      </c>
      <c r="O11" s="977">
        <v>1039</v>
      </c>
      <c r="P11" s="977">
        <v>1293</v>
      </c>
      <c r="Q11" s="977">
        <v>762</v>
      </c>
      <c r="R11" s="977">
        <v>884</v>
      </c>
      <c r="S11" s="977">
        <v>440</v>
      </c>
      <c r="T11" s="979">
        <v>746</v>
      </c>
      <c r="U11" s="885">
        <v>0</v>
      </c>
      <c r="V11" s="886">
        <v>0.28799999999999998</v>
      </c>
      <c r="W11" s="886">
        <v>0</v>
      </c>
      <c r="X11" s="886">
        <v>0.26200000000000001</v>
      </c>
      <c r="Y11" s="886">
        <v>11.311999999999999</v>
      </c>
      <c r="Z11" s="886">
        <v>0.68100000000000005</v>
      </c>
      <c r="AA11" s="887">
        <v>30.026</v>
      </c>
      <c r="AB11" s="478">
        <f t="shared" si="1"/>
        <v>69.545454545454561</v>
      </c>
      <c r="AC11" s="42" t="s">
        <v>41</v>
      </c>
    </row>
    <row r="12" spans="2:29" ht="12.75" customHeight="1">
      <c r="B12" s="7" t="s">
        <v>46</v>
      </c>
      <c r="C12" s="973">
        <v>5397</v>
      </c>
      <c r="D12" s="974">
        <v>5426</v>
      </c>
      <c r="E12" s="974">
        <v>5710</v>
      </c>
      <c r="F12" s="974">
        <v>5471</v>
      </c>
      <c r="G12" s="974">
        <v>5885</v>
      </c>
      <c r="H12" s="974">
        <v>5612</v>
      </c>
      <c r="I12" s="974">
        <v>5219</v>
      </c>
      <c r="J12" s="974">
        <v>5042</v>
      </c>
      <c r="K12" s="980">
        <v>5139</v>
      </c>
      <c r="L12" s="974">
        <v>5824</v>
      </c>
      <c r="M12" s="974">
        <v>5651</v>
      </c>
      <c r="N12" s="974">
        <v>6137</v>
      </c>
      <c r="O12" s="974">
        <v>6683</v>
      </c>
      <c r="P12" s="974">
        <v>6697</v>
      </c>
      <c r="Q12" s="974">
        <v>6687</v>
      </c>
      <c r="R12" s="974">
        <v>6437</v>
      </c>
      <c r="S12" s="974">
        <v>6460</v>
      </c>
      <c r="T12" s="975">
        <v>6474</v>
      </c>
      <c r="U12" s="888">
        <v>0.34200000000000003</v>
      </c>
      <c r="V12" s="495">
        <v>0.80800000000000005</v>
      </c>
      <c r="W12" s="495">
        <v>0.34300000000000003</v>
      </c>
      <c r="X12" s="495">
        <v>0.67200000000000004</v>
      </c>
      <c r="Y12" s="495">
        <v>2.9670000000000001</v>
      </c>
      <c r="Z12" s="495">
        <v>6.1139999999999999</v>
      </c>
      <c r="AA12" s="884">
        <v>9.391</v>
      </c>
      <c r="AB12" s="477">
        <f t="shared" si="1"/>
        <v>0.21671826625386359</v>
      </c>
      <c r="AC12" s="44" t="s">
        <v>46</v>
      </c>
    </row>
    <row r="13" spans="2:29" ht="12.75" customHeight="1">
      <c r="B13" s="34" t="s">
        <v>31</v>
      </c>
      <c r="C13" s="976">
        <v>57</v>
      </c>
      <c r="D13" s="977">
        <v>96</v>
      </c>
      <c r="E13" s="977">
        <v>161</v>
      </c>
      <c r="F13" s="977">
        <v>240</v>
      </c>
      <c r="G13" s="977">
        <v>144</v>
      </c>
      <c r="H13" s="977">
        <v>112</v>
      </c>
      <c r="I13" s="977">
        <v>168</v>
      </c>
      <c r="J13" s="977">
        <v>95</v>
      </c>
      <c r="K13" s="981">
        <v>156</v>
      </c>
      <c r="L13" s="977">
        <v>232</v>
      </c>
      <c r="M13" s="977">
        <v>187</v>
      </c>
      <c r="N13" s="977">
        <v>232</v>
      </c>
      <c r="O13" s="977">
        <v>171</v>
      </c>
      <c r="P13" s="977">
        <v>212</v>
      </c>
      <c r="Q13" s="977">
        <v>142</v>
      </c>
      <c r="R13" s="977">
        <v>201</v>
      </c>
      <c r="S13" s="977">
        <v>223</v>
      </c>
      <c r="T13" s="979">
        <v>269</v>
      </c>
      <c r="U13" s="885">
        <v>0</v>
      </c>
      <c r="V13" s="886">
        <v>0</v>
      </c>
      <c r="W13" s="886">
        <v>0</v>
      </c>
      <c r="X13" s="886">
        <v>0</v>
      </c>
      <c r="Y13" s="886">
        <v>0</v>
      </c>
      <c r="Z13" s="886">
        <v>0</v>
      </c>
      <c r="AA13" s="887">
        <v>0</v>
      </c>
      <c r="AB13" s="478">
        <f t="shared" si="1"/>
        <v>20.627802690582953</v>
      </c>
      <c r="AC13" s="42" t="s">
        <v>31</v>
      </c>
    </row>
    <row r="14" spans="2:29" ht="12.75" customHeight="1">
      <c r="B14" s="7" t="s">
        <v>49</v>
      </c>
      <c r="C14" s="973">
        <v>829</v>
      </c>
      <c r="D14" s="974">
        <v>865</v>
      </c>
      <c r="E14" s="974">
        <v>948</v>
      </c>
      <c r="F14" s="974">
        <v>1063</v>
      </c>
      <c r="G14" s="974">
        <v>1152</v>
      </c>
      <c r="H14" s="974">
        <v>367</v>
      </c>
      <c r="I14" s="974">
        <v>172</v>
      </c>
      <c r="J14" s="974">
        <v>182</v>
      </c>
      <c r="K14" s="980">
        <v>319</v>
      </c>
      <c r="L14" s="974">
        <v>238</v>
      </c>
      <c r="M14" s="974">
        <v>286</v>
      </c>
      <c r="N14" s="974">
        <v>417</v>
      </c>
      <c r="O14" s="974">
        <v>555</v>
      </c>
      <c r="P14" s="974">
        <v>468</v>
      </c>
      <c r="Q14" s="974">
        <v>599</v>
      </c>
      <c r="R14" s="974">
        <v>574</v>
      </c>
      <c r="S14" s="974">
        <v>267</v>
      </c>
      <c r="T14" s="975">
        <v>513</v>
      </c>
      <c r="U14" s="888">
        <v>0</v>
      </c>
      <c r="V14" s="495">
        <v>0</v>
      </c>
      <c r="W14" s="495">
        <v>0</v>
      </c>
      <c r="X14" s="495">
        <v>0</v>
      </c>
      <c r="Y14" s="495">
        <v>0.17399999999999999</v>
      </c>
      <c r="Z14" s="495">
        <v>1.123</v>
      </c>
      <c r="AA14" s="884">
        <v>0.58399999999999996</v>
      </c>
      <c r="AB14" s="477">
        <f t="shared" si="1"/>
        <v>92.13483146067415</v>
      </c>
      <c r="AC14" s="44" t="s">
        <v>49</v>
      </c>
    </row>
    <row r="15" spans="2:29" ht="12.75" customHeight="1">
      <c r="B15" s="34" t="s">
        <v>42</v>
      </c>
      <c r="C15" s="976">
        <v>1509</v>
      </c>
      <c r="D15" s="977">
        <v>660</v>
      </c>
      <c r="E15" s="977">
        <v>474</v>
      </c>
      <c r="F15" s="977">
        <v>626</v>
      </c>
      <c r="G15" s="977">
        <v>575</v>
      </c>
      <c r="H15" s="977">
        <v>1012</v>
      </c>
      <c r="I15" s="977">
        <v>403</v>
      </c>
      <c r="J15" s="977">
        <v>98</v>
      </c>
      <c r="K15" s="981">
        <v>118</v>
      </c>
      <c r="L15" s="977">
        <v>97</v>
      </c>
      <c r="M15" s="977">
        <v>168</v>
      </c>
      <c r="N15" s="977">
        <v>123</v>
      </c>
      <c r="O15" s="977">
        <v>191</v>
      </c>
      <c r="P15" s="977">
        <v>176</v>
      </c>
      <c r="Q15" s="977">
        <v>238</v>
      </c>
      <c r="R15" s="977">
        <v>361</v>
      </c>
      <c r="S15" s="977">
        <v>289</v>
      </c>
      <c r="T15" s="979">
        <v>446</v>
      </c>
      <c r="U15" s="885">
        <v>0</v>
      </c>
      <c r="V15" s="886">
        <v>0</v>
      </c>
      <c r="W15" s="886">
        <v>0</v>
      </c>
      <c r="X15" s="886">
        <v>0</v>
      </c>
      <c r="Y15" s="886">
        <v>0</v>
      </c>
      <c r="Z15" s="886">
        <v>0</v>
      </c>
      <c r="AA15" s="887">
        <v>0</v>
      </c>
      <c r="AB15" s="478">
        <f t="shared" si="1"/>
        <v>54.325259515570934</v>
      </c>
      <c r="AC15" s="42" t="s">
        <v>42</v>
      </c>
    </row>
    <row r="16" spans="2:29" ht="12.75" customHeight="1">
      <c r="B16" s="7" t="s">
        <v>47</v>
      </c>
      <c r="C16" s="973">
        <v>3361</v>
      </c>
      <c r="D16" s="974">
        <v>3850</v>
      </c>
      <c r="E16" s="974">
        <v>3632</v>
      </c>
      <c r="F16" s="974">
        <v>3803</v>
      </c>
      <c r="G16" s="974">
        <v>3471</v>
      </c>
      <c r="H16" s="974">
        <v>2644</v>
      </c>
      <c r="I16" s="974">
        <v>2410</v>
      </c>
      <c r="J16" s="974">
        <v>2673</v>
      </c>
      <c r="K16" s="980">
        <v>1984</v>
      </c>
      <c r="L16" s="974">
        <v>1742</v>
      </c>
      <c r="M16" s="974">
        <v>2115</v>
      </c>
      <c r="N16" s="974">
        <v>2890</v>
      </c>
      <c r="O16" s="974">
        <v>3564</v>
      </c>
      <c r="P16" s="974">
        <v>3834</v>
      </c>
      <c r="Q16" s="974">
        <v>3705</v>
      </c>
      <c r="R16" s="974">
        <v>3530</v>
      </c>
      <c r="S16" s="974">
        <v>2169</v>
      </c>
      <c r="T16" s="975">
        <v>1951</v>
      </c>
      <c r="U16" s="888">
        <v>0.65700000000000003</v>
      </c>
      <c r="V16" s="495">
        <v>1.262</v>
      </c>
      <c r="W16" s="495">
        <v>1.0169999999999999</v>
      </c>
      <c r="X16" s="495">
        <v>1.754</v>
      </c>
      <c r="Y16" s="495">
        <v>4.7590000000000003</v>
      </c>
      <c r="Z16" s="495">
        <v>2.9039999999999999</v>
      </c>
      <c r="AA16" s="884">
        <v>6.7140000000000004</v>
      </c>
      <c r="AB16" s="477">
        <f t="shared" si="1"/>
        <v>-10.05071461502996</v>
      </c>
      <c r="AC16" s="44" t="s">
        <v>47</v>
      </c>
    </row>
    <row r="17" spans="2:29" ht="12.75" customHeight="1">
      <c r="B17" s="34" t="s">
        <v>48</v>
      </c>
      <c r="C17" s="976">
        <v>4859</v>
      </c>
      <c r="D17" s="977">
        <v>5442</v>
      </c>
      <c r="E17" s="977">
        <v>5850</v>
      </c>
      <c r="F17" s="977">
        <v>6171</v>
      </c>
      <c r="G17" s="977">
        <v>6624</v>
      </c>
      <c r="H17" s="977">
        <v>7434</v>
      </c>
      <c r="I17" s="977">
        <v>5907</v>
      </c>
      <c r="J17" s="977">
        <v>6806</v>
      </c>
      <c r="K17" s="981">
        <v>6062</v>
      </c>
      <c r="L17" s="977">
        <v>6952</v>
      </c>
      <c r="M17" s="977">
        <v>5896</v>
      </c>
      <c r="N17" s="977">
        <v>7344</v>
      </c>
      <c r="O17" s="977">
        <v>6594</v>
      </c>
      <c r="P17" s="977">
        <v>6338</v>
      </c>
      <c r="Q17" s="977">
        <v>6228</v>
      </c>
      <c r="R17" s="977">
        <v>6738</v>
      </c>
      <c r="S17" s="977">
        <v>6026</v>
      </c>
      <c r="T17" s="979">
        <v>6808</v>
      </c>
      <c r="U17" s="885">
        <v>0.69399999999999995</v>
      </c>
      <c r="V17" s="886">
        <v>1.2130000000000001</v>
      </c>
      <c r="W17" s="886">
        <v>1.625</v>
      </c>
      <c r="X17" s="886">
        <v>1.4770000000000001</v>
      </c>
      <c r="Y17" s="886">
        <v>4.17</v>
      </c>
      <c r="Z17" s="886">
        <v>2.9870000000000001</v>
      </c>
      <c r="AA17" s="887">
        <v>9.1359999999999992</v>
      </c>
      <c r="AB17" s="478">
        <f t="shared" si="1"/>
        <v>12.977099236641237</v>
      </c>
      <c r="AC17" s="42" t="s">
        <v>48</v>
      </c>
    </row>
    <row r="18" spans="2:29" ht="12.75" customHeight="1">
      <c r="B18" s="7" t="s">
        <v>59</v>
      </c>
      <c r="C18" s="973">
        <v>288</v>
      </c>
      <c r="D18" s="974">
        <v>381</v>
      </c>
      <c r="E18" s="974">
        <v>376</v>
      </c>
      <c r="F18" s="974">
        <v>433</v>
      </c>
      <c r="G18" s="974">
        <v>391</v>
      </c>
      <c r="H18" s="974">
        <v>484</v>
      </c>
      <c r="I18" s="974">
        <v>195</v>
      </c>
      <c r="J18" s="974">
        <v>173</v>
      </c>
      <c r="K18" s="980">
        <v>217</v>
      </c>
      <c r="L18" s="974">
        <v>111</v>
      </c>
      <c r="M18" s="974">
        <v>98</v>
      </c>
      <c r="N18" s="974">
        <v>133</v>
      </c>
      <c r="O18" s="974">
        <v>182</v>
      </c>
      <c r="P18" s="974">
        <v>200</v>
      </c>
      <c r="Q18" s="974">
        <v>242</v>
      </c>
      <c r="R18" s="974">
        <v>314</v>
      </c>
      <c r="S18" s="974">
        <v>106</v>
      </c>
      <c r="T18" s="975">
        <v>119</v>
      </c>
      <c r="U18" s="888">
        <v>0.41399999999999998</v>
      </c>
      <c r="V18" s="495">
        <v>0.17599999999999999</v>
      </c>
      <c r="W18" s="495">
        <v>1.8440000000000001</v>
      </c>
      <c r="X18" s="495">
        <v>0</v>
      </c>
      <c r="Y18" s="495">
        <v>0</v>
      </c>
      <c r="Z18" s="495">
        <v>0</v>
      </c>
      <c r="AA18" s="884">
        <v>1.3149999999999999</v>
      </c>
      <c r="AB18" s="477">
        <f t="shared" si="1"/>
        <v>12.264150943396231</v>
      </c>
      <c r="AC18" s="44" t="s">
        <v>59</v>
      </c>
    </row>
    <row r="19" spans="2:29" ht="12.75" customHeight="1">
      <c r="B19" s="107" t="s">
        <v>50</v>
      </c>
      <c r="C19" s="976">
        <v>4863</v>
      </c>
      <c r="D19" s="977">
        <v>5042</v>
      </c>
      <c r="E19" s="977">
        <v>4822</v>
      </c>
      <c r="F19" s="977">
        <v>4473</v>
      </c>
      <c r="G19" s="977">
        <v>4743</v>
      </c>
      <c r="H19" s="977">
        <v>3269</v>
      </c>
      <c r="I19" s="977">
        <v>4302</v>
      </c>
      <c r="J19" s="977">
        <v>5908</v>
      </c>
      <c r="K19" s="981">
        <v>2293</v>
      </c>
      <c r="L19" s="977">
        <v>2414</v>
      </c>
      <c r="M19" s="977">
        <v>2493</v>
      </c>
      <c r="N19" s="977">
        <v>2479</v>
      </c>
      <c r="O19" s="977">
        <v>2586</v>
      </c>
      <c r="P19" s="977">
        <v>3405</v>
      </c>
      <c r="Q19" s="977">
        <v>4451</v>
      </c>
      <c r="R19" s="977">
        <v>4312</v>
      </c>
      <c r="S19" s="977">
        <v>2961</v>
      </c>
      <c r="T19" s="979">
        <v>4091</v>
      </c>
      <c r="U19" s="889">
        <v>0.24199999999999999</v>
      </c>
      <c r="V19" s="890">
        <v>0.38600000000000001</v>
      </c>
      <c r="W19" s="890">
        <v>0.85099999999999998</v>
      </c>
      <c r="X19" s="890">
        <v>1.3480000000000001</v>
      </c>
      <c r="Y19" s="890">
        <v>1.5529999999999999</v>
      </c>
      <c r="Z19" s="890">
        <v>0.81</v>
      </c>
      <c r="AA19" s="891">
        <v>6.4530000000000003</v>
      </c>
      <c r="AB19" s="553">
        <f t="shared" si="1"/>
        <v>38.162782843633892</v>
      </c>
      <c r="AC19" s="194" t="s">
        <v>50</v>
      </c>
    </row>
    <row r="20" spans="2:29" ht="12.75" customHeight="1">
      <c r="B20" s="7" t="s">
        <v>29</v>
      </c>
      <c r="C20" s="973">
        <v>59</v>
      </c>
      <c r="D20" s="974">
        <v>66</v>
      </c>
      <c r="E20" s="974">
        <v>47</v>
      </c>
      <c r="F20" s="974">
        <v>61</v>
      </c>
      <c r="G20" s="974">
        <v>64</v>
      </c>
      <c r="H20" s="974">
        <v>41</v>
      </c>
      <c r="I20" s="974">
        <v>248</v>
      </c>
      <c r="J20" s="974">
        <v>44</v>
      </c>
      <c r="K20" s="980">
        <v>45</v>
      </c>
      <c r="L20" s="974">
        <v>15</v>
      </c>
      <c r="M20" s="974">
        <v>10</v>
      </c>
      <c r="N20" s="974">
        <v>37</v>
      </c>
      <c r="O20" s="974">
        <v>55</v>
      </c>
      <c r="P20" s="974">
        <v>47</v>
      </c>
      <c r="Q20" s="974">
        <v>45</v>
      </c>
      <c r="R20" s="974">
        <v>19</v>
      </c>
      <c r="S20" s="974">
        <v>246</v>
      </c>
      <c r="T20" s="975">
        <v>20</v>
      </c>
      <c r="U20" s="888">
        <v>0</v>
      </c>
      <c r="V20" s="495">
        <v>0</v>
      </c>
      <c r="W20" s="495">
        <v>0</v>
      </c>
      <c r="X20" s="495">
        <v>0</v>
      </c>
      <c r="Y20" s="495">
        <v>0</v>
      </c>
      <c r="Z20" s="495">
        <v>0.40600000000000003</v>
      </c>
      <c r="AA20" s="884">
        <v>0</v>
      </c>
      <c r="AB20" s="477">
        <f t="shared" si="1"/>
        <v>-91.869918699186996</v>
      </c>
      <c r="AC20" s="44" t="s">
        <v>29</v>
      </c>
    </row>
    <row r="21" spans="2:29" ht="12.75" customHeight="1">
      <c r="B21" s="107" t="s">
        <v>33</v>
      </c>
      <c r="C21" s="976">
        <v>242</v>
      </c>
      <c r="D21" s="977">
        <v>164</v>
      </c>
      <c r="E21" s="977">
        <v>206</v>
      </c>
      <c r="F21" s="977">
        <v>200</v>
      </c>
      <c r="G21" s="977">
        <v>223</v>
      </c>
      <c r="H21" s="977">
        <v>57</v>
      </c>
      <c r="I21" s="977">
        <v>129</v>
      </c>
      <c r="J21" s="977">
        <v>187</v>
      </c>
      <c r="K21" s="981">
        <v>87</v>
      </c>
      <c r="L21" s="977">
        <v>242</v>
      </c>
      <c r="M21" s="977">
        <v>212</v>
      </c>
      <c r="N21" s="977">
        <v>281</v>
      </c>
      <c r="O21" s="977">
        <v>222</v>
      </c>
      <c r="P21" s="977">
        <v>287</v>
      </c>
      <c r="Q21" s="977">
        <v>178</v>
      </c>
      <c r="R21" s="977">
        <v>130</v>
      </c>
      <c r="S21" s="977">
        <v>164</v>
      </c>
      <c r="T21" s="979">
        <v>258</v>
      </c>
      <c r="U21" s="889">
        <v>8.8960000000000008</v>
      </c>
      <c r="V21" s="890">
        <v>11.260999999999999</v>
      </c>
      <c r="W21" s="890">
        <v>0.69599999999999995</v>
      </c>
      <c r="X21" s="890">
        <v>3.37</v>
      </c>
      <c r="Y21" s="890">
        <v>3.0760000000000001</v>
      </c>
      <c r="Z21" s="890">
        <v>30.486999999999998</v>
      </c>
      <c r="AA21" s="891">
        <v>13.178000000000001</v>
      </c>
      <c r="AB21" s="553">
        <f t="shared" si="1"/>
        <v>57.317073170731703</v>
      </c>
      <c r="AC21" s="194" t="s">
        <v>33</v>
      </c>
    </row>
    <row r="22" spans="2:29" ht="12.75" customHeight="1">
      <c r="B22" s="7" t="s">
        <v>34</v>
      </c>
      <c r="C22" s="973">
        <v>339</v>
      </c>
      <c r="D22" s="974">
        <v>432</v>
      </c>
      <c r="E22" s="974">
        <v>279</v>
      </c>
      <c r="F22" s="974">
        <v>227</v>
      </c>
      <c r="G22" s="974">
        <v>194</v>
      </c>
      <c r="H22" s="974">
        <v>113</v>
      </c>
      <c r="I22" s="974">
        <v>94</v>
      </c>
      <c r="J22" s="974">
        <v>109</v>
      </c>
      <c r="K22" s="980">
        <v>145</v>
      </c>
      <c r="L22" s="974">
        <v>179</v>
      </c>
      <c r="M22" s="974">
        <v>291</v>
      </c>
      <c r="N22" s="974">
        <v>195</v>
      </c>
      <c r="O22" s="974">
        <v>263</v>
      </c>
      <c r="P22" s="974">
        <v>392</v>
      </c>
      <c r="Q22" s="974">
        <v>696</v>
      </c>
      <c r="R22" s="974">
        <v>515</v>
      </c>
      <c r="S22" s="974">
        <v>315</v>
      </c>
      <c r="T22" s="975">
        <v>139</v>
      </c>
      <c r="U22" s="888">
        <v>0</v>
      </c>
      <c r="V22" s="495">
        <v>1.075</v>
      </c>
      <c r="W22" s="495">
        <v>0.93500000000000005</v>
      </c>
      <c r="X22" s="495">
        <v>1.1419999999999999</v>
      </c>
      <c r="Y22" s="495">
        <v>14.221</v>
      </c>
      <c r="Z22" s="495">
        <v>2.2149999999999999</v>
      </c>
      <c r="AA22" s="884">
        <v>2.0539999999999998</v>
      </c>
      <c r="AB22" s="477">
        <f t="shared" si="1"/>
        <v>-55.873015873015873</v>
      </c>
      <c r="AC22" s="44" t="s">
        <v>34</v>
      </c>
    </row>
    <row r="23" spans="2:29" ht="12.75" customHeight="1">
      <c r="B23" s="107" t="s">
        <v>51</v>
      </c>
      <c r="C23" s="976">
        <v>126</v>
      </c>
      <c r="D23" s="977">
        <v>158</v>
      </c>
      <c r="E23" s="977">
        <v>168</v>
      </c>
      <c r="F23" s="977">
        <v>176</v>
      </c>
      <c r="G23" s="977">
        <v>225</v>
      </c>
      <c r="H23" s="977">
        <v>209</v>
      </c>
      <c r="I23" s="977">
        <v>174</v>
      </c>
      <c r="J23" s="977">
        <v>188</v>
      </c>
      <c r="K23" s="981">
        <v>159</v>
      </c>
      <c r="L23" s="977">
        <v>171</v>
      </c>
      <c r="M23" s="977">
        <v>159</v>
      </c>
      <c r="N23" s="977">
        <v>251</v>
      </c>
      <c r="O23" s="977">
        <v>205</v>
      </c>
      <c r="P23" s="977">
        <v>239</v>
      </c>
      <c r="Q23" s="977">
        <v>218</v>
      </c>
      <c r="R23" s="977">
        <v>283</v>
      </c>
      <c r="S23" s="977">
        <v>214</v>
      </c>
      <c r="T23" s="979">
        <v>167</v>
      </c>
      <c r="U23" s="889">
        <v>0</v>
      </c>
      <c r="V23" s="890">
        <v>0.48699999999999999</v>
      </c>
      <c r="W23" s="890">
        <v>3.347</v>
      </c>
      <c r="X23" s="890">
        <v>8.2560000000000002</v>
      </c>
      <c r="Y23" s="890">
        <v>22.614000000000001</v>
      </c>
      <c r="Z23" s="890">
        <v>10.747</v>
      </c>
      <c r="AA23" s="891">
        <v>17.364999999999998</v>
      </c>
      <c r="AB23" s="553">
        <f t="shared" si="1"/>
        <v>-21.962616822429908</v>
      </c>
      <c r="AC23" s="194" t="s">
        <v>51</v>
      </c>
    </row>
    <row r="24" spans="2:29">
      <c r="B24" s="7" t="s">
        <v>32</v>
      </c>
      <c r="C24" s="973"/>
      <c r="D24" s="974">
        <v>600</v>
      </c>
      <c r="E24" s="974">
        <v>814</v>
      </c>
      <c r="F24" s="974">
        <v>734</v>
      </c>
      <c r="G24" s="974">
        <v>0</v>
      </c>
      <c r="H24" s="974">
        <v>0</v>
      </c>
      <c r="I24" s="974">
        <v>280</v>
      </c>
      <c r="J24" s="974">
        <v>152</v>
      </c>
      <c r="K24" s="980">
        <v>50</v>
      </c>
      <c r="L24" s="974">
        <v>485</v>
      </c>
      <c r="M24" s="974">
        <v>524</v>
      </c>
      <c r="N24" s="974">
        <v>625</v>
      </c>
      <c r="O24" s="974">
        <v>488</v>
      </c>
      <c r="P24" s="974">
        <v>713</v>
      </c>
      <c r="Q24" s="974">
        <v>761</v>
      </c>
      <c r="R24" s="974">
        <v>789</v>
      </c>
      <c r="S24" s="974">
        <v>700</v>
      </c>
      <c r="T24" s="975">
        <v>1086</v>
      </c>
      <c r="U24" s="888">
        <v>3.2</v>
      </c>
      <c r="V24" s="495">
        <v>0.40899999999999997</v>
      </c>
      <c r="W24" s="495">
        <v>0</v>
      </c>
      <c r="X24" s="495">
        <v>0.13100000000000001</v>
      </c>
      <c r="Y24" s="495">
        <v>0</v>
      </c>
      <c r="Z24" s="495">
        <v>3.1419999999999999</v>
      </c>
      <c r="AA24" s="884">
        <v>4.327</v>
      </c>
      <c r="AB24" s="477">
        <f t="shared" si="1"/>
        <v>55.142857142857139</v>
      </c>
      <c r="AC24" s="44" t="s">
        <v>32</v>
      </c>
    </row>
    <row r="25" spans="2:29" ht="12.75" customHeight="1">
      <c r="B25" s="107" t="s">
        <v>35</v>
      </c>
      <c r="C25" s="982">
        <v>21</v>
      </c>
      <c r="D25" s="983">
        <v>23</v>
      </c>
      <c r="E25" s="983">
        <v>10</v>
      </c>
      <c r="F25" s="983">
        <v>13</v>
      </c>
      <c r="G25" s="983">
        <v>22</v>
      </c>
      <c r="H25" s="983">
        <v>30</v>
      </c>
      <c r="I25" s="983">
        <v>23</v>
      </c>
      <c r="J25" s="983">
        <v>210</v>
      </c>
      <c r="K25" s="984">
        <v>19</v>
      </c>
      <c r="L25" s="983">
        <v>15</v>
      </c>
      <c r="M25" s="983">
        <v>10</v>
      </c>
      <c r="N25" s="1027">
        <v>179</v>
      </c>
      <c r="O25" s="983">
        <v>65</v>
      </c>
      <c r="P25" s="977">
        <v>49</v>
      </c>
      <c r="Q25" s="977">
        <v>22</v>
      </c>
      <c r="R25" s="977">
        <v>75</v>
      </c>
      <c r="S25" s="977">
        <v>148</v>
      </c>
      <c r="T25" s="979">
        <v>87</v>
      </c>
      <c r="U25" s="889">
        <v>0</v>
      </c>
      <c r="V25" s="890">
        <v>0</v>
      </c>
      <c r="W25" s="890">
        <v>0</v>
      </c>
      <c r="X25" s="890">
        <v>0</v>
      </c>
      <c r="Y25" s="890">
        <v>0</v>
      </c>
      <c r="Z25" s="890">
        <v>0</v>
      </c>
      <c r="AA25" s="891">
        <v>6.8959999999999999</v>
      </c>
      <c r="AB25" s="553">
        <f t="shared" si="1"/>
        <v>-41.216216216216218</v>
      </c>
      <c r="AC25" s="194" t="s">
        <v>35</v>
      </c>
    </row>
    <row r="26" spans="2:29" ht="12.75" customHeight="1">
      <c r="B26" s="7" t="s">
        <v>43</v>
      </c>
      <c r="C26" s="973">
        <v>940</v>
      </c>
      <c r="D26" s="974">
        <v>1144</v>
      </c>
      <c r="E26" s="974">
        <v>796</v>
      </c>
      <c r="F26" s="974">
        <v>1158</v>
      </c>
      <c r="G26" s="974">
        <v>1211</v>
      </c>
      <c r="H26" s="974">
        <v>1162</v>
      </c>
      <c r="I26" s="974">
        <v>572</v>
      </c>
      <c r="J26" s="974">
        <v>229</v>
      </c>
      <c r="K26" s="980">
        <v>784</v>
      </c>
      <c r="L26" s="974">
        <v>596</v>
      </c>
      <c r="M26" s="974">
        <v>669</v>
      </c>
      <c r="N26" s="974">
        <v>344</v>
      </c>
      <c r="O26" s="974">
        <v>840</v>
      </c>
      <c r="P26" s="974">
        <v>887</v>
      </c>
      <c r="Q26" s="974">
        <v>562</v>
      </c>
      <c r="R26" s="974">
        <v>935</v>
      </c>
      <c r="S26" s="974">
        <v>643</v>
      </c>
      <c r="T26" s="975">
        <v>338</v>
      </c>
      <c r="U26" s="888">
        <v>3.488</v>
      </c>
      <c r="V26" s="495">
        <v>9.5229999999999997</v>
      </c>
      <c r="W26" s="495">
        <v>15.67</v>
      </c>
      <c r="X26" s="495">
        <v>20.462</v>
      </c>
      <c r="Y26" s="495">
        <v>40.747999999999998</v>
      </c>
      <c r="Z26" s="495">
        <v>69.361999999999995</v>
      </c>
      <c r="AA26" s="884">
        <v>55.917000000000002</v>
      </c>
      <c r="AB26" s="477">
        <f t="shared" si="1"/>
        <v>-47.433903576982893</v>
      </c>
      <c r="AC26" s="44" t="s">
        <v>43</v>
      </c>
    </row>
    <row r="27" spans="2:29" ht="12.75" customHeight="1">
      <c r="B27" s="107" t="s">
        <v>52</v>
      </c>
      <c r="C27" s="976">
        <v>929</v>
      </c>
      <c r="D27" s="977">
        <v>658</v>
      </c>
      <c r="E27" s="977">
        <v>827</v>
      </c>
      <c r="F27" s="977">
        <v>770</v>
      </c>
      <c r="G27" s="977">
        <v>950</v>
      </c>
      <c r="H27" s="977">
        <v>644</v>
      </c>
      <c r="I27" s="977">
        <v>709</v>
      </c>
      <c r="J27" s="977">
        <v>602</v>
      </c>
      <c r="K27" s="981">
        <v>732</v>
      </c>
      <c r="L27" s="977">
        <v>713</v>
      </c>
      <c r="M27" s="977">
        <v>900</v>
      </c>
      <c r="N27" s="977">
        <v>899</v>
      </c>
      <c r="O27" s="977">
        <v>1043</v>
      </c>
      <c r="P27" s="977">
        <v>1244</v>
      </c>
      <c r="Q27" s="977">
        <v>1125</v>
      </c>
      <c r="R27" s="977">
        <v>1163</v>
      </c>
      <c r="S27" s="977">
        <v>872</v>
      </c>
      <c r="T27" s="979">
        <v>887</v>
      </c>
      <c r="U27" s="889">
        <v>1.3340000000000001</v>
      </c>
      <c r="V27" s="890">
        <v>2.109</v>
      </c>
      <c r="W27" s="890">
        <v>0.48199999999999998</v>
      </c>
      <c r="X27" s="890">
        <v>1.5109999999999999</v>
      </c>
      <c r="Y27" s="890">
        <v>1.891</v>
      </c>
      <c r="Z27" s="890">
        <v>1.605</v>
      </c>
      <c r="AA27" s="891">
        <v>1.24</v>
      </c>
      <c r="AB27" s="553">
        <f t="shared" si="1"/>
        <v>1.7201834862385255</v>
      </c>
      <c r="AC27" s="194" t="s">
        <v>52</v>
      </c>
    </row>
    <row r="28" spans="2:29" ht="12.75" customHeight="1">
      <c r="B28" s="7" t="s">
        <v>36</v>
      </c>
      <c r="C28" s="973">
        <v>1840</v>
      </c>
      <c r="D28" s="974">
        <v>1504</v>
      </c>
      <c r="E28" s="974">
        <v>1500</v>
      </c>
      <c r="F28" s="974">
        <v>2351</v>
      </c>
      <c r="G28" s="974">
        <v>2890</v>
      </c>
      <c r="H28" s="974">
        <v>1818</v>
      </c>
      <c r="I28" s="974">
        <v>1897</v>
      </c>
      <c r="J28" s="974">
        <v>1554</v>
      </c>
      <c r="K28" s="980">
        <v>2065</v>
      </c>
      <c r="L28" s="974">
        <v>3067</v>
      </c>
      <c r="M28" s="974">
        <v>3616</v>
      </c>
      <c r="N28" s="974">
        <v>5695</v>
      </c>
      <c r="O28" s="974">
        <v>4203</v>
      </c>
      <c r="P28" s="974">
        <v>4237</v>
      </c>
      <c r="Q28" s="974">
        <v>4847</v>
      </c>
      <c r="R28" s="974">
        <v>3598</v>
      </c>
      <c r="S28" s="974">
        <v>1486</v>
      </c>
      <c r="T28" s="975">
        <v>1362</v>
      </c>
      <c r="U28" s="888">
        <v>0.96799999999999997</v>
      </c>
      <c r="V28" s="495">
        <v>0.41299999999999998</v>
      </c>
      <c r="W28" s="495">
        <v>2.5739999999999998</v>
      </c>
      <c r="X28" s="495">
        <v>0.747</v>
      </c>
      <c r="Y28" s="495">
        <v>1.173</v>
      </c>
      <c r="Z28" s="495">
        <v>5.32</v>
      </c>
      <c r="AA28" s="884">
        <v>5.4459999999999997</v>
      </c>
      <c r="AB28" s="477">
        <f t="shared" si="1"/>
        <v>-8.3445491251682284</v>
      </c>
      <c r="AC28" s="44" t="s">
        <v>36</v>
      </c>
    </row>
    <row r="29" spans="2:29" ht="12.75" customHeight="1">
      <c r="B29" s="107" t="s">
        <v>53</v>
      </c>
      <c r="C29" s="976">
        <v>1034</v>
      </c>
      <c r="D29" s="977">
        <v>1026</v>
      </c>
      <c r="E29" s="977">
        <v>719</v>
      </c>
      <c r="F29" s="977">
        <v>727</v>
      </c>
      <c r="G29" s="977">
        <v>796</v>
      </c>
      <c r="H29" s="977">
        <v>629</v>
      </c>
      <c r="I29" s="977">
        <v>492</v>
      </c>
      <c r="J29" s="977">
        <v>338</v>
      </c>
      <c r="K29" s="981">
        <v>227</v>
      </c>
      <c r="L29" s="977">
        <v>172</v>
      </c>
      <c r="M29" s="977">
        <v>237</v>
      </c>
      <c r="N29" s="977">
        <v>252</v>
      </c>
      <c r="O29" s="977">
        <v>350</v>
      </c>
      <c r="P29" s="977">
        <v>354</v>
      </c>
      <c r="Q29" s="977">
        <v>535</v>
      </c>
      <c r="R29" s="977">
        <v>518</v>
      </c>
      <c r="S29" s="977">
        <v>469</v>
      </c>
      <c r="T29" s="979">
        <v>586</v>
      </c>
      <c r="U29" s="889">
        <v>0</v>
      </c>
      <c r="V29" s="890">
        <v>0</v>
      </c>
      <c r="W29" s="890">
        <v>0</v>
      </c>
      <c r="X29" s="890">
        <v>4.1989999999999998</v>
      </c>
      <c r="Y29" s="890">
        <v>4.7750000000000004</v>
      </c>
      <c r="Z29" s="890">
        <v>5.3869999999999996</v>
      </c>
      <c r="AA29" s="891">
        <v>5.68</v>
      </c>
      <c r="AB29" s="553">
        <f t="shared" si="1"/>
        <v>24.946695095948826</v>
      </c>
      <c r="AC29" s="194" t="s">
        <v>53</v>
      </c>
    </row>
    <row r="30" spans="2:29" ht="12.75" customHeight="1">
      <c r="B30" s="7" t="s">
        <v>37</v>
      </c>
      <c r="C30" s="973"/>
      <c r="D30" s="974"/>
      <c r="E30" s="974">
        <v>2508</v>
      </c>
      <c r="F30" s="974">
        <v>2989</v>
      </c>
      <c r="G30" s="974">
        <v>4176</v>
      </c>
      <c r="H30" s="974">
        <v>1089</v>
      </c>
      <c r="I30" s="974">
        <v>822</v>
      </c>
      <c r="J30" s="974">
        <v>782</v>
      </c>
      <c r="K30" s="980">
        <v>741</v>
      </c>
      <c r="L30" s="974">
        <v>882</v>
      </c>
      <c r="M30" s="974">
        <v>1177</v>
      </c>
      <c r="N30" s="974">
        <v>2468</v>
      </c>
      <c r="O30" s="974">
        <v>1116</v>
      </c>
      <c r="P30" s="974">
        <v>1027</v>
      </c>
      <c r="Q30" s="974">
        <v>1323</v>
      </c>
      <c r="R30" s="974">
        <v>1953</v>
      </c>
      <c r="S30" s="974">
        <v>819</v>
      </c>
      <c r="T30" s="975">
        <v>717</v>
      </c>
      <c r="U30" s="888">
        <v>8.1000000000000003E-2</v>
      </c>
      <c r="V30" s="495">
        <v>0.44800000000000001</v>
      </c>
      <c r="W30" s="495">
        <v>0.19400000000000001</v>
      </c>
      <c r="X30" s="495">
        <v>0.83099999999999996</v>
      </c>
      <c r="Y30" s="495">
        <v>2.8159999999999998</v>
      </c>
      <c r="Z30" s="495">
        <v>29.67</v>
      </c>
      <c r="AA30" s="884">
        <v>13.388999999999999</v>
      </c>
      <c r="AB30" s="477">
        <f t="shared" si="1"/>
        <v>-12.454212454212453</v>
      </c>
      <c r="AC30" s="44" t="s">
        <v>37</v>
      </c>
    </row>
    <row r="31" spans="2:29" ht="12.75" customHeight="1">
      <c r="B31" s="107" t="s">
        <v>39</v>
      </c>
      <c r="C31" s="976">
        <v>129</v>
      </c>
      <c r="D31" s="977">
        <v>114</v>
      </c>
      <c r="E31" s="977">
        <v>148</v>
      </c>
      <c r="F31" s="977">
        <v>149</v>
      </c>
      <c r="G31" s="977">
        <v>198</v>
      </c>
      <c r="H31" s="977">
        <v>135</v>
      </c>
      <c r="I31" s="977">
        <v>143</v>
      </c>
      <c r="J31" s="977">
        <v>123</v>
      </c>
      <c r="K31" s="981">
        <v>94</v>
      </c>
      <c r="L31" s="977">
        <v>154</v>
      </c>
      <c r="M31" s="977">
        <v>178</v>
      </c>
      <c r="N31" s="977">
        <v>171</v>
      </c>
      <c r="O31" s="977">
        <v>198</v>
      </c>
      <c r="P31" s="977">
        <v>191</v>
      </c>
      <c r="Q31" s="977">
        <v>181</v>
      </c>
      <c r="R31" s="977">
        <v>195</v>
      </c>
      <c r="S31" s="977">
        <v>64</v>
      </c>
      <c r="T31" s="979">
        <v>99</v>
      </c>
      <c r="U31" s="889">
        <v>0</v>
      </c>
      <c r="V31" s="890">
        <v>0</v>
      </c>
      <c r="W31" s="890">
        <v>0</v>
      </c>
      <c r="X31" s="890">
        <v>1.1040000000000001</v>
      </c>
      <c r="Y31" s="890">
        <v>2.5640000000000001</v>
      </c>
      <c r="Z31" s="890">
        <v>4.6870000000000003</v>
      </c>
      <c r="AA31" s="891">
        <v>0</v>
      </c>
      <c r="AB31" s="553">
        <f t="shared" si="1"/>
        <v>54.6875</v>
      </c>
      <c r="AC31" s="194" t="s">
        <v>39</v>
      </c>
    </row>
    <row r="32" spans="2:29" ht="12.75" customHeight="1">
      <c r="B32" s="7" t="s">
        <v>38</v>
      </c>
      <c r="C32" s="973">
        <v>256</v>
      </c>
      <c r="D32" s="974">
        <v>277</v>
      </c>
      <c r="E32" s="974">
        <v>520</v>
      </c>
      <c r="F32" s="974">
        <v>333</v>
      </c>
      <c r="G32" s="974">
        <v>596</v>
      </c>
      <c r="H32" s="974">
        <v>674</v>
      </c>
      <c r="I32" s="974">
        <v>428</v>
      </c>
      <c r="J32" s="974">
        <v>304</v>
      </c>
      <c r="K32" s="980">
        <v>279</v>
      </c>
      <c r="L32" s="974">
        <v>294</v>
      </c>
      <c r="M32" s="974">
        <v>453</v>
      </c>
      <c r="N32" s="974">
        <v>375</v>
      </c>
      <c r="O32" s="974">
        <v>368</v>
      </c>
      <c r="P32" s="974">
        <v>401</v>
      </c>
      <c r="Q32" s="974">
        <v>356</v>
      </c>
      <c r="R32" s="974">
        <v>308</v>
      </c>
      <c r="S32" s="974">
        <v>297</v>
      </c>
      <c r="T32" s="975">
        <v>533</v>
      </c>
      <c r="U32" s="888">
        <v>0</v>
      </c>
      <c r="V32" s="495">
        <v>2.4449999999999998</v>
      </c>
      <c r="W32" s="495">
        <v>1.496</v>
      </c>
      <c r="X32" s="495">
        <v>5.056</v>
      </c>
      <c r="Y32" s="495">
        <v>0</v>
      </c>
      <c r="Z32" s="495">
        <v>0.33600000000000002</v>
      </c>
      <c r="AA32" s="884">
        <v>0.187</v>
      </c>
      <c r="AB32" s="477">
        <f t="shared" si="1"/>
        <v>79.461279461279446</v>
      </c>
      <c r="AC32" s="44" t="s">
        <v>38</v>
      </c>
    </row>
    <row r="33" spans="2:29" ht="12.75" customHeight="1">
      <c r="B33" s="34" t="s">
        <v>54</v>
      </c>
      <c r="C33" s="976">
        <v>509</v>
      </c>
      <c r="D33" s="977">
        <v>413</v>
      </c>
      <c r="E33" s="977">
        <v>438</v>
      </c>
      <c r="F33" s="977">
        <v>496</v>
      </c>
      <c r="G33" s="977">
        <v>603</v>
      </c>
      <c r="H33" s="977">
        <v>589</v>
      </c>
      <c r="I33" s="977">
        <v>519</v>
      </c>
      <c r="J33" s="977">
        <v>401</v>
      </c>
      <c r="K33" s="981">
        <v>539</v>
      </c>
      <c r="L33" s="977">
        <v>388</v>
      </c>
      <c r="M33" s="977">
        <v>691</v>
      </c>
      <c r="N33" s="977">
        <v>526</v>
      </c>
      <c r="O33" s="977">
        <v>586</v>
      </c>
      <c r="P33" s="977">
        <v>514</v>
      </c>
      <c r="Q33" s="978">
        <v>475</v>
      </c>
      <c r="R33" s="978">
        <v>593</v>
      </c>
      <c r="S33" s="977">
        <v>284</v>
      </c>
      <c r="T33" s="979">
        <v>382</v>
      </c>
      <c r="U33" s="885">
        <v>0</v>
      </c>
      <c r="V33" s="886">
        <v>1.706</v>
      </c>
      <c r="W33" s="886">
        <v>1.75</v>
      </c>
      <c r="X33" s="886">
        <v>0.21</v>
      </c>
      <c r="Y33" s="886">
        <v>6.7450000000000001</v>
      </c>
      <c r="Z33" s="886">
        <v>8.8019999999999996</v>
      </c>
      <c r="AA33" s="887">
        <v>50</v>
      </c>
      <c r="AB33" s="478">
        <f t="shared" si="1"/>
        <v>34.507042253521121</v>
      </c>
      <c r="AC33" s="42" t="s">
        <v>54</v>
      </c>
    </row>
    <row r="34" spans="2:29" ht="12.75" customHeight="1">
      <c r="B34" s="8" t="s">
        <v>55</v>
      </c>
      <c r="C34" s="985">
        <v>1133</v>
      </c>
      <c r="D34" s="986">
        <v>1172</v>
      </c>
      <c r="E34" s="986">
        <v>1348</v>
      </c>
      <c r="F34" s="986">
        <v>991</v>
      </c>
      <c r="G34" s="986">
        <v>1210</v>
      </c>
      <c r="H34" s="986">
        <v>1176</v>
      </c>
      <c r="I34" s="986">
        <v>1657</v>
      </c>
      <c r="J34" s="986">
        <v>1630</v>
      </c>
      <c r="K34" s="987">
        <v>1518</v>
      </c>
      <c r="L34" s="986">
        <v>1323</v>
      </c>
      <c r="M34" s="986">
        <v>1414</v>
      </c>
      <c r="N34" s="986">
        <v>1423</v>
      </c>
      <c r="O34" s="986">
        <v>1382</v>
      </c>
      <c r="P34" s="986">
        <v>1373</v>
      </c>
      <c r="Q34" s="986">
        <v>1003</v>
      </c>
      <c r="R34" s="986">
        <v>1467</v>
      </c>
      <c r="S34" s="986">
        <v>1699</v>
      </c>
      <c r="T34" s="988">
        <v>751</v>
      </c>
      <c r="U34" s="892">
        <v>0.70199999999999996</v>
      </c>
      <c r="V34" s="893">
        <v>1.3740000000000001</v>
      </c>
      <c r="W34" s="893">
        <v>1.165</v>
      </c>
      <c r="X34" s="893">
        <v>4.6849999999999996</v>
      </c>
      <c r="Y34" s="893">
        <v>11.587999999999999</v>
      </c>
      <c r="Z34" s="893">
        <v>9.77</v>
      </c>
      <c r="AA34" s="894">
        <v>24.367000000000001</v>
      </c>
      <c r="AB34" s="489">
        <f t="shared" si="1"/>
        <v>-55.79752795762213</v>
      </c>
      <c r="AC34" s="45" t="s">
        <v>55</v>
      </c>
    </row>
    <row r="35" spans="2:29" ht="12.75" customHeight="1">
      <c r="B35" s="34" t="s">
        <v>26</v>
      </c>
      <c r="C35" s="976">
        <v>56</v>
      </c>
      <c r="D35" s="977">
        <v>106</v>
      </c>
      <c r="E35" s="977">
        <v>56</v>
      </c>
      <c r="F35" s="977">
        <v>46</v>
      </c>
      <c r="G35" s="977">
        <v>44</v>
      </c>
      <c r="H35" s="977">
        <v>8</v>
      </c>
      <c r="I35" s="977">
        <v>28</v>
      </c>
      <c r="J35" s="977">
        <v>34</v>
      </c>
      <c r="K35" s="977">
        <v>68</v>
      </c>
      <c r="L35" s="977">
        <v>74</v>
      </c>
      <c r="M35" s="977">
        <v>104</v>
      </c>
      <c r="N35" s="977">
        <v>110</v>
      </c>
      <c r="O35" s="989">
        <v>85</v>
      </c>
      <c r="P35" s="977">
        <v>272</v>
      </c>
      <c r="Q35" s="1025">
        <v>180</v>
      </c>
      <c r="R35" s="1025">
        <v>119</v>
      </c>
      <c r="S35" s="977">
        <v>44</v>
      </c>
      <c r="T35" s="979">
        <v>43</v>
      </c>
      <c r="U35" s="885"/>
      <c r="V35" s="886"/>
      <c r="W35" s="886">
        <v>0.36764705882352938</v>
      </c>
      <c r="X35" s="886">
        <v>7.7777777777777777</v>
      </c>
      <c r="Y35" s="886">
        <v>0</v>
      </c>
      <c r="Z35" s="886">
        <v>0</v>
      </c>
      <c r="AA35" s="887">
        <v>0</v>
      </c>
      <c r="AB35" s="478">
        <f t="shared" si="1"/>
        <v>-2.2727272727272663</v>
      </c>
      <c r="AC35" s="42" t="s">
        <v>26</v>
      </c>
    </row>
    <row r="36" spans="2:29" ht="12.75" customHeight="1">
      <c r="B36" s="34" t="s">
        <v>65</v>
      </c>
      <c r="C36" s="976"/>
      <c r="D36" s="977"/>
      <c r="E36" s="977"/>
      <c r="F36" s="977"/>
      <c r="G36" s="977"/>
      <c r="H36" s="977"/>
      <c r="I36" s="977"/>
      <c r="J36" s="977"/>
      <c r="K36" s="977">
        <v>7</v>
      </c>
      <c r="L36" s="977">
        <v>3</v>
      </c>
      <c r="M36" s="977">
        <v>4</v>
      </c>
      <c r="N36" s="977">
        <v>8</v>
      </c>
      <c r="O36" s="977">
        <v>10</v>
      </c>
      <c r="P36" s="977">
        <v>4</v>
      </c>
      <c r="Q36" s="978">
        <v>6</v>
      </c>
      <c r="R36" s="978">
        <v>5</v>
      </c>
      <c r="S36" s="977">
        <v>2</v>
      </c>
      <c r="T36" s="979">
        <v>21</v>
      </c>
      <c r="U36" s="885">
        <v>0</v>
      </c>
      <c r="V36" s="886">
        <v>0</v>
      </c>
      <c r="W36" s="886">
        <v>0</v>
      </c>
      <c r="X36" s="886">
        <v>16.666666666666664</v>
      </c>
      <c r="Y36" s="886">
        <v>0</v>
      </c>
      <c r="Z36" s="886">
        <v>0</v>
      </c>
      <c r="AA36" s="887">
        <v>0</v>
      </c>
      <c r="AB36" s="478">
        <f t="shared" si="1"/>
        <v>950</v>
      </c>
      <c r="AC36" s="42" t="s">
        <v>65</v>
      </c>
    </row>
    <row r="37" spans="2:29" ht="12.75" customHeight="1">
      <c r="B37" s="7" t="s">
        <v>56</v>
      </c>
      <c r="C37" s="973">
        <v>937</v>
      </c>
      <c r="D37" s="974">
        <v>1168</v>
      </c>
      <c r="E37" s="974">
        <v>843</v>
      </c>
      <c r="F37" s="974">
        <v>1138</v>
      </c>
      <c r="G37" s="974">
        <v>1232</v>
      </c>
      <c r="H37" s="974">
        <v>1160</v>
      </c>
      <c r="I37" s="974">
        <v>1482</v>
      </c>
      <c r="J37" s="974">
        <v>1345</v>
      </c>
      <c r="K37" s="980">
        <v>1231</v>
      </c>
      <c r="L37" s="974">
        <v>1316</v>
      </c>
      <c r="M37" s="974">
        <v>1094</v>
      </c>
      <c r="N37" s="974">
        <v>1111</v>
      </c>
      <c r="O37" s="974">
        <v>1483</v>
      </c>
      <c r="P37" s="974">
        <v>1293</v>
      </c>
      <c r="Q37" s="974">
        <v>1099</v>
      </c>
      <c r="R37" s="974">
        <v>2387</v>
      </c>
      <c r="S37" s="974">
        <v>1441</v>
      </c>
      <c r="T37" s="975">
        <v>1118</v>
      </c>
      <c r="U37" s="888">
        <v>0</v>
      </c>
      <c r="V37" s="495">
        <v>0.87660148347943356</v>
      </c>
      <c r="W37" s="495">
        <v>1.3921113689095126</v>
      </c>
      <c r="X37" s="495">
        <v>1.6378525932666061</v>
      </c>
      <c r="Y37" s="495">
        <v>6.7448680351906152</v>
      </c>
      <c r="Z37" s="495">
        <v>18.181818181818183</v>
      </c>
      <c r="AA37" s="884">
        <v>9.2128801431127023</v>
      </c>
      <c r="AB37" s="477">
        <f t="shared" si="1"/>
        <v>-22.414989590562101</v>
      </c>
      <c r="AC37" s="44" t="s">
        <v>56</v>
      </c>
    </row>
    <row r="38" spans="2:29" ht="12.75" customHeight="1">
      <c r="B38" s="604" t="s">
        <v>27</v>
      </c>
      <c r="C38" s="990">
        <v>1375</v>
      </c>
      <c r="D38" s="991">
        <v>1323</v>
      </c>
      <c r="E38" s="991">
        <v>1076</v>
      </c>
      <c r="F38" s="991">
        <v>938</v>
      </c>
      <c r="G38" s="991">
        <v>1351</v>
      </c>
      <c r="H38" s="991">
        <v>1123</v>
      </c>
      <c r="I38" s="991">
        <v>940</v>
      </c>
      <c r="J38" s="991">
        <v>937</v>
      </c>
      <c r="K38" s="1031">
        <v>938</v>
      </c>
      <c r="L38" s="991">
        <v>939</v>
      </c>
      <c r="M38" s="991">
        <v>847</v>
      </c>
      <c r="N38" s="991">
        <v>1153</v>
      </c>
      <c r="O38" s="991">
        <v>886</v>
      </c>
      <c r="P38" s="991">
        <v>874</v>
      </c>
      <c r="Q38" s="1026">
        <v>850</v>
      </c>
      <c r="R38" s="1026">
        <v>804</v>
      </c>
      <c r="S38" s="991">
        <v>797</v>
      </c>
      <c r="T38" s="992">
        <v>827</v>
      </c>
      <c r="U38" s="895">
        <v>0.26019080659150046</v>
      </c>
      <c r="V38" s="896">
        <v>0.79006772009029347</v>
      </c>
      <c r="W38" s="896">
        <v>0.91533180778032042</v>
      </c>
      <c r="X38" s="896">
        <v>3.5294117647058822</v>
      </c>
      <c r="Y38" s="896">
        <v>1.616915422885572</v>
      </c>
      <c r="Z38" s="896">
        <v>3.4939759036144582</v>
      </c>
      <c r="AA38" s="897">
        <v>7.255139056831923</v>
      </c>
      <c r="AB38" s="605">
        <f t="shared" si="1"/>
        <v>3.7641154328732682</v>
      </c>
      <c r="AC38" s="606" t="s">
        <v>27</v>
      </c>
    </row>
    <row r="39" spans="2:29" ht="15" customHeight="1">
      <c r="B39" s="1044" t="s">
        <v>352</v>
      </c>
      <c r="C39" s="1044"/>
      <c r="D39" s="1044"/>
      <c r="E39" s="1044"/>
      <c r="F39" s="1044"/>
      <c r="G39" s="1044"/>
      <c r="H39" s="1044"/>
      <c r="I39" s="1044"/>
      <c r="J39" s="1044"/>
      <c r="K39" s="1044"/>
      <c r="L39" s="1044"/>
      <c r="M39" s="1044"/>
      <c r="N39" s="1044"/>
      <c r="O39" s="1044"/>
      <c r="P39" s="1044"/>
      <c r="Q39" s="1044"/>
      <c r="R39" s="1044"/>
    </row>
    <row r="40" spans="2:29" ht="12.75" customHeight="1">
      <c r="B40" s="100" t="s">
        <v>289</v>
      </c>
    </row>
    <row r="41" spans="2:29" ht="11.25" customHeight="1">
      <c r="B41" s="1015" t="s">
        <v>353</v>
      </c>
    </row>
  </sheetData>
  <mergeCells count="6">
    <mergeCell ref="U4:AA5"/>
    <mergeCell ref="G5:J5"/>
    <mergeCell ref="B2:AC2"/>
    <mergeCell ref="B3:AC3"/>
    <mergeCell ref="C4:T4"/>
    <mergeCell ref="AB4:AB6"/>
  </mergeCells>
  <phoneticPr fontId="7" type="noConversion"/>
  <printOptions horizontalCentered="1"/>
  <pageMargins left="0.6692913385826772" right="0.6692913385826772" top="0.38" bottom="0.16" header="0" footer="0"/>
  <pageSetup paperSize="9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79">
    <pageSetUpPr fitToPage="1"/>
  </sheetPr>
  <dimension ref="A1:AD48"/>
  <sheetViews>
    <sheetView zoomScaleNormal="100" workbookViewId="0">
      <selection activeCell="AE22" sqref="AE22"/>
    </sheetView>
  </sheetViews>
  <sheetFormatPr defaultRowHeight="13.15"/>
  <cols>
    <col min="1" max="1" width="3.73046875" customWidth="1"/>
    <col min="2" max="2" width="5.265625" style="2" customWidth="1"/>
    <col min="3" max="3" width="7.59765625" style="2" customWidth="1"/>
    <col min="4" max="9" width="8.73046875" style="2" customWidth="1"/>
    <col min="10" max="10" width="10.59765625" style="2" customWidth="1"/>
    <col min="11" max="15" width="8.73046875" style="2" customWidth="1"/>
    <col min="16" max="22" width="8.73046875" style="131" customWidth="1"/>
    <col min="23" max="25" width="7.59765625" style="131" customWidth="1"/>
    <col min="26" max="26" width="5.59765625" style="10" customWidth="1"/>
    <col min="27" max="27" width="6.59765625" customWidth="1"/>
  </cols>
  <sheetData>
    <row r="1" spans="1:27" ht="14.25" customHeight="1">
      <c r="B1" s="128"/>
      <c r="C1" s="128"/>
      <c r="D1" s="128"/>
      <c r="E1" s="128"/>
      <c r="F1" s="128"/>
      <c r="J1" s="12"/>
      <c r="K1" s="12"/>
      <c r="L1" s="12"/>
      <c r="M1" s="12"/>
      <c r="N1" s="12"/>
      <c r="O1" s="12"/>
      <c r="P1" s="129"/>
      <c r="Q1" s="129"/>
      <c r="R1" s="129"/>
      <c r="AA1" s="20" t="s">
        <v>111</v>
      </c>
    </row>
    <row r="2" spans="1:27" s="28" customFormat="1" ht="30" customHeight="1">
      <c r="B2" s="1082" t="s">
        <v>74</v>
      </c>
      <c r="C2" s="1082"/>
      <c r="D2" s="1082"/>
      <c r="E2" s="1082"/>
      <c r="F2" s="1082"/>
      <c r="G2" s="1082"/>
      <c r="H2" s="1082"/>
      <c r="I2" s="1082"/>
      <c r="J2" s="1082"/>
      <c r="K2" s="1082"/>
      <c r="L2" s="1082"/>
      <c r="M2" s="1082"/>
      <c r="N2" s="1082"/>
      <c r="O2" s="1082"/>
      <c r="P2" s="1082"/>
      <c r="Q2" s="1082"/>
      <c r="R2" s="1082"/>
      <c r="S2" s="1082"/>
      <c r="T2" s="1082"/>
      <c r="U2" s="1082"/>
      <c r="V2" s="1082"/>
      <c r="W2" s="1082"/>
      <c r="X2" s="1082"/>
      <c r="Y2" s="1082"/>
      <c r="Z2" s="1082"/>
      <c r="AA2" s="1082"/>
    </row>
    <row r="3" spans="1:27" ht="15" customHeight="1">
      <c r="B3" s="1071" t="s">
        <v>146</v>
      </c>
      <c r="C3" s="1071"/>
      <c r="D3" s="1071"/>
      <c r="E3" s="1071"/>
      <c r="F3" s="1071"/>
      <c r="G3" s="1071"/>
      <c r="H3" s="1071"/>
      <c r="I3" s="1071"/>
      <c r="J3" s="1071"/>
      <c r="K3" s="1071"/>
      <c r="L3" s="1071"/>
      <c r="M3" s="1071"/>
      <c r="N3" s="1071"/>
      <c r="O3" s="1071"/>
      <c r="P3" s="1071"/>
      <c r="Q3" s="1071"/>
      <c r="R3" s="1071"/>
      <c r="S3" s="1071"/>
      <c r="T3" s="1071"/>
      <c r="U3" s="1071"/>
      <c r="V3" s="1071"/>
      <c r="W3" s="1071"/>
      <c r="X3" s="1071"/>
      <c r="Y3" s="1071"/>
      <c r="Z3" s="1071"/>
      <c r="AA3" s="1071"/>
    </row>
    <row r="4" spans="1:27" ht="12.75" customHeight="1">
      <c r="L4" s="4"/>
      <c r="M4" s="4"/>
      <c r="N4" s="4"/>
      <c r="O4" s="4"/>
      <c r="Q4" s="666"/>
      <c r="R4" s="666"/>
      <c r="T4" s="667"/>
      <c r="X4" s="667"/>
      <c r="Y4" s="843" t="s">
        <v>1</v>
      </c>
      <c r="Z4" s="843"/>
    </row>
    <row r="5" spans="1:27" ht="34.5" customHeight="1">
      <c r="C5" s="36">
        <v>1995</v>
      </c>
      <c r="D5" s="37">
        <v>2000</v>
      </c>
      <c r="E5" s="37">
        <v>2001</v>
      </c>
      <c r="F5" s="37">
        <v>2002</v>
      </c>
      <c r="G5" s="37">
        <v>2003</v>
      </c>
      <c r="H5" s="37">
        <v>2004</v>
      </c>
      <c r="I5" s="37">
        <v>2005</v>
      </c>
      <c r="J5" s="37">
        <v>2006</v>
      </c>
      <c r="K5" s="37">
        <v>2007</v>
      </c>
      <c r="L5" s="37">
        <v>2008</v>
      </c>
      <c r="M5" s="37">
        <v>2009</v>
      </c>
      <c r="N5" s="37">
        <v>2010</v>
      </c>
      <c r="O5" s="37">
        <v>2011</v>
      </c>
      <c r="P5" s="37">
        <v>2012</v>
      </c>
      <c r="Q5" s="37">
        <v>2013</v>
      </c>
      <c r="R5" s="37">
        <v>2014</v>
      </c>
      <c r="S5" s="37">
        <v>2015</v>
      </c>
      <c r="T5" s="37">
        <v>2016</v>
      </c>
      <c r="U5" s="37">
        <v>2017</v>
      </c>
      <c r="V5" s="37">
        <v>2018</v>
      </c>
      <c r="W5" s="37">
        <v>2019</v>
      </c>
      <c r="X5" s="37">
        <v>2020</v>
      </c>
      <c r="Y5" s="37">
        <v>2021</v>
      </c>
      <c r="Z5" s="364" t="s">
        <v>330</v>
      </c>
      <c r="AA5" s="3"/>
    </row>
    <row r="6" spans="1:27" ht="16.5" customHeight="1">
      <c r="B6" s="106" t="s">
        <v>237</v>
      </c>
      <c r="C6" s="282"/>
      <c r="D6" s="238"/>
      <c r="E6" s="238"/>
      <c r="F6" s="238"/>
      <c r="G6" s="237"/>
      <c r="H6" s="237">
        <f t="shared" ref="H6:Y6" si="0">SUM(H7:H33)</f>
        <v>1128.078794</v>
      </c>
      <c r="I6" s="237">
        <f t="shared" si="0"/>
        <v>1229.0150000000001</v>
      </c>
      <c r="J6" s="237">
        <f t="shared" si="0"/>
        <v>1361.3220000000001</v>
      </c>
      <c r="K6" s="237">
        <f t="shared" si="0"/>
        <v>1415.2079999999999</v>
      </c>
      <c r="L6" s="237">
        <f t="shared" si="0"/>
        <v>1313.0810000000004</v>
      </c>
      <c r="M6" s="237">
        <f t="shared" si="0"/>
        <v>1147.6110000000003</v>
      </c>
      <c r="N6" s="237">
        <f t="shared" si="0"/>
        <v>999.95800000000008</v>
      </c>
      <c r="O6" s="237">
        <f t="shared" si="0"/>
        <v>864.29200000000003</v>
      </c>
      <c r="P6" s="237">
        <f t="shared" si="0"/>
        <v>760.38699999999994</v>
      </c>
      <c r="Q6" s="237">
        <f t="shared" si="0"/>
        <v>672.85107263505017</v>
      </c>
      <c r="R6" s="237">
        <f t="shared" si="0"/>
        <v>722.86040139809165</v>
      </c>
      <c r="S6" s="237">
        <f t="shared" si="0"/>
        <v>794.68299999999999</v>
      </c>
      <c r="T6" s="237">
        <f t="shared" si="0"/>
        <v>902.49000000000012</v>
      </c>
      <c r="U6" s="237">
        <f t="shared" si="0"/>
        <v>824.37199999999996</v>
      </c>
      <c r="V6" s="237">
        <f t="shared" si="0"/>
        <v>912.12500000000011</v>
      </c>
      <c r="W6" s="237">
        <f t="shared" si="0"/>
        <v>991.59200000000021</v>
      </c>
      <c r="X6" s="391">
        <f t="shared" si="0"/>
        <v>1014.9150000000002</v>
      </c>
      <c r="Y6" s="391">
        <f t="shared" si="0"/>
        <v>1086.5359146956839</v>
      </c>
      <c r="Z6" s="369">
        <f>Y6/X6*100-100</f>
        <v>7.0568387200586926</v>
      </c>
      <c r="AA6" s="344" t="s">
        <v>237</v>
      </c>
    </row>
    <row r="7" spans="1:27" ht="12.75" customHeight="1">
      <c r="B7" s="6" t="s">
        <v>45</v>
      </c>
      <c r="C7" s="256"/>
      <c r="D7" s="239">
        <v>25.318999999999999</v>
      </c>
      <c r="E7" s="239">
        <v>21.228999999999999</v>
      </c>
      <c r="F7" s="239">
        <v>21.503</v>
      </c>
      <c r="G7" s="239">
        <v>22.224</v>
      </c>
      <c r="H7" s="239">
        <v>25.055</v>
      </c>
      <c r="I7" s="239">
        <v>24.954999999999998</v>
      </c>
      <c r="J7" s="239">
        <v>27.268999999999998</v>
      </c>
      <c r="K7" s="239">
        <v>30.131</v>
      </c>
      <c r="L7" s="239">
        <v>26.393000000000001</v>
      </c>
      <c r="M7" s="239">
        <v>26.422999999999998</v>
      </c>
      <c r="N7" s="239">
        <v>26.428999999999998</v>
      </c>
      <c r="O7" s="239">
        <f>25.047</f>
        <v>25.047000000000001</v>
      </c>
      <c r="P7" s="239">
        <f>23.428</f>
        <v>23.428000000000001</v>
      </c>
      <c r="Q7" s="239">
        <v>20.643999999999998</v>
      </c>
      <c r="R7" s="239">
        <v>20.681000000000001</v>
      </c>
      <c r="S7" s="239">
        <v>21.577000000000002</v>
      </c>
      <c r="T7" s="239">
        <v>23.620999999999999</v>
      </c>
      <c r="U7" s="239">
        <v>21.39</v>
      </c>
      <c r="V7" s="239">
        <v>23.931999999999999</v>
      </c>
      <c r="W7" s="239">
        <v>24.204999999999998</v>
      </c>
      <c r="X7" s="244">
        <v>25.106999999999999</v>
      </c>
      <c r="Y7" s="670">
        <v>24.722999999999999</v>
      </c>
      <c r="Z7" s="171">
        <f t="shared" ref="Z7:Z45" si="1">Y7/X7*100-100</f>
        <v>-1.5294539371490004</v>
      </c>
      <c r="AA7" s="7" t="s">
        <v>45</v>
      </c>
    </row>
    <row r="8" spans="1:27" ht="12.75" customHeight="1">
      <c r="B8" s="34" t="s">
        <v>28</v>
      </c>
      <c r="C8" s="241"/>
      <c r="D8" s="242">
        <f>(1117+33+4+2)/1000</f>
        <v>1.1559999999999999</v>
      </c>
      <c r="E8" s="242">
        <f>(1497+24+2+3)/1000</f>
        <v>1.526</v>
      </c>
      <c r="F8" s="242">
        <f>(2227+12+1+21)/1000</f>
        <v>2.2610000000000001</v>
      </c>
      <c r="G8" s="242">
        <f>(2986+13+3+2)/1000</f>
        <v>3.004</v>
      </c>
      <c r="H8" s="253">
        <f>(AVERAGE(G8,I8))/1000</f>
        <v>1.794E-3</v>
      </c>
      <c r="I8" s="242">
        <f>(569+13+2)/1000</f>
        <v>0.58399999999999996</v>
      </c>
      <c r="J8" s="242">
        <v>0.71899999999999997</v>
      </c>
      <c r="K8" s="242">
        <f>(1087+7+194)/1000</f>
        <v>1.288</v>
      </c>
      <c r="L8" s="242">
        <f>(1249+6+1+509)/1000</f>
        <v>1.7649999999999999</v>
      </c>
      <c r="M8" s="242">
        <f>(884+3+326)/1000</f>
        <v>1.2130000000000001</v>
      </c>
      <c r="N8" s="242">
        <f>(643+4+265)/1000</f>
        <v>0.91200000000000003</v>
      </c>
      <c r="O8" s="242">
        <f>(565+2+141)/1000</f>
        <v>0.70799999999999996</v>
      </c>
      <c r="P8" s="242">
        <f>(543+5+135)/1000</f>
        <v>0.68300000000000005</v>
      </c>
      <c r="Q8" s="242">
        <f>(471+3+93)/1000</f>
        <v>0.56699999999999995</v>
      </c>
      <c r="R8" s="242">
        <f>(505+1+5+123)/1000</f>
        <v>0.63400000000000001</v>
      </c>
      <c r="S8" s="242">
        <f>(581+4+19+152)/1000</f>
        <v>0.75600000000000001</v>
      </c>
      <c r="T8" s="242">
        <v>0.76</v>
      </c>
      <c r="U8" s="242">
        <v>0.82899999999999996</v>
      </c>
      <c r="V8" s="242">
        <v>0.9</v>
      </c>
      <c r="W8" s="242">
        <v>0.97</v>
      </c>
      <c r="X8" s="242">
        <v>0.82199999999999995</v>
      </c>
      <c r="Y8" s="262">
        <v>0.93899999999999995</v>
      </c>
      <c r="Z8" s="170">
        <f t="shared" si="1"/>
        <v>14.233576642335777</v>
      </c>
      <c r="AA8" s="34" t="s">
        <v>28</v>
      </c>
    </row>
    <row r="9" spans="1:27" ht="12.75" customHeight="1">
      <c r="B9" s="7" t="s">
        <v>30</v>
      </c>
      <c r="C9" s="245">
        <v>6.8760000000000003</v>
      </c>
      <c r="D9" s="244">
        <v>3.8650000000000002</v>
      </c>
      <c r="E9" s="244">
        <v>5.3079999999999998</v>
      </c>
      <c r="F9" s="244">
        <v>7.88</v>
      </c>
      <c r="G9" s="244">
        <v>5.9589999999999996</v>
      </c>
      <c r="H9" s="244">
        <v>7.2169999999999996</v>
      </c>
      <c r="I9" s="244">
        <v>7.5919999999999996</v>
      </c>
      <c r="J9" s="244">
        <v>8.423</v>
      </c>
      <c r="K9" s="244">
        <v>9.9849999999999994</v>
      </c>
      <c r="L9" s="244">
        <v>9.641</v>
      </c>
      <c r="M9" s="244">
        <v>7.2140000000000004</v>
      </c>
      <c r="N9" s="244">
        <v>5.4180000000000001</v>
      </c>
      <c r="O9" s="244">
        <v>6.056</v>
      </c>
      <c r="P9" s="244">
        <v>6.9749999999999996</v>
      </c>
      <c r="Q9" s="244">
        <v>6.9960726350499662</v>
      </c>
      <c r="R9" s="244">
        <v>12.441000000000001</v>
      </c>
      <c r="S9" s="244">
        <v>13.423999999999999</v>
      </c>
      <c r="T9" s="244">
        <v>14.086</v>
      </c>
      <c r="U9" s="244">
        <v>12.33</v>
      </c>
      <c r="V9" s="244">
        <v>13.943</v>
      </c>
      <c r="W9" s="244">
        <v>15.134</v>
      </c>
      <c r="X9" s="671">
        <v>17.399999999999999</v>
      </c>
      <c r="Y9" s="669">
        <v>17.806811999999997</v>
      </c>
      <c r="Z9" s="171">
        <f t="shared" si="1"/>
        <v>2.3379999999999939</v>
      </c>
      <c r="AA9" s="7" t="s">
        <v>30</v>
      </c>
    </row>
    <row r="10" spans="1:27" ht="12.75" customHeight="1">
      <c r="A10" s="5"/>
      <c r="B10" s="34" t="s">
        <v>41</v>
      </c>
      <c r="C10" s="241">
        <v>2.2879999999999998</v>
      </c>
      <c r="D10" s="242">
        <v>3.3</v>
      </c>
      <c r="E10" s="242">
        <v>2.4159999999999999</v>
      </c>
      <c r="F10" s="242">
        <v>2.625</v>
      </c>
      <c r="G10" s="242">
        <v>2.8239999999999998</v>
      </c>
      <c r="H10" s="242">
        <v>3.6309999999999998</v>
      </c>
      <c r="I10" s="242">
        <v>5.7809999999999997</v>
      </c>
      <c r="J10" s="242">
        <v>7.5789999999999997</v>
      </c>
      <c r="K10" s="242">
        <v>9.7769999999999992</v>
      </c>
      <c r="L10" s="242">
        <v>6.69</v>
      </c>
      <c r="M10" s="242">
        <v>3.7429999999999999</v>
      </c>
      <c r="N10" s="250">
        <v>2.6389999999999998</v>
      </c>
      <c r="O10" s="242">
        <v>1.964</v>
      </c>
      <c r="P10" s="242">
        <v>1.71</v>
      </c>
      <c r="Q10" s="242">
        <v>1.5640000000000001</v>
      </c>
      <c r="R10" s="242">
        <v>1.94</v>
      </c>
      <c r="S10" s="242">
        <v>2.238</v>
      </c>
      <c r="T10" s="242">
        <v>2.9870000000000001</v>
      </c>
      <c r="U10" s="242">
        <v>2.8340000000000001</v>
      </c>
      <c r="V10" s="242">
        <v>3.4649999999999999</v>
      </c>
      <c r="W10" s="242">
        <v>3.2069999999999999</v>
      </c>
      <c r="X10" s="242">
        <v>3.6779999999999999</v>
      </c>
      <c r="Y10" s="262">
        <v>3.8140000000000001</v>
      </c>
      <c r="Z10" s="170">
        <f t="shared" si="1"/>
        <v>3.6976617727025598</v>
      </c>
      <c r="AA10" s="34" t="s">
        <v>41</v>
      </c>
    </row>
    <row r="11" spans="1:27" ht="12.75" customHeight="1">
      <c r="A11" s="5"/>
      <c r="B11" s="7" t="s">
        <v>46</v>
      </c>
      <c r="C11" s="245">
        <v>218.245</v>
      </c>
      <c r="D11" s="244">
        <v>252.61600000000001</v>
      </c>
      <c r="E11" s="244">
        <v>226.958</v>
      </c>
      <c r="F11" s="244">
        <v>204.12899999999999</v>
      </c>
      <c r="G11" s="244">
        <v>191.262</v>
      </c>
      <c r="H11" s="244">
        <v>173.524</v>
      </c>
      <c r="I11" s="244">
        <v>168.65199999999999</v>
      </c>
      <c r="J11" s="244">
        <v>165.84200000000001</v>
      </c>
      <c r="K11" s="244">
        <v>166.88300000000001</v>
      </c>
      <c r="L11" s="244">
        <v>166.28100000000001</v>
      </c>
      <c r="M11" s="244">
        <v>138.97900000000001</v>
      </c>
      <c r="N11" s="244">
        <v>122.29300000000001</v>
      </c>
      <c r="O11" s="244">
        <f>126.975</f>
        <v>126.97499999999999</v>
      </c>
      <c r="P11" s="244">
        <v>127.497</v>
      </c>
      <c r="Q11" s="244">
        <v>129.60499999999999</v>
      </c>
      <c r="R11" s="244">
        <v>141.62299999999999</v>
      </c>
      <c r="S11" s="244">
        <v>151.661</v>
      </c>
      <c r="T11" s="244">
        <v>174.624</v>
      </c>
      <c r="U11" s="244">
        <v>140.667</v>
      </c>
      <c r="V11" s="244">
        <v>156.108</v>
      </c>
      <c r="W11" s="244">
        <v>166.67599999999999</v>
      </c>
      <c r="X11" s="244">
        <v>220.42599999999999</v>
      </c>
      <c r="Y11" s="670">
        <v>199.13200000000001</v>
      </c>
      <c r="Z11" s="171">
        <f t="shared" si="1"/>
        <v>-9.6603848910745427</v>
      </c>
      <c r="AA11" s="7" t="s">
        <v>46</v>
      </c>
    </row>
    <row r="12" spans="1:27" ht="12.75" customHeight="1">
      <c r="A12" s="5"/>
      <c r="B12" s="34" t="s">
        <v>31</v>
      </c>
      <c r="C12" s="241" t="s">
        <v>64</v>
      </c>
      <c r="D12" s="242">
        <v>5.2999999999999999E-2</v>
      </c>
      <c r="E12" s="242">
        <v>0.152</v>
      </c>
      <c r="F12" s="242">
        <v>0.17299999999999999</v>
      </c>
      <c r="G12" s="242">
        <v>0.185</v>
      </c>
      <c r="H12" s="242">
        <v>0.23100000000000001</v>
      </c>
      <c r="I12" s="242">
        <v>0.31900000000000001</v>
      </c>
      <c r="J12" s="242">
        <v>0.77100000000000002</v>
      </c>
      <c r="K12" s="242">
        <v>1.254</v>
      </c>
      <c r="L12" s="242">
        <v>1.1859999999999999</v>
      </c>
      <c r="M12" s="242">
        <v>0.46800000000000003</v>
      </c>
      <c r="N12" s="250">
        <v>0.46400000000000002</v>
      </c>
      <c r="O12" s="242">
        <f>0.299</f>
        <v>0.29899999999999999</v>
      </c>
      <c r="P12" s="242">
        <f>0.364</f>
        <v>0.36399999999999999</v>
      </c>
      <c r="Q12" s="242">
        <v>0.40899999999999997</v>
      </c>
      <c r="R12" s="242">
        <v>0.44900000000000001</v>
      </c>
      <c r="S12" s="242">
        <v>0.48899999999999999</v>
      </c>
      <c r="T12" s="242">
        <v>0.60899999999999999</v>
      </c>
      <c r="U12" s="242">
        <v>0.51100000000000001</v>
      </c>
      <c r="V12" s="242">
        <v>0.59499999999999997</v>
      </c>
      <c r="W12" s="242">
        <v>0.72099999999999997</v>
      </c>
      <c r="X12" s="242">
        <v>0.77200000000000002</v>
      </c>
      <c r="Y12" s="262">
        <v>0.93300000000000005</v>
      </c>
      <c r="Z12" s="170">
        <f t="shared" si="1"/>
        <v>20.85492227979276</v>
      </c>
      <c r="AA12" s="34" t="s">
        <v>31</v>
      </c>
    </row>
    <row r="13" spans="1:27" ht="12.75" customHeight="1">
      <c r="A13" s="5"/>
      <c r="B13" s="7" t="s">
        <v>49</v>
      </c>
      <c r="C13" s="245"/>
      <c r="D13" s="244">
        <v>3.8479999999999999</v>
      </c>
      <c r="E13" s="244">
        <v>4.7050000000000001</v>
      </c>
      <c r="F13" s="244">
        <v>5.5960000000000001</v>
      </c>
      <c r="G13" s="244">
        <v>2.8530000000000002</v>
      </c>
      <c r="H13" s="244">
        <v>2.5339999999999998</v>
      </c>
      <c r="I13" s="244">
        <v>2.391</v>
      </c>
      <c r="J13" s="244">
        <v>2.508</v>
      </c>
      <c r="K13" s="244">
        <v>2.8820000000000001</v>
      </c>
      <c r="L13" s="244">
        <v>2.645</v>
      </c>
      <c r="M13" s="244">
        <v>1.4219999999999999</v>
      </c>
      <c r="N13" s="244">
        <v>1.1120000000000001</v>
      </c>
      <c r="O13" s="244">
        <f>0.831</f>
        <v>0.83099999999999996</v>
      </c>
      <c r="P13" s="244">
        <f>0.663</f>
        <v>0.66300000000000003</v>
      </c>
      <c r="Q13" s="244">
        <v>0.441</v>
      </c>
      <c r="R13" s="244">
        <v>0.36</v>
      </c>
      <c r="S13" s="244">
        <v>1.022</v>
      </c>
      <c r="T13" s="244">
        <v>1.47</v>
      </c>
      <c r="U13" s="244">
        <v>1.3109999999999999</v>
      </c>
      <c r="V13" s="244">
        <v>1.371</v>
      </c>
      <c r="W13" s="244">
        <v>1.718</v>
      </c>
      <c r="X13" s="244">
        <v>1.639</v>
      </c>
      <c r="Y13" s="670">
        <v>2.2770000000000001</v>
      </c>
      <c r="Z13" s="171">
        <f t="shared" si="1"/>
        <v>38.926174496644308</v>
      </c>
      <c r="AA13" s="7" t="s">
        <v>49</v>
      </c>
    </row>
    <row r="14" spans="1:27" ht="12.75" customHeight="1">
      <c r="A14" s="5"/>
      <c r="B14" s="34" t="s">
        <v>42</v>
      </c>
      <c r="C14" s="241"/>
      <c r="D14" s="242">
        <v>64.042000000000002</v>
      </c>
      <c r="E14" s="242">
        <v>66.832999999999998</v>
      </c>
      <c r="F14" s="242">
        <v>56.069000000000003</v>
      </c>
      <c r="G14" s="242">
        <v>59.137</v>
      </c>
      <c r="H14" s="242">
        <v>72.022999999999996</v>
      </c>
      <c r="I14" s="242">
        <v>83.078000000000003</v>
      </c>
      <c r="J14" s="242">
        <v>88.48</v>
      </c>
      <c r="K14" s="242">
        <v>100.458</v>
      </c>
      <c r="L14" s="242">
        <v>100.11799999999999</v>
      </c>
      <c r="M14" s="242">
        <v>69.245999999999995</v>
      </c>
      <c r="N14" s="250">
        <v>61.530999999999999</v>
      </c>
      <c r="O14" s="242">
        <f>44.7</f>
        <v>44.7</v>
      </c>
      <c r="P14" s="242">
        <v>31.805</v>
      </c>
      <c r="Q14" s="242">
        <v>28.521999999999998</v>
      </c>
      <c r="R14" s="242">
        <v>30.951000000000001</v>
      </c>
      <c r="S14" s="242">
        <v>32.468000000000004</v>
      </c>
      <c r="T14" s="242">
        <v>38.631999999999998</v>
      </c>
      <c r="U14" s="242">
        <v>27.472999999999999</v>
      </c>
      <c r="V14" s="242">
        <v>32.575000000000003</v>
      </c>
      <c r="W14" s="242">
        <v>37.167999999999999</v>
      </c>
      <c r="X14" s="813">
        <v>34.58</v>
      </c>
      <c r="Y14" s="610">
        <v>43.329332844574779</v>
      </c>
      <c r="Z14" s="170">
        <f t="shared" si="1"/>
        <v>25.301714414617635</v>
      </c>
      <c r="AA14" s="34" t="s">
        <v>42</v>
      </c>
    </row>
    <row r="15" spans="1:27" ht="12.75" customHeight="1">
      <c r="A15" s="5"/>
      <c r="B15" s="7" t="s">
        <v>47</v>
      </c>
      <c r="C15" s="245"/>
      <c r="D15" s="244">
        <v>72.022000000000006</v>
      </c>
      <c r="E15" s="244">
        <v>64.129000000000005</v>
      </c>
      <c r="F15" s="244">
        <v>63.365000000000002</v>
      </c>
      <c r="G15" s="244">
        <v>77.438999999999993</v>
      </c>
      <c r="H15" s="244">
        <v>123.143</v>
      </c>
      <c r="I15" s="244">
        <v>205.626</v>
      </c>
      <c r="J15" s="244">
        <v>258.35500000000002</v>
      </c>
      <c r="K15" s="244">
        <v>269.47899999999998</v>
      </c>
      <c r="L15" s="244">
        <v>209.941</v>
      </c>
      <c r="M15" s="244">
        <v>134.63999999999999</v>
      </c>
      <c r="N15" s="244">
        <v>134.297</v>
      </c>
      <c r="O15" s="244">
        <f>119.438</f>
        <v>119.438</v>
      </c>
      <c r="P15" s="244">
        <v>97.944000000000003</v>
      </c>
      <c r="Q15" s="244">
        <v>92.409000000000006</v>
      </c>
      <c r="R15" s="244">
        <v>111.46299999999999</v>
      </c>
      <c r="S15" s="244">
        <v>132.53899999999999</v>
      </c>
      <c r="T15" s="244">
        <v>155.00399999999999</v>
      </c>
      <c r="U15" s="244">
        <v>136.18</v>
      </c>
      <c r="V15" s="244">
        <v>159.87200000000001</v>
      </c>
      <c r="W15" s="244">
        <v>177.03700000000001</v>
      </c>
      <c r="X15" s="244">
        <v>156.22300000000001</v>
      </c>
      <c r="Y15" s="670">
        <v>166.51599999999999</v>
      </c>
      <c r="Z15" s="171">
        <f t="shared" si="1"/>
        <v>6.5886585201922827</v>
      </c>
      <c r="AA15" s="7" t="s">
        <v>47</v>
      </c>
    </row>
    <row r="16" spans="1:27" ht="12.75" customHeight="1">
      <c r="A16" s="5"/>
      <c r="B16" s="34" t="s">
        <v>48</v>
      </c>
      <c r="C16" s="241"/>
      <c r="D16" s="242">
        <v>179.55199999999999</v>
      </c>
      <c r="E16" s="242">
        <v>179.59</v>
      </c>
      <c r="F16" s="242">
        <v>168.75399999999999</v>
      </c>
      <c r="G16" s="242">
        <v>176.006</v>
      </c>
      <c r="H16" s="242">
        <v>183.81100000000001</v>
      </c>
      <c r="I16" s="242">
        <v>196.61799999999999</v>
      </c>
      <c r="J16" s="242">
        <v>229.364</v>
      </c>
      <c r="K16" s="242">
        <v>238.96600000000001</v>
      </c>
      <c r="L16" s="242">
        <v>237.59200000000001</v>
      </c>
      <c r="M16" s="242">
        <v>200.017</v>
      </c>
      <c r="N16" s="250">
        <v>231.59299999999999</v>
      </c>
      <c r="O16" s="242">
        <f>185.122</f>
        <v>185.12200000000001</v>
      </c>
      <c r="P16" s="242">
        <v>169.64400000000001</v>
      </c>
      <c r="Q16" s="242">
        <v>147.91499999999999</v>
      </c>
      <c r="R16" s="242">
        <v>153.32400000000001</v>
      </c>
      <c r="S16" s="242">
        <v>153.24199999999999</v>
      </c>
      <c r="T16" s="242">
        <v>163.33500000000001</v>
      </c>
      <c r="U16" s="242">
        <v>162.80799999999999</v>
      </c>
      <c r="V16" s="242">
        <v>177.24700000000001</v>
      </c>
      <c r="W16" s="242">
        <v>197.47</v>
      </c>
      <c r="X16" s="242">
        <v>190.74199999999999</v>
      </c>
      <c r="Y16" s="262">
        <v>206.95500000000001</v>
      </c>
      <c r="Z16" s="170">
        <f t="shared" si="1"/>
        <v>8.499963301213171</v>
      </c>
      <c r="AA16" s="34" t="s">
        <v>48</v>
      </c>
    </row>
    <row r="17" spans="1:30" ht="12.75" customHeight="1">
      <c r="A17" s="5"/>
      <c r="B17" s="7" t="s">
        <v>59</v>
      </c>
      <c r="C17" s="245"/>
      <c r="D17" s="244"/>
      <c r="E17" s="244"/>
      <c r="F17" s="244">
        <v>4.4829999999999997</v>
      </c>
      <c r="G17" s="244">
        <v>6.875</v>
      </c>
      <c r="H17" s="244">
        <v>6.6619999999999999</v>
      </c>
      <c r="I17" s="244">
        <v>6.7220000000000004</v>
      </c>
      <c r="J17" s="244">
        <v>7.7750000000000004</v>
      </c>
      <c r="K17" s="244">
        <v>8.9740000000000002</v>
      </c>
      <c r="L17" s="244">
        <v>8.8109999999999999</v>
      </c>
      <c r="M17" s="244">
        <v>4.7169999999999996</v>
      </c>
      <c r="N17" s="244">
        <v>2.851</v>
      </c>
      <c r="O17" s="244">
        <v>2.726</v>
      </c>
      <c r="P17" s="244">
        <v>2.3969999999999998</v>
      </c>
      <c r="Q17" s="244">
        <v>2.028</v>
      </c>
      <c r="R17" s="244">
        <v>1.51</v>
      </c>
      <c r="S17" s="244">
        <v>1.5109999999999999</v>
      </c>
      <c r="T17" s="244">
        <v>1.8109999999999999</v>
      </c>
      <c r="U17" s="244">
        <v>2.2160000000000002</v>
      </c>
      <c r="V17" s="244">
        <v>2.7789999999999999</v>
      </c>
      <c r="W17" s="244">
        <v>3.2370000000000001</v>
      </c>
      <c r="X17" s="671">
        <v>2.69</v>
      </c>
      <c r="Y17" s="669">
        <v>0.97085077876402592</v>
      </c>
      <c r="Z17" s="171">
        <f t="shared" si="1"/>
        <v>-63.908892982749968</v>
      </c>
      <c r="AA17" s="7" t="s">
        <v>59</v>
      </c>
    </row>
    <row r="18" spans="1:30" ht="12.75" customHeight="1">
      <c r="A18" s="5"/>
      <c r="B18" s="107" t="s">
        <v>50</v>
      </c>
      <c r="C18" s="249"/>
      <c r="D18" s="250">
        <v>524.61900000000003</v>
      </c>
      <c r="E18" s="250">
        <v>420.35500000000002</v>
      </c>
      <c r="F18" s="250">
        <v>392.76299999999998</v>
      </c>
      <c r="G18" s="250">
        <v>408.61700000000002</v>
      </c>
      <c r="H18" s="250">
        <v>421.48899999999998</v>
      </c>
      <c r="I18" s="250">
        <v>420.47800000000001</v>
      </c>
      <c r="J18" s="250">
        <v>444.98700000000002</v>
      </c>
      <c r="K18" s="250">
        <v>435.959</v>
      </c>
      <c r="L18" s="250">
        <v>408.24900000000002</v>
      </c>
      <c r="M18" s="250">
        <v>445.62099999999998</v>
      </c>
      <c r="N18" s="250">
        <v>306.30700000000002</v>
      </c>
      <c r="O18" s="250">
        <f>254.906</f>
        <v>254.90600000000001</v>
      </c>
      <c r="P18" s="250">
        <f>206.303</f>
        <v>206.303</v>
      </c>
      <c r="Q18" s="250">
        <v>154.1</v>
      </c>
      <c r="R18" s="250">
        <v>156.53899999999999</v>
      </c>
      <c r="S18" s="250">
        <v>172.066</v>
      </c>
      <c r="T18" s="250">
        <v>195.405</v>
      </c>
      <c r="U18" s="250">
        <v>204.57900000000001</v>
      </c>
      <c r="V18" s="250">
        <v>219.744</v>
      </c>
      <c r="W18" s="250">
        <v>231.71199999999999</v>
      </c>
      <c r="X18" s="250">
        <v>218.09299999999999</v>
      </c>
      <c r="Y18" s="266">
        <v>269.60000000000002</v>
      </c>
      <c r="Z18" s="192">
        <f t="shared" si="1"/>
        <v>23.616989082639066</v>
      </c>
      <c r="AA18" s="107" t="s">
        <v>50</v>
      </c>
    </row>
    <row r="19" spans="1:30" ht="12.75" customHeight="1">
      <c r="A19" s="5"/>
      <c r="B19" s="7" t="s">
        <v>29</v>
      </c>
      <c r="C19" s="245" t="s">
        <v>64</v>
      </c>
      <c r="D19" s="244"/>
      <c r="E19" s="244">
        <v>2.8340000000000001</v>
      </c>
      <c r="F19" s="244">
        <v>2.145</v>
      </c>
      <c r="G19" s="244">
        <v>1.8240000000000001</v>
      </c>
      <c r="H19" s="244">
        <v>2.2730000000000001</v>
      </c>
      <c r="I19" s="244">
        <v>2.4550000000000001</v>
      </c>
      <c r="J19" s="244">
        <v>2.9249999999999998</v>
      </c>
      <c r="K19" s="244">
        <v>3.71</v>
      </c>
      <c r="L19" s="244">
        <v>4.4589999999999996</v>
      </c>
      <c r="M19" s="244">
        <v>3.14</v>
      </c>
      <c r="N19" s="244">
        <v>3.06</v>
      </c>
      <c r="O19" s="244">
        <f>2.527</f>
        <v>2.5270000000000001</v>
      </c>
      <c r="P19" s="244">
        <v>2.0739999999999998</v>
      </c>
      <c r="Q19" s="244">
        <v>1.675</v>
      </c>
      <c r="R19" s="244">
        <v>1.901</v>
      </c>
      <c r="S19" s="244">
        <v>1.673</v>
      </c>
      <c r="T19" s="244">
        <v>1.996</v>
      </c>
      <c r="U19" s="244">
        <v>2.0230000000000001</v>
      </c>
      <c r="V19" s="244">
        <v>2.3199999999999998</v>
      </c>
      <c r="W19" s="244">
        <v>1.9370000000000001</v>
      </c>
      <c r="X19" s="244">
        <v>2.5409999999999999</v>
      </c>
      <c r="Y19" s="670">
        <v>2.9390000000000001</v>
      </c>
      <c r="Z19" s="171">
        <f t="shared" si="1"/>
        <v>15.663124754033845</v>
      </c>
      <c r="AA19" s="7" t="s">
        <v>29</v>
      </c>
    </row>
    <row r="20" spans="1:30" ht="12.75" customHeight="1">
      <c r="A20" s="5"/>
      <c r="B20" s="107" t="s">
        <v>33</v>
      </c>
      <c r="C20" s="249" t="s">
        <v>64</v>
      </c>
      <c r="D20" s="250" t="s">
        <v>64</v>
      </c>
      <c r="E20" s="250" t="s">
        <v>64</v>
      </c>
      <c r="F20" s="250">
        <v>0.216</v>
      </c>
      <c r="G20" s="250">
        <v>0.221</v>
      </c>
      <c r="H20" s="250">
        <v>0.373</v>
      </c>
      <c r="I20" s="250">
        <v>0.4</v>
      </c>
      <c r="J20" s="250">
        <v>0.77300000000000002</v>
      </c>
      <c r="K20" s="250">
        <v>1.53</v>
      </c>
      <c r="L20" s="250">
        <v>1.5680000000000001</v>
      </c>
      <c r="M20" s="250">
        <v>0.34799999999999998</v>
      </c>
      <c r="N20" s="250">
        <v>0.27800000000000002</v>
      </c>
      <c r="O20" s="250">
        <f>0.472</f>
        <v>0.47199999999999998</v>
      </c>
      <c r="P20" s="250">
        <v>0.49399999999999999</v>
      </c>
      <c r="Q20" s="250">
        <v>0.47699999999999998</v>
      </c>
      <c r="R20" s="250">
        <v>0.58899999999999997</v>
      </c>
      <c r="S20" s="250">
        <v>0.59499999999999997</v>
      </c>
      <c r="T20" s="250">
        <v>0.64200000000000002</v>
      </c>
      <c r="U20" s="250">
        <v>0.624</v>
      </c>
      <c r="V20" s="250">
        <v>0.79100000000000004</v>
      </c>
      <c r="W20" s="250">
        <v>1.022</v>
      </c>
      <c r="X20" s="250">
        <v>1.0229999999999999</v>
      </c>
      <c r="Y20" s="266">
        <v>1.2250000000000001</v>
      </c>
      <c r="Z20" s="192">
        <f t="shared" si="1"/>
        <v>19.745845552297197</v>
      </c>
      <c r="AA20" s="107" t="s">
        <v>33</v>
      </c>
    </row>
    <row r="21" spans="1:30" ht="12.75" customHeight="1">
      <c r="A21" s="5"/>
      <c r="B21" s="7" t="s">
        <v>34</v>
      </c>
      <c r="C21" s="245" t="s">
        <v>64</v>
      </c>
      <c r="D21" s="244">
        <v>0.377</v>
      </c>
      <c r="E21" s="244">
        <v>0.51600000000000001</v>
      </c>
      <c r="F21" s="244">
        <v>0.79300000000000004</v>
      </c>
      <c r="G21" s="244">
        <v>0.85799999999999998</v>
      </c>
      <c r="H21" s="244">
        <v>1.101</v>
      </c>
      <c r="I21" s="244">
        <v>1.653</v>
      </c>
      <c r="J21" s="244">
        <v>2.4569999999999999</v>
      </c>
      <c r="K21" s="244">
        <v>4.42</v>
      </c>
      <c r="L21" s="244">
        <v>5.6219999999999999</v>
      </c>
      <c r="M21" s="244">
        <v>3.89</v>
      </c>
      <c r="N21" s="247">
        <f>0.229</f>
        <v>0.22900000000000001</v>
      </c>
      <c r="O21" s="244">
        <v>0.28000000000000003</v>
      </c>
      <c r="P21" s="244">
        <v>0.224</v>
      </c>
      <c r="Q21" s="244">
        <v>0.24099999999999999</v>
      </c>
      <c r="R21" s="244">
        <v>0.29399999999999998</v>
      </c>
      <c r="S21" s="244">
        <v>0.29399999999999998</v>
      </c>
      <c r="T21" s="244">
        <v>0.39</v>
      </c>
      <c r="U21" s="244">
        <v>0.36699999999999999</v>
      </c>
      <c r="V21" s="244">
        <v>0.41399999999999998</v>
      </c>
      <c r="W21" s="244">
        <v>0.55700000000000005</v>
      </c>
      <c r="X21" s="247">
        <v>0.7</v>
      </c>
      <c r="Y21" s="670">
        <v>1.105</v>
      </c>
      <c r="Z21" s="171">
        <f t="shared" si="1"/>
        <v>57.857142857142861</v>
      </c>
      <c r="AA21" s="7" t="s">
        <v>34</v>
      </c>
    </row>
    <row r="22" spans="1:30" ht="12.75" customHeight="1">
      <c r="A22" s="5"/>
      <c r="B22" s="107" t="s">
        <v>51</v>
      </c>
      <c r="C22" s="249">
        <v>0.98499999999999999</v>
      </c>
      <c r="D22" s="250">
        <v>1.26</v>
      </c>
      <c r="E22" s="250">
        <v>1.139</v>
      </c>
      <c r="F22" s="250">
        <v>1.3240000000000001</v>
      </c>
      <c r="G22" s="250">
        <v>1.4370000000000001</v>
      </c>
      <c r="H22" s="250">
        <v>1.3540000000000001</v>
      </c>
      <c r="I22" s="250">
        <v>1.2649999999999999</v>
      </c>
      <c r="J22" s="250">
        <v>1.3779999999999999</v>
      </c>
      <c r="K22" s="250">
        <v>1.417</v>
      </c>
      <c r="L22" s="250">
        <v>1.353</v>
      </c>
      <c r="M22" s="250">
        <v>1.5529999999999999</v>
      </c>
      <c r="N22" s="250">
        <v>1.5620000000000001</v>
      </c>
      <c r="O22" s="250">
        <f>1.306</f>
        <v>1.306</v>
      </c>
      <c r="P22" s="250">
        <v>1.2010000000000001</v>
      </c>
      <c r="Q22" s="250">
        <v>1.5660000000000001</v>
      </c>
      <c r="R22" s="250">
        <v>1.734</v>
      </c>
      <c r="S22" s="250">
        <v>1.6539999999999999</v>
      </c>
      <c r="T22" s="250">
        <v>1.7829999999999999</v>
      </c>
      <c r="U22" s="250">
        <v>1.8380000000000001</v>
      </c>
      <c r="V22" s="250">
        <v>2.0059999999999998</v>
      </c>
      <c r="W22" s="250">
        <v>2.13</v>
      </c>
      <c r="X22" s="250">
        <v>2.419</v>
      </c>
      <c r="Y22" s="266">
        <v>2.5619999999999998</v>
      </c>
      <c r="Z22" s="192">
        <f t="shared" si="1"/>
        <v>5.911533691608085</v>
      </c>
      <c r="AA22" s="107" t="s">
        <v>51</v>
      </c>
    </row>
    <row r="23" spans="1:30" ht="12.75" customHeight="1">
      <c r="A23" s="5"/>
      <c r="B23" s="7" t="s">
        <v>32</v>
      </c>
      <c r="C23" s="245" t="s">
        <v>64</v>
      </c>
      <c r="D23" s="244" t="s">
        <v>64</v>
      </c>
      <c r="E23" s="244" t="s">
        <v>64</v>
      </c>
      <c r="F23" s="244">
        <v>7.4379999999999997</v>
      </c>
      <c r="G23" s="244">
        <v>8.875</v>
      </c>
      <c r="H23" s="244">
        <v>16.152000000000001</v>
      </c>
      <c r="I23" s="244">
        <v>12.538</v>
      </c>
      <c r="J23" s="244">
        <v>12.048</v>
      </c>
      <c r="K23" s="244">
        <v>12.781000000000001</v>
      </c>
      <c r="L23" s="244">
        <v>12.285</v>
      </c>
      <c r="M23" s="244">
        <v>4.0270000000000001</v>
      </c>
      <c r="N23" s="244">
        <v>3.2109999999999999</v>
      </c>
      <c r="O23" s="244">
        <f>2.091</f>
        <v>2.0910000000000002</v>
      </c>
      <c r="P23" s="244">
        <f>1.957</f>
        <v>1.9570000000000001</v>
      </c>
      <c r="Q23" s="244">
        <v>1.9890000000000001</v>
      </c>
      <c r="R23" s="244">
        <v>1.8859999999999999</v>
      </c>
      <c r="S23" s="244">
        <v>2.093</v>
      </c>
      <c r="T23" s="244">
        <v>2.2040000000000002</v>
      </c>
      <c r="U23" s="244">
        <v>2.274</v>
      </c>
      <c r="V23" s="244">
        <v>3.0510000000000002</v>
      </c>
      <c r="W23" s="244">
        <v>4.0609999999999999</v>
      </c>
      <c r="X23" s="244">
        <v>4.3470000000000004</v>
      </c>
      <c r="Y23" s="670">
        <v>4.681</v>
      </c>
      <c r="Z23" s="171">
        <f t="shared" si="1"/>
        <v>7.6834598573728812</v>
      </c>
      <c r="AA23" s="7" t="s">
        <v>32</v>
      </c>
    </row>
    <row r="24" spans="1:30" ht="12.75" customHeight="1">
      <c r="A24" s="5"/>
      <c r="B24" s="107" t="s">
        <v>35</v>
      </c>
      <c r="C24" s="249" t="s">
        <v>64</v>
      </c>
      <c r="D24" s="250"/>
      <c r="E24" s="250"/>
      <c r="F24" s="250">
        <v>0.55100000000000005</v>
      </c>
      <c r="G24" s="250">
        <v>0.50800000000000001</v>
      </c>
      <c r="H24" s="250">
        <v>0.47299999999999998</v>
      </c>
      <c r="I24" s="250">
        <v>0.40799999999999997</v>
      </c>
      <c r="J24" s="250">
        <v>0.54400000000000004</v>
      </c>
      <c r="K24" s="250">
        <v>0.53200000000000003</v>
      </c>
      <c r="L24" s="250">
        <v>0.69899999999999995</v>
      </c>
      <c r="M24" s="250">
        <v>0.60799999999999998</v>
      </c>
      <c r="N24" s="250">
        <v>0.56799999999999995</v>
      </c>
      <c r="O24" s="250">
        <f>0.746</f>
        <v>0.746</v>
      </c>
      <c r="P24" s="250">
        <v>0.81200000000000006</v>
      </c>
      <c r="Q24" s="250">
        <v>0.873</v>
      </c>
      <c r="R24" s="250">
        <v>1.099</v>
      </c>
      <c r="S24" s="250">
        <v>1.2969999999999999</v>
      </c>
      <c r="T24" s="250">
        <v>2.4700000000000002</v>
      </c>
      <c r="U24" s="250">
        <v>2.2160000000000002</v>
      </c>
      <c r="V24" s="250">
        <v>2.516</v>
      </c>
      <c r="W24" s="250">
        <v>3.1259999999999999</v>
      </c>
      <c r="X24" s="250">
        <v>2.3730000000000002</v>
      </c>
      <c r="Y24" s="266">
        <v>4.2110000000000003</v>
      </c>
      <c r="Z24" s="192">
        <f t="shared" si="1"/>
        <v>77.454698693636743</v>
      </c>
      <c r="AA24" s="107" t="s">
        <v>35</v>
      </c>
    </row>
    <row r="25" spans="1:30" ht="12.75" customHeight="1">
      <c r="A25" s="5"/>
      <c r="B25" s="7" t="s">
        <v>43</v>
      </c>
      <c r="C25" s="245">
        <v>17.798999999999999</v>
      </c>
      <c r="D25" s="244">
        <v>19.626000000000001</v>
      </c>
      <c r="E25" s="244">
        <v>17.562000000000001</v>
      </c>
      <c r="F25" s="244">
        <v>16.844999999999999</v>
      </c>
      <c r="G25" s="244">
        <v>16.736999999999998</v>
      </c>
      <c r="H25" s="244">
        <v>17.565999999999999</v>
      </c>
      <c r="I25" s="244">
        <v>16.814</v>
      </c>
      <c r="J25" s="244">
        <v>14.79</v>
      </c>
      <c r="K25" s="244">
        <v>16.236999999999998</v>
      </c>
      <c r="L25" s="244">
        <v>16.960999999999999</v>
      </c>
      <c r="M25" s="244">
        <v>18.277999999999999</v>
      </c>
      <c r="N25" s="244">
        <v>15.24</v>
      </c>
      <c r="O25" s="244">
        <f>11.662</f>
        <v>11.662000000000001</v>
      </c>
      <c r="P25" s="244">
        <f>10.617</f>
        <v>10.617000000000001</v>
      </c>
      <c r="Q25" s="244">
        <v>9.57</v>
      </c>
      <c r="R25" s="244">
        <v>10.667</v>
      </c>
      <c r="S25" s="244">
        <v>11.673</v>
      </c>
      <c r="T25" s="244">
        <v>12.855</v>
      </c>
      <c r="U25" s="244">
        <v>13.057</v>
      </c>
      <c r="V25" s="244">
        <v>13.474</v>
      </c>
      <c r="W25" s="244">
        <v>14.378</v>
      </c>
      <c r="X25" s="244">
        <v>14.86</v>
      </c>
      <c r="Y25" s="670">
        <v>16.143999999999998</v>
      </c>
      <c r="Z25" s="171">
        <f t="shared" si="1"/>
        <v>8.6406460296096839</v>
      </c>
      <c r="AA25" s="7" t="s">
        <v>43</v>
      </c>
    </row>
    <row r="26" spans="1:30" ht="12.75" customHeight="1">
      <c r="A26" s="5"/>
      <c r="B26" s="107" t="s">
        <v>52</v>
      </c>
      <c r="C26" s="249">
        <v>18.704000000000001</v>
      </c>
      <c r="D26" s="250">
        <v>23.774999999999999</v>
      </c>
      <c r="E26" s="250">
        <v>19.952000000000002</v>
      </c>
      <c r="F26" s="250">
        <v>16.687000000000001</v>
      </c>
      <c r="G26" s="250">
        <v>17.93</v>
      </c>
      <c r="H26" s="250">
        <v>18.748000000000001</v>
      </c>
      <c r="I26" s="250">
        <v>19.094000000000001</v>
      </c>
      <c r="J26" s="250">
        <v>18.873000000000001</v>
      </c>
      <c r="K26" s="250">
        <v>23.748000000000001</v>
      </c>
      <c r="L26" s="250">
        <v>24.48</v>
      </c>
      <c r="M26" s="250">
        <v>23.712</v>
      </c>
      <c r="N26" s="250">
        <v>21.44</v>
      </c>
      <c r="O26" s="250">
        <f>22.75</f>
        <v>22.75</v>
      </c>
      <c r="P26" s="250">
        <f>24.808</f>
        <v>24.808</v>
      </c>
      <c r="Q26" s="250">
        <v>25.995999999999999</v>
      </c>
      <c r="R26" s="250">
        <v>25.155000000000001</v>
      </c>
      <c r="S26" s="250">
        <v>24.890999999999998</v>
      </c>
      <c r="T26" s="250">
        <v>29.763000000000002</v>
      </c>
      <c r="U26" s="250">
        <v>24.893000000000001</v>
      </c>
      <c r="V26" s="250">
        <v>25.954999999999998</v>
      </c>
      <c r="W26" s="250">
        <v>27.988</v>
      </c>
      <c r="X26" s="250">
        <v>32.527000000000001</v>
      </c>
      <c r="Y26" s="811">
        <v>33.033150845891797</v>
      </c>
      <c r="Z26" s="192">
        <f t="shared" si="1"/>
        <v>1.5560944627287938</v>
      </c>
      <c r="AA26" s="107" t="s">
        <v>52</v>
      </c>
    </row>
    <row r="27" spans="1:30" ht="12.75" customHeight="1">
      <c r="A27" s="5"/>
      <c r="B27" s="7" t="s">
        <v>36</v>
      </c>
      <c r="C27" s="245" t="s">
        <v>64</v>
      </c>
      <c r="D27" s="244" t="s">
        <v>64</v>
      </c>
      <c r="E27" s="244" t="s">
        <v>64</v>
      </c>
      <c r="F27" s="244"/>
      <c r="G27" s="244">
        <v>1.3</v>
      </c>
      <c r="H27" s="244">
        <v>1.95</v>
      </c>
      <c r="I27" s="244">
        <v>3.8410000000000002</v>
      </c>
      <c r="J27" s="244">
        <v>5.1150000000000002</v>
      </c>
      <c r="K27" s="244">
        <v>7.5739999999999998</v>
      </c>
      <c r="L27" s="244">
        <v>10.696</v>
      </c>
      <c r="M27" s="244">
        <v>9.43</v>
      </c>
      <c r="N27" s="244">
        <v>8.7240000000000002</v>
      </c>
      <c r="O27" s="244">
        <f>8.957</f>
        <v>8.9570000000000007</v>
      </c>
      <c r="P27" s="244">
        <f>7.758</f>
        <v>7.758</v>
      </c>
      <c r="Q27" s="244">
        <v>7.3940000000000001</v>
      </c>
      <c r="R27" s="244">
        <v>9.8480000000000008</v>
      </c>
      <c r="S27" s="244">
        <v>23.864999999999998</v>
      </c>
      <c r="T27" s="244">
        <v>25.823</v>
      </c>
      <c r="U27" s="244">
        <v>15.025</v>
      </c>
      <c r="V27" s="244">
        <v>14.55</v>
      </c>
      <c r="W27" s="244">
        <v>19.2</v>
      </c>
      <c r="X27" s="244">
        <v>21.815000000000001</v>
      </c>
      <c r="Y27" s="669">
        <v>21.780768226453034</v>
      </c>
      <c r="Z27" s="171">
        <f t="shared" si="1"/>
        <v>-0.15691851270671009</v>
      </c>
      <c r="AA27" s="7" t="s">
        <v>36</v>
      </c>
    </row>
    <row r="28" spans="1:30" ht="12.75" customHeight="1">
      <c r="A28" s="5"/>
      <c r="B28" s="107" t="s">
        <v>53</v>
      </c>
      <c r="C28" s="249">
        <v>12.058999999999999</v>
      </c>
      <c r="D28" s="250">
        <v>17.716000000000001</v>
      </c>
      <c r="E28" s="250">
        <v>17.087</v>
      </c>
      <c r="F28" s="250">
        <v>14.218</v>
      </c>
      <c r="G28" s="250">
        <v>11.198</v>
      </c>
      <c r="H28" s="250">
        <v>11.561999999999999</v>
      </c>
      <c r="I28" s="250">
        <v>11.231999999999999</v>
      </c>
      <c r="J28" s="250">
        <v>11.435</v>
      </c>
      <c r="K28" s="250">
        <v>11.991</v>
      </c>
      <c r="L28" s="250">
        <v>10.762</v>
      </c>
      <c r="M28" s="250">
        <v>13.475</v>
      </c>
      <c r="N28" s="250">
        <v>18.896000000000001</v>
      </c>
      <c r="O28" s="250">
        <f>18.937</f>
        <v>18.937000000000001</v>
      </c>
      <c r="P28" s="250">
        <v>17.18</v>
      </c>
      <c r="Q28" s="250">
        <v>14.593999999999999</v>
      </c>
      <c r="R28" s="250">
        <v>15.423999999999999</v>
      </c>
      <c r="S28" s="250">
        <v>17.611000000000001</v>
      </c>
      <c r="T28" s="250">
        <v>19.760000000000002</v>
      </c>
      <c r="U28" s="250">
        <v>24.809000000000001</v>
      </c>
      <c r="V28" s="250">
        <v>28.326000000000001</v>
      </c>
      <c r="W28" s="250">
        <v>29.856999999999999</v>
      </c>
      <c r="X28" s="250">
        <v>28.960999999999999</v>
      </c>
      <c r="Y28" s="266">
        <v>34.005000000000003</v>
      </c>
      <c r="Z28" s="192">
        <f t="shared" si="1"/>
        <v>17.416525672456089</v>
      </c>
      <c r="AA28" s="107" t="s">
        <v>53</v>
      </c>
    </row>
    <row r="29" spans="1:30" ht="12.75" customHeight="1">
      <c r="A29" s="5"/>
      <c r="B29" s="7" t="s">
        <v>37</v>
      </c>
      <c r="C29" s="245"/>
      <c r="D29" s="244"/>
      <c r="E29" s="244"/>
      <c r="F29" s="244"/>
      <c r="G29" s="244">
        <v>0.61599999999999999</v>
      </c>
      <c r="H29" s="244">
        <v>0.83299999999999996</v>
      </c>
      <c r="I29" s="244">
        <v>0.82799999999999996</v>
      </c>
      <c r="J29" s="244">
        <v>5.0830000000000002</v>
      </c>
      <c r="K29" s="244">
        <v>4.7789999999999999</v>
      </c>
      <c r="L29" s="244">
        <v>6.9610000000000003</v>
      </c>
      <c r="M29" s="244">
        <v>8.64</v>
      </c>
      <c r="N29" s="247">
        <f>1633/1000</f>
        <v>1.633</v>
      </c>
      <c r="O29" s="244">
        <f>1314/1000</f>
        <v>1.3140000000000001</v>
      </c>
      <c r="P29" s="247">
        <f>1212/1000</f>
        <v>1.212</v>
      </c>
      <c r="Q29" s="244">
        <f>(1229-106)/1000</f>
        <v>1.123</v>
      </c>
      <c r="R29" s="244">
        <f>(1229-27)/1000</f>
        <v>1.202</v>
      </c>
      <c r="S29" s="244">
        <f>(1358-27)/1000</f>
        <v>1.331</v>
      </c>
      <c r="T29" s="244">
        <v>1.9570000000000001</v>
      </c>
      <c r="U29" s="244">
        <v>2.1070000000000002</v>
      </c>
      <c r="V29" s="244">
        <v>2.6920000000000002</v>
      </c>
      <c r="W29" s="244">
        <v>3.9079999999999999</v>
      </c>
      <c r="X29" s="244">
        <v>5.8</v>
      </c>
      <c r="Y29" s="670">
        <v>6.22</v>
      </c>
      <c r="Z29" s="171">
        <f t="shared" si="1"/>
        <v>7.2413793103448256</v>
      </c>
      <c r="AA29" s="7" t="s">
        <v>37</v>
      </c>
    </row>
    <row r="30" spans="1:30" ht="12.75" customHeight="1">
      <c r="A30" s="5"/>
      <c r="B30" s="107" t="s">
        <v>39</v>
      </c>
      <c r="C30" s="249" t="s">
        <v>64</v>
      </c>
      <c r="D30" s="250">
        <v>1.23</v>
      </c>
      <c r="E30" s="250">
        <v>0.96499999999999997</v>
      </c>
      <c r="F30" s="250">
        <v>1.159</v>
      </c>
      <c r="G30" s="250">
        <v>1.466</v>
      </c>
      <c r="H30" s="250">
        <v>2.0720000000000001</v>
      </c>
      <c r="I30" s="250">
        <v>2.5350000000000001</v>
      </c>
      <c r="J30" s="250">
        <v>3.5979999999999999</v>
      </c>
      <c r="K30" s="250">
        <v>5.0609999999999999</v>
      </c>
      <c r="L30" s="250">
        <v>5.2960000000000003</v>
      </c>
      <c r="M30" s="250">
        <v>3.7949999999999999</v>
      </c>
      <c r="N30" s="250">
        <f>2.658</f>
        <v>2.6579999999999999</v>
      </c>
      <c r="O30" s="250">
        <v>2.1389999999999998</v>
      </c>
      <c r="P30" s="250">
        <v>2.0419999999999998</v>
      </c>
      <c r="Q30" s="250">
        <v>2.38</v>
      </c>
      <c r="R30" s="250">
        <v>1.7070000000000001</v>
      </c>
      <c r="S30" s="250">
        <v>1.855</v>
      </c>
      <c r="T30" s="250">
        <v>2.0739999999999998</v>
      </c>
      <c r="U30" s="250">
        <v>2.2690000000000001</v>
      </c>
      <c r="V30" s="250">
        <v>2.347</v>
      </c>
      <c r="W30" s="250">
        <v>2.3330000000000002</v>
      </c>
      <c r="X30" s="250">
        <v>2.0390000000000001</v>
      </c>
      <c r="Y30" s="266">
        <v>1.2E-2</v>
      </c>
      <c r="Z30" s="192">
        <f t="shared" si="1"/>
        <v>-99.411476213830312</v>
      </c>
      <c r="AA30" s="107" t="s">
        <v>39</v>
      </c>
    </row>
    <row r="31" spans="1:30" ht="12.75" customHeight="1">
      <c r="A31" s="5"/>
      <c r="B31" s="7" t="s">
        <v>38</v>
      </c>
      <c r="C31" s="245" t="s">
        <v>64</v>
      </c>
      <c r="D31" s="244" t="s">
        <v>64</v>
      </c>
      <c r="E31" s="244" t="s">
        <v>64</v>
      </c>
      <c r="F31" s="244"/>
      <c r="G31" s="244"/>
      <c r="H31" s="244">
        <v>1.165</v>
      </c>
      <c r="I31" s="244">
        <v>1.165</v>
      </c>
      <c r="J31" s="244">
        <v>2.1219999999999999</v>
      </c>
      <c r="K31" s="244">
        <v>3.1440000000000001</v>
      </c>
      <c r="L31" s="244">
        <v>3.1389999999999998</v>
      </c>
      <c r="M31" s="244">
        <v>2.331</v>
      </c>
      <c r="N31" s="244">
        <f>2.324</f>
        <v>2.3239999999999998</v>
      </c>
      <c r="O31" s="244">
        <f>1.96</f>
        <v>1.96</v>
      </c>
      <c r="P31" s="244">
        <f>1.92</f>
        <v>1.92</v>
      </c>
      <c r="Q31" s="244">
        <v>2.84</v>
      </c>
      <c r="R31" s="671">
        <f>Q31*80791/74101</f>
        <v>3.0964013980917935</v>
      </c>
      <c r="S31" s="244">
        <v>5.3090000000000002</v>
      </c>
      <c r="T31" s="244">
        <v>5.5650000000000004</v>
      </c>
      <c r="U31" s="244">
        <v>4.923</v>
      </c>
      <c r="V31" s="244">
        <v>5.28</v>
      </c>
      <c r="W31" s="244">
        <v>5.7450000000000001</v>
      </c>
      <c r="X31" s="244">
        <v>5.2110000000000003</v>
      </c>
      <c r="Y31" s="670">
        <v>5.9589999999999996</v>
      </c>
      <c r="Z31" s="171">
        <f t="shared" si="1"/>
        <v>14.354250623680656</v>
      </c>
      <c r="AA31" s="7" t="s">
        <v>38</v>
      </c>
      <c r="AD31" s="58" t="s">
        <v>354</v>
      </c>
    </row>
    <row r="32" spans="1:30" ht="12.75" customHeight="1">
      <c r="A32" s="5"/>
      <c r="B32" s="107" t="s">
        <v>54</v>
      </c>
      <c r="C32" s="249"/>
      <c r="D32" s="250">
        <v>5.1669999999999998</v>
      </c>
      <c r="E32" s="250">
        <v>4.4080000000000004</v>
      </c>
      <c r="F32" s="250">
        <v>4.92</v>
      </c>
      <c r="G32" s="250">
        <v>6.2640000000000002</v>
      </c>
      <c r="H32" s="250">
        <v>7.835</v>
      </c>
      <c r="I32" s="250">
        <v>9.2279999999999998</v>
      </c>
      <c r="J32" s="250">
        <v>11.058</v>
      </c>
      <c r="K32" s="250">
        <v>11.532999999999999</v>
      </c>
      <c r="L32" s="250">
        <v>9.0649999999999995</v>
      </c>
      <c r="M32" s="250">
        <v>8.8420000000000005</v>
      </c>
      <c r="N32" s="250">
        <f>9.478</f>
        <v>9.4779999999999998</v>
      </c>
      <c r="O32" s="250">
        <f>5.677</f>
        <v>5.6769999999999996</v>
      </c>
      <c r="P32" s="250">
        <f>4.986</f>
        <v>4.9859999999999998</v>
      </c>
      <c r="Q32" s="250">
        <v>3.9430000000000001</v>
      </c>
      <c r="R32" s="250">
        <v>3.4670000000000001</v>
      </c>
      <c r="S32" s="250">
        <v>3.157</v>
      </c>
      <c r="T32" s="250">
        <v>3.0219999999999998</v>
      </c>
      <c r="U32" s="250">
        <v>2.8290000000000002</v>
      </c>
      <c r="V32" s="250">
        <v>3.2029999999999998</v>
      </c>
      <c r="W32" s="250">
        <v>3.323</v>
      </c>
      <c r="X32" s="250">
        <v>3.7170000000000001</v>
      </c>
      <c r="Y32" s="266">
        <v>3.7090000000000001</v>
      </c>
      <c r="Z32" s="192">
        <f t="shared" si="1"/>
        <v>-0.21522733387141102</v>
      </c>
      <c r="AA32" s="107" t="s">
        <v>54</v>
      </c>
    </row>
    <row r="33" spans="1:27" ht="12.75" customHeight="1">
      <c r="A33" s="5"/>
      <c r="B33" s="8" t="s">
        <v>55</v>
      </c>
      <c r="C33" s="257"/>
      <c r="D33" s="258">
        <v>18.401</v>
      </c>
      <c r="E33" s="258">
        <v>21.074000000000002</v>
      </c>
      <c r="F33" s="258">
        <v>23.052</v>
      </c>
      <c r="G33" s="258">
        <v>23.66</v>
      </c>
      <c r="H33" s="258">
        <v>25.3</v>
      </c>
      <c r="I33" s="258">
        <v>22.763000000000002</v>
      </c>
      <c r="J33" s="258">
        <v>27.050999999999998</v>
      </c>
      <c r="K33" s="258">
        <v>30.715</v>
      </c>
      <c r="L33" s="258">
        <v>20.422999999999998</v>
      </c>
      <c r="M33" s="258">
        <v>11.839</v>
      </c>
      <c r="N33" s="258">
        <v>14.811</v>
      </c>
      <c r="O33" s="672">
        <v>14.702</v>
      </c>
      <c r="P33" s="258">
        <v>13.689</v>
      </c>
      <c r="Q33" s="258">
        <v>12.99</v>
      </c>
      <c r="R33" s="258">
        <v>12.875999999999999</v>
      </c>
      <c r="S33" s="258">
        <v>14.391999999999999</v>
      </c>
      <c r="T33" s="258">
        <v>19.841999999999999</v>
      </c>
      <c r="U33" s="258">
        <v>11.99</v>
      </c>
      <c r="V33" s="258">
        <v>12.669</v>
      </c>
      <c r="W33" s="258">
        <v>12.772</v>
      </c>
      <c r="X33" s="258">
        <v>14.41</v>
      </c>
      <c r="Y33" s="270">
        <v>11.954000000000001</v>
      </c>
      <c r="Z33" s="174">
        <f t="shared" si="1"/>
        <v>-17.043719639139482</v>
      </c>
      <c r="AA33" s="8" t="s">
        <v>55</v>
      </c>
    </row>
    <row r="34" spans="1:27" ht="12.75" customHeight="1">
      <c r="A34" s="5"/>
      <c r="B34" s="107" t="s">
        <v>26</v>
      </c>
      <c r="C34" s="249"/>
      <c r="D34" s="250">
        <v>0.214</v>
      </c>
      <c r="E34" s="250">
        <v>0.19700000000000001</v>
      </c>
      <c r="F34" s="250">
        <v>0.13800000000000001</v>
      </c>
      <c r="G34" s="250">
        <v>0.22500000000000001</v>
      </c>
      <c r="H34" s="250">
        <v>0.377</v>
      </c>
      <c r="I34" s="250">
        <v>1.08</v>
      </c>
      <c r="J34" s="250"/>
      <c r="K34" s="250"/>
      <c r="L34" s="250"/>
      <c r="M34" s="250"/>
      <c r="N34" s="250"/>
      <c r="O34" s="259"/>
      <c r="P34" s="259"/>
      <c r="Q34" s="250"/>
      <c r="R34" s="250"/>
      <c r="S34" s="250"/>
      <c r="T34" s="250"/>
      <c r="U34" s="250">
        <v>0.28499999999999998</v>
      </c>
      <c r="V34" s="250">
        <v>0.314</v>
      </c>
      <c r="W34" s="259">
        <v>0.22700000000000001</v>
      </c>
      <c r="X34" s="250">
        <v>0.224</v>
      </c>
      <c r="Y34" s="266">
        <v>0.219</v>
      </c>
      <c r="Z34" s="192">
        <f t="shared" si="1"/>
        <v>-2.2321428571428612</v>
      </c>
      <c r="AA34" s="107" t="s">
        <v>26</v>
      </c>
    </row>
    <row r="35" spans="1:27" ht="12.75" customHeight="1">
      <c r="A35" s="5"/>
      <c r="B35" s="7" t="s">
        <v>56</v>
      </c>
      <c r="C35" s="245"/>
      <c r="D35" s="244"/>
      <c r="E35" s="244"/>
      <c r="F35" s="244">
        <v>6.0620000000000003</v>
      </c>
      <c r="G35" s="244">
        <v>5.4939999999999998</v>
      </c>
      <c r="H35" s="244">
        <v>5.609</v>
      </c>
      <c r="I35" s="244">
        <v>6.2169999999999996</v>
      </c>
      <c r="J35" s="244">
        <v>7.7640000000000002</v>
      </c>
      <c r="K35" s="244">
        <v>9.5909999999999993</v>
      </c>
      <c r="L35" s="244">
        <v>10.137</v>
      </c>
      <c r="M35" s="244">
        <v>7.6159999999999997</v>
      </c>
      <c r="N35" s="244">
        <v>6.98</v>
      </c>
      <c r="O35" s="244">
        <v>6.548</v>
      </c>
      <c r="P35" s="244">
        <v>6.5919999999999996</v>
      </c>
      <c r="Q35" s="244">
        <v>6.5270000000000001</v>
      </c>
      <c r="R35" s="244">
        <v>6.7770000000000001</v>
      </c>
      <c r="S35" s="244">
        <v>6.8319999999999999</v>
      </c>
      <c r="T35" s="244">
        <v>8.9339999999999993</v>
      </c>
      <c r="U35" s="244">
        <v>10.186999999999999</v>
      </c>
      <c r="V35" s="244">
        <v>11.286</v>
      </c>
      <c r="W35" s="244">
        <v>10.483000000000001</v>
      </c>
      <c r="X35" s="244">
        <v>11.443</v>
      </c>
      <c r="Y35" s="670">
        <v>11.815</v>
      </c>
      <c r="Z35" s="171">
        <f t="shared" si="1"/>
        <v>3.2508957441230564</v>
      </c>
      <c r="AA35" s="7" t="s">
        <v>56</v>
      </c>
    </row>
    <row r="36" spans="1:27" ht="12.75" customHeight="1">
      <c r="A36" s="5"/>
      <c r="B36" s="108" t="s">
        <v>27</v>
      </c>
      <c r="C36" s="254"/>
      <c r="D36" s="255">
        <v>30.585000000000001</v>
      </c>
      <c r="E36" s="255">
        <v>29.52</v>
      </c>
      <c r="F36" s="255">
        <v>27.491</v>
      </c>
      <c r="G36" s="255">
        <v>40.627000000000002</v>
      </c>
      <c r="H36" s="255">
        <v>42.521999999999998</v>
      </c>
      <c r="I36" s="255">
        <v>40.238</v>
      </c>
      <c r="J36" s="255">
        <v>40.665999999999997</v>
      </c>
      <c r="K36" s="255">
        <v>43.140999999999998</v>
      </c>
      <c r="L36" s="255">
        <v>43.779000000000003</v>
      </c>
      <c r="M36" s="255">
        <v>40.402999999999999</v>
      </c>
      <c r="N36" s="255">
        <v>38.235999999999997</v>
      </c>
      <c r="O36" s="255">
        <v>42.933</v>
      </c>
      <c r="P36" s="255">
        <v>44.545000000000002</v>
      </c>
      <c r="Q36" s="255">
        <v>42.804000000000002</v>
      </c>
      <c r="R36" s="255">
        <v>43.564999999999998</v>
      </c>
      <c r="S36" s="255">
        <v>47.661000000000001</v>
      </c>
      <c r="T36" s="255">
        <v>44.662999999999997</v>
      </c>
      <c r="U36" s="255">
        <v>44.375999999999998</v>
      </c>
      <c r="V36" s="255">
        <v>40.82</v>
      </c>
      <c r="W36" s="255">
        <v>39.152999999999999</v>
      </c>
      <c r="X36" s="255">
        <v>46.158000000000001</v>
      </c>
      <c r="Y36" s="268">
        <v>52.783999999999999</v>
      </c>
      <c r="Z36" s="569">
        <f t="shared" si="1"/>
        <v>14.355041379609162</v>
      </c>
      <c r="AA36" s="108" t="s">
        <v>27</v>
      </c>
    </row>
    <row r="37" spans="1:27" ht="12.75" customHeight="1">
      <c r="A37" s="5"/>
      <c r="B37" s="7" t="s">
        <v>312</v>
      </c>
      <c r="C37" s="245"/>
      <c r="D37" s="244"/>
      <c r="E37" s="244"/>
      <c r="F37" s="244"/>
      <c r="G37" s="244"/>
      <c r="H37" s="244"/>
      <c r="I37" s="244"/>
      <c r="J37" s="244"/>
      <c r="K37" s="244"/>
      <c r="L37" s="244"/>
      <c r="M37" s="244"/>
      <c r="N37" s="244"/>
      <c r="O37" s="244"/>
      <c r="P37" s="244"/>
      <c r="Q37" s="244"/>
      <c r="R37" s="244"/>
      <c r="S37" s="244"/>
      <c r="T37" s="244">
        <v>0.93300000000000005</v>
      </c>
      <c r="U37" s="244">
        <v>1.3109999999999999</v>
      </c>
      <c r="V37" s="244">
        <v>1.381</v>
      </c>
      <c r="W37" s="244">
        <v>0.372</v>
      </c>
      <c r="X37" s="244">
        <v>0.42499999999999999</v>
      </c>
      <c r="Y37" s="670">
        <v>0.66800000000000004</v>
      </c>
      <c r="Z37" s="171">
        <f t="shared" si="1"/>
        <v>57.176470588235304</v>
      </c>
      <c r="AA37" s="7" t="s">
        <v>312</v>
      </c>
    </row>
    <row r="38" spans="1:27" ht="12.75" customHeight="1">
      <c r="A38" s="5"/>
      <c r="B38" s="107" t="s">
        <v>139</v>
      </c>
      <c r="C38" s="249"/>
      <c r="D38" s="250"/>
      <c r="E38" s="250"/>
      <c r="F38" s="250"/>
      <c r="G38" s="250"/>
      <c r="H38" s="250"/>
      <c r="I38" s="250"/>
      <c r="J38" s="250"/>
      <c r="K38" s="250"/>
      <c r="L38" s="250"/>
      <c r="M38" s="250"/>
      <c r="N38" s="250"/>
      <c r="O38" s="250">
        <v>0.77100000000000002</v>
      </c>
      <c r="P38" s="250">
        <v>0.78700000000000003</v>
      </c>
      <c r="Q38" s="250">
        <f>0.06+0.265+0.185+0.052</f>
        <v>0.56200000000000006</v>
      </c>
      <c r="R38" s="250">
        <f>0.562</f>
        <v>0.56200000000000006</v>
      </c>
      <c r="S38" s="250">
        <v>0.71399999999999997</v>
      </c>
      <c r="T38" s="250">
        <v>0.66400000000000003</v>
      </c>
      <c r="U38" s="250">
        <v>0.66400000000000003</v>
      </c>
      <c r="V38" s="250">
        <v>0.878</v>
      </c>
      <c r="W38" s="250">
        <v>1.06</v>
      </c>
      <c r="X38" s="250">
        <v>0.75</v>
      </c>
      <c r="Y38" s="266">
        <v>1.286</v>
      </c>
      <c r="Z38" s="192">
        <f t="shared" si="1"/>
        <v>71.466666666666669</v>
      </c>
      <c r="AA38" s="107" t="s">
        <v>139</v>
      </c>
    </row>
    <row r="39" spans="1:27" ht="12.75" customHeight="1">
      <c r="A39" s="5"/>
      <c r="B39" s="7" t="s">
        <v>314</v>
      </c>
      <c r="C39" s="244"/>
      <c r="D39" s="244"/>
      <c r="E39" s="244"/>
      <c r="F39" s="244"/>
      <c r="G39" s="244"/>
      <c r="H39" s="244"/>
      <c r="I39" s="244"/>
      <c r="J39" s="244"/>
      <c r="K39" s="244"/>
      <c r="L39" s="244"/>
      <c r="M39" s="244"/>
      <c r="N39" s="244"/>
      <c r="O39" s="244"/>
      <c r="P39" s="244"/>
      <c r="Q39" s="244"/>
      <c r="R39" s="244"/>
      <c r="S39" s="244"/>
      <c r="T39" s="244"/>
      <c r="U39" s="244"/>
      <c r="V39" s="244"/>
      <c r="W39" s="244"/>
      <c r="X39" s="244"/>
      <c r="Y39" s="670"/>
      <c r="Z39" s="171"/>
      <c r="AA39" s="7" t="s">
        <v>314</v>
      </c>
    </row>
    <row r="40" spans="1:27" ht="12.75" customHeight="1">
      <c r="A40" s="5"/>
      <c r="B40" s="107" t="s">
        <v>0</v>
      </c>
      <c r="C40" s="250">
        <v>1.0169999999999999</v>
      </c>
      <c r="D40" s="250">
        <v>0.46899999999999997</v>
      </c>
      <c r="E40" s="250">
        <v>0.29699999999999999</v>
      </c>
      <c r="F40" s="250"/>
      <c r="G40" s="250"/>
      <c r="H40" s="250"/>
      <c r="I40" s="250">
        <v>7.9000000000000001E-2</v>
      </c>
      <c r="J40" s="250">
        <v>2.4470000000000001</v>
      </c>
      <c r="K40" s="251">
        <v>3.1760000000000002</v>
      </c>
      <c r="L40" s="252">
        <v>6.4290000000000003</v>
      </c>
      <c r="M40" s="250">
        <v>4.7619999999999996</v>
      </c>
      <c r="N40" s="250">
        <v>3.15</v>
      </c>
      <c r="O40" s="250">
        <v>3.633</v>
      </c>
      <c r="P40" s="250">
        <v>3.3929999999999998</v>
      </c>
      <c r="Q40" s="250">
        <v>2.786</v>
      </c>
      <c r="R40" s="250">
        <v>2.5539999999999998</v>
      </c>
      <c r="S40" s="250">
        <v>2.391</v>
      </c>
      <c r="T40" s="250">
        <v>3.516</v>
      </c>
      <c r="U40" s="250">
        <v>5.6580000000000004</v>
      </c>
      <c r="V40" s="250">
        <v>3.0369999999999999</v>
      </c>
      <c r="W40" s="250">
        <v>3.1520000000000001</v>
      </c>
      <c r="X40" s="250">
        <v>4.0999999999999996</v>
      </c>
      <c r="Y40" s="266">
        <v>4.7190000000000003</v>
      </c>
      <c r="Z40" s="192">
        <f t="shared" si="1"/>
        <v>15.097560975609767</v>
      </c>
      <c r="AA40" s="107" t="s">
        <v>0</v>
      </c>
    </row>
    <row r="41" spans="1:27" ht="12.75" customHeight="1">
      <c r="A41" s="5"/>
      <c r="B41" s="7" t="s">
        <v>144</v>
      </c>
      <c r="C41" s="245"/>
      <c r="D41" s="244"/>
      <c r="E41" s="244"/>
      <c r="F41" s="244"/>
      <c r="G41" s="244"/>
      <c r="H41" s="244"/>
      <c r="I41" s="244"/>
      <c r="J41" s="244"/>
      <c r="K41" s="244"/>
      <c r="L41" s="244"/>
      <c r="M41" s="244"/>
      <c r="N41" s="244"/>
      <c r="O41" s="244"/>
      <c r="P41" s="244"/>
      <c r="Q41" s="244"/>
      <c r="R41" s="244"/>
      <c r="S41" s="244"/>
      <c r="T41" s="244"/>
      <c r="U41" s="244"/>
      <c r="V41" s="244"/>
      <c r="W41" s="244"/>
      <c r="X41" s="244"/>
      <c r="Y41" s="670"/>
      <c r="Z41" s="171"/>
      <c r="AA41" s="7" t="s">
        <v>144</v>
      </c>
    </row>
    <row r="42" spans="1:27" ht="12.75" customHeight="1">
      <c r="A42" s="5"/>
      <c r="B42" s="107" t="s">
        <v>138</v>
      </c>
      <c r="C42" s="250"/>
      <c r="D42" s="250"/>
      <c r="E42" s="250"/>
      <c r="F42" s="250"/>
      <c r="G42" s="250"/>
      <c r="H42" s="250"/>
      <c r="I42" s="250"/>
      <c r="J42" s="250"/>
      <c r="K42" s="250"/>
      <c r="L42" s="250"/>
      <c r="M42" s="250"/>
      <c r="N42" s="250">
        <v>8.0069999999999997</v>
      </c>
      <c r="O42" s="250">
        <v>4.7789999999999999</v>
      </c>
      <c r="P42" s="250">
        <v>5.109</v>
      </c>
      <c r="Q42" s="250">
        <v>4.883</v>
      </c>
      <c r="R42" s="250">
        <f>0.381+0.997+0.939+1.777</f>
        <v>4.0940000000000003</v>
      </c>
      <c r="S42" s="250">
        <v>3.9329999999999998</v>
      </c>
      <c r="T42" s="250">
        <v>2.681</v>
      </c>
      <c r="U42" s="250">
        <v>3.1339999999999999</v>
      </c>
      <c r="V42" s="250">
        <v>3.7040000000000002</v>
      </c>
      <c r="W42" s="250">
        <v>3.9470000000000001</v>
      </c>
      <c r="X42" s="250">
        <v>5.93</v>
      </c>
      <c r="Y42" s="266">
        <f>5.927</f>
        <v>5.9269999999999996</v>
      </c>
      <c r="Z42" s="192">
        <f t="shared" si="1"/>
        <v>-5.0590219224289967E-2</v>
      </c>
      <c r="AA42" s="107" t="s">
        <v>138</v>
      </c>
    </row>
    <row r="43" spans="1:27" ht="12.75" customHeight="1">
      <c r="A43" s="5"/>
      <c r="B43" s="7" t="s">
        <v>40</v>
      </c>
      <c r="C43" s="245"/>
      <c r="D43" s="244"/>
      <c r="E43" s="244"/>
      <c r="F43" s="244">
        <v>12.86</v>
      </c>
      <c r="G43" s="244">
        <v>21.521000000000001</v>
      </c>
      <c r="H43" s="244">
        <v>92.186999999999998</v>
      </c>
      <c r="I43" s="244">
        <v>227.65700000000001</v>
      </c>
      <c r="J43" s="244">
        <v>389.50299999999999</v>
      </c>
      <c r="K43" s="244">
        <v>191.81</v>
      </c>
      <c r="L43" s="244">
        <v>192.53399999999999</v>
      </c>
      <c r="M43" s="244">
        <v>141.66300000000001</v>
      </c>
      <c r="N43" s="244">
        <v>135.608</v>
      </c>
      <c r="O43" s="244">
        <v>199.083</v>
      </c>
      <c r="P43" s="244">
        <v>179.226</v>
      </c>
      <c r="Q43" s="244">
        <v>184.863</v>
      </c>
      <c r="R43" s="244">
        <v>178.19900000000001</v>
      </c>
      <c r="S43" s="244">
        <v>162.79499999999999</v>
      </c>
      <c r="T43" s="244">
        <v>140.20599999999999</v>
      </c>
      <c r="U43" s="244">
        <v>139.74299999999999</v>
      </c>
      <c r="V43" s="244">
        <v>110.387</v>
      </c>
      <c r="W43" s="244">
        <v>94.522000000000006</v>
      </c>
      <c r="X43" s="244">
        <v>107.92</v>
      </c>
      <c r="Y43" s="670">
        <v>139.80000000000001</v>
      </c>
      <c r="Z43" s="171">
        <f t="shared" si="1"/>
        <v>29.540400296515941</v>
      </c>
      <c r="AA43" s="7" t="s">
        <v>40</v>
      </c>
    </row>
    <row r="44" spans="1:27" ht="12.75" customHeight="1">
      <c r="A44" s="5"/>
      <c r="B44" s="108" t="s">
        <v>313</v>
      </c>
      <c r="C44" s="254"/>
      <c r="D44" s="255"/>
      <c r="E44" s="255"/>
      <c r="F44" s="255"/>
      <c r="G44" s="255"/>
      <c r="H44" s="255"/>
      <c r="I44" s="255"/>
      <c r="J44" s="255"/>
      <c r="K44" s="255"/>
      <c r="L44" s="255"/>
      <c r="M44" s="255"/>
      <c r="N44" s="255"/>
      <c r="O44" s="255"/>
      <c r="P44" s="255"/>
      <c r="Q44" s="255"/>
      <c r="R44" s="255"/>
      <c r="S44" s="255"/>
      <c r="T44" s="255"/>
      <c r="U44" s="255"/>
      <c r="V44" s="255"/>
      <c r="W44" s="255"/>
      <c r="X44" s="250"/>
      <c r="Y44" s="268"/>
      <c r="Z44" s="569"/>
      <c r="AA44" s="108" t="s">
        <v>313</v>
      </c>
    </row>
    <row r="45" spans="1:27" ht="12.75" customHeight="1">
      <c r="A45" s="5"/>
      <c r="B45" s="8" t="s">
        <v>44</v>
      </c>
      <c r="C45" s="257"/>
      <c r="D45" s="258">
        <v>121.908</v>
      </c>
      <c r="E45" s="258">
        <v>123.866</v>
      </c>
      <c r="F45" s="258">
        <v>123.39100000000001</v>
      </c>
      <c r="G45" s="258">
        <v>119.348</v>
      </c>
      <c r="H45" s="258">
        <v>106.39100000000001</v>
      </c>
      <c r="I45" s="258">
        <v>108.05800000000001</v>
      </c>
      <c r="J45" s="258">
        <v>109.527</v>
      </c>
      <c r="K45" s="258">
        <v>119.863</v>
      </c>
      <c r="L45" s="258">
        <v>114.474</v>
      </c>
      <c r="M45" s="258">
        <v>95.230999999999995</v>
      </c>
      <c r="N45" s="258">
        <f>81.305</f>
        <v>81.305000000000007</v>
      </c>
      <c r="O45" s="258">
        <v>79.144999999999996</v>
      </c>
      <c r="P45" s="258">
        <f>80.029</f>
        <v>80.028999999999996</v>
      </c>
      <c r="Q45" s="258">
        <v>80.950999999999993</v>
      </c>
      <c r="R45" s="258">
        <v>91.492000000000004</v>
      </c>
      <c r="S45" s="258">
        <v>105.717</v>
      </c>
      <c r="T45" s="258">
        <v>119.889</v>
      </c>
      <c r="U45" s="258">
        <v>97.712999999999994</v>
      </c>
      <c r="V45" s="258">
        <v>100.411</v>
      </c>
      <c r="W45" s="258">
        <v>101.273</v>
      </c>
      <c r="X45" s="814">
        <v>97.337999999999994</v>
      </c>
      <c r="Y45" s="270">
        <v>107.27</v>
      </c>
      <c r="Z45" s="174">
        <f t="shared" si="1"/>
        <v>10.203620374365613</v>
      </c>
      <c r="AA45" s="8" t="s">
        <v>44</v>
      </c>
    </row>
    <row r="46" spans="1:27">
      <c r="A46" s="58"/>
      <c r="B46" s="1069" t="s">
        <v>355</v>
      </c>
      <c r="C46" s="1069"/>
      <c r="D46" s="1069"/>
      <c r="E46" s="1069"/>
      <c r="F46" s="1069"/>
      <c r="G46" s="1069"/>
      <c r="H46" s="1069"/>
      <c r="I46" s="1069"/>
      <c r="J46" s="1069"/>
      <c r="K46" s="1069"/>
      <c r="L46" s="1069"/>
      <c r="M46" s="1069"/>
      <c r="N46" s="1069"/>
      <c r="O46" s="1069"/>
      <c r="P46" s="1069"/>
      <c r="Q46" s="1069"/>
      <c r="R46" s="1069"/>
      <c r="S46" s="1069"/>
      <c r="T46" s="662"/>
      <c r="U46" s="662"/>
      <c r="V46" s="662"/>
      <c r="W46" s="662"/>
      <c r="X46" s="661"/>
      <c r="Y46" s="661"/>
      <c r="Z46" s="486"/>
    </row>
    <row r="47" spans="1:27">
      <c r="B47" s="1065" t="s">
        <v>298</v>
      </c>
      <c r="C47" s="1065"/>
      <c r="D47" s="1065"/>
      <c r="E47" s="1065"/>
      <c r="F47" s="1065"/>
      <c r="G47" s="1065"/>
      <c r="H47" s="1065"/>
      <c r="I47" s="1065"/>
      <c r="J47" s="1065"/>
      <c r="K47" s="1065"/>
      <c r="L47" s="1065"/>
      <c r="M47" s="1065"/>
      <c r="N47" s="1065"/>
      <c r="O47" s="1065"/>
      <c r="P47" s="1065"/>
      <c r="Q47" s="1065"/>
      <c r="R47" s="1065"/>
      <c r="S47" s="1065"/>
      <c r="T47" s="662"/>
      <c r="U47" s="662"/>
      <c r="V47" s="662"/>
      <c r="W47" s="662"/>
      <c r="X47" s="662"/>
      <c r="Y47" s="662"/>
    </row>
    <row r="48" spans="1:27">
      <c r="B48" s="1065" t="s">
        <v>293</v>
      </c>
      <c r="C48" s="1065"/>
      <c r="D48" s="1065"/>
      <c r="E48" s="1065"/>
      <c r="F48" s="1065"/>
      <c r="G48" s="1065"/>
      <c r="H48" s="1065"/>
      <c r="I48" s="1065"/>
      <c r="J48" s="1065"/>
    </row>
  </sheetData>
  <mergeCells count="5">
    <mergeCell ref="B48:J48"/>
    <mergeCell ref="B2:AA2"/>
    <mergeCell ref="B3:AA3"/>
    <mergeCell ref="B46:S46"/>
    <mergeCell ref="B47:S47"/>
  </mergeCells>
  <phoneticPr fontId="7" type="noConversion"/>
  <printOptions horizontalCentered="1"/>
  <pageMargins left="0.6692913385826772" right="0.6692913385826772" top="0.51181102362204722" bottom="0.27559055118110237" header="0" footer="0"/>
  <pageSetup paperSize="9" scale="56" fitToHeight="0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92">
    <pageSetUpPr fitToPage="1"/>
  </sheetPr>
  <dimension ref="A1:AG49"/>
  <sheetViews>
    <sheetView workbookViewId="0">
      <selection activeCell="AD8" sqref="AD8"/>
    </sheetView>
  </sheetViews>
  <sheetFormatPr defaultRowHeight="12.75"/>
  <cols>
    <col min="1" max="1" width="5.86328125" customWidth="1"/>
    <col min="2" max="2" width="8.3984375" style="2" customWidth="1"/>
    <col min="3" max="3" width="8.73046875" style="2" hidden="1" customWidth="1"/>
    <col min="4" max="6" width="8.73046875" style="2" customWidth="1"/>
    <col min="7" max="7" width="7.3984375" style="2" customWidth="1"/>
    <col min="8" max="15" width="8.73046875" style="2" customWidth="1"/>
    <col min="16" max="16" width="8.3984375" style="131" customWidth="1"/>
    <col min="17" max="17" width="7.265625" style="131" customWidth="1"/>
    <col min="18" max="18" width="8.59765625" style="131" customWidth="1"/>
    <col min="19" max="24" width="7.86328125" style="131" customWidth="1"/>
    <col min="25" max="25" width="7.1328125" style="131" customWidth="1"/>
    <col min="26" max="26" width="6.73046875" style="2" customWidth="1"/>
    <col min="27" max="27" width="6" customWidth="1"/>
  </cols>
  <sheetData>
    <row r="1" spans="1:27" ht="14.25" customHeight="1">
      <c r="B1" s="128"/>
      <c r="C1" s="128"/>
      <c r="D1" s="128"/>
      <c r="E1" s="128"/>
      <c r="F1" s="128"/>
      <c r="J1" s="12"/>
      <c r="K1" s="12"/>
      <c r="L1" s="12"/>
      <c r="M1" s="12"/>
      <c r="N1" s="12"/>
      <c r="O1" s="12"/>
      <c r="P1" s="129"/>
      <c r="Q1" s="129"/>
      <c r="R1" s="129"/>
      <c r="S1" s="129"/>
      <c r="T1" s="129"/>
      <c r="U1" s="129"/>
      <c r="V1" s="129"/>
      <c r="W1" s="129"/>
      <c r="X1" s="129"/>
      <c r="Y1" s="129"/>
      <c r="Z1" s="12" t="s">
        <v>112</v>
      </c>
    </row>
    <row r="2" spans="1:27" s="28" customFormat="1" ht="30" customHeight="1">
      <c r="B2" s="1082" t="s">
        <v>75</v>
      </c>
      <c r="C2" s="1082"/>
      <c r="D2" s="1082"/>
      <c r="E2" s="1082"/>
      <c r="F2" s="1082"/>
      <c r="G2" s="1082"/>
      <c r="H2" s="1082"/>
      <c r="I2" s="1082"/>
      <c r="J2" s="1082"/>
      <c r="K2" s="1082"/>
      <c r="L2" s="1082"/>
      <c r="M2" s="1082"/>
      <c r="N2" s="1082"/>
      <c r="O2" s="1082"/>
      <c r="P2" s="1082"/>
      <c r="Q2" s="1082"/>
      <c r="R2" s="1082"/>
      <c r="S2" s="1082"/>
      <c r="T2" s="1082"/>
      <c r="U2" s="1082"/>
      <c r="V2" s="1082"/>
      <c r="W2" s="1082"/>
      <c r="X2" s="1082"/>
      <c r="Y2" s="1082"/>
      <c r="Z2" s="1082"/>
    </row>
    <row r="3" spans="1:27" ht="15" customHeight="1">
      <c r="B3" s="1083" t="s">
        <v>76</v>
      </c>
      <c r="C3" s="1083"/>
      <c r="D3" s="1083"/>
      <c r="E3" s="1083"/>
      <c r="F3" s="1083"/>
      <c r="G3" s="1083"/>
      <c r="H3" s="1083"/>
      <c r="I3" s="1083"/>
      <c r="J3" s="1083"/>
      <c r="K3" s="1083"/>
      <c r="L3" s="1083"/>
      <c r="M3" s="1083"/>
      <c r="N3" s="1083"/>
      <c r="O3" s="1083"/>
      <c r="P3" s="1083"/>
      <c r="Q3" s="1083"/>
      <c r="R3" s="1083"/>
      <c r="S3" s="1083"/>
      <c r="T3" s="1083"/>
      <c r="U3" s="1083"/>
      <c r="V3" s="1083"/>
      <c r="W3" s="1083"/>
      <c r="X3" s="1083"/>
      <c r="Y3" s="1083"/>
      <c r="Z3" s="1083"/>
    </row>
    <row r="4" spans="1:27" ht="12.75" customHeight="1">
      <c r="L4" s="4"/>
      <c r="M4" s="4"/>
      <c r="N4" s="4"/>
      <c r="O4" s="4"/>
      <c r="Q4" s="4"/>
      <c r="R4" s="4"/>
      <c r="S4" s="4"/>
      <c r="T4" s="4"/>
      <c r="X4" s="4"/>
      <c r="Y4" s="1126" t="s">
        <v>1</v>
      </c>
      <c r="Z4" s="1126"/>
    </row>
    <row r="5" spans="1:27" ht="37.5" customHeight="1">
      <c r="C5" s="36">
        <v>1995</v>
      </c>
      <c r="D5" s="36">
        <v>2000</v>
      </c>
      <c r="E5" s="37">
        <v>2001</v>
      </c>
      <c r="F5" s="37">
        <v>2002</v>
      </c>
      <c r="G5" s="37">
        <v>2003</v>
      </c>
      <c r="H5" s="37">
        <v>2004</v>
      </c>
      <c r="I5" s="37">
        <v>2005</v>
      </c>
      <c r="J5" s="37">
        <v>2006</v>
      </c>
      <c r="K5" s="37">
        <v>2007</v>
      </c>
      <c r="L5" s="37">
        <v>2008</v>
      </c>
      <c r="M5" s="37">
        <v>2009</v>
      </c>
      <c r="N5" s="37">
        <v>2010</v>
      </c>
      <c r="O5" s="37">
        <v>2011</v>
      </c>
      <c r="P5" s="37">
        <v>2012</v>
      </c>
      <c r="Q5" s="37">
        <v>2013</v>
      </c>
      <c r="R5" s="37">
        <v>2014</v>
      </c>
      <c r="S5" s="37">
        <v>2015</v>
      </c>
      <c r="T5" s="37">
        <v>2016</v>
      </c>
      <c r="U5" s="37">
        <v>2017</v>
      </c>
      <c r="V5" s="37">
        <v>2018</v>
      </c>
      <c r="W5" s="37">
        <v>2019</v>
      </c>
      <c r="X5" s="37">
        <v>2020</v>
      </c>
      <c r="Y5" s="38">
        <v>2021</v>
      </c>
      <c r="Z5" s="132" t="s">
        <v>330</v>
      </c>
      <c r="AA5" s="133"/>
    </row>
    <row r="6" spans="1:27" ht="12.75" customHeight="1">
      <c r="B6" s="106" t="s">
        <v>237</v>
      </c>
      <c r="C6" s="134"/>
      <c r="D6" s="237"/>
      <c r="E6" s="237"/>
      <c r="F6" s="237"/>
      <c r="G6" s="237"/>
      <c r="H6" s="237"/>
      <c r="I6" s="237"/>
      <c r="J6" s="237"/>
      <c r="K6" s="237"/>
      <c r="L6" s="237"/>
      <c r="M6" s="238"/>
      <c r="N6" s="238"/>
      <c r="O6" s="376">
        <f>SUM(O7:O33)+0.015</f>
        <v>575.50820831598912</v>
      </c>
      <c r="P6" s="376">
        <f>SUM(P7:P33)+0.015</f>
        <v>479.67445515394911</v>
      </c>
      <c r="Q6" s="376">
        <f t="shared" ref="Q6:Y6" si="0">SUM(Q7:Q33)</f>
        <v>386.35603709520956</v>
      </c>
      <c r="R6" s="376">
        <f t="shared" si="0"/>
        <v>357.65415943810393</v>
      </c>
      <c r="S6" s="376">
        <f t="shared" si="0"/>
        <v>337.779334969525</v>
      </c>
      <c r="T6" s="376">
        <f t="shared" si="0"/>
        <v>328.17843899455539</v>
      </c>
      <c r="U6" s="376">
        <f t="shared" si="0"/>
        <v>422.82248513026849</v>
      </c>
      <c r="V6" s="376">
        <f t="shared" si="0"/>
        <v>290.41841969811622</v>
      </c>
      <c r="W6" s="376">
        <f t="shared" si="0"/>
        <v>327.27211460764676</v>
      </c>
      <c r="X6" s="376">
        <f t="shared" si="0"/>
        <v>373.3</v>
      </c>
      <c r="Y6" s="376">
        <f t="shared" si="0"/>
        <v>350.03723919982338</v>
      </c>
      <c r="Z6" s="484">
        <f>Y6/X6*100-100</f>
        <v>-6.2316530404973491</v>
      </c>
      <c r="AA6" s="106" t="s">
        <v>237</v>
      </c>
    </row>
    <row r="7" spans="1:27" ht="12.75" customHeight="1">
      <c r="B7" s="6" t="s">
        <v>45</v>
      </c>
      <c r="C7" s="674">
        <v>27.582000000000001</v>
      </c>
      <c r="D7" s="239">
        <v>33.191000000000003</v>
      </c>
      <c r="E7" s="239">
        <v>30.190999999999999</v>
      </c>
      <c r="F7" s="239">
        <v>26.651</v>
      </c>
      <c r="G7" s="239">
        <v>20.581</v>
      </c>
      <c r="H7" s="239">
        <v>17.751000000000001</v>
      </c>
      <c r="I7" s="239">
        <v>17.347000000000001</v>
      </c>
      <c r="J7" s="239">
        <v>20.279</v>
      </c>
      <c r="K7" s="239">
        <v>21.434000000000001</v>
      </c>
      <c r="L7" s="239">
        <v>19.614000000000001</v>
      </c>
      <c r="M7" s="239">
        <v>17.044</v>
      </c>
      <c r="N7" s="239">
        <v>14.209</v>
      </c>
      <c r="O7" s="239">
        <f>12.125</f>
        <v>12.125</v>
      </c>
      <c r="P7" s="239">
        <v>10.385999999999999</v>
      </c>
      <c r="Q7" s="239">
        <v>8.8239999999999998</v>
      </c>
      <c r="R7" s="239">
        <v>10.936</v>
      </c>
      <c r="S7" s="239">
        <v>12.384</v>
      </c>
      <c r="T7" s="239">
        <v>10.599</v>
      </c>
      <c r="U7" s="239">
        <v>18.760999999999999</v>
      </c>
      <c r="V7" s="239">
        <v>21.390999999999998</v>
      </c>
      <c r="W7" s="239">
        <v>27.073</v>
      </c>
      <c r="X7" s="239">
        <v>28.535</v>
      </c>
      <c r="Y7" s="668">
        <v>26.82</v>
      </c>
      <c r="Z7" s="675">
        <f t="shared" ref="Z7:Z43" si="1">Y7/X7*100-100</f>
        <v>-6.0101629577711577</v>
      </c>
      <c r="AA7" s="43" t="s">
        <v>45</v>
      </c>
    </row>
    <row r="8" spans="1:27" ht="12.75" customHeight="1">
      <c r="B8" s="34" t="s">
        <v>28</v>
      </c>
      <c r="C8" s="130"/>
      <c r="D8" s="242">
        <v>2.052</v>
      </c>
      <c r="E8" s="242">
        <v>2.1989999999999998</v>
      </c>
      <c r="F8" s="242">
        <v>2.4119999999999999</v>
      </c>
      <c r="G8" s="242">
        <v>2.6219999999999999</v>
      </c>
      <c r="H8" s="253">
        <f>AVERAGE(G8,I8)</f>
        <v>1.8434999999999999</v>
      </c>
      <c r="I8" s="242">
        <v>1.0649999999999999</v>
      </c>
      <c r="J8" s="242">
        <v>1.4890000000000001</v>
      </c>
      <c r="K8" s="242">
        <v>2.101</v>
      </c>
      <c r="L8" s="242">
        <v>3.9649999999999999</v>
      </c>
      <c r="M8" s="242">
        <v>2.4910000000000001</v>
      </c>
      <c r="N8" s="242">
        <v>2.1469999999999998</v>
      </c>
      <c r="O8" s="242">
        <v>1.6839999999999999</v>
      </c>
      <c r="P8" s="242">
        <v>1.7270000000000001</v>
      </c>
      <c r="Q8" s="242">
        <v>1.272</v>
      </c>
      <c r="R8" s="242">
        <v>1.0780000000000001</v>
      </c>
      <c r="S8" s="242">
        <v>0.80700000000000005</v>
      </c>
      <c r="T8" s="242">
        <f>0.776</f>
        <v>0.77600000000000002</v>
      </c>
      <c r="U8" s="242">
        <v>1.034</v>
      </c>
      <c r="V8" s="242">
        <v>0.83199999999999996</v>
      </c>
      <c r="W8" s="242">
        <v>1.042</v>
      </c>
      <c r="X8" s="242">
        <v>0.44400000000000001</v>
      </c>
      <c r="Y8" s="262">
        <v>0.45800000000000002</v>
      </c>
      <c r="Z8" s="478">
        <f t="shared" si="1"/>
        <v>3.1531531531531698</v>
      </c>
      <c r="AA8" s="42" t="s">
        <v>28</v>
      </c>
    </row>
    <row r="9" spans="1:27" ht="12.75" customHeight="1">
      <c r="A9" s="5"/>
      <c r="B9" s="7" t="s">
        <v>30</v>
      </c>
      <c r="C9" s="676"/>
      <c r="D9" s="244"/>
      <c r="E9" s="244"/>
      <c r="F9" s="244"/>
      <c r="G9" s="244">
        <v>7.7240000000000002</v>
      </c>
      <c r="H9" s="244">
        <v>6.9029999999999996</v>
      </c>
      <c r="I9" s="244">
        <v>8.0169999999999995</v>
      </c>
      <c r="J9" s="244">
        <v>6.0789999999999997</v>
      </c>
      <c r="K9" s="244">
        <v>6.1210000000000004</v>
      </c>
      <c r="L9" s="244">
        <v>5.7069999999999999</v>
      </c>
      <c r="M9" s="244">
        <v>4.327</v>
      </c>
      <c r="N9" s="244">
        <v>2.8530000000000002</v>
      </c>
      <c r="O9" s="244">
        <f>2.142</f>
        <v>2.1419999999999999</v>
      </c>
      <c r="P9" s="244">
        <v>2.3420000000000001</v>
      </c>
      <c r="Q9" s="671">
        <f>AVERAGE(P9,S9)</f>
        <v>1.923</v>
      </c>
      <c r="R9" s="244">
        <v>1.806</v>
      </c>
      <c r="S9" s="244">
        <v>1.504</v>
      </c>
      <c r="T9" s="244">
        <v>1.06</v>
      </c>
      <c r="U9" s="244">
        <v>1.417</v>
      </c>
      <c r="V9" s="244">
        <v>0.92200000000000004</v>
      </c>
      <c r="W9" s="244">
        <v>1.137</v>
      </c>
      <c r="X9" s="671">
        <v>1.1499999999999999</v>
      </c>
      <c r="Y9" s="671">
        <v>1.1768869999999998</v>
      </c>
      <c r="Z9" s="477">
        <f t="shared" si="1"/>
        <v>2.3379999999999939</v>
      </c>
      <c r="AA9" s="44" t="s">
        <v>30</v>
      </c>
    </row>
    <row r="10" spans="1:27" ht="12.75" customHeight="1">
      <c r="A10" s="5"/>
      <c r="B10" s="34" t="s">
        <v>41</v>
      </c>
      <c r="C10" s="130">
        <v>10.818</v>
      </c>
      <c r="D10" s="242">
        <v>9.766</v>
      </c>
      <c r="E10" s="242">
        <v>6.7960000000000003</v>
      </c>
      <c r="F10" s="242">
        <v>5.048</v>
      </c>
      <c r="G10" s="242">
        <v>3.758</v>
      </c>
      <c r="H10" s="242">
        <v>4.1970000000000001</v>
      </c>
      <c r="I10" s="242">
        <v>4.9160000000000004</v>
      </c>
      <c r="J10" s="242">
        <v>4.4619999999999997</v>
      </c>
      <c r="K10" s="242">
        <v>4.5179999999999998</v>
      </c>
      <c r="L10" s="242">
        <v>3.67</v>
      </c>
      <c r="M10" s="248">
        <v>18.792000000000002</v>
      </c>
      <c r="N10" s="242">
        <v>17.634</v>
      </c>
      <c r="O10" s="242">
        <v>15.086</v>
      </c>
      <c r="P10" s="242">
        <v>12.698</v>
      </c>
      <c r="Q10" s="242">
        <v>8.9239999999999995</v>
      </c>
      <c r="R10" s="242">
        <v>8.2669999999999995</v>
      </c>
      <c r="S10" s="242">
        <v>7.9870000000000001</v>
      </c>
      <c r="T10" s="242">
        <v>8.5790000000000006</v>
      </c>
      <c r="U10" s="242">
        <v>15.375999999999999</v>
      </c>
      <c r="V10" s="242">
        <v>5.5709999999999997</v>
      </c>
      <c r="W10" s="242">
        <v>6.09</v>
      </c>
      <c r="X10" s="242">
        <v>8.5670000000000002</v>
      </c>
      <c r="Y10" s="262">
        <v>7.8529999999999998</v>
      </c>
      <c r="Z10" s="478">
        <f t="shared" si="1"/>
        <v>-8.3343060581300392</v>
      </c>
      <c r="AA10" s="42" t="s">
        <v>41</v>
      </c>
    </row>
    <row r="11" spans="1:27" ht="12.75" customHeight="1">
      <c r="A11" s="5"/>
      <c r="B11" s="7" t="s">
        <v>46</v>
      </c>
      <c r="C11" s="676">
        <v>124.497</v>
      </c>
      <c r="D11" s="244">
        <v>108.67100000000001</v>
      </c>
      <c r="E11" s="244">
        <v>112.322</v>
      </c>
      <c r="F11" s="244">
        <v>94.576999999999998</v>
      </c>
      <c r="G11" s="244">
        <v>93.02</v>
      </c>
      <c r="H11" s="244">
        <v>81.28</v>
      </c>
      <c r="I11" s="244">
        <v>97.332999999999998</v>
      </c>
      <c r="J11" s="244">
        <v>109.90600000000001</v>
      </c>
      <c r="K11" s="244">
        <v>94.215000000000003</v>
      </c>
      <c r="L11" s="244">
        <v>79.56</v>
      </c>
      <c r="M11" s="244">
        <v>74.688000000000002</v>
      </c>
      <c r="N11" s="244">
        <v>64.938999999999993</v>
      </c>
      <c r="O11" s="244">
        <f>57.367</f>
        <v>57.366999999999997</v>
      </c>
      <c r="P11" s="244">
        <v>50.59</v>
      </c>
      <c r="Q11" s="244">
        <v>41.36</v>
      </c>
      <c r="R11" s="244">
        <v>34.203000000000003</v>
      </c>
      <c r="S11" s="244">
        <v>32.637999999999998</v>
      </c>
      <c r="T11" s="244">
        <v>30.11</v>
      </c>
      <c r="U11" s="244">
        <v>33.253999999999998</v>
      </c>
      <c r="V11" s="244">
        <v>25.634</v>
      </c>
      <c r="W11" s="244">
        <v>25.247</v>
      </c>
      <c r="X11" s="244">
        <v>23.923999999999999</v>
      </c>
      <c r="Y11" s="670">
        <v>24.113</v>
      </c>
      <c r="Z11" s="477">
        <f t="shared" si="1"/>
        <v>0.79000167196122106</v>
      </c>
      <c r="AA11" s="44" t="s">
        <v>46</v>
      </c>
    </row>
    <row r="12" spans="1:27" ht="12.75" customHeight="1">
      <c r="A12" s="5"/>
      <c r="B12" s="34" t="s">
        <v>31</v>
      </c>
      <c r="C12" s="130"/>
      <c r="D12" s="242"/>
      <c r="E12" s="242"/>
      <c r="F12" s="242"/>
      <c r="G12" s="242"/>
      <c r="H12" s="242">
        <v>6.9029999999999996</v>
      </c>
      <c r="I12" s="242">
        <v>8.0169999999999995</v>
      </c>
      <c r="J12" s="242">
        <v>6.0789999999999997</v>
      </c>
      <c r="K12" s="242">
        <v>6.1210000000000004</v>
      </c>
      <c r="L12" s="242">
        <v>5.7069999999999999</v>
      </c>
      <c r="M12" s="248">
        <v>2.3E-2</v>
      </c>
      <c r="N12" s="242">
        <v>1.6E-2</v>
      </c>
      <c r="O12" s="242">
        <f>0.003</f>
        <v>3.0000000000000001E-3</v>
      </c>
      <c r="P12" s="248">
        <v>0.66200000000000003</v>
      </c>
      <c r="Q12" s="242">
        <v>0.66200000000000003</v>
      </c>
      <c r="R12" s="242">
        <v>0.749</v>
      </c>
      <c r="S12" s="242">
        <v>0.66600000000000004</v>
      </c>
      <c r="T12" s="242">
        <v>0.60299999999999998</v>
      </c>
      <c r="U12" s="242">
        <v>0.58799999999999997</v>
      </c>
      <c r="V12" s="242">
        <v>0.64800000000000002</v>
      </c>
      <c r="W12" s="242">
        <v>0.56000000000000005</v>
      </c>
      <c r="X12" s="242">
        <v>0.47099999999999997</v>
      </c>
      <c r="Y12" s="262">
        <v>0.46200000000000002</v>
      </c>
      <c r="Z12" s="478">
        <f t="shared" si="1"/>
        <v>-1.9108280254776986</v>
      </c>
      <c r="AA12" s="42" t="s">
        <v>31</v>
      </c>
    </row>
    <row r="13" spans="1:27" ht="12.75" customHeight="1">
      <c r="A13" s="5"/>
      <c r="B13" s="7" t="s">
        <v>49</v>
      </c>
      <c r="C13" s="676">
        <v>0.437</v>
      </c>
      <c r="D13" s="244">
        <v>3.0230000000000001</v>
      </c>
      <c r="E13" s="244">
        <v>2.214</v>
      </c>
      <c r="F13" s="244">
        <v>2.3490000000000002</v>
      </c>
      <c r="G13" s="244">
        <v>2.14</v>
      </c>
      <c r="H13" s="244">
        <v>1.2989999999999999</v>
      </c>
      <c r="I13" s="244">
        <v>0.84899999999999998</v>
      </c>
      <c r="J13" s="244">
        <v>0.69799999999999995</v>
      </c>
      <c r="K13" s="244">
        <v>0.64100000000000001</v>
      </c>
      <c r="L13" s="244">
        <v>0.54900000000000004</v>
      </c>
      <c r="M13" s="244">
        <v>0.44700000000000001</v>
      </c>
      <c r="N13" s="244">
        <v>0.20599999999999999</v>
      </c>
      <c r="O13" s="244">
        <f>0.201</f>
        <v>0.20100000000000001</v>
      </c>
      <c r="P13" s="244">
        <v>0.18099999999999999</v>
      </c>
      <c r="Q13" s="244">
        <v>0.16900000000000001</v>
      </c>
      <c r="R13" s="244">
        <v>0.14099999999999999</v>
      </c>
      <c r="S13" s="244">
        <v>0.22700000000000001</v>
      </c>
      <c r="T13" s="244">
        <v>0.21199999999999999</v>
      </c>
      <c r="U13" s="244">
        <v>0.158</v>
      </c>
      <c r="V13" s="244">
        <v>0.22700000000000001</v>
      </c>
      <c r="W13" s="244">
        <v>0.223</v>
      </c>
      <c r="X13" s="244">
        <v>0.155</v>
      </c>
      <c r="Y13" s="670">
        <v>0.20100000000000001</v>
      </c>
      <c r="Z13" s="477">
        <f t="shared" si="1"/>
        <v>29.677419354838719</v>
      </c>
      <c r="AA13" s="44" t="s">
        <v>49</v>
      </c>
    </row>
    <row r="14" spans="1:27" ht="12.75" customHeight="1">
      <c r="A14" s="5"/>
      <c r="B14" s="34" t="s">
        <v>42</v>
      </c>
      <c r="C14" s="130">
        <v>13.5</v>
      </c>
      <c r="D14" s="242">
        <v>19.242999999999999</v>
      </c>
      <c r="E14" s="242">
        <v>21.149000000000001</v>
      </c>
      <c r="F14" s="242">
        <v>20.221</v>
      </c>
      <c r="G14" s="242">
        <v>20.920999999999999</v>
      </c>
      <c r="H14" s="242">
        <v>21.856000000000002</v>
      </c>
      <c r="I14" s="242">
        <v>24.106999999999999</v>
      </c>
      <c r="J14" s="242">
        <v>36.295000000000002</v>
      </c>
      <c r="K14" s="242">
        <v>21.899000000000001</v>
      </c>
      <c r="L14" s="242">
        <v>25.01</v>
      </c>
      <c r="M14" s="242">
        <v>20.387</v>
      </c>
      <c r="N14" s="242">
        <v>18.858000000000001</v>
      </c>
      <c r="O14" s="242">
        <f>17.257</f>
        <v>17.257000000000001</v>
      </c>
      <c r="P14" s="242">
        <v>13.276</v>
      </c>
      <c r="Q14" s="242">
        <v>9.9250000000000007</v>
      </c>
      <c r="R14" s="242">
        <v>8.2010000000000005</v>
      </c>
      <c r="S14" s="242">
        <v>8.5500000000000007</v>
      </c>
      <c r="T14" s="242">
        <v>6.6360000000000001</v>
      </c>
      <c r="U14" s="242">
        <v>4.5170000000000003</v>
      </c>
      <c r="V14" s="242">
        <v>3.3860000000000001</v>
      </c>
      <c r="W14" s="242">
        <v>2.3679999999999999</v>
      </c>
      <c r="X14" s="813">
        <v>2.71</v>
      </c>
      <c r="Y14" s="610">
        <v>3.395676460636138</v>
      </c>
      <c r="Z14" s="478">
        <f t="shared" si="1"/>
        <v>25.301714414617635</v>
      </c>
      <c r="AA14" s="42" t="s">
        <v>42</v>
      </c>
    </row>
    <row r="15" spans="1:27" ht="12.75" customHeight="1">
      <c r="A15" s="5"/>
      <c r="B15" s="7" t="s">
        <v>47</v>
      </c>
      <c r="C15" s="676">
        <v>155.22999999999999</v>
      </c>
      <c r="D15" s="244">
        <v>248.63300000000001</v>
      </c>
      <c r="E15" s="244">
        <v>176.489</v>
      </c>
      <c r="F15" s="244">
        <v>113.756</v>
      </c>
      <c r="G15" s="244">
        <v>110.42100000000001</v>
      </c>
      <c r="H15" s="244">
        <v>118.128</v>
      </c>
      <c r="I15" s="244">
        <v>115.142</v>
      </c>
      <c r="J15" s="244">
        <v>137.46</v>
      </c>
      <c r="K15" s="244">
        <v>125.86199999999999</v>
      </c>
      <c r="L15" s="244">
        <v>84.221999999999994</v>
      </c>
      <c r="M15" s="244">
        <v>43.954000000000001</v>
      </c>
      <c r="N15" s="244">
        <v>34.186999999999998</v>
      </c>
      <c r="O15" s="244">
        <f>23.26</f>
        <v>23.26</v>
      </c>
      <c r="P15" s="244">
        <v>18.710999999999999</v>
      </c>
      <c r="Q15" s="244">
        <v>15.416</v>
      </c>
      <c r="R15" s="244">
        <v>14.81</v>
      </c>
      <c r="S15" s="244">
        <v>15.956</v>
      </c>
      <c r="T15" s="244">
        <v>17.172999999999998</v>
      </c>
      <c r="U15" s="244">
        <v>21.713000000000001</v>
      </c>
      <c r="V15" s="244">
        <v>16.13</v>
      </c>
      <c r="W15" s="244">
        <v>18.731000000000002</v>
      </c>
      <c r="X15" s="244">
        <v>22.69</v>
      </c>
      <c r="Y15" s="670">
        <v>18.882999999999999</v>
      </c>
      <c r="Z15" s="477">
        <f t="shared" si="1"/>
        <v>-16.778316438959905</v>
      </c>
      <c r="AA15" s="44" t="s">
        <v>47</v>
      </c>
    </row>
    <row r="16" spans="1:27" ht="12.75" customHeight="1">
      <c r="A16" s="5"/>
      <c r="B16" s="34" t="s">
        <v>48</v>
      </c>
      <c r="C16" s="130">
        <v>218.19800000000001</v>
      </c>
      <c r="D16" s="242">
        <v>192.273</v>
      </c>
      <c r="E16" s="242">
        <v>184.666</v>
      </c>
      <c r="F16" s="242">
        <v>166.124</v>
      </c>
      <c r="G16" s="242">
        <v>166.12700000000001</v>
      </c>
      <c r="H16" s="242">
        <v>166.00299999999999</v>
      </c>
      <c r="I16" s="242">
        <v>154.922</v>
      </c>
      <c r="J16" s="242">
        <v>184.869</v>
      </c>
      <c r="K16" s="242">
        <v>209.45099999999999</v>
      </c>
      <c r="L16" s="242">
        <v>190.315</v>
      </c>
      <c r="M16" s="242">
        <v>156.96299999999999</v>
      </c>
      <c r="N16" s="242">
        <v>144.46700000000001</v>
      </c>
      <c r="O16" s="242">
        <f>146.442</f>
        <v>146.44200000000001</v>
      </c>
      <c r="P16" s="242">
        <v>127.20099999999999</v>
      </c>
      <c r="Q16" s="242">
        <v>106.054</v>
      </c>
      <c r="R16" s="242">
        <v>98.177999999999997</v>
      </c>
      <c r="S16" s="242">
        <v>89.646000000000001</v>
      </c>
      <c r="T16" s="242">
        <v>89.731999999999999</v>
      </c>
      <c r="U16" s="242">
        <v>107.322</v>
      </c>
      <c r="V16" s="242">
        <v>72.94</v>
      </c>
      <c r="W16" s="242">
        <v>91.043000000000006</v>
      </c>
      <c r="X16" s="242">
        <v>99.082999999999998</v>
      </c>
      <c r="Y16" s="262">
        <v>100.929</v>
      </c>
      <c r="Z16" s="478">
        <f t="shared" si="1"/>
        <v>1.8630844847249364</v>
      </c>
      <c r="AA16" s="42" t="s">
        <v>48</v>
      </c>
    </row>
    <row r="17" spans="1:33" ht="12.75" customHeight="1">
      <c r="A17" s="5"/>
      <c r="B17" s="7" t="s">
        <v>59</v>
      </c>
      <c r="C17" s="676"/>
      <c r="D17" s="244"/>
      <c r="E17" s="244"/>
      <c r="F17" s="244"/>
      <c r="G17" s="244"/>
      <c r="H17" s="244"/>
      <c r="I17" s="244">
        <v>13.233000000000001</v>
      </c>
      <c r="J17" s="244">
        <v>15.228</v>
      </c>
      <c r="K17" s="244">
        <v>18.158999999999999</v>
      </c>
      <c r="L17" s="244">
        <v>19.785</v>
      </c>
      <c r="M17" s="244">
        <v>10.57</v>
      </c>
      <c r="N17" s="244">
        <v>6.4420000000000002</v>
      </c>
      <c r="O17" s="244">
        <f>5.352</f>
        <v>5.3520000000000003</v>
      </c>
      <c r="P17" s="244">
        <v>4.05</v>
      </c>
      <c r="Q17" s="247">
        <v>3.1579999999999999</v>
      </c>
      <c r="R17" s="244">
        <v>3.4279999999999999</v>
      </c>
      <c r="S17" s="244">
        <v>2.64</v>
      </c>
      <c r="T17" s="244">
        <v>2.7050000000000001</v>
      </c>
      <c r="U17" s="244">
        <v>2.581</v>
      </c>
      <c r="V17" s="244">
        <v>3.3809999999999998</v>
      </c>
      <c r="W17" s="244">
        <v>2.9209999999999998</v>
      </c>
      <c r="X17" s="671">
        <v>2.109</v>
      </c>
      <c r="Y17" s="669">
        <v>0.53100000000000003</v>
      </c>
      <c r="Z17" s="477">
        <f t="shared" si="1"/>
        <v>-74.822190611664297</v>
      </c>
      <c r="AA17" s="44" t="s">
        <v>59</v>
      </c>
    </row>
    <row r="18" spans="1:33" ht="12.75" customHeight="1">
      <c r="A18" s="5"/>
      <c r="B18" s="107" t="s">
        <v>50</v>
      </c>
      <c r="C18" s="201">
        <v>575.11199999999997</v>
      </c>
      <c r="D18" s="250">
        <v>311.83600000000001</v>
      </c>
      <c r="E18" s="250">
        <v>175.54300000000001</v>
      </c>
      <c r="F18" s="250">
        <v>166.755</v>
      </c>
      <c r="G18" s="250">
        <v>161.893</v>
      </c>
      <c r="H18" s="250">
        <v>132.36699999999999</v>
      </c>
      <c r="I18" s="250">
        <v>128.28399999999999</v>
      </c>
      <c r="J18" s="250">
        <v>109.85</v>
      </c>
      <c r="K18" s="250">
        <v>130.696</v>
      </c>
      <c r="L18" s="250">
        <v>123.11</v>
      </c>
      <c r="M18" s="250">
        <v>114.36799999999999</v>
      </c>
      <c r="N18" s="250">
        <v>90.191000000000003</v>
      </c>
      <c r="O18" s="250">
        <f>75.419</f>
        <v>75.418999999999997</v>
      </c>
      <c r="P18" s="250">
        <v>51.755000000000003</v>
      </c>
      <c r="Q18" s="250">
        <v>33.597999999999999</v>
      </c>
      <c r="R18" s="250">
        <v>28.388000000000002</v>
      </c>
      <c r="S18" s="250">
        <v>24.637</v>
      </c>
      <c r="T18" s="250">
        <v>24.593</v>
      </c>
      <c r="U18" s="250">
        <v>26.030999999999999</v>
      </c>
      <c r="V18" s="250">
        <v>21.326000000000001</v>
      </c>
      <c r="W18" s="250">
        <v>21.132999999999999</v>
      </c>
      <c r="X18" s="250">
        <v>21.359000000000002</v>
      </c>
      <c r="Y18" s="266">
        <v>20.164000000000001</v>
      </c>
      <c r="Z18" s="553">
        <f t="shared" si="1"/>
        <v>-5.594831218690004</v>
      </c>
      <c r="AA18" s="194" t="s">
        <v>50</v>
      </c>
    </row>
    <row r="19" spans="1:33" ht="12.75" customHeight="1">
      <c r="A19" s="5"/>
      <c r="B19" s="7" t="s">
        <v>29</v>
      </c>
      <c r="C19" s="676"/>
      <c r="D19" s="244"/>
      <c r="E19" s="244"/>
      <c r="F19" s="244">
        <v>2.3149999999999999</v>
      </c>
      <c r="G19" s="244">
        <v>2.6520000000000001</v>
      </c>
      <c r="H19" s="244">
        <v>2.4119999999999999</v>
      </c>
      <c r="I19" s="244">
        <v>2.08</v>
      </c>
      <c r="J19" s="244">
        <v>1.7390000000000001</v>
      </c>
      <c r="K19" s="244">
        <v>1.7470000000000001</v>
      </c>
      <c r="L19" s="244">
        <v>1.7310000000000001</v>
      </c>
      <c r="M19" s="244">
        <v>1.4159999999999999</v>
      </c>
      <c r="N19" s="244">
        <v>0.45700000000000002</v>
      </c>
      <c r="O19" s="244">
        <f>0.447</f>
        <v>0.44700000000000001</v>
      </c>
      <c r="P19" s="244">
        <v>0.26400000000000001</v>
      </c>
      <c r="Q19" s="244">
        <v>0.20699999999999999</v>
      </c>
      <c r="R19" s="244">
        <v>0.19700000000000001</v>
      </c>
      <c r="S19" s="244">
        <v>0.154</v>
      </c>
      <c r="T19" s="244">
        <v>0.192</v>
      </c>
      <c r="U19" s="244">
        <v>0.24299999999999999</v>
      </c>
      <c r="V19" s="244">
        <v>0.29699999999999999</v>
      </c>
      <c r="W19" s="244">
        <v>0.26900000000000002</v>
      </c>
      <c r="X19" s="244">
        <v>0.23200000000000001</v>
      </c>
      <c r="Y19" s="670">
        <v>0.23300000000000001</v>
      </c>
      <c r="Z19" s="477">
        <f t="shared" si="1"/>
        <v>0.43103448275863343</v>
      </c>
      <c r="AA19" s="44" t="s">
        <v>29</v>
      </c>
    </row>
    <row r="20" spans="1:33" ht="12.75" customHeight="1">
      <c r="A20" s="5"/>
      <c r="B20" s="107" t="s">
        <v>33</v>
      </c>
      <c r="C20" s="201"/>
      <c r="D20" s="250"/>
      <c r="E20" s="250"/>
      <c r="F20" s="250"/>
      <c r="G20" s="250"/>
      <c r="H20" s="250">
        <v>0.45700000000000002</v>
      </c>
      <c r="I20" s="250">
        <v>0.63700000000000001</v>
      </c>
      <c r="J20" s="250">
        <v>1.7110000000000001</v>
      </c>
      <c r="K20" s="250">
        <v>3.464</v>
      </c>
      <c r="L20" s="250">
        <v>3.73</v>
      </c>
      <c r="M20" s="250">
        <v>0.64900000000000002</v>
      </c>
      <c r="N20" s="250">
        <v>0.97</v>
      </c>
      <c r="O20" s="250">
        <f>1.343</f>
        <v>1.343</v>
      </c>
      <c r="P20" s="250">
        <v>1.6539999999999999</v>
      </c>
      <c r="Q20" s="250">
        <v>1.556</v>
      </c>
      <c r="R20" s="250">
        <v>1.212</v>
      </c>
      <c r="S20" s="250">
        <v>0.999</v>
      </c>
      <c r="T20" s="250">
        <v>0.93500000000000005</v>
      </c>
      <c r="U20" s="250">
        <v>1.2689999999999999</v>
      </c>
      <c r="V20" s="250">
        <v>0.63600000000000001</v>
      </c>
      <c r="W20" s="250">
        <v>0.78900000000000003</v>
      </c>
      <c r="X20" s="250">
        <v>0.67300000000000004</v>
      </c>
      <c r="Y20" s="266">
        <v>0.62</v>
      </c>
      <c r="Z20" s="553">
        <f t="shared" si="1"/>
        <v>-7.8751857355126305</v>
      </c>
      <c r="AA20" s="194" t="s">
        <v>33</v>
      </c>
    </row>
    <row r="21" spans="1:33" ht="12.75" customHeight="1">
      <c r="A21" s="5"/>
      <c r="B21" s="7" t="s">
        <v>34</v>
      </c>
      <c r="C21" s="676"/>
      <c r="D21" s="244"/>
      <c r="E21" s="244"/>
      <c r="F21" s="244"/>
      <c r="G21" s="244"/>
      <c r="H21" s="244"/>
      <c r="I21" s="244"/>
      <c r="J21" s="244"/>
      <c r="K21" s="244"/>
      <c r="L21" s="244">
        <v>5.4039999999999999</v>
      </c>
      <c r="M21" s="244">
        <v>3.4990000000000001</v>
      </c>
      <c r="N21" s="244">
        <v>1.18</v>
      </c>
      <c r="O21" s="244">
        <f>1.319</f>
        <v>1.319</v>
      </c>
      <c r="P21" s="244">
        <v>0.96899999999999997</v>
      </c>
      <c r="Q21" s="247">
        <v>1.988</v>
      </c>
      <c r="R21" s="244">
        <v>1.8660000000000001</v>
      </c>
      <c r="S21" s="244">
        <v>1.6859999999999999</v>
      </c>
      <c r="T21" s="244">
        <v>1.4410000000000001</v>
      </c>
      <c r="U21" s="244">
        <v>1.657</v>
      </c>
      <c r="V21" s="244">
        <v>1.254</v>
      </c>
      <c r="W21" s="244">
        <v>1.3029999999999999</v>
      </c>
      <c r="X21" s="244">
        <v>0.59499999999999997</v>
      </c>
      <c r="Y21" s="244">
        <v>0.86299999999999999</v>
      </c>
      <c r="Z21" s="477">
        <f t="shared" si="1"/>
        <v>45.042016806722671</v>
      </c>
      <c r="AA21" s="44" t="s">
        <v>34</v>
      </c>
    </row>
    <row r="22" spans="1:33" ht="12.75" customHeight="1">
      <c r="A22" s="5"/>
      <c r="B22" s="107" t="s">
        <v>51</v>
      </c>
      <c r="C22" s="201"/>
      <c r="D22" s="250">
        <v>0.45400000000000001</v>
      </c>
      <c r="E22" s="250">
        <v>0.437</v>
      </c>
      <c r="F22" s="250">
        <v>0.48299999999999998</v>
      </c>
      <c r="G22" s="250">
        <v>0.63</v>
      </c>
      <c r="H22" s="250">
        <v>0.55200000000000005</v>
      </c>
      <c r="I22" s="250">
        <v>0.52800000000000002</v>
      </c>
      <c r="J22" s="250">
        <v>0.65700000000000003</v>
      </c>
      <c r="K22" s="250">
        <v>0.60399999999999998</v>
      </c>
      <c r="L22" s="250">
        <v>0.67700000000000005</v>
      </c>
      <c r="M22" s="250">
        <v>0.64500000000000002</v>
      </c>
      <c r="N22" s="250">
        <v>0.70299999999999996</v>
      </c>
      <c r="O22" s="250">
        <f>0.885</f>
        <v>0.88500000000000001</v>
      </c>
      <c r="P22" s="250">
        <v>0.97899999999999998</v>
      </c>
      <c r="Q22" s="250">
        <v>1.08</v>
      </c>
      <c r="R22" s="250">
        <v>1.008</v>
      </c>
      <c r="S22" s="250">
        <v>0.92400000000000004</v>
      </c>
      <c r="T22" s="250">
        <v>0.92600000000000005</v>
      </c>
      <c r="U22" s="250">
        <v>0.49</v>
      </c>
      <c r="V22" s="250">
        <v>0.27300000000000002</v>
      </c>
      <c r="W22" s="250">
        <v>0.35799999999999998</v>
      </c>
      <c r="X22" s="250">
        <v>0.42699999999999999</v>
      </c>
      <c r="Y22" s="266">
        <v>0.42699999999999999</v>
      </c>
      <c r="Z22" s="553">
        <f t="shared" si="1"/>
        <v>0</v>
      </c>
      <c r="AA22" s="194" t="s">
        <v>51</v>
      </c>
    </row>
    <row r="23" spans="1:33" ht="12.75" customHeight="1">
      <c r="A23" s="5"/>
      <c r="B23" s="7" t="s">
        <v>32</v>
      </c>
      <c r="C23" s="676"/>
      <c r="D23" s="244"/>
      <c r="E23" s="244"/>
      <c r="F23" s="244"/>
      <c r="G23" s="244"/>
      <c r="H23" s="244"/>
      <c r="I23" s="244"/>
      <c r="J23" s="244"/>
      <c r="K23" s="244"/>
      <c r="L23" s="671">
        <v>11.088659415107342</v>
      </c>
      <c r="M23" s="671">
        <v>5.4334189540724775</v>
      </c>
      <c r="N23" s="671">
        <v>3.5558148443735038</v>
      </c>
      <c r="O23" s="671">
        <v>2.9422083159890851</v>
      </c>
      <c r="P23" s="671">
        <v>3.1834551539491303</v>
      </c>
      <c r="Q23" s="671">
        <v>3.3980370952094967</v>
      </c>
      <c r="R23" s="671">
        <f>AVERAGE(N23:P23)</f>
        <v>3.2271594381039059</v>
      </c>
      <c r="S23" s="671">
        <f>AVERAGE(N23:R23)</f>
        <v>3.2613349695250244</v>
      </c>
      <c r="T23" s="671">
        <f>AVERAGE(O23:S23)</f>
        <v>3.2024389945553287</v>
      </c>
      <c r="U23" s="671">
        <f>AVERAGE(P23:T23)</f>
        <v>3.2544851302685771</v>
      </c>
      <c r="V23" s="671">
        <v>3.2394196981163099</v>
      </c>
      <c r="W23" s="671">
        <v>3.2321146076467389</v>
      </c>
      <c r="X23" s="671">
        <v>3.7</v>
      </c>
      <c r="Y23" s="671">
        <v>3.9842880147227966</v>
      </c>
      <c r="Z23" s="477">
        <f t="shared" si="1"/>
        <v>7.683459857372867</v>
      </c>
      <c r="AA23" s="44" t="s">
        <v>32</v>
      </c>
    </row>
    <row r="24" spans="1:33" ht="12.75" customHeight="1">
      <c r="A24" s="5"/>
      <c r="B24" s="107" t="s">
        <v>35</v>
      </c>
      <c r="C24" s="201"/>
      <c r="D24" s="250"/>
      <c r="E24" s="250"/>
      <c r="F24" s="250"/>
      <c r="G24" s="250"/>
      <c r="H24" s="250"/>
      <c r="I24" s="250"/>
      <c r="J24" s="250"/>
      <c r="K24" s="250"/>
      <c r="L24" s="253"/>
      <c r="M24" s="253"/>
      <c r="N24" s="253"/>
      <c r="O24" s="253"/>
      <c r="P24" s="253"/>
      <c r="Q24" s="677">
        <v>1.6E-2</v>
      </c>
      <c r="R24" s="678">
        <v>2.4E-2</v>
      </c>
      <c r="S24" s="250">
        <v>3.5999999999999997E-2</v>
      </c>
      <c r="T24" s="250">
        <v>5.7000000000000002E-2</v>
      </c>
      <c r="U24" s="250">
        <v>4.9000000000000002E-2</v>
      </c>
      <c r="V24" s="250">
        <v>0.107</v>
      </c>
      <c r="W24" s="250">
        <v>0.69399999999999995</v>
      </c>
      <c r="X24" s="250">
        <v>0.12</v>
      </c>
      <c r="Y24" s="266">
        <v>0.86</v>
      </c>
      <c r="Z24" s="553">
        <f t="shared" si="1"/>
        <v>616.66666666666674</v>
      </c>
      <c r="AA24" s="194" t="s">
        <v>35</v>
      </c>
    </row>
    <row r="25" spans="1:33" ht="12.75" customHeight="1">
      <c r="A25" s="5"/>
      <c r="B25" s="7" t="s">
        <v>43</v>
      </c>
      <c r="C25" s="676">
        <v>59.152999999999999</v>
      </c>
      <c r="D25" s="244">
        <v>66.941000000000003</v>
      </c>
      <c r="E25" s="244">
        <v>56.206000000000003</v>
      </c>
      <c r="F25" s="244">
        <v>53.856999999999999</v>
      </c>
      <c r="G25" s="244">
        <v>45.878</v>
      </c>
      <c r="H25" s="244">
        <v>39.131</v>
      </c>
      <c r="I25" s="244">
        <v>40.857999999999997</v>
      </c>
      <c r="J25" s="244">
        <v>48.776000000000003</v>
      </c>
      <c r="K25" s="244">
        <v>57.427</v>
      </c>
      <c r="L25" s="244">
        <v>69.593999999999994</v>
      </c>
      <c r="M25" s="244">
        <v>93.820999999999998</v>
      </c>
      <c r="N25" s="244">
        <v>90.662000000000006</v>
      </c>
      <c r="O25" s="244">
        <f>82.21</f>
        <v>82.21</v>
      </c>
      <c r="P25" s="244">
        <v>68.548000000000002</v>
      </c>
      <c r="Q25" s="244">
        <v>59.381</v>
      </c>
      <c r="R25" s="244">
        <v>62.954999999999998</v>
      </c>
      <c r="S25" s="244">
        <v>65.951999999999998</v>
      </c>
      <c r="T25" s="244">
        <f>67.842</f>
        <v>67.841999999999999</v>
      </c>
      <c r="U25" s="244">
        <v>86.825999999999993</v>
      </c>
      <c r="V25" s="244">
        <v>59.386000000000003</v>
      </c>
      <c r="W25" s="244">
        <v>62.34</v>
      </c>
      <c r="X25" s="244">
        <v>84.734999999999999</v>
      </c>
      <c r="Y25" s="670">
        <v>73.971000000000004</v>
      </c>
      <c r="Z25" s="477">
        <f t="shared" si="1"/>
        <v>-12.703133297928844</v>
      </c>
      <c r="AA25" s="44" t="s">
        <v>43</v>
      </c>
    </row>
    <row r="26" spans="1:33" ht="12.75" customHeight="1">
      <c r="A26" s="5"/>
      <c r="B26" s="107" t="s">
        <v>52</v>
      </c>
      <c r="C26" s="201">
        <v>10.742000000000001</v>
      </c>
      <c r="D26" s="250">
        <v>21.335000000000001</v>
      </c>
      <c r="E26" s="250">
        <v>20.459</v>
      </c>
      <c r="F26" s="250">
        <v>16.277999999999999</v>
      </c>
      <c r="G26" s="250">
        <v>19.914000000000001</v>
      </c>
      <c r="H26" s="250">
        <v>21.710999999999999</v>
      </c>
      <c r="I26" s="250">
        <v>27.728000000000002</v>
      </c>
      <c r="J26" s="250">
        <v>28.292000000000002</v>
      </c>
      <c r="K26" s="250">
        <v>30.933</v>
      </c>
      <c r="L26" s="250">
        <v>30.97</v>
      </c>
      <c r="M26" s="250">
        <v>26.056999999999999</v>
      </c>
      <c r="N26" s="250">
        <v>24.905999999999999</v>
      </c>
      <c r="O26" s="250">
        <f>23.916</f>
        <v>23.916</v>
      </c>
      <c r="P26" s="250">
        <v>21.094999999999999</v>
      </c>
      <c r="Q26" s="250">
        <v>16.927</v>
      </c>
      <c r="R26" s="250">
        <v>15.192</v>
      </c>
      <c r="S26" s="250">
        <v>13.76</v>
      </c>
      <c r="T26" s="250">
        <v>13.693</v>
      </c>
      <c r="U26" s="250">
        <v>15.641999999999999</v>
      </c>
      <c r="V26" s="250">
        <v>11.949</v>
      </c>
      <c r="W26" s="250">
        <v>13.026</v>
      </c>
      <c r="X26" s="250">
        <v>13.977</v>
      </c>
      <c r="Y26" s="266">
        <v>22.995999999999999</v>
      </c>
      <c r="Z26" s="553">
        <f t="shared" si="1"/>
        <v>64.527437933748274</v>
      </c>
      <c r="AA26" s="194" t="s">
        <v>52</v>
      </c>
    </row>
    <row r="27" spans="1:33" ht="12.75" customHeight="1">
      <c r="A27" s="5"/>
      <c r="B27" s="7" t="s">
        <v>36</v>
      </c>
      <c r="C27" s="676"/>
      <c r="D27" s="244"/>
      <c r="E27" s="244"/>
      <c r="F27" s="244"/>
      <c r="G27" s="244"/>
      <c r="H27" s="244"/>
      <c r="I27" s="244">
        <v>23.309000000000001</v>
      </c>
      <c r="J27" s="244">
        <v>43.57</v>
      </c>
      <c r="K27" s="244">
        <v>91.912999999999997</v>
      </c>
      <c r="L27" s="244">
        <v>135.994</v>
      </c>
      <c r="M27" s="244">
        <v>94.031000000000006</v>
      </c>
      <c r="N27" s="244">
        <v>72.186000000000007</v>
      </c>
      <c r="O27" s="244">
        <f>69.26</f>
        <v>69.260000000000005</v>
      </c>
      <c r="P27" s="244">
        <v>59.991</v>
      </c>
      <c r="Q27" s="244">
        <v>48.749000000000002</v>
      </c>
      <c r="R27" s="244">
        <v>40.715000000000003</v>
      </c>
      <c r="S27" s="244">
        <v>30.431000000000001</v>
      </c>
      <c r="T27" s="244">
        <v>23.908000000000001</v>
      </c>
      <c r="U27" s="244">
        <v>29.632999999999999</v>
      </c>
      <c r="V27" s="244">
        <v>16.41</v>
      </c>
      <c r="W27" s="244">
        <v>19.065999999999999</v>
      </c>
      <c r="X27" s="244">
        <v>18.34</v>
      </c>
      <c r="Y27" s="669">
        <v>18.62538772446446</v>
      </c>
      <c r="Z27" s="477">
        <f t="shared" si="1"/>
        <v>1.5560944627287938</v>
      </c>
      <c r="AA27" s="44" t="s">
        <v>36</v>
      </c>
    </row>
    <row r="28" spans="1:33" ht="12.75" customHeight="1">
      <c r="A28" s="5"/>
      <c r="B28" s="107" t="s">
        <v>53</v>
      </c>
      <c r="C28" s="201">
        <v>42</v>
      </c>
      <c r="D28" s="250">
        <v>14.968999999999999</v>
      </c>
      <c r="E28" s="250">
        <v>7.6360000000000001</v>
      </c>
      <c r="F28" s="250"/>
      <c r="G28" s="250"/>
      <c r="H28" s="250"/>
      <c r="I28" s="250"/>
      <c r="J28" s="250">
        <v>1.982</v>
      </c>
      <c r="K28" s="250">
        <v>7.8860000000000001</v>
      </c>
      <c r="L28" s="250">
        <v>7.2359999999999998</v>
      </c>
      <c r="M28" s="250">
        <v>5.6929999999999996</v>
      </c>
      <c r="N28" s="250">
        <v>4.6459999999999999</v>
      </c>
      <c r="O28" s="250">
        <f>3.791</f>
        <v>3.7909999999999999</v>
      </c>
      <c r="P28" s="250">
        <v>3.2330000000000001</v>
      </c>
      <c r="Q28" s="250">
        <v>2.4510000000000001</v>
      </c>
      <c r="R28" s="250">
        <v>2.3170000000000002</v>
      </c>
      <c r="S28" s="250">
        <v>2.5939999999999999</v>
      </c>
      <c r="T28" s="250">
        <v>2.6150000000000002</v>
      </c>
      <c r="U28" s="250">
        <v>3.0910000000000002</v>
      </c>
      <c r="V28" s="250">
        <v>2.5150000000000001</v>
      </c>
      <c r="W28" s="250">
        <v>2.2170000000000001</v>
      </c>
      <c r="X28" s="250">
        <v>2.278</v>
      </c>
      <c r="Y28" s="266">
        <v>1.81</v>
      </c>
      <c r="Z28" s="553">
        <f t="shared" si="1"/>
        <v>-20.544337137840202</v>
      </c>
      <c r="AA28" s="194" t="s">
        <v>53</v>
      </c>
    </row>
    <row r="29" spans="1:33" ht="12.75" customHeight="1">
      <c r="A29" s="5"/>
      <c r="B29" s="7" t="s">
        <v>37</v>
      </c>
      <c r="C29" s="676"/>
      <c r="D29" s="244"/>
      <c r="E29" s="244"/>
      <c r="F29" s="244"/>
      <c r="G29" s="244"/>
      <c r="H29" s="244"/>
      <c r="I29" s="244"/>
      <c r="J29" s="244"/>
      <c r="K29" s="244"/>
      <c r="L29" s="671"/>
      <c r="M29" s="671"/>
      <c r="N29" s="671">
        <v>1.075</v>
      </c>
      <c r="O29" s="671">
        <v>0.84500000000000008</v>
      </c>
      <c r="P29" s="671">
        <v>0.65699999999999992</v>
      </c>
      <c r="Q29" s="247">
        <v>0.106</v>
      </c>
      <c r="R29" s="244">
        <v>4.8000000000000001E-2</v>
      </c>
      <c r="S29" s="244">
        <v>2.7E-2</v>
      </c>
      <c r="T29" s="244">
        <v>2.9000000000000001E-2</v>
      </c>
      <c r="U29" s="244">
        <v>1.7999999999999999E-2</v>
      </c>
      <c r="V29" s="244">
        <v>2.9000000000000001E-2</v>
      </c>
      <c r="W29" s="244">
        <v>1.7999999999999999E-2</v>
      </c>
      <c r="X29" s="244">
        <v>1.0999999999999999E-2</v>
      </c>
      <c r="Y29" s="670">
        <v>1.2E-2</v>
      </c>
      <c r="Z29" s="477">
        <f t="shared" si="1"/>
        <v>9.0909090909091077</v>
      </c>
      <c r="AA29" s="44" t="s">
        <v>37</v>
      </c>
    </row>
    <row r="30" spans="1:33" ht="12.75" customHeight="1">
      <c r="A30" s="5"/>
      <c r="B30" s="107" t="s">
        <v>39</v>
      </c>
      <c r="C30" s="201"/>
      <c r="D30" s="250"/>
      <c r="E30" s="250"/>
      <c r="F30" s="250">
        <v>1.7410000000000001</v>
      </c>
      <c r="G30" s="250">
        <v>1.3979999999999999</v>
      </c>
      <c r="H30" s="250">
        <v>2.2149999999999999</v>
      </c>
      <c r="I30" s="250">
        <v>3.121</v>
      </c>
      <c r="J30" s="250">
        <v>4.6890000000000001</v>
      </c>
      <c r="K30" s="250">
        <v>5.7350000000000003</v>
      </c>
      <c r="L30" s="250">
        <v>5.86</v>
      </c>
      <c r="M30" s="250">
        <v>4.5659999999999998</v>
      </c>
      <c r="N30" s="250">
        <v>3.4529999999999998</v>
      </c>
      <c r="O30" s="250">
        <f>3.433</f>
        <v>3.4329999999999998</v>
      </c>
      <c r="P30" s="250">
        <v>2.6720000000000002</v>
      </c>
      <c r="Q30" s="251">
        <v>2.238</v>
      </c>
      <c r="R30" s="242">
        <v>2.194</v>
      </c>
      <c r="S30" s="250">
        <v>2.2639999999999998</v>
      </c>
      <c r="T30" s="250">
        <v>2.4700000000000002</v>
      </c>
      <c r="U30" s="251">
        <v>18.588999999999999</v>
      </c>
      <c r="V30" s="250">
        <v>5.2</v>
      </c>
      <c r="W30" s="250">
        <v>4.9009999999999998</v>
      </c>
      <c r="X30" s="250">
        <v>5.2380000000000004</v>
      </c>
      <c r="Y30" s="266">
        <v>5.6760000000000002</v>
      </c>
      <c r="Z30" s="553">
        <f t="shared" si="1"/>
        <v>8.3619702176403194</v>
      </c>
      <c r="AA30" s="194" t="s">
        <v>39</v>
      </c>
    </row>
    <row r="31" spans="1:33" ht="12.75" customHeight="1">
      <c r="A31" s="5"/>
      <c r="B31" s="7" t="s">
        <v>38</v>
      </c>
      <c r="C31" s="676"/>
      <c r="D31" s="244"/>
      <c r="E31" s="244"/>
      <c r="F31" s="244"/>
      <c r="G31" s="244"/>
      <c r="H31" s="244">
        <v>1.7629999999999999</v>
      </c>
      <c r="I31" s="244">
        <v>2.0369999999999999</v>
      </c>
      <c r="J31" s="244">
        <v>2.577</v>
      </c>
      <c r="K31" s="244">
        <v>3.0169999999999999</v>
      </c>
      <c r="L31" s="244">
        <v>2.6160000000000001</v>
      </c>
      <c r="M31" s="244">
        <v>2.0760000000000001</v>
      </c>
      <c r="N31" s="244">
        <v>1.8320000000000001</v>
      </c>
      <c r="O31" s="244">
        <f>1.612</f>
        <v>1.6120000000000001</v>
      </c>
      <c r="P31" s="244">
        <v>1.512</v>
      </c>
      <c r="Q31" s="247">
        <v>0.79800000000000004</v>
      </c>
      <c r="R31" s="244">
        <v>0.59399999999999997</v>
      </c>
      <c r="S31" s="244">
        <v>0.41699999999999998</v>
      </c>
      <c r="T31" s="244">
        <v>0.34300000000000003</v>
      </c>
      <c r="U31" s="244">
        <v>0.25600000000000001</v>
      </c>
      <c r="V31" s="244">
        <v>0.21</v>
      </c>
      <c r="W31" s="244">
        <v>0.26900000000000002</v>
      </c>
      <c r="X31" s="244">
        <v>0.218</v>
      </c>
      <c r="Y31" s="670">
        <v>0.27</v>
      </c>
      <c r="Z31" s="477">
        <f t="shared" si="1"/>
        <v>23.853211009174331</v>
      </c>
      <c r="AA31" s="44" t="s">
        <v>38</v>
      </c>
      <c r="AG31" t="s">
        <v>354</v>
      </c>
    </row>
    <row r="32" spans="1:33" ht="12.75" customHeight="1">
      <c r="A32" s="5"/>
      <c r="B32" s="107" t="s">
        <v>54</v>
      </c>
      <c r="C32" s="201"/>
      <c r="D32" s="250">
        <v>6.423</v>
      </c>
      <c r="E32" s="250">
        <v>6.7050000000000001</v>
      </c>
      <c r="F32" s="250">
        <v>8.8350000000000009</v>
      </c>
      <c r="G32" s="250">
        <v>12.750999999999999</v>
      </c>
      <c r="H32" s="250">
        <v>17.808</v>
      </c>
      <c r="I32" s="250">
        <v>20.895</v>
      </c>
      <c r="J32" s="250">
        <v>25.693000000000001</v>
      </c>
      <c r="K32" s="250">
        <v>27.448</v>
      </c>
      <c r="L32" s="250">
        <v>25.254999999999999</v>
      </c>
      <c r="M32" s="250">
        <v>21.1</v>
      </c>
      <c r="N32" s="250">
        <v>17.936</v>
      </c>
      <c r="O32" s="250">
        <f>17.25</f>
        <v>17.25</v>
      </c>
      <c r="P32" s="250">
        <v>12.547000000000001</v>
      </c>
      <c r="Q32" s="250">
        <v>8.26</v>
      </c>
      <c r="R32" s="250">
        <v>7.2380000000000004</v>
      </c>
      <c r="S32" s="250">
        <v>7.0039999999999996</v>
      </c>
      <c r="T32" s="250">
        <v>5.1660000000000004</v>
      </c>
      <c r="U32" s="250">
        <v>6.8929999999999998</v>
      </c>
      <c r="V32" s="250">
        <v>4.8949999999999996</v>
      </c>
      <c r="W32" s="250">
        <v>5.1959999999999997</v>
      </c>
      <c r="X32" s="251">
        <v>6.8940000000000001</v>
      </c>
      <c r="Y32" s="266">
        <v>4.38</v>
      </c>
      <c r="Z32" s="553">
        <f t="shared" si="1"/>
        <v>-36.466492602262846</v>
      </c>
      <c r="AA32" s="194" t="s">
        <v>54</v>
      </c>
    </row>
    <row r="33" spans="1:27" ht="12.75" customHeight="1">
      <c r="A33" s="5"/>
      <c r="B33" s="8" t="s">
        <v>55</v>
      </c>
      <c r="C33" s="679">
        <v>5.7</v>
      </c>
      <c r="D33" s="258">
        <v>9.9770000000000003</v>
      </c>
      <c r="E33" s="258">
        <v>10.01</v>
      </c>
      <c r="F33" s="258">
        <v>21.297000000000001</v>
      </c>
      <c r="G33" s="258">
        <v>19.846</v>
      </c>
      <c r="H33" s="258">
        <v>13.608000000000001</v>
      </c>
      <c r="I33" s="258">
        <v>15.365</v>
      </c>
      <c r="J33" s="258">
        <v>14.994999999999999</v>
      </c>
      <c r="K33" s="258">
        <v>31.852</v>
      </c>
      <c r="L33" s="258">
        <v>31.148</v>
      </c>
      <c r="M33" s="258">
        <v>21.443000000000001</v>
      </c>
      <c r="N33" s="258">
        <v>13.253</v>
      </c>
      <c r="O33" s="258">
        <v>9.9019999999999992</v>
      </c>
      <c r="P33" s="258">
        <v>8.7759999999999998</v>
      </c>
      <c r="Q33" s="258">
        <v>7.9160000000000004</v>
      </c>
      <c r="R33" s="258">
        <v>8.6820000000000004</v>
      </c>
      <c r="S33" s="258">
        <v>10.628</v>
      </c>
      <c r="T33" s="258">
        <v>12.581</v>
      </c>
      <c r="U33" s="258">
        <v>22.16</v>
      </c>
      <c r="V33" s="258">
        <v>11.63</v>
      </c>
      <c r="W33" s="258">
        <v>16.026</v>
      </c>
      <c r="X33" s="258">
        <v>24.664999999999999</v>
      </c>
      <c r="Y33" s="270">
        <v>10.323</v>
      </c>
      <c r="Z33" s="489">
        <f t="shared" si="1"/>
        <v>-58.147172106223387</v>
      </c>
      <c r="AA33" s="45" t="s">
        <v>55</v>
      </c>
    </row>
    <row r="34" spans="1:27" ht="12.75" customHeight="1">
      <c r="A34" s="5"/>
      <c r="B34" s="106" t="s">
        <v>26</v>
      </c>
      <c r="C34" s="271"/>
      <c r="D34" s="259"/>
      <c r="E34" s="259"/>
      <c r="F34" s="259"/>
      <c r="G34" s="259"/>
      <c r="H34" s="259"/>
      <c r="I34" s="259"/>
      <c r="J34" s="259"/>
      <c r="K34" s="259"/>
      <c r="L34" s="259"/>
      <c r="M34" s="259"/>
      <c r="N34" s="259"/>
      <c r="O34" s="259"/>
      <c r="P34" s="259"/>
      <c r="Q34" s="250"/>
      <c r="R34" s="250"/>
      <c r="S34" s="250"/>
      <c r="T34" s="259"/>
      <c r="U34" s="250">
        <v>2.5000000000000001E-2</v>
      </c>
      <c r="V34" s="250">
        <v>1.6E-2</v>
      </c>
      <c r="W34" s="250">
        <v>3.3000000000000002E-2</v>
      </c>
      <c r="X34" s="250">
        <v>0.47299999999999998</v>
      </c>
      <c r="Y34" s="266">
        <v>0.189</v>
      </c>
      <c r="Z34" s="553">
        <f t="shared" si="1"/>
        <v>-60.042283298097246</v>
      </c>
      <c r="AA34" s="107" t="s">
        <v>26</v>
      </c>
    </row>
    <row r="35" spans="1:27" ht="12.75" customHeight="1">
      <c r="A35" s="5"/>
      <c r="B35" s="7" t="s">
        <v>56</v>
      </c>
      <c r="C35" s="676"/>
      <c r="D35" s="244"/>
      <c r="E35" s="244"/>
      <c r="F35" s="244">
        <v>13.64</v>
      </c>
      <c r="G35" s="244">
        <v>15.009</v>
      </c>
      <c r="H35" s="244">
        <v>16.37</v>
      </c>
      <c r="I35" s="244">
        <v>11.856999999999999</v>
      </c>
      <c r="J35" s="244">
        <v>11.02</v>
      </c>
      <c r="K35" s="244">
        <v>10.534000000000001</v>
      </c>
      <c r="L35" s="244">
        <v>11.438000000000001</v>
      </c>
      <c r="M35" s="244">
        <v>9.0329999999999995</v>
      </c>
      <c r="N35" s="244">
        <v>8.0579999999999998</v>
      </c>
      <c r="O35" s="244">
        <f>8.453</f>
        <v>8.4529999999999994</v>
      </c>
      <c r="P35" s="244">
        <v>8.99</v>
      </c>
      <c r="Q35" s="244">
        <v>7.5410000000000004</v>
      </c>
      <c r="R35" s="244">
        <v>7.383</v>
      </c>
      <c r="S35" s="244">
        <v>7.3550000000000004</v>
      </c>
      <c r="T35" s="244">
        <v>5.9459999999999997</v>
      </c>
      <c r="U35" s="244">
        <v>5.258</v>
      </c>
      <c r="V35" s="244">
        <v>4.1769999999999996</v>
      </c>
      <c r="W35" s="244">
        <v>3.2509999999999999</v>
      </c>
      <c r="X35" s="244">
        <v>3.39</v>
      </c>
      <c r="Y35" s="670">
        <v>2.996</v>
      </c>
      <c r="Z35" s="477">
        <f t="shared" si="1"/>
        <v>-11.622418879056056</v>
      </c>
      <c r="AA35" s="7" t="s">
        <v>56</v>
      </c>
    </row>
    <row r="36" spans="1:27" ht="12.75" customHeight="1">
      <c r="A36" s="5"/>
      <c r="B36" s="108" t="s">
        <v>27</v>
      </c>
      <c r="C36" s="202"/>
      <c r="D36" s="255">
        <v>19.358000000000001</v>
      </c>
      <c r="E36" s="255">
        <v>19.43</v>
      </c>
      <c r="F36" s="255">
        <v>18.425000000000001</v>
      </c>
      <c r="G36" s="255">
        <v>6.6420000000000003</v>
      </c>
      <c r="H36" s="255">
        <v>3.4340000000000002</v>
      </c>
      <c r="I36" s="255">
        <v>3.0859999999999999</v>
      </c>
      <c r="J36" s="255">
        <v>3.0139999999999998</v>
      </c>
      <c r="K36" s="255">
        <v>2.738</v>
      </c>
      <c r="L36" s="255">
        <v>3.1269999999999998</v>
      </c>
      <c r="M36" s="255">
        <v>2.863</v>
      </c>
      <c r="N36" s="255">
        <v>3.0990000000000002</v>
      </c>
      <c r="O36" s="255">
        <v>2.3079999999999998</v>
      </c>
      <c r="P36" s="255">
        <v>1.8740000000000001</v>
      </c>
      <c r="Q36" s="255">
        <v>1.1299999999999999</v>
      </c>
      <c r="R36" s="255">
        <v>0.86499999999999999</v>
      </c>
      <c r="S36" s="255">
        <v>0.83</v>
      </c>
      <c r="T36" s="255">
        <v>0.749</v>
      </c>
      <c r="U36" s="255">
        <v>0.67</v>
      </c>
      <c r="V36" s="250">
        <v>0.83699999999999997</v>
      </c>
      <c r="W36" s="255">
        <v>0.94299999999999995</v>
      </c>
      <c r="X36" s="255">
        <v>1.0269999999999999</v>
      </c>
      <c r="Y36" s="268">
        <v>1.405</v>
      </c>
      <c r="Z36" s="490">
        <f t="shared" si="1"/>
        <v>36.806231742940611</v>
      </c>
      <c r="AA36" s="108" t="s">
        <v>27</v>
      </c>
    </row>
    <row r="37" spans="1:27" ht="12.75" customHeight="1">
      <c r="A37" s="5" t="s">
        <v>57</v>
      </c>
      <c r="B37" s="7" t="s">
        <v>312</v>
      </c>
      <c r="C37" s="676"/>
      <c r="D37" s="244"/>
      <c r="E37" s="244"/>
      <c r="F37" s="244"/>
      <c r="G37" s="244"/>
      <c r="H37" s="244"/>
      <c r="I37" s="244"/>
      <c r="J37" s="244"/>
      <c r="K37" s="244"/>
      <c r="L37" s="244"/>
      <c r="M37" s="244"/>
      <c r="N37" s="244"/>
      <c r="O37" s="244"/>
      <c r="P37" s="244"/>
      <c r="Q37" s="244"/>
      <c r="R37" s="244"/>
      <c r="S37" s="244"/>
      <c r="T37" s="244">
        <v>0.86399999999999999</v>
      </c>
      <c r="U37" s="244">
        <v>1.0629999999999999</v>
      </c>
      <c r="V37" s="239">
        <v>1.222</v>
      </c>
      <c r="W37" s="244">
        <v>0.70099999999999996</v>
      </c>
      <c r="X37" s="244">
        <v>0.79300000000000004</v>
      </c>
      <c r="Y37" s="670">
        <v>0.82299999999999995</v>
      </c>
      <c r="Z37" s="477">
        <f t="shared" si="1"/>
        <v>3.7831021437578727</v>
      </c>
      <c r="AA37" s="7" t="s">
        <v>312</v>
      </c>
    </row>
    <row r="38" spans="1:27" ht="12.75" customHeight="1">
      <c r="A38" s="5"/>
      <c r="B38" s="107" t="s">
        <v>139</v>
      </c>
      <c r="C38" s="201"/>
      <c r="D38" s="250"/>
      <c r="E38" s="250"/>
      <c r="F38" s="250"/>
      <c r="G38" s="250"/>
      <c r="H38" s="250"/>
      <c r="I38" s="250"/>
      <c r="J38" s="250"/>
      <c r="K38" s="250"/>
      <c r="L38" s="250"/>
      <c r="M38" s="250"/>
      <c r="N38" s="250"/>
      <c r="O38" s="250"/>
      <c r="P38" s="250"/>
      <c r="Q38" s="250"/>
      <c r="R38" s="250"/>
      <c r="S38" s="250"/>
      <c r="T38" s="250"/>
      <c r="U38" s="250"/>
      <c r="V38" s="250"/>
      <c r="W38" s="250"/>
      <c r="X38" s="250"/>
      <c r="Y38" s="266"/>
      <c r="Z38" s="553"/>
      <c r="AA38" s="107" t="s">
        <v>139</v>
      </c>
    </row>
    <row r="39" spans="1:27" ht="12.75" customHeight="1">
      <c r="A39" s="5"/>
      <c r="B39" s="7" t="s">
        <v>314</v>
      </c>
      <c r="C39" s="676"/>
      <c r="D39" s="244"/>
      <c r="E39" s="244"/>
      <c r="F39" s="244"/>
      <c r="G39" s="244"/>
      <c r="H39" s="244"/>
      <c r="I39" s="244"/>
      <c r="J39" s="244"/>
      <c r="K39" s="244"/>
      <c r="L39" s="244"/>
      <c r="M39" s="244"/>
      <c r="N39" s="244"/>
      <c r="O39" s="244"/>
      <c r="P39" s="244"/>
      <c r="Q39" s="244"/>
      <c r="R39" s="244"/>
      <c r="S39" s="244"/>
      <c r="T39" s="244"/>
      <c r="U39" s="244"/>
      <c r="V39" s="244"/>
      <c r="W39" s="244"/>
      <c r="X39" s="244"/>
      <c r="Y39" s="670"/>
      <c r="Z39" s="477"/>
      <c r="AA39" s="7" t="s">
        <v>314</v>
      </c>
    </row>
    <row r="40" spans="1:27" ht="12.75" customHeight="1">
      <c r="A40" s="5"/>
      <c r="B40" s="107" t="s">
        <v>0</v>
      </c>
      <c r="C40" s="201"/>
      <c r="D40" s="250"/>
      <c r="E40" s="250"/>
      <c r="F40" s="250"/>
      <c r="G40" s="250"/>
      <c r="H40" s="250"/>
      <c r="I40" s="250"/>
      <c r="J40" s="250"/>
      <c r="K40" s="250"/>
      <c r="L40" s="250"/>
      <c r="M40" s="250"/>
      <c r="N40" s="250"/>
      <c r="O40" s="250"/>
      <c r="P40" s="250"/>
      <c r="Q40" s="250"/>
      <c r="R40" s="250"/>
      <c r="S40" s="250"/>
      <c r="T40" s="250"/>
      <c r="U40" s="250"/>
      <c r="V40" s="250"/>
      <c r="W40" s="250"/>
      <c r="X40" s="250"/>
      <c r="Y40" s="266"/>
      <c r="Z40" s="553"/>
      <c r="AA40" s="107" t="s">
        <v>0</v>
      </c>
    </row>
    <row r="41" spans="1:27" ht="12.75" customHeight="1">
      <c r="A41" s="5"/>
      <c r="B41" s="7" t="s">
        <v>144</v>
      </c>
      <c r="C41" s="676"/>
      <c r="D41" s="244"/>
      <c r="E41" s="244"/>
      <c r="F41" s="244"/>
      <c r="G41" s="244"/>
      <c r="H41" s="244"/>
      <c r="I41" s="244"/>
      <c r="J41" s="244"/>
      <c r="K41" s="244"/>
      <c r="L41" s="244"/>
      <c r="M41" s="244"/>
      <c r="N41" s="244"/>
      <c r="O41" s="244"/>
      <c r="P41" s="244"/>
      <c r="Q41" s="244"/>
      <c r="R41" s="244"/>
      <c r="S41" s="244"/>
      <c r="T41" s="244"/>
      <c r="U41" s="244"/>
      <c r="V41" s="244"/>
      <c r="W41" s="244">
        <v>3.3029999999999999</v>
      </c>
      <c r="X41" s="244">
        <v>3.4089999999999998</v>
      </c>
      <c r="Y41" s="670">
        <v>4.0919999999999996</v>
      </c>
      <c r="Z41" s="477">
        <f t="shared" si="1"/>
        <v>20.035200938691688</v>
      </c>
      <c r="AA41" s="7" t="s">
        <v>144</v>
      </c>
    </row>
    <row r="42" spans="1:27" ht="12.75" customHeight="1">
      <c r="A42" s="5"/>
      <c r="B42" s="107" t="s">
        <v>138</v>
      </c>
      <c r="C42" s="201"/>
      <c r="D42" s="250"/>
      <c r="E42" s="250"/>
      <c r="F42" s="250"/>
      <c r="G42" s="250"/>
      <c r="H42" s="250"/>
      <c r="I42" s="250"/>
      <c r="J42" s="250"/>
      <c r="K42" s="250"/>
      <c r="L42" s="250"/>
      <c r="M42" s="250"/>
      <c r="N42" s="250">
        <v>8.7829999999999995</v>
      </c>
      <c r="O42" s="250">
        <v>6.25</v>
      </c>
      <c r="P42" s="250">
        <v>6.6219999999999999</v>
      </c>
      <c r="Q42" s="250">
        <v>5.6550000000000002</v>
      </c>
      <c r="R42" s="250">
        <f>0.532+1.338+1.134+1.935</f>
        <v>4.9390000000000001</v>
      </c>
      <c r="S42" s="250">
        <v>2.4220000000000002</v>
      </c>
      <c r="T42" s="250">
        <v>1.302</v>
      </c>
      <c r="U42" s="250">
        <v>1.6779999999999999</v>
      </c>
      <c r="V42" s="250">
        <v>1.895</v>
      </c>
      <c r="W42" s="250">
        <v>2.2330000000000001</v>
      </c>
      <c r="X42" s="251">
        <v>2</v>
      </c>
      <c r="Y42" s="266">
        <f>1.857</f>
        <v>1.857</v>
      </c>
      <c r="Z42" s="553">
        <f t="shared" si="1"/>
        <v>-7.1500000000000057</v>
      </c>
      <c r="AA42" s="107" t="s">
        <v>138</v>
      </c>
    </row>
    <row r="43" spans="1:27" ht="12.75" customHeight="1">
      <c r="A43" s="5"/>
      <c r="B43" s="7" t="s">
        <v>40</v>
      </c>
      <c r="C43" s="676"/>
      <c r="D43" s="244"/>
      <c r="E43" s="244"/>
      <c r="F43" s="244"/>
      <c r="G43" s="244"/>
      <c r="H43" s="244"/>
      <c r="I43" s="244"/>
      <c r="J43" s="244"/>
      <c r="K43" s="244"/>
      <c r="L43" s="244"/>
      <c r="M43" s="244">
        <v>2.4409999999999998</v>
      </c>
      <c r="N43" s="244">
        <v>1.5069999999999999</v>
      </c>
      <c r="O43" s="244">
        <f>1.537</f>
        <v>1.5369999999999999</v>
      </c>
      <c r="P43" s="244">
        <v>0.624</v>
      </c>
      <c r="Q43" s="244">
        <v>0.64400000000000002</v>
      </c>
      <c r="R43" s="244">
        <v>1.8109999999999999</v>
      </c>
      <c r="S43" s="244">
        <v>2.3319999999999999</v>
      </c>
      <c r="T43" s="244">
        <v>3.472</v>
      </c>
      <c r="U43" s="244">
        <v>18.036000000000001</v>
      </c>
      <c r="V43" s="244">
        <v>46.625</v>
      </c>
      <c r="W43" s="244">
        <v>60.104999999999997</v>
      </c>
      <c r="X43" s="244">
        <v>100.54</v>
      </c>
      <c r="Y43" s="670">
        <f>116.161</f>
        <v>116.161</v>
      </c>
      <c r="Z43" s="171">
        <f t="shared" si="1"/>
        <v>15.537099661826119</v>
      </c>
      <c r="AA43" s="7" t="s">
        <v>40</v>
      </c>
    </row>
    <row r="44" spans="1:27" ht="12" customHeight="1">
      <c r="A44" s="5"/>
      <c r="B44" s="108" t="s">
        <v>313</v>
      </c>
      <c r="C44" s="202"/>
      <c r="D44" s="255"/>
      <c r="E44" s="255"/>
      <c r="F44" s="255"/>
      <c r="G44" s="255"/>
      <c r="H44" s="255"/>
      <c r="I44" s="255"/>
      <c r="J44" s="255"/>
      <c r="K44" s="255"/>
      <c r="L44" s="255"/>
      <c r="M44" s="255"/>
      <c r="N44" s="255"/>
      <c r="O44" s="255"/>
      <c r="P44" s="255"/>
      <c r="Q44" s="255"/>
      <c r="R44" s="255"/>
      <c r="S44" s="255"/>
      <c r="T44" s="255"/>
      <c r="U44" s="255"/>
      <c r="V44" s="255"/>
      <c r="W44" s="255"/>
      <c r="X44" s="255"/>
      <c r="Y44" s="268"/>
      <c r="Z44" s="569"/>
      <c r="AA44" s="108" t="s">
        <v>313</v>
      </c>
    </row>
    <row r="45" spans="1:27" ht="13.5" customHeight="1">
      <c r="B45" s="8" t="s">
        <v>44</v>
      </c>
      <c r="C45" s="679">
        <v>6.2919999999999998</v>
      </c>
      <c r="D45" s="258">
        <v>48.164000000000001</v>
      </c>
      <c r="E45" s="258">
        <v>45.374000000000002</v>
      </c>
      <c r="F45" s="258">
        <v>36.271000000000001</v>
      </c>
      <c r="G45" s="258">
        <v>36.344999999999999</v>
      </c>
      <c r="H45" s="258">
        <v>27.547000000000001</v>
      </c>
      <c r="I45" s="258">
        <v>24.745000000000001</v>
      </c>
      <c r="J45" s="258">
        <v>23.55</v>
      </c>
      <c r="K45" s="258">
        <v>24.562000000000001</v>
      </c>
      <c r="L45" s="258">
        <v>24.952999999999999</v>
      </c>
      <c r="M45" s="258">
        <v>16.443999999999999</v>
      </c>
      <c r="N45" s="258">
        <v>14.53</v>
      </c>
      <c r="O45" s="258">
        <f>14.466</f>
        <v>14.465999999999999</v>
      </c>
      <c r="P45" s="258">
        <v>13.422000000000001</v>
      </c>
      <c r="Q45" s="258">
        <v>10.73</v>
      </c>
      <c r="R45" s="258">
        <v>10.628</v>
      </c>
      <c r="S45" s="258">
        <v>9.4019999999999992</v>
      </c>
      <c r="T45" s="258">
        <v>8.7479999999999993</v>
      </c>
      <c r="U45" s="258">
        <v>7.7519999999999998</v>
      </c>
      <c r="V45" s="814">
        <v>5.3819999999999997</v>
      </c>
      <c r="W45" s="814">
        <v>6.1130000000000004</v>
      </c>
      <c r="X45" s="844">
        <v>6.1130000000000004</v>
      </c>
      <c r="Y45" s="812">
        <v>7.0880000000000001</v>
      </c>
      <c r="Z45" s="608">
        <f>Y45/X45*100-100</f>
        <v>15.94961557336822</v>
      </c>
      <c r="AA45" s="609" t="s">
        <v>44</v>
      </c>
    </row>
    <row r="46" spans="1:27">
      <c r="B46" s="1068" t="s">
        <v>356</v>
      </c>
      <c r="C46" s="1068"/>
      <c r="D46" s="1068"/>
      <c r="E46" s="1068"/>
      <c r="F46" s="1068"/>
      <c r="G46" s="1068"/>
      <c r="H46" s="1068"/>
      <c r="I46" s="1068"/>
      <c r="J46" s="1068"/>
      <c r="K46" s="1068"/>
      <c r="L46" s="1068"/>
      <c r="M46" s="1068"/>
      <c r="N46" s="1068"/>
      <c r="O46" s="1068"/>
      <c r="P46" s="1068"/>
      <c r="Q46" s="1068"/>
      <c r="R46" s="1068"/>
      <c r="S46" s="1068"/>
      <c r="T46" s="1068"/>
      <c r="U46" s="1068"/>
      <c r="V46" s="1068"/>
      <c r="W46" s="1068"/>
      <c r="X46" s="1068"/>
      <c r="Y46" s="1068"/>
      <c r="Z46" s="1068"/>
    </row>
    <row r="47" spans="1:27">
      <c r="B47" s="100" t="s">
        <v>289</v>
      </c>
    </row>
    <row r="48" spans="1:27">
      <c r="B48" s="1125" t="s">
        <v>357</v>
      </c>
      <c r="C48" s="1125"/>
      <c r="D48" s="1125"/>
      <c r="E48" s="1125"/>
      <c r="F48" s="1125"/>
      <c r="G48" s="1125"/>
      <c r="H48" s="1125"/>
      <c r="I48" s="1125"/>
      <c r="J48" s="1125"/>
      <c r="K48" s="1125"/>
      <c r="L48" s="1125"/>
      <c r="M48" s="1125"/>
      <c r="N48" s="1125"/>
      <c r="O48" s="1125"/>
      <c r="P48" s="1125"/>
      <c r="Q48" s="1125"/>
      <c r="R48" s="1125"/>
      <c r="S48" s="1125"/>
      <c r="T48" s="1125"/>
    </row>
    <row r="49" spans="2:20">
      <c r="B49" s="1125" t="s">
        <v>358</v>
      </c>
      <c r="C49" s="1125"/>
      <c r="D49" s="1125"/>
      <c r="E49" s="1125"/>
      <c r="F49" s="1125"/>
      <c r="G49" s="1125"/>
      <c r="H49" s="1125"/>
      <c r="I49" s="1125"/>
      <c r="J49" s="1125"/>
      <c r="K49" s="1125"/>
      <c r="L49" s="1125"/>
      <c r="M49" s="1125"/>
      <c r="N49" s="1125"/>
      <c r="O49" s="1125"/>
      <c r="P49" s="1125"/>
      <c r="Q49" s="1125"/>
      <c r="R49" s="1125"/>
      <c r="S49" s="1125"/>
      <c r="T49" s="1125"/>
    </row>
  </sheetData>
  <mergeCells count="6">
    <mergeCell ref="B48:T48"/>
    <mergeCell ref="B46:Z46"/>
    <mergeCell ref="B49:T49"/>
    <mergeCell ref="Y4:Z4"/>
    <mergeCell ref="B2:Z2"/>
    <mergeCell ref="B3:Z3"/>
  </mergeCells>
  <phoneticPr fontId="7" type="noConversion"/>
  <printOptions horizontalCentered="1"/>
  <pageMargins left="0.6692913385826772" right="0.28000000000000003" top="0.51181102362204722" bottom="0.27559055118110237" header="0" footer="0"/>
  <pageSetup paperSize="9" scale="53"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83"/>
  <dimension ref="A1:L49"/>
  <sheetViews>
    <sheetView zoomScaleNormal="100" workbookViewId="0">
      <selection activeCell="Q28" sqref="Q28"/>
    </sheetView>
  </sheetViews>
  <sheetFormatPr defaultColWidth="9.1328125" defaultRowHeight="10.15"/>
  <cols>
    <col min="1" max="1" width="4.265625" style="575" customWidth="1"/>
    <col min="2" max="2" width="4.1328125" style="1" customWidth="1"/>
    <col min="3" max="3" width="10.86328125" style="1" customWidth="1"/>
    <col min="4" max="4" width="10" style="1" customWidth="1"/>
    <col min="5" max="10" width="8.73046875" style="1" customWidth="1"/>
    <col min="11" max="11" width="4.59765625" style="1" customWidth="1"/>
    <col min="12" max="12" width="4.59765625" style="571" customWidth="1"/>
    <col min="13" max="16384" width="9.1328125" style="571"/>
  </cols>
  <sheetData>
    <row r="1" spans="1:12" ht="14.25" customHeight="1">
      <c r="A1" s="570"/>
      <c r="B1" s="21"/>
      <c r="C1" s="21"/>
      <c r="D1" s="21"/>
      <c r="E1" s="21"/>
      <c r="F1" s="21"/>
      <c r="G1" s="21"/>
      <c r="H1" s="21"/>
      <c r="I1" s="21"/>
      <c r="K1" s="12" t="s">
        <v>113</v>
      </c>
      <c r="L1" s="572"/>
    </row>
    <row r="2" spans="1:12" s="574" customFormat="1" ht="30" customHeight="1">
      <c r="A2" s="573"/>
      <c r="B2" s="1063" t="s">
        <v>263</v>
      </c>
      <c r="C2" s="1063"/>
      <c r="D2" s="1063"/>
      <c r="E2" s="1063"/>
      <c r="F2" s="1063"/>
      <c r="G2" s="1063"/>
      <c r="H2" s="1063"/>
      <c r="I2" s="1063"/>
      <c r="J2" s="1063"/>
      <c r="K2" s="1063"/>
      <c r="L2" s="593"/>
    </row>
    <row r="3" spans="1:12" ht="15" customHeight="1">
      <c r="A3" s="571"/>
      <c r="B3" s="1067" t="s">
        <v>169</v>
      </c>
      <c r="C3" s="1067"/>
      <c r="D3" s="1067"/>
      <c r="E3" s="1067"/>
      <c r="F3" s="1067"/>
      <c r="G3" s="1067"/>
      <c r="H3" s="1067"/>
      <c r="I3" s="1067"/>
      <c r="J3" s="1067"/>
      <c r="K3" s="1067"/>
      <c r="L3" s="594"/>
    </row>
    <row r="4" spans="1:12" ht="12.75" customHeight="1">
      <c r="A4" s="571"/>
      <c r="B4" s="1128" t="s">
        <v>321</v>
      </c>
      <c r="C4" s="1128"/>
      <c r="D4" s="1128"/>
      <c r="E4" s="1128"/>
      <c r="F4" s="1128"/>
      <c r="G4" s="1128"/>
      <c r="H4" s="1128"/>
      <c r="I4" s="1128"/>
      <c r="J4" s="1128"/>
      <c r="K4" s="1128"/>
      <c r="L4" s="595"/>
    </row>
    <row r="5" spans="1:12" ht="30" customHeight="1">
      <c r="C5" s="1108" t="s">
        <v>5</v>
      </c>
      <c r="D5" s="1118"/>
      <c r="E5" s="1108" t="s">
        <v>317</v>
      </c>
      <c r="F5" s="1118"/>
      <c r="G5" s="1108" t="s">
        <v>318</v>
      </c>
      <c r="H5" s="1118"/>
      <c r="I5" s="1108" t="s">
        <v>137</v>
      </c>
      <c r="J5" s="1118"/>
      <c r="K5" s="680"/>
      <c r="L5" s="576"/>
    </row>
    <row r="6" spans="1:12" ht="15" customHeight="1">
      <c r="A6" s="571"/>
      <c r="B6"/>
      <c r="C6" s="681" t="s">
        <v>6</v>
      </c>
      <c r="D6" s="682" t="s">
        <v>300</v>
      </c>
      <c r="E6" s="681" t="s">
        <v>6</v>
      </c>
      <c r="F6" s="577" t="s">
        <v>300</v>
      </c>
      <c r="G6" s="683" t="s">
        <v>6</v>
      </c>
      <c r="H6" s="684" t="s">
        <v>300</v>
      </c>
      <c r="I6" s="683" t="s">
        <v>6</v>
      </c>
      <c r="J6" s="684" t="s">
        <v>301</v>
      </c>
      <c r="K6" s="685"/>
      <c r="L6" s="574"/>
    </row>
    <row r="7" spans="1:12" ht="12.75" customHeight="1">
      <c r="A7" s="578"/>
      <c r="B7" s="711" t="s">
        <v>237</v>
      </c>
      <c r="C7" s="687">
        <f t="shared" ref="C7:H7" si="0">SUM(C8:C34)</f>
        <v>12452</v>
      </c>
      <c r="D7" s="712">
        <f t="shared" si="0"/>
        <v>680022</v>
      </c>
      <c r="E7" s="713">
        <f t="shared" si="0"/>
        <v>2749</v>
      </c>
      <c r="F7" s="712">
        <f t="shared" si="0"/>
        <v>119429</v>
      </c>
      <c r="G7" s="713">
        <f t="shared" si="0"/>
        <v>9703</v>
      </c>
      <c r="H7" s="712">
        <f t="shared" si="0"/>
        <v>560593</v>
      </c>
      <c r="I7" s="714">
        <f>G7/C7</f>
        <v>0.77923225184709288</v>
      </c>
      <c r="J7" s="715">
        <f>H7/D7</f>
        <v>0.8243747996388352</v>
      </c>
      <c r="K7" s="686" t="s">
        <v>237</v>
      </c>
      <c r="L7" s="574"/>
    </row>
    <row r="8" spans="1:12" ht="12.75" customHeight="1">
      <c r="A8" s="579"/>
      <c r="B8" s="716" t="s">
        <v>45</v>
      </c>
      <c r="C8" s="689">
        <f>E8+G8</f>
        <v>245</v>
      </c>
      <c r="D8" s="621">
        <f>F8+H8</f>
        <v>28045</v>
      </c>
      <c r="E8" s="690">
        <v>76</v>
      </c>
      <c r="F8" s="621">
        <v>8938</v>
      </c>
      <c r="G8" s="690">
        <v>169</v>
      </c>
      <c r="H8" s="621">
        <v>19107</v>
      </c>
      <c r="I8" s="717">
        <f>G8/C8</f>
        <v>0.68979591836734699</v>
      </c>
      <c r="J8" s="707">
        <f>H8/D8</f>
        <v>0.6812979140666785</v>
      </c>
      <c r="K8" s="688" t="s">
        <v>45</v>
      </c>
      <c r="L8" s="574"/>
    </row>
    <row r="9" spans="1:12" ht="12.75" customHeight="1">
      <c r="A9" s="580"/>
      <c r="B9" s="718" t="s">
        <v>28</v>
      </c>
      <c r="C9" s="439">
        <f t="shared" ref="C9:D42" si="1">E9+G9</f>
        <v>67</v>
      </c>
      <c r="D9" s="520">
        <f t="shared" si="1"/>
        <v>1786</v>
      </c>
      <c r="E9" s="400">
        <v>12</v>
      </c>
      <c r="F9" s="520">
        <v>104</v>
      </c>
      <c r="G9" s="400">
        <v>55</v>
      </c>
      <c r="H9" s="520">
        <v>1682</v>
      </c>
      <c r="I9" s="697">
        <f t="shared" ref="I9:J44" si="2">G9/C9</f>
        <v>0.82089552238805974</v>
      </c>
      <c r="J9" s="697">
        <f t="shared" si="2"/>
        <v>0.94176931690929455</v>
      </c>
      <c r="K9" s="691" t="s">
        <v>28</v>
      </c>
      <c r="L9" s="574"/>
    </row>
    <row r="10" spans="1:12" ht="12.75" customHeight="1">
      <c r="A10" s="580"/>
      <c r="B10" s="716" t="s">
        <v>30</v>
      </c>
      <c r="C10" s="707" t="s">
        <v>58</v>
      </c>
      <c r="D10" s="710" t="s">
        <v>58</v>
      </c>
      <c r="E10" s="659" t="s">
        <v>58</v>
      </c>
      <c r="F10" s="710" t="s">
        <v>58</v>
      </c>
      <c r="G10" s="659" t="s">
        <v>58</v>
      </c>
      <c r="H10" s="710" t="s">
        <v>58</v>
      </c>
      <c r="I10" s="707" t="s">
        <v>58</v>
      </c>
      <c r="J10" s="708" t="s">
        <v>58</v>
      </c>
      <c r="K10" s="688" t="s">
        <v>30</v>
      </c>
      <c r="L10" s="574"/>
    </row>
    <row r="11" spans="1:12" ht="12.75" customHeight="1">
      <c r="A11" s="580"/>
      <c r="B11" s="718" t="s">
        <v>41</v>
      </c>
      <c r="C11" s="439">
        <f t="shared" si="1"/>
        <v>827</v>
      </c>
      <c r="D11" s="520">
        <f t="shared" si="1"/>
        <v>43481</v>
      </c>
      <c r="E11" s="400">
        <v>377</v>
      </c>
      <c r="F11" s="520">
        <v>21917</v>
      </c>
      <c r="G11" s="400">
        <v>450</v>
      </c>
      <c r="H11" s="520">
        <v>21564</v>
      </c>
      <c r="I11" s="697">
        <f t="shared" si="2"/>
        <v>0.54413542926239422</v>
      </c>
      <c r="J11" s="697">
        <f t="shared" si="2"/>
        <v>0.49594075573238888</v>
      </c>
      <c r="K11" s="691" t="s">
        <v>41</v>
      </c>
      <c r="L11" s="574"/>
    </row>
    <row r="12" spans="1:12" ht="12.75" customHeight="1">
      <c r="A12" s="580"/>
      <c r="B12" s="716" t="s">
        <v>46</v>
      </c>
      <c r="C12" s="689">
        <f t="shared" si="1"/>
        <v>2312</v>
      </c>
      <c r="D12" s="621">
        <f t="shared" si="1"/>
        <v>79184</v>
      </c>
      <c r="E12" s="690">
        <v>157</v>
      </c>
      <c r="F12" s="621">
        <v>6850</v>
      </c>
      <c r="G12" s="690">
        <v>2155</v>
      </c>
      <c r="H12" s="621">
        <v>72334</v>
      </c>
      <c r="I12" s="707">
        <f t="shared" si="2"/>
        <v>0.93209342560553632</v>
      </c>
      <c r="J12" s="707">
        <f t="shared" si="2"/>
        <v>0.91349262477268134</v>
      </c>
      <c r="K12" s="688" t="s">
        <v>46</v>
      </c>
      <c r="L12" s="574"/>
    </row>
    <row r="13" spans="1:12" ht="12.75" customHeight="1">
      <c r="A13" s="580"/>
      <c r="B13" s="718" t="s">
        <v>31</v>
      </c>
      <c r="C13" s="439">
        <f t="shared" si="1"/>
        <v>89</v>
      </c>
      <c r="D13" s="520">
        <f t="shared" si="1"/>
        <v>690</v>
      </c>
      <c r="E13" s="400">
        <v>9</v>
      </c>
      <c r="F13" s="520">
        <v>17</v>
      </c>
      <c r="G13" s="400">
        <v>80</v>
      </c>
      <c r="H13" s="520">
        <v>673</v>
      </c>
      <c r="I13" s="697">
        <f t="shared" si="2"/>
        <v>0.898876404494382</v>
      </c>
      <c r="J13" s="697">
        <f t="shared" si="2"/>
        <v>0.97536231884057967</v>
      </c>
      <c r="K13" s="691" t="s">
        <v>31</v>
      </c>
      <c r="L13" s="574"/>
    </row>
    <row r="14" spans="1:12" ht="12.75" customHeight="1">
      <c r="A14" s="580"/>
      <c r="B14" s="716" t="s">
        <v>49</v>
      </c>
      <c r="C14" s="689">
        <f t="shared" si="1"/>
        <v>98</v>
      </c>
      <c r="D14" s="621">
        <f t="shared" si="1"/>
        <v>1765</v>
      </c>
      <c r="E14" s="690">
        <v>38</v>
      </c>
      <c r="F14" s="621">
        <v>368</v>
      </c>
      <c r="G14" s="690">
        <v>60</v>
      </c>
      <c r="H14" s="621">
        <v>1397</v>
      </c>
      <c r="I14" s="717">
        <f t="shared" si="2"/>
        <v>0.61224489795918369</v>
      </c>
      <c r="J14" s="707">
        <f t="shared" si="2"/>
        <v>0.79150141643059491</v>
      </c>
      <c r="K14" s="688" t="s">
        <v>49</v>
      </c>
      <c r="L14" s="574"/>
    </row>
    <row r="15" spans="1:12" ht="12.75" customHeight="1">
      <c r="A15" s="580"/>
      <c r="B15" s="718" t="s">
        <v>42</v>
      </c>
      <c r="C15" s="439">
        <f t="shared" si="1"/>
        <v>5129</v>
      </c>
      <c r="D15" s="520">
        <f t="shared" si="1"/>
        <v>413604</v>
      </c>
      <c r="E15" s="400">
        <v>628</v>
      </c>
      <c r="F15" s="520">
        <v>59094</v>
      </c>
      <c r="G15" s="400">
        <v>4501</v>
      </c>
      <c r="H15" s="520">
        <v>354510</v>
      </c>
      <c r="I15" s="697">
        <f t="shared" si="2"/>
        <v>0.8775589783583545</v>
      </c>
      <c r="J15" s="697">
        <f t="shared" si="2"/>
        <v>0.8571242057620333</v>
      </c>
      <c r="K15" s="691" t="s">
        <v>42</v>
      </c>
      <c r="L15" s="574"/>
    </row>
    <row r="16" spans="1:12" ht="12.75" customHeight="1">
      <c r="A16" s="580"/>
      <c r="B16" s="716" t="s">
        <v>47</v>
      </c>
      <c r="C16" s="689">
        <f t="shared" si="1"/>
        <v>194</v>
      </c>
      <c r="D16" s="621">
        <f t="shared" si="1"/>
        <v>3815</v>
      </c>
      <c r="E16" s="690">
        <v>82</v>
      </c>
      <c r="F16" s="621">
        <v>451</v>
      </c>
      <c r="G16" s="690">
        <v>112</v>
      </c>
      <c r="H16" s="621">
        <v>3364</v>
      </c>
      <c r="I16" s="717">
        <f t="shared" si="2"/>
        <v>0.57731958762886593</v>
      </c>
      <c r="J16" s="707">
        <f t="shared" si="2"/>
        <v>0.8817824377457405</v>
      </c>
      <c r="K16" s="688" t="s">
        <v>47</v>
      </c>
      <c r="L16" s="574"/>
    </row>
    <row r="17" spans="1:12" ht="12.75" customHeight="1">
      <c r="A17" s="580"/>
      <c r="B17" s="718" t="s">
        <v>48</v>
      </c>
      <c r="C17" s="439">
        <f t="shared" si="1"/>
        <v>374</v>
      </c>
      <c r="D17" s="520">
        <f t="shared" si="1"/>
        <v>18950</v>
      </c>
      <c r="E17" s="400">
        <v>123</v>
      </c>
      <c r="F17" s="520">
        <v>4171</v>
      </c>
      <c r="G17" s="400">
        <v>251</v>
      </c>
      <c r="H17" s="520">
        <v>14779</v>
      </c>
      <c r="I17" s="697">
        <f t="shared" si="2"/>
        <v>0.67112299465240643</v>
      </c>
      <c r="J17" s="697">
        <f t="shared" si="2"/>
        <v>0.77989445910290234</v>
      </c>
      <c r="K17" s="691" t="s">
        <v>48</v>
      </c>
      <c r="L17" s="574"/>
    </row>
    <row r="18" spans="1:12" ht="12.75" customHeight="1">
      <c r="A18" s="580"/>
      <c r="B18" s="719" t="s">
        <v>59</v>
      </c>
      <c r="C18" s="689">
        <f t="shared" si="1"/>
        <v>81</v>
      </c>
      <c r="D18" s="507">
        <f t="shared" si="1"/>
        <v>2470</v>
      </c>
      <c r="E18" s="401">
        <v>55</v>
      </c>
      <c r="F18" s="507">
        <v>1477</v>
      </c>
      <c r="G18" s="401">
        <v>26</v>
      </c>
      <c r="H18" s="507">
        <v>993</v>
      </c>
      <c r="I18" s="717">
        <f t="shared" si="2"/>
        <v>0.32098765432098764</v>
      </c>
      <c r="J18" s="707">
        <f t="shared" si="2"/>
        <v>0.40202429149797569</v>
      </c>
      <c r="K18" s="203" t="s">
        <v>59</v>
      </c>
      <c r="L18" s="574"/>
    </row>
    <row r="19" spans="1:12" ht="12.75" customHeight="1">
      <c r="A19" s="580"/>
      <c r="B19" s="718" t="s">
        <v>50</v>
      </c>
      <c r="C19" s="439">
        <f t="shared" si="1"/>
        <v>1109</v>
      </c>
      <c r="D19" s="520">
        <f t="shared" si="1"/>
        <v>49027</v>
      </c>
      <c r="E19" s="400">
        <v>383</v>
      </c>
      <c r="F19" s="520">
        <v>7523</v>
      </c>
      <c r="G19" s="400">
        <v>726</v>
      </c>
      <c r="H19" s="520">
        <v>41504</v>
      </c>
      <c r="I19" s="697">
        <f t="shared" si="2"/>
        <v>0.65464382326420201</v>
      </c>
      <c r="J19" s="697">
        <f t="shared" si="2"/>
        <v>0.84655393966589843</v>
      </c>
      <c r="K19" s="691" t="s">
        <v>50</v>
      </c>
      <c r="L19" s="574"/>
    </row>
    <row r="20" spans="1:12" ht="12.75" customHeight="1">
      <c r="A20" s="580"/>
      <c r="B20" s="719" t="s">
        <v>29</v>
      </c>
      <c r="C20" s="689">
        <f t="shared" si="1"/>
        <v>218</v>
      </c>
      <c r="D20" s="507">
        <f t="shared" si="1"/>
        <v>8947</v>
      </c>
      <c r="E20" s="401">
        <v>53</v>
      </c>
      <c r="F20" s="507">
        <v>1750</v>
      </c>
      <c r="G20" s="401">
        <v>165</v>
      </c>
      <c r="H20" s="507">
        <v>7197</v>
      </c>
      <c r="I20" s="717">
        <f t="shared" si="2"/>
        <v>0.75688073394495414</v>
      </c>
      <c r="J20" s="707">
        <f t="shared" si="2"/>
        <v>0.80440371074103056</v>
      </c>
      <c r="K20" s="203" t="s">
        <v>29</v>
      </c>
      <c r="L20" s="574"/>
    </row>
    <row r="21" spans="1:12" ht="12.75" customHeight="1">
      <c r="A21" s="580"/>
      <c r="B21" s="718" t="s">
        <v>33</v>
      </c>
      <c r="C21" s="439">
        <f t="shared" si="1"/>
        <v>59</v>
      </c>
      <c r="D21" s="520">
        <f t="shared" si="1"/>
        <v>354</v>
      </c>
      <c r="E21" s="400">
        <v>3</v>
      </c>
      <c r="F21" s="520">
        <v>7</v>
      </c>
      <c r="G21" s="400">
        <v>56</v>
      </c>
      <c r="H21" s="520">
        <v>347</v>
      </c>
      <c r="I21" s="697">
        <f t="shared" si="2"/>
        <v>0.94915254237288138</v>
      </c>
      <c r="J21" s="697">
        <f t="shared" si="2"/>
        <v>0.98022598870056499</v>
      </c>
      <c r="K21" s="691" t="s">
        <v>33</v>
      </c>
      <c r="L21" s="574"/>
    </row>
    <row r="22" spans="1:12" ht="12.75" customHeight="1">
      <c r="A22" s="580"/>
      <c r="B22" s="719" t="s">
        <v>34</v>
      </c>
      <c r="C22" s="689">
        <f t="shared" si="1"/>
        <v>56</v>
      </c>
      <c r="D22" s="507">
        <f t="shared" si="1"/>
        <v>254</v>
      </c>
      <c r="E22" s="401">
        <v>18</v>
      </c>
      <c r="F22" s="507">
        <v>104</v>
      </c>
      <c r="G22" s="401">
        <v>38</v>
      </c>
      <c r="H22" s="507">
        <v>150</v>
      </c>
      <c r="I22" s="717">
        <f t="shared" si="2"/>
        <v>0.6785714285714286</v>
      </c>
      <c r="J22" s="707">
        <f t="shared" si="2"/>
        <v>0.59055118110236215</v>
      </c>
      <c r="K22" s="203" t="s">
        <v>34</v>
      </c>
      <c r="L22" s="574"/>
    </row>
    <row r="23" spans="1:12" ht="12.75" customHeight="1">
      <c r="A23" s="580"/>
      <c r="B23" s="718" t="s">
        <v>51</v>
      </c>
      <c r="C23" s="295">
        <f>G23</f>
        <v>19</v>
      </c>
      <c r="D23" s="692">
        <f>H23</f>
        <v>1847</v>
      </c>
      <c r="E23" s="693" t="s">
        <v>58</v>
      </c>
      <c r="F23" s="692" t="s">
        <v>58</v>
      </c>
      <c r="G23" s="400">
        <v>19</v>
      </c>
      <c r="H23" s="520">
        <v>1847</v>
      </c>
      <c r="I23" s="697">
        <f t="shared" si="2"/>
        <v>1</v>
      </c>
      <c r="J23" s="697">
        <f t="shared" si="2"/>
        <v>1</v>
      </c>
      <c r="K23" s="691" t="s">
        <v>51</v>
      </c>
      <c r="L23" s="574"/>
    </row>
    <row r="24" spans="1:12" ht="12.75" customHeight="1">
      <c r="A24" s="580"/>
      <c r="B24" s="719" t="s">
        <v>32</v>
      </c>
      <c r="C24" s="223" t="s">
        <v>58</v>
      </c>
      <c r="D24" s="710" t="s">
        <v>58</v>
      </c>
      <c r="E24" s="286" t="s">
        <v>58</v>
      </c>
      <c r="F24" s="710" t="s">
        <v>58</v>
      </c>
      <c r="G24" s="286" t="s">
        <v>58</v>
      </c>
      <c r="H24" s="659" t="s">
        <v>58</v>
      </c>
      <c r="I24" s="717" t="s">
        <v>58</v>
      </c>
      <c r="J24" s="707" t="s">
        <v>58</v>
      </c>
      <c r="K24" s="7" t="s">
        <v>32</v>
      </c>
      <c r="L24" s="574"/>
    </row>
    <row r="25" spans="1:12" ht="12.75" customHeight="1">
      <c r="A25" s="580"/>
      <c r="B25" s="718" t="s">
        <v>35</v>
      </c>
      <c r="C25" s="439">
        <f t="shared" si="1"/>
        <v>66</v>
      </c>
      <c r="D25" s="520">
        <f t="shared" si="1"/>
        <v>1208</v>
      </c>
      <c r="E25" s="400">
        <v>33</v>
      </c>
      <c r="F25" s="520">
        <v>421</v>
      </c>
      <c r="G25" s="400">
        <v>33</v>
      </c>
      <c r="H25" s="520">
        <v>787</v>
      </c>
      <c r="I25" s="697">
        <f t="shared" si="2"/>
        <v>0.5</v>
      </c>
      <c r="J25" s="697">
        <f t="shared" si="2"/>
        <v>0.65149006622516559</v>
      </c>
      <c r="K25" s="691" t="s">
        <v>35</v>
      </c>
      <c r="L25" s="574"/>
    </row>
    <row r="26" spans="1:12" ht="12.75" customHeight="1">
      <c r="A26" s="580"/>
      <c r="B26" s="719" t="s">
        <v>43</v>
      </c>
      <c r="C26" s="689">
        <f t="shared" si="1"/>
        <v>899</v>
      </c>
      <c r="D26" s="507">
        <f t="shared" si="1"/>
        <v>12765</v>
      </c>
      <c r="E26" s="401">
        <v>536</v>
      </c>
      <c r="F26" s="507">
        <v>4533</v>
      </c>
      <c r="G26" s="401">
        <v>363</v>
      </c>
      <c r="H26" s="507">
        <v>8232</v>
      </c>
      <c r="I26" s="717">
        <f t="shared" si="2"/>
        <v>0.40378197997775306</v>
      </c>
      <c r="J26" s="707">
        <f t="shared" si="2"/>
        <v>0.64488836662749704</v>
      </c>
      <c r="K26" s="203" t="s">
        <v>43</v>
      </c>
      <c r="L26" s="574"/>
    </row>
    <row r="27" spans="1:12" ht="12.75" customHeight="1">
      <c r="A27" s="580"/>
      <c r="B27" s="718" t="s">
        <v>52</v>
      </c>
      <c r="C27" s="694">
        <f>G27</f>
        <v>4</v>
      </c>
      <c r="D27" s="692">
        <f>H27</f>
        <v>31</v>
      </c>
      <c r="E27" s="693"/>
      <c r="F27" s="692"/>
      <c r="G27" s="400">
        <v>4</v>
      </c>
      <c r="H27" s="520">
        <v>31</v>
      </c>
      <c r="I27" s="697">
        <f t="shared" si="2"/>
        <v>1</v>
      </c>
      <c r="J27" s="697">
        <f t="shared" si="2"/>
        <v>1</v>
      </c>
      <c r="K27" s="691" t="s">
        <v>52</v>
      </c>
      <c r="L27" s="574"/>
    </row>
    <row r="28" spans="1:12" ht="12.75" customHeight="1">
      <c r="A28" s="580"/>
      <c r="B28" s="719" t="s">
        <v>36</v>
      </c>
      <c r="C28" s="689">
        <f t="shared" si="1"/>
        <v>99</v>
      </c>
      <c r="D28" s="507">
        <f t="shared" si="1"/>
        <v>2637</v>
      </c>
      <c r="E28" s="401">
        <v>5</v>
      </c>
      <c r="F28" s="507">
        <v>15</v>
      </c>
      <c r="G28" s="401">
        <v>94</v>
      </c>
      <c r="H28" s="507">
        <v>2622</v>
      </c>
      <c r="I28" s="717">
        <f t="shared" si="2"/>
        <v>0.9494949494949495</v>
      </c>
      <c r="J28" s="707">
        <f t="shared" si="2"/>
        <v>0.99431171786120587</v>
      </c>
      <c r="K28" s="203" t="s">
        <v>36</v>
      </c>
      <c r="L28" s="574"/>
    </row>
    <row r="29" spans="1:12" ht="12.75" customHeight="1">
      <c r="A29" s="580"/>
      <c r="B29" s="718" t="s">
        <v>53</v>
      </c>
      <c r="C29" s="439">
        <f t="shared" si="1"/>
        <v>41</v>
      </c>
      <c r="D29" s="520">
        <f t="shared" si="1"/>
        <v>886</v>
      </c>
      <c r="E29" s="400">
        <v>22</v>
      </c>
      <c r="F29" s="520">
        <v>122</v>
      </c>
      <c r="G29" s="400">
        <v>19</v>
      </c>
      <c r="H29" s="520">
        <v>764</v>
      </c>
      <c r="I29" s="697">
        <f t="shared" si="2"/>
        <v>0.46341463414634149</v>
      </c>
      <c r="J29" s="697">
        <f t="shared" si="2"/>
        <v>0.86230248306997748</v>
      </c>
      <c r="K29" s="691" t="s">
        <v>53</v>
      </c>
      <c r="L29" s="574"/>
    </row>
    <row r="30" spans="1:12" ht="12.75" customHeight="1">
      <c r="A30" s="580"/>
      <c r="B30" s="719" t="s">
        <v>37</v>
      </c>
      <c r="C30" s="689">
        <f t="shared" si="1"/>
        <v>95</v>
      </c>
      <c r="D30" s="507">
        <f t="shared" si="1"/>
        <v>1165</v>
      </c>
      <c r="E30" s="401">
        <v>2</v>
      </c>
      <c r="F30" s="507">
        <v>24</v>
      </c>
      <c r="G30" s="401">
        <v>93</v>
      </c>
      <c r="H30" s="507">
        <v>1141</v>
      </c>
      <c r="I30" s="717">
        <f t="shared" si="2"/>
        <v>0.97894736842105268</v>
      </c>
      <c r="J30" s="707">
        <f t="shared" si="2"/>
        <v>0.97939914163090125</v>
      </c>
      <c r="K30" s="203" t="s">
        <v>37</v>
      </c>
      <c r="L30" s="574"/>
    </row>
    <row r="31" spans="1:12" ht="12.75" customHeight="1">
      <c r="A31" s="580"/>
      <c r="B31" s="718" t="s">
        <v>39</v>
      </c>
      <c r="C31" s="295">
        <f>G31</f>
        <v>1</v>
      </c>
      <c r="D31" s="692">
        <f>H31</f>
        <v>6</v>
      </c>
      <c r="E31" s="693" t="s">
        <v>58</v>
      </c>
      <c r="F31" s="692" t="s">
        <v>58</v>
      </c>
      <c r="G31" s="439">
        <v>1</v>
      </c>
      <c r="H31" s="520">
        <v>6</v>
      </c>
      <c r="I31" s="697">
        <f t="shared" si="2"/>
        <v>1</v>
      </c>
      <c r="J31" s="697">
        <f t="shared" si="2"/>
        <v>1</v>
      </c>
      <c r="K31" s="691" t="s">
        <v>39</v>
      </c>
      <c r="L31" s="574"/>
    </row>
    <row r="32" spans="1:12" ht="12.75" customHeight="1">
      <c r="A32" s="580"/>
      <c r="B32" s="719" t="s">
        <v>38</v>
      </c>
      <c r="C32" s="223" t="s">
        <v>58</v>
      </c>
      <c r="D32" s="710" t="s">
        <v>58</v>
      </c>
      <c r="E32" s="223" t="s">
        <v>58</v>
      </c>
      <c r="F32" s="710" t="s">
        <v>58</v>
      </c>
      <c r="G32" s="223" t="s">
        <v>58</v>
      </c>
      <c r="H32" s="659" t="s">
        <v>58</v>
      </c>
      <c r="I32" s="717" t="s">
        <v>58</v>
      </c>
      <c r="J32" s="707" t="s">
        <v>58</v>
      </c>
      <c r="K32" s="7" t="s">
        <v>38</v>
      </c>
      <c r="L32" s="574"/>
    </row>
    <row r="33" spans="1:12" ht="12.75" customHeight="1">
      <c r="A33" s="580"/>
      <c r="B33" s="718" t="s">
        <v>54</v>
      </c>
      <c r="C33" s="439">
        <f t="shared" si="1"/>
        <v>111</v>
      </c>
      <c r="D33" s="520">
        <f t="shared" si="1"/>
        <v>2062</v>
      </c>
      <c r="E33" s="400">
        <v>66</v>
      </c>
      <c r="F33" s="520">
        <v>778</v>
      </c>
      <c r="G33" s="400">
        <v>45</v>
      </c>
      <c r="H33" s="520">
        <v>1284</v>
      </c>
      <c r="I33" s="697">
        <f t="shared" si="2"/>
        <v>0.40540540540540543</v>
      </c>
      <c r="J33" s="697">
        <f t="shared" si="2"/>
        <v>0.62269641125121244</v>
      </c>
      <c r="K33" s="691" t="s">
        <v>54</v>
      </c>
      <c r="L33" s="574"/>
    </row>
    <row r="34" spans="1:12" ht="12.75" customHeight="1">
      <c r="A34" s="580"/>
      <c r="B34" s="720" t="s">
        <v>55</v>
      </c>
      <c r="C34" s="698">
        <f t="shared" si="1"/>
        <v>259</v>
      </c>
      <c r="D34" s="619">
        <f t="shared" si="1"/>
        <v>5043</v>
      </c>
      <c r="E34" s="402">
        <v>71</v>
      </c>
      <c r="F34" s="619">
        <v>765</v>
      </c>
      <c r="G34" s="402">
        <v>188</v>
      </c>
      <c r="H34" s="619">
        <v>4278</v>
      </c>
      <c r="I34" s="721">
        <f t="shared" si="2"/>
        <v>0.72586872586872586</v>
      </c>
      <c r="J34" s="722">
        <f t="shared" si="2"/>
        <v>0.84830458060678171</v>
      </c>
      <c r="K34" s="695" t="s">
        <v>55</v>
      </c>
      <c r="L34" s="574"/>
    </row>
    <row r="35" spans="1:12" ht="12.75" customHeight="1">
      <c r="A35" s="580"/>
      <c r="B35" s="718" t="s">
        <v>26</v>
      </c>
      <c r="C35" s="439">
        <f t="shared" ref="C35:D37" si="3">E35+G35</f>
        <v>14</v>
      </c>
      <c r="D35" s="520">
        <f t="shared" si="3"/>
        <v>111</v>
      </c>
      <c r="E35" s="400">
        <v>3</v>
      </c>
      <c r="F35" s="520">
        <v>1</v>
      </c>
      <c r="G35" s="400">
        <v>11</v>
      </c>
      <c r="H35" s="520">
        <v>110</v>
      </c>
      <c r="I35" s="697">
        <f t="shared" ref="I35:J37" si="4">G35/C35</f>
        <v>0.7857142857142857</v>
      </c>
      <c r="J35" s="697">
        <f t="shared" si="4"/>
        <v>0.99099099099099097</v>
      </c>
      <c r="K35" s="691" t="s">
        <v>26</v>
      </c>
      <c r="L35" s="574"/>
    </row>
    <row r="36" spans="1:12" ht="12.75" customHeight="1">
      <c r="A36" s="580"/>
      <c r="B36" s="719" t="s">
        <v>56</v>
      </c>
      <c r="C36" s="689">
        <f t="shared" si="3"/>
        <v>1697</v>
      </c>
      <c r="D36" s="507">
        <f t="shared" si="3"/>
        <v>76723</v>
      </c>
      <c r="E36" s="401">
        <v>663</v>
      </c>
      <c r="F36" s="507">
        <v>17072</v>
      </c>
      <c r="G36" s="401">
        <v>1034</v>
      </c>
      <c r="H36" s="507">
        <v>59651</v>
      </c>
      <c r="I36" s="717">
        <f t="shared" si="4"/>
        <v>0.6093105480259281</v>
      </c>
      <c r="J36" s="707">
        <f t="shared" si="4"/>
        <v>0.77748523910691714</v>
      </c>
      <c r="K36" s="203" t="s">
        <v>56</v>
      </c>
      <c r="L36" s="574"/>
    </row>
    <row r="37" spans="1:12" ht="12.75" customHeight="1">
      <c r="A37" s="580"/>
      <c r="B37" s="723" t="s">
        <v>27</v>
      </c>
      <c r="C37" s="699">
        <f t="shared" si="3"/>
        <v>174</v>
      </c>
      <c r="D37" s="622">
        <f t="shared" si="3"/>
        <v>8136</v>
      </c>
      <c r="E37" s="446">
        <v>15</v>
      </c>
      <c r="F37" s="622">
        <v>870</v>
      </c>
      <c r="G37" s="446">
        <v>159</v>
      </c>
      <c r="H37" s="622">
        <v>7266</v>
      </c>
      <c r="I37" s="724">
        <f t="shared" si="4"/>
        <v>0.91379310344827591</v>
      </c>
      <c r="J37" s="725">
        <f t="shared" si="4"/>
        <v>0.89306784660766958</v>
      </c>
      <c r="K37" s="135" t="s">
        <v>27</v>
      </c>
      <c r="L37" s="574"/>
    </row>
    <row r="38" spans="1:12" ht="12.75" customHeight="1">
      <c r="A38" s="580"/>
      <c r="B38" s="726" t="s">
        <v>312</v>
      </c>
      <c r="C38" s="709" t="s">
        <v>58</v>
      </c>
      <c r="D38" s="710" t="s">
        <v>58</v>
      </c>
      <c r="E38" s="709" t="s">
        <v>58</v>
      </c>
      <c r="F38" s="710" t="s">
        <v>58</v>
      </c>
      <c r="G38" s="709" t="s">
        <v>58</v>
      </c>
      <c r="H38" s="710" t="s">
        <v>58</v>
      </c>
      <c r="I38" s="709" t="s">
        <v>58</v>
      </c>
      <c r="J38" s="507" t="s">
        <v>58</v>
      </c>
      <c r="K38" s="203" t="s">
        <v>312</v>
      </c>
      <c r="L38" s="574"/>
    </row>
    <row r="39" spans="1:12" ht="12.75" customHeight="1">
      <c r="A39" s="580"/>
      <c r="B39" s="727" t="s">
        <v>139</v>
      </c>
      <c r="C39" s="295">
        <f>E39</f>
        <v>4</v>
      </c>
      <c r="D39" s="692">
        <f>F39</f>
        <v>140</v>
      </c>
      <c r="E39" s="693">
        <v>4</v>
      </c>
      <c r="F39" s="692">
        <v>140</v>
      </c>
      <c r="G39" s="693" t="s">
        <v>58</v>
      </c>
      <c r="H39" s="692" t="s">
        <v>58</v>
      </c>
      <c r="I39" s="697">
        <v>0</v>
      </c>
      <c r="J39" s="697">
        <v>0</v>
      </c>
      <c r="K39" s="691" t="s">
        <v>139</v>
      </c>
      <c r="L39" s="574"/>
    </row>
    <row r="40" spans="1:12" ht="12.75" customHeight="1">
      <c r="A40" s="580"/>
      <c r="B40" s="726" t="s">
        <v>0</v>
      </c>
      <c r="C40" s="285" t="s">
        <v>58</v>
      </c>
      <c r="D40" s="710" t="s">
        <v>58</v>
      </c>
      <c r="E40" s="432" t="s">
        <v>58</v>
      </c>
      <c r="F40" s="710" t="s">
        <v>58</v>
      </c>
      <c r="G40" s="401" t="s">
        <v>58</v>
      </c>
      <c r="H40" s="710" t="s">
        <v>58</v>
      </c>
      <c r="I40" s="709" t="s">
        <v>58</v>
      </c>
      <c r="J40" s="709" t="s">
        <v>58</v>
      </c>
      <c r="K40" s="203" t="s">
        <v>0</v>
      </c>
      <c r="L40" s="574"/>
    </row>
    <row r="41" spans="1:12" ht="12.75" customHeight="1">
      <c r="A41" s="580"/>
      <c r="B41" s="727" t="s">
        <v>314</v>
      </c>
      <c r="C41" s="224" t="s">
        <v>58</v>
      </c>
      <c r="D41" s="728" t="s">
        <v>58</v>
      </c>
      <c r="E41" s="296" t="s">
        <v>58</v>
      </c>
      <c r="F41" s="728" t="s">
        <v>58</v>
      </c>
      <c r="G41" s="296" t="s">
        <v>58</v>
      </c>
      <c r="H41" s="728" t="s">
        <v>58</v>
      </c>
      <c r="I41" s="697" t="s">
        <v>58</v>
      </c>
      <c r="J41" s="697" t="s">
        <v>58</v>
      </c>
      <c r="K41" s="107" t="s">
        <v>314</v>
      </c>
      <c r="L41" s="574"/>
    </row>
    <row r="42" spans="1:12" ht="12.75" customHeight="1">
      <c r="A42" s="579"/>
      <c r="B42" s="705" t="s">
        <v>144</v>
      </c>
      <c r="C42" s="432">
        <f t="shared" si="1"/>
        <v>26</v>
      </c>
      <c r="D42" s="701">
        <f t="shared" si="1"/>
        <v>87</v>
      </c>
      <c r="E42" s="432">
        <v>8</v>
      </c>
      <c r="F42" s="701">
        <v>20</v>
      </c>
      <c r="G42" s="401">
        <v>18</v>
      </c>
      <c r="H42" s="507">
        <v>67</v>
      </c>
      <c r="I42" s="709">
        <f>G42/C42</f>
        <v>0.69230769230769229</v>
      </c>
      <c r="J42" s="709">
        <f>H42/D42</f>
        <v>0.77011494252873558</v>
      </c>
      <c r="K42" s="203" t="s">
        <v>144</v>
      </c>
      <c r="L42" s="574"/>
    </row>
    <row r="43" spans="1:12" ht="12.75" customHeight="1">
      <c r="A43" s="579"/>
      <c r="B43" s="704" t="s">
        <v>138</v>
      </c>
      <c r="C43" s="693">
        <f t="shared" ref="C43:C46" si="5">E43+G43</f>
        <v>2</v>
      </c>
      <c r="D43" s="692">
        <f t="shared" ref="D43:D46" si="6">F43+H43</f>
        <v>12</v>
      </c>
      <c r="E43" s="693"/>
      <c r="F43" s="692"/>
      <c r="G43" s="439">
        <v>2</v>
      </c>
      <c r="H43" s="520">
        <v>12</v>
      </c>
      <c r="I43" s="697">
        <f>G43/C43</f>
        <v>1</v>
      </c>
      <c r="J43" s="697">
        <f>H43/D43</f>
        <v>1</v>
      </c>
      <c r="K43" s="691" t="s">
        <v>138</v>
      </c>
      <c r="L43" s="574"/>
    </row>
    <row r="44" spans="1:12" ht="12.75" customHeight="1">
      <c r="A44" s="579"/>
      <c r="B44" s="705" t="s">
        <v>40</v>
      </c>
      <c r="C44" s="432">
        <f t="shared" si="5"/>
        <v>1517</v>
      </c>
      <c r="D44" s="701">
        <f t="shared" si="6"/>
        <v>30680</v>
      </c>
      <c r="E44" s="432">
        <v>353</v>
      </c>
      <c r="F44" s="701">
        <v>5157</v>
      </c>
      <c r="G44" s="434">
        <v>1164</v>
      </c>
      <c r="H44" s="507">
        <v>25523</v>
      </c>
      <c r="I44" s="709">
        <f t="shared" si="2"/>
        <v>0.76730388925510873</v>
      </c>
      <c r="J44" s="709">
        <f t="shared" si="2"/>
        <v>0.83191003911342898</v>
      </c>
      <c r="K44" s="203" t="s">
        <v>40</v>
      </c>
      <c r="L44" s="574"/>
    </row>
    <row r="45" spans="1:12" ht="12.75" customHeight="1">
      <c r="A45" s="579"/>
      <c r="B45" s="706" t="s">
        <v>313</v>
      </c>
      <c r="C45" s="702">
        <f t="shared" si="5"/>
        <v>291</v>
      </c>
      <c r="D45" s="703">
        <f t="shared" si="6"/>
        <v>3290</v>
      </c>
      <c r="E45" s="702">
        <v>68</v>
      </c>
      <c r="F45" s="703">
        <v>273</v>
      </c>
      <c r="G45" s="699">
        <v>223</v>
      </c>
      <c r="H45" s="622">
        <v>3017</v>
      </c>
      <c r="I45" s="729">
        <f t="shared" ref="I45:I46" si="7">G45/C45</f>
        <v>0.76632302405498287</v>
      </c>
      <c r="J45" s="725">
        <f t="shared" ref="J45:J46" si="8">H45/D45</f>
        <v>0.91702127659574473</v>
      </c>
      <c r="K45" s="135" t="s">
        <v>313</v>
      </c>
      <c r="L45" s="574"/>
    </row>
    <row r="46" spans="1:12" ht="12.75" customHeight="1">
      <c r="A46" s="579"/>
      <c r="B46" s="845" t="s">
        <v>44</v>
      </c>
      <c r="C46" s="590">
        <f t="shared" si="5"/>
        <v>831</v>
      </c>
      <c r="D46" s="846">
        <f t="shared" si="6"/>
        <v>42085</v>
      </c>
      <c r="E46" s="432">
        <v>167</v>
      </c>
      <c r="F46" s="701">
        <v>6534</v>
      </c>
      <c r="G46" s="434">
        <v>664</v>
      </c>
      <c r="H46" s="507">
        <v>35551</v>
      </c>
      <c r="I46" s="709">
        <f t="shared" si="7"/>
        <v>0.7990373044524669</v>
      </c>
      <c r="J46" s="709">
        <f t="shared" si="8"/>
        <v>0.84474278246406087</v>
      </c>
      <c r="K46" s="203" t="s">
        <v>44</v>
      </c>
      <c r="L46" s="574"/>
    </row>
    <row r="47" spans="1:12" ht="12.75" customHeight="1">
      <c r="A47" s="580"/>
      <c r="B47" s="1095" t="s">
        <v>319</v>
      </c>
      <c r="C47" s="1095"/>
      <c r="D47" s="1095"/>
      <c r="E47" s="1095"/>
      <c r="F47" s="1095"/>
      <c r="G47" s="1095"/>
      <c r="H47" s="1095"/>
      <c r="I47" s="1095"/>
      <c r="J47" s="1095"/>
      <c r="K47" s="665"/>
      <c r="L47" s="574"/>
    </row>
    <row r="48" spans="1:12" ht="13.5" customHeight="1">
      <c r="B48" s="1093" t="s">
        <v>289</v>
      </c>
      <c r="C48" s="1093"/>
      <c r="D48" s="700"/>
      <c r="E48" s="700"/>
      <c r="F48" s="700"/>
      <c r="G48" s="700"/>
      <c r="H48" s="700"/>
      <c r="I48" s="700"/>
      <c r="J48" s="700"/>
      <c r="K48" s="700"/>
      <c r="L48" s="574"/>
    </row>
    <row r="49" spans="2:11" ht="10.5" customHeight="1">
      <c r="B49" s="1127" t="s">
        <v>320</v>
      </c>
      <c r="C49" s="1127"/>
      <c r="D49" s="1127"/>
      <c r="E49" s="1127"/>
      <c r="F49" s="1127"/>
      <c r="G49" s="1127"/>
      <c r="H49" s="1127"/>
      <c r="I49" s="1127"/>
      <c r="J49" s="1127"/>
      <c r="K49" s="1127"/>
    </row>
  </sheetData>
  <mergeCells count="10">
    <mergeCell ref="B47:J47"/>
    <mergeCell ref="B48:C48"/>
    <mergeCell ref="B49:K49"/>
    <mergeCell ref="B2:K2"/>
    <mergeCell ref="B3:K3"/>
    <mergeCell ref="B4:K4"/>
    <mergeCell ref="C5:D5"/>
    <mergeCell ref="E5:F5"/>
    <mergeCell ref="G5:H5"/>
    <mergeCell ref="I5:J5"/>
  </mergeCells>
  <phoneticPr fontId="7" type="noConversion"/>
  <printOptions horizontalCentered="1"/>
  <pageMargins left="0.6692913385826772" right="0.6692913385826772" top="0.51181102362204722" bottom="0.27559055118110237" header="0" footer="0"/>
  <pageSetup paperSize="9"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84"/>
  <dimension ref="B1:AA23"/>
  <sheetViews>
    <sheetView zoomScale="85" zoomScaleNormal="85" workbookViewId="0">
      <selection activeCell="AE28" sqref="AE28"/>
    </sheetView>
  </sheetViews>
  <sheetFormatPr defaultRowHeight="12.75"/>
  <cols>
    <col min="1" max="1" width="1.86328125" customWidth="1"/>
    <col min="2" max="2" width="17.1328125" customWidth="1"/>
    <col min="3" max="12" width="9.73046875" customWidth="1"/>
    <col min="13" max="15" width="9.1328125" customWidth="1"/>
    <col min="16" max="18" width="9.265625" customWidth="1"/>
    <col min="19" max="19" width="10.3984375" customWidth="1"/>
    <col min="20" max="26" width="8.73046875" customWidth="1"/>
    <col min="27" max="27" width="2" customWidth="1"/>
  </cols>
  <sheetData>
    <row r="1" spans="2:27" ht="14.25" customHeight="1">
      <c r="B1" s="1129"/>
      <c r="C1" s="1129"/>
      <c r="L1" s="12"/>
      <c r="M1" s="1086" t="s">
        <v>114</v>
      </c>
      <c r="N1" s="1086"/>
      <c r="O1" s="1086"/>
      <c r="P1" s="1086"/>
      <c r="Q1" s="1086"/>
      <c r="R1" s="1086"/>
      <c r="S1" s="1086"/>
      <c r="T1" s="1086"/>
      <c r="U1" s="1086"/>
      <c r="V1" s="1086"/>
      <c r="W1" s="1086"/>
      <c r="X1" s="1086"/>
      <c r="Y1" s="1086"/>
      <c r="Z1" s="1086"/>
      <c r="AA1" s="1086"/>
    </row>
    <row r="2" spans="2:27" s="28" customFormat="1" ht="30" customHeight="1">
      <c r="B2" s="1138" t="s">
        <v>264</v>
      </c>
      <c r="C2" s="1138"/>
      <c r="D2" s="1138"/>
      <c r="E2" s="1138"/>
      <c r="F2" s="1138"/>
      <c r="G2" s="1138"/>
      <c r="H2" s="1138"/>
      <c r="I2" s="1138"/>
      <c r="J2" s="1138"/>
      <c r="K2" s="1138"/>
      <c r="L2" s="1138"/>
      <c r="M2" s="1138"/>
      <c r="N2" s="1138"/>
      <c r="O2" s="1138"/>
      <c r="P2" s="1138"/>
      <c r="Q2" s="1138"/>
      <c r="R2" s="1138"/>
      <c r="S2" s="1138"/>
      <c r="T2" s="1138"/>
      <c r="U2" s="1138"/>
      <c r="V2" s="1138"/>
      <c r="W2" s="1138"/>
      <c r="X2" s="59"/>
      <c r="Y2" s="59"/>
      <c r="Z2" s="59"/>
    </row>
    <row r="3" spans="2:27" ht="20.100000000000001" customHeight="1">
      <c r="B3" s="1132" t="s">
        <v>78</v>
      </c>
      <c r="C3" s="1133"/>
      <c r="D3" s="1133"/>
      <c r="E3" s="1133"/>
      <c r="F3" s="1133"/>
      <c r="G3" s="1133"/>
      <c r="H3" s="1133"/>
      <c r="I3" s="1133"/>
      <c r="J3" s="1133"/>
      <c r="K3" s="1133"/>
      <c r="L3" s="1133"/>
      <c r="M3" s="1133"/>
      <c r="N3" s="1133"/>
      <c r="O3" s="1133"/>
      <c r="P3" s="1133"/>
      <c r="Q3" s="1133"/>
      <c r="R3" s="1133"/>
      <c r="S3" s="1133"/>
      <c r="T3" s="1133"/>
      <c r="U3" s="1133"/>
      <c r="V3" s="1133"/>
      <c r="W3" s="1133"/>
      <c r="X3" s="1133"/>
      <c r="Y3" s="1133"/>
      <c r="Z3" s="1133"/>
      <c r="AA3" s="1134"/>
    </row>
    <row r="4" spans="2:27" ht="9.75" customHeight="1">
      <c r="B4" s="1130" t="s">
        <v>79</v>
      </c>
      <c r="C4" s="136" t="s">
        <v>77</v>
      </c>
      <c r="D4" s="126"/>
      <c r="E4" s="126"/>
      <c r="F4" s="126"/>
      <c r="G4" s="126"/>
      <c r="H4" s="126"/>
      <c r="I4" s="126"/>
      <c r="J4" s="126"/>
      <c r="K4" s="126"/>
      <c r="L4" s="126"/>
      <c r="M4" s="12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  <c r="AA4" s="127"/>
    </row>
    <row r="5" spans="2:27" ht="15" customHeight="1">
      <c r="B5" s="1130"/>
      <c r="C5" s="137">
        <v>1995</v>
      </c>
      <c r="D5" s="138">
        <v>2000</v>
      </c>
      <c r="E5" s="138">
        <v>2001</v>
      </c>
      <c r="F5" s="138">
        <v>2002</v>
      </c>
      <c r="G5" s="138">
        <v>2003</v>
      </c>
      <c r="H5" s="138">
        <v>2004</v>
      </c>
      <c r="I5" s="138">
        <v>2005</v>
      </c>
      <c r="J5" s="138">
        <v>2006</v>
      </c>
      <c r="K5" s="138">
        <v>2007</v>
      </c>
      <c r="L5" s="138">
        <v>2008</v>
      </c>
      <c r="M5" s="138">
        <v>2009</v>
      </c>
      <c r="N5" s="138">
        <v>2010</v>
      </c>
      <c r="O5" s="138">
        <v>2011</v>
      </c>
      <c r="P5" s="138">
        <v>2012</v>
      </c>
      <c r="Q5" s="138">
        <v>2013</v>
      </c>
      <c r="R5" s="138">
        <v>2014</v>
      </c>
      <c r="S5" s="138">
        <v>2015</v>
      </c>
      <c r="T5" s="138">
        <v>2016</v>
      </c>
      <c r="U5" s="138">
        <v>2017</v>
      </c>
      <c r="V5" s="138">
        <v>2018</v>
      </c>
      <c r="W5" s="138">
        <v>2019</v>
      </c>
      <c r="X5" s="138">
        <v>2020</v>
      </c>
      <c r="Y5" s="138">
        <v>2021</v>
      </c>
      <c r="Z5" s="138">
        <v>2022</v>
      </c>
      <c r="AA5" s="139"/>
    </row>
    <row r="6" spans="2:27" ht="15" customHeight="1">
      <c r="B6" s="1131"/>
      <c r="C6" s="1135" t="s">
        <v>129</v>
      </c>
      <c r="D6" s="1136"/>
      <c r="E6" s="1136"/>
      <c r="F6" s="1136"/>
      <c r="G6" s="1136"/>
      <c r="H6" s="1136"/>
      <c r="I6" s="1136"/>
      <c r="J6" s="1136"/>
      <c r="K6" s="1136"/>
      <c r="L6" s="1136"/>
      <c r="M6" s="1136"/>
      <c r="N6" s="1136"/>
      <c r="O6" s="1136"/>
      <c r="P6" s="1136"/>
      <c r="Q6" s="1136"/>
      <c r="R6" s="1136"/>
      <c r="S6" s="1136"/>
      <c r="T6" s="1136"/>
      <c r="U6" s="1136"/>
      <c r="V6" s="1136"/>
      <c r="W6" s="1136"/>
      <c r="X6" s="1136"/>
      <c r="Y6" s="1136"/>
      <c r="Z6" s="1136"/>
      <c r="AA6" s="1137"/>
    </row>
    <row r="7" spans="2:27" ht="20.100000000000001" customHeight="1">
      <c r="B7" s="140" t="s">
        <v>7</v>
      </c>
      <c r="C7" s="141">
        <v>311.24599999999998</v>
      </c>
      <c r="D7" s="142">
        <v>350.13600000000002</v>
      </c>
      <c r="E7" s="142">
        <v>361.42200000000003</v>
      </c>
      <c r="F7" s="142">
        <v>372.28</v>
      </c>
      <c r="G7" s="142">
        <v>371.67200000000003</v>
      </c>
      <c r="H7" s="142">
        <v>383.18099999999998</v>
      </c>
      <c r="I7" s="142">
        <v>400.947</v>
      </c>
      <c r="J7" s="142">
        <v>420.62400000000002</v>
      </c>
      <c r="K7" s="142">
        <v>465.14699999999999</v>
      </c>
      <c r="L7" s="142">
        <v>480.86900000000003</v>
      </c>
      <c r="M7" s="142">
        <v>507.666</v>
      </c>
      <c r="N7" s="142">
        <v>518.27599999999995</v>
      </c>
      <c r="O7" s="142">
        <v>552.96999999999991</v>
      </c>
      <c r="P7" s="142">
        <v>601.00900000000001</v>
      </c>
      <c r="Q7" s="142">
        <v>669.86400000000003</v>
      </c>
      <c r="R7" s="142">
        <v>696.4</v>
      </c>
      <c r="S7" s="142">
        <v>739.1</v>
      </c>
      <c r="T7" s="142">
        <v>773.53499999999997</v>
      </c>
      <c r="U7" s="142">
        <v>807.3889999999999</v>
      </c>
      <c r="V7" s="142">
        <v>805.649</v>
      </c>
      <c r="W7" s="142">
        <v>843.06200000000001</v>
      </c>
      <c r="X7" s="142">
        <v>866.23500000000001</v>
      </c>
      <c r="Y7" s="142">
        <v>871.76599999999996</v>
      </c>
      <c r="Z7" s="142">
        <f>(848105+sea_fleet_eu!D44)/1000</f>
        <v>878.78499999999997</v>
      </c>
      <c r="AA7" s="143"/>
    </row>
    <row r="8" spans="2:27" ht="20.100000000000001" customHeight="1">
      <c r="B8" s="144" t="s">
        <v>245</v>
      </c>
      <c r="C8" s="145">
        <v>223.56400000000002</v>
      </c>
      <c r="D8" s="146">
        <v>257.97500000000002</v>
      </c>
      <c r="E8" s="146">
        <v>266.34699999999998</v>
      </c>
      <c r="F8" s="146">
        <v>274.61200000000002</v>
      </c>
      <c r="G8" s="146">
        <v>277.38600000000002</v>
      </c>
      <c r="H8" s="146">
        <v>292.79100000000005</v>
      </c>
      <c r="I8" s="146">
        <v>316.85000000000002</v>
      </c>
      <c r="J8" s="146">
        <v>332.11</v>
      </c>
      <c r="K8" s="146">
        <v>368.48599999999999</v>
      </c>
      <c r="L8" s="146">
        <v>392.05200000000002</v>
      </c>
      <c r="M8" s="146">
        <v>417.89499999999998</v>
      </c>
      <c r="N8" s="146">
        <v>432.24599999999998</v>
      </c>
      <c r="O8" s="146">
        <v>460.399</v>
      </c>
      <c r="P8" s="204">
        <v>468.30100000000004</v>
      </c>
      <c r="Q8" s="146">
        <v>523.19999999999993</v>
      </c>
      <c r="R8" s="146">
        <v>553.21899999999994</v>
      </c>
      <c r="S8" s="146">
        <v>578.15700000000004</v>
      </c>
      <c r="T8" s="146">
        <v>598.63300000000004</v>
      </c>
      <c r="U8" s="146">
        <v>615.56499999999994</v>
      </c>
      <c r="V8" s="146">
        <v>642.827</v>
      </c>
      <c r="W8" s="146">
        <v>654.90100000000007</v>
      </c>
      <c r="X8" s="146">
        <v>680.41899999999998</v>
      </c>
      <c r="Y8" s="146">
        <v>680.41899999999998</v>
      </c>
      <c r="Z8" s="146">
        <f>sea_fleet_eu!D7/1000</f>
        <v>680.02200000000005</v>
      </c>
      <c r="AA8" s="147"/>
    </row>
    <row r="9" spans="2:27" ht="20.100000000000001" customHeight="1">
      <c r="B9" s="148" t="s">
        <v>8</v>
      </c>
      <c r="C9" s="149">
        <v>51.024000000000001</v>
      </c>
      <c r="D9" s="150">
        <v>49.412999999999997</v>
      </c>
      <c r="E9" s="150">
        <v>45.368000000000002</v>
      </c>
      <c r="F9" s="150">
        <v>42.62</v>
      </c>
      <c r="G9" s="150">
        <v>45.817999999999998</v>
      </c>
      <c r="H9" s="150">
        <v>49.67</v>
      </c>
      <c r="I9" s="150">
        <v>45.414000000000001</v>
      </c>
      <c r="J9" s="150">
        <v>51.569000000000003</v>
      </c>
      <c r="K9" s="150">
        <v>49.341999999999999</v>
      </c>
      <c r="L9" s="150">
        <v>49.689</v>
      </c>
      <c r="M9" s="150">
        <v>52.244</v>
      </c>
      <c r="N9" s="150">
        <v>50.539000000000001</v>
      </c>
      <c r="O9" s="150">
        <v>56.033000000000001</v>
      </c>
      <c r="P9" s="150">
        <v>62.972999999999999</v>
      </c>
      <c r="Q9" s="150">
        <v>69.063999999999993</v>
      </c>
      <c r="R9" s="150">
        <v>70.210999999999999</v>
      </c>
      <c r="S9" s="150">
        <v>82.881</v>
      </c>
      <c r="T9" s="150">
        <v>91.418999999999997</v>
      </c>
      <c r="U9" s="150">
        <v>97.637</v>
      </c>
      <c r="V9" s="150">
        <v>88.227999999999994</v>
      </c>
      <c r="W9" s="150">
        <v>93.242999999999995</v>
      </c>
      <c r="X9" s="150">
        <v>87.887</v>
      </c>
      <c r="Y9" s="150">
        <v>91.691000000000003</v>
      </c>
      <c r="Z9" s="150">
        <f>(60832+29754)/1000</f>
        <v>90.585999999999999</v>
      </c>
      <c r="AA9" s="151"/>
    </row>
    <row r="10" spans="2:27" ht="20.100000000000001" customHeight="1">
      <c r="B10" s="148" t="s">
        <v>9</v>
      </c>
      <c r="C10" s="149">
        <v>18.690999999999999</v>
      </c>
      <c r="D10" s="150">
        <v>15.679</v>
      </c>
      <c r="E10" s="150">
        <v>14.335000000000001</v>
      </c>
      <c r="F10" s="150">
        <v>15.473000000000001</v>
      </c>
      <c r="G10" s="150">
        <v>14.599</v>
      </c>
      <c r="H10" s="150">
        <v>12.605</v>
      </c>
      <c r="I10" s="150">
        <v>14.422000000000001</v>
      </c>
      <c r="J10" s="150">
        <v>12.314</v>
      </c>
      <c r="K10" s="150">
        <v>12.398</v>
      </c>
      <c r="L10" s="150">
        <v>13.47</v>
      </c>
      <c r="M10" s="150">
        <v>13.99</v>
      </c>
      <c r="N10" s="150">
        <v>30.867000000000004</v>
      </c>
      <c r="O10" s="150">
        <v>47.054999999999993</v>
      </c>
      <c r="P10" s="150">
        <v>47.548000000000002</v>
      </c>
      <c r="Q10" s="150">
        <v>22.651</v>
      </c>
      <c r="R10" s="150">
        <v>31.838000000000001</v>
      </c>
      <c r="S10" s="150">
        <v>29.608000000000004</v>
      </c>
      <c r="T10" s="150">
        <v>26.721000000000004</v>
      </c>
      <c r="U10" s="150">
        <v>26.254000000000005</v>
      </c>
      <c r="V10" s="150">
        <v>26.115000000000009</v>
      </c>
      <c r="W10" s="150">
        <v>27.835000000000008</v>
      </c>
      <c r="X10" s="150">
        <v>33.608999999999995</v>
      </c>
      <c r="Y10" s="150">
        <v>29.745999999999995</v>
      </c>
      <c r="Z10" s="150">
        <f>120.004-Z9</f>
        <v>29.418000000000006</v>
      </c>
      <c r="AA10" s="151"/>
    </row>
    <row r="11" spans="2:27" ht="20.100000000000001" customHeight="1">
      <c r="B11" s="148" t="s">
        <v>10</v>
      </c>
      <c r="C11" s="149">
        <v>246.72200000000001</v>
      </c>
      <c r="D11" s="150">
        <v>292.72199999999998</v>
      </c>
      <c r="E11" s="150">
        <v>301.20699999999999</v>
      </c>
      <c r="F11" s="150">
        <v>304.7</v>
      </c>
      <c r="G11" s="150">
        <v>313.80799999999999</v>
      </c>
      <c r="H11" s="150">
        <v>329.48500000000001</v>
      </c>
      <c r="I11" s="150">
        <v>361.31099999999998</v>
      </c>
      <c r="J11" s="150">
        <v>399.41899999999998</v>
      </c>
      <c r="K11" s="150">
        <v>423.42500000000001</v>
      </c>
      <c r="L11" s="150">
        <v>462.661</v>
      </c>
      <c r="M11" s="150">
        <v>497.78800000000001</v>
      </c>
      <c r="N11" s="150">
        <v>532.44600000000003</v>
      </c>
      <c r="O11" s="150">
        <v>560.3900000000001</v>
      </c>
      <c r="P11" s="150">
        <v>607.47500000000002</v>
      </c>
      <c r="Q11" s="150">
        <v>748.36599999999999</v>
      </c>
      <c r="R11" s="150">
        <v>780.82600000000002</v>
      </c>
      <c r="S11" s="150">
        <v>805.59399999999994</v>
      </c>
      <c r="T11" s="150">
        <v>819.71199999999999</v>
      </c>
      <c r="U11" s="150">
        <v>855.30899999999997</v>
      </c>
      <c r="V11" s="150">
        <v>887.85</v>
      </c>
      <c r="W11" s="150">
        <v>931.77300000000002</v>
      </c>
      <c r="X11" s="150">
        <v>983.39</v>
      </c>
      <c r="Y11" s="150">
        <v>1037.3979999999999</v>
      </c>
      <c r="Z11" s="150">
        <f>(6286+1074808-30680)/1000</f>
        <v>1050.414</v>
      </c>
      <c r="AA11" s="151"/>
    </row>
    <row r="12" spans="2:27" ht="20.100000000000001" customHeight="1">
      <c r="B12" s="148" t="s">
        <v>11</v>
      </c>
      <c r="C12" s="149">
        <v>6.742</v>
      </c>
      <c r="D12" s="150">
        <v>7.1210000000000004</v>
      </c>
      <c r="E12" s="150">
        <v>5.4390000000000001</v>
      </c>
      <c r="F12" s="150">
        <v>5.1230000000000002</v>
      </c>
      <c r="G12" s="150">
        <v>4.8310000000000004</v>
      </c>
      <c r="H12" s="150">
        <v>4.7270000000000003</v>
      </c>
      <c r="I12" s="150">
        <v>5.1420000000000003</v>
      </c>
      <c r="J12" s="150">
        <v>5.0389999999999997</v>
      </c>
      <c r="K12" s="150">
        <v>5.016</v>
      </c>
      <c r="L12" s="150">
        <v>5.07</v>
      </c>
      <c r="M12" s="150">
        <v>5.04</v>
      </c>
      <c r="N12" s="150">
        <v>6.9809999999999999</v>
      </c>
      <c r="O12" s="150">
        <v>7.5860000000000003</v>
      </c>
      <c r="P12" s="150">
        <v>8.8179999999999996</v>
      </c>
      <c r="Q12" s="150">
        <v>12.753</v>
      </c>
      <c r="R12" s="150">
        <v>13.64</v>
      </c>
      <c r="S12" s="150">
        <v>13.451000000000001</v>
      </c>
      <c r="T12" s="150">
        <v>13.689</v>
      </c>
      <c r="U12" s="150">
        <v>14.683</v>
      </c>
      <c r="V12" s="150">
        <v>15.183</v>
      </c>
      <c r="W12" s="150">
        <v>15.183</v>
      </c>
      <c r="X12" s="150">
        <v>15.529</v>
      </c>
      <c r="Y12" s="150">
        <v>15.291</v>
      </c>
      <c r="Z12" s="150">
        <f>16.316</f>
        <v>16.315999999999999</v>
      </c>
      <c r="AA12" s="151"/>
    </row>
    <row r="13" spans="2:27" ht="20.100000000000001" customHeight="1">
      <c r="B13" s="148" t="s">
        <v>12</v>
      </c>
      <c r="C13" s="152">
        <v>37.956000000000003</v>
      </c>
      <c r="D13" s="150">
        <v>38.115000000000002</v>
      </c>
      <c r="E13" s="150">
        <v>42.411999999999999</v>
      </c>
      <c r="F13" s="150">
        <v>51.149000000000051</v>
      </c>
      <c r="G13" s="150">
        <v>57.487000000000002</v>
      </c>
      <c r="H13" s="150">
        <v>52.56</v>
      </c>
      <c r="I13" s="150">
        <v>52.686999999999998</v>
      </c>
      <c r="J13" s="150">
        <v>47.4</v>
      </c>
      <c r="K13" s="150">
        <v>45.79</v>
      </c>
      <c r="L13" s="150">
        <v>59.274000000000001</v>
      </c>
      <c r="M13" s="150">
        <v>67.647000000000006</v>
      </c>
      <c r="N13" s="150">
        <v>86.555000000000007</v>
      </c>
      <c r="O13" s="150">
        <v>116.621</v>
      </c>
      <c r="P13" s="150">
        <v>126.018</v>
      </c>
      <c r="Q13" s="150">
        <v>8.1780000000000008</v>
      </c>
      <c r="R13" s="150">
        <v>3.0070000000000001</v>
      </c>
      <c r="S13" s="150">
        <v>4.5609999999999999</v>
      </c>
      <c r="T13" s="150">
        <v>7.3849999999999998</v>
      </c>
      <c r="U13" s="150">
        <v>4.7859999999999996</v>
      </c>
      <c r="V13" s="150">
        <v>3.0249999999999999</v>
      </c>
      <c r="W13" s="150">
        <v>5.8520000000000003</v>
      </c>
      <c r="X13" s="150">
        <v>5.6070000000000002</v>
      </c>
      <c r="Y13" s="150">
        <v>14.304</v>
      </c>
      <c r="Z13" s="150">
        <f>25.6</f>
        <v>25.6</v>
      </c>
      <c r="AA13" s="151"/>
    </row>
    <row r="14" spans="2:27" ht="20.100000000000001" customHeight="1">
      <c r="B14" s="162" t="s">
        <v>246</v>
      </c>
      <c r="C14" s="324">
        <v>672.38099999999997</v>
      </c>
      <c r="D14" s="325">
        <v>753.226</v>
      </c>
      <c r="E14" s="325">
        <v>770.18299999999999</v>
      </c>
      <c r="F14" s="325">
        <v>791.34500000000003</v>
      </c>
      <c r="G14" s="325">
        <v>808.21500000000003</v>
      </c>
      <c r="H14" s="325">
        <v>832.22799999999995</v>
      </c>
      <c r="I14" s="325">
        <v>879.923</v>
      </c>
      <c r="J14" s="325">
        <v>936.36300000000006</v>
      </c>
      <c r="K14" s="325">
        <v>1001.1180000000001</v>
      </c>
      <c r="L14" s="325">
        <v>1071.0329999999999</v>
      </c>
      <c r="M14" s="325">
        <v>1144.375</v>
      </c>
      <c r="N14" s="325">
        <v>1225.665</v>
      </c>
      <c r="O14" s="325">
        <v>1340.655</v>
      </c>
      <c r="P14" s="325">
        <v>1453.8420000000001</v>
      </c>
      <c r="Q14" s="325">
        <v>1530.8760000000002</v>
      </c>
      <c r="R14" s="325">
        <v>1595.922</v>
      </c>
      <c r="S14" s="325">
        <v>1675.1949999999999</v>
      </c>
      <c r="T14" s="325">
        <v>1732.461</v>
      </c>
      <c r="U14" s="325">
        <v>1806.058</v>
      </c>
      <c r="V14" s="325">
        <v>1826.0500000000002</v>
      </c>
      <c r="W14" s="325">
        <v>1872.817</v>
      </c>
      <c r="X14" s="325">
        <v>1961.597</v>
      </c>
      <c r="Y14" s="325">
        <v>2024.433</v>
      </c>
      <c r="Z14" s="325">
        <f>2086.712</f>
        <v>2086.712</v>
      </c>
      <c r="AA14" s="153"/>
    </row>
    <row r="15" spans="2:27" ht="20.100000000000001" customHeight="1">
      <c r="B15" s="154"/>
      <c r="C15" s="1139" t="s">
        <v>80</v>
      </c>
      <c r="D15" s="1140"/>
      <c r="E15" s="1140"/>
      <c r="F15" s="1140"/>
      <c r="G15" s="1140"/>
      <c r="H15" s="1140"/>
      <c r="I15" s="1140"/>
      <c r="J15" s="1140"/>
      <c r="K15" s="1140"/>
      <c r="L15" s="1140"/>
      <c r="M15" s="1140"/>
      <c r="N15" s="1140"/>
      <c r="O15" s="1140"/>
      <c r="P15" s="1140"/>
      <c r="Q15" s="1140"/>
      <c r="R15" s="1140"/>
      <c r="S15" s="1140"/>
      <c r="T15" s="1140"/>
      <c r="U15" s="1140"/>
      <c r="V15" s="1140"/>
      <c r="W15" s="1140"/>
      <c r="X15" s="1140"/>
      <c r="Y15" s="1140"/>
      <c r="Z15" s="1140"/>
      <c r="AA15" s="1141"/>
    </row>
    <row r="16" spans="2:27" ht="20.100000000000001" customHeight="1">
      <c r="B16" s="32" t="s">
        <v>247</v>
      </c>
      <c r="C16" s="155">
        <v>0.33249601044645821</v>
      </c>
      <c r="D16" s="156">
        <v>0.34249348801023866</v>
      </c>
      <c r="E16" s="156">
        <v>0.34582300570124241</v>
      </c>
      <c r="F16" s="156">
        <v>0.34701931521649854</v>
      </c>
      <c r="G16" s="156">
        <v>0.34320818099144412</v>
      </c>
      <c r="H16" s="156">
        <v>0.35181584854150555</v>
      </c>
      <c r="I16" s="156">
        <v>0.36008832591033535</v>
      </c>
      <c r="J16" s="156">
        <v>0.35468082356949177</v>
      </c>
      <c r="K16" s="156">
        <v>0.36807449271714221</v>
      </c>
      <c r="L16" s="156">
        <v>0.36605034578766488</v>
      </c>
      <c r="M16" s="157">
        <v>0.36517312943746583</v>
      </c>
      <c r="N16" s="157">
        <v>0.35266243223066662</v>
      </c>
      <c r="O16" s="157">
        <v>0.34341348072397448</v>
      </c>
      <c r="P16" s="205">
        <v>0.32211271926385399</v>
      </c>
      <c r="Q16" s="493">
        <v>0.34176510703675533</v>
      </c>
      <c r="R16" s="157">
        <v>0.34664538743121526</v>
      </c>
      <c r="S16" s="493">
        <v>0.34512817910750693</v>
      </c>
      <c r="T16" s="493">
        <v>0.34553909150047246</v>
      </c>
      <c r="U16" s="493">
        <v>0.34083346160533046</v>
      </c>
      <c r="V16" s="493">
        <v>0.35203143396949699</v>
      </c>
      <c r="W16" s="493">
        <v>0.34968766302313575</v>
      </c>
      <c r="X16" s="493">
        <v>0.34686992282308748</v>
      </c>
      <c r="Y16" s="493">
        <v>0.33610349169372361</v>
      </c>
      <c r="Z16" s="157">
        <f>Z8/Z14</f>
        <v>0.32588205751440547</v>
      </c>
      <c r="AA16" s="158"/>
    </row>
    <row r="17" spans="2:27" ht="20.100000000000001" customHeight="1">
      <c r="B17" s="33" t="s">
        <v>248</v>
      </c>
      <c r="C17" s="159">
        <v>0.56499999999999995</v>
      </c>
      <c r="D17" s="160">
        <v>0.68100000000000005</v>
      </c>
      <c r="E17" s="160">
        <v>0.66400000000000003</v>
      </c>
      <c r="F17" s="160">
        <v>0.66800000000000004</v>
      </c>
      <c r="G17" s="160">
        <v>0.67800000000000005</v>
      </c>
      <c r="H17" s="160">
        <v>0.67800000000000005</v>
      </c>
      <c r="I17" s="358">
        <v>0.67800000000000005</v>
      </c>
      <c r="J17" s="358">
        <v>0.67700000000000005</v>
      </c>
      <c r="K17" s="358">
        <v>0.69299999999999995</v>
      </c>
      <c r="L17" s="358">
        <v>0.68600000000000005</v>
      </c>
      <c r="M17" s="359">
        <v>0.69399999999999995</v>
      </c>
      <c r="N17" s="359">
        <v>0.69399999999999995</v>
      </c>
      <c r="O17" s="359">
        <v>0.69108534119318255</v>
      </c>
      <c r="P17" s="360">
        <v>0.70584626637644754</v>
      </c>
      <c r="Q17" s="359"/>
      <c r="R17" s="359">
        <v>0.7401988063273004</v>
      </c>
      <c r="S17" s="359">
        <v>0.75492007738155742</v>
      </c>
      <c r="T17" s="359">
        <v>0.77730134199334822</v>
      </c>
      <c r="U17" s="359">
        <v>0.78477425552353486</v>
      </c>
      <c r="V17" s="359">
        <v>0.78949299746105062</v>
      </c>
      <c r="W17" s="359">
        <v>0.801806685285257</v>
      </c>
      <c r="X17" s="359">
        <v>0.8219964463073488</v>
      </c>
      <c r="Y17" s="359">
        <v>0.8219964463073488</v>
      </c>
      <c r="Z17" s="359">
        <f>sea_fleet_eu!J7</f>
        <v>0.8243747996388352</v>
      </c>
      <c r="AA17" s="361"/>
    </row>
    <row r="18" spans="2:27" ht="21.75" customHeight="1">
      <c r="B18" s="1095" t="s">
        <v>150</v>
      </c>
      <c r="C18" s="1095"/>
      <c r="D18" s="1095"/>
      <c r="E18" s="1095"/>
      <c r="F18" s="1095"/>
      <c r="G18" s="1095"/>
      <c r="H18" s="1095"/>
      <c r="I18" s="1095"/>
      <c r="J18" s="1095"/>
      <c r="K18" s="1095"/>
      <c r="L18" s="1095"/>
      <c r="M18" s="1095"/>
      <c r="N18" s="1095"/>
      <c r="O18" s="1095"/>
      <c r="P18" s="1095"/>
      <c r="Q18" s="1095"/>
      <c r="R18" s="1095"/>
      <c r="S18" s="1095"/>
      <c r="T18" s="1095"/>
      <c r="U18" s="1095"/>
      <c r="V18" s="1095"/>
      <c r="W18" s="1095"/>
      <c r="X18" s="491"/>
      <c r="Y18" s="491"/>
      <c r="Z18" s="491"/>
    </row>
    <row r="19" spans="2:27" ht="15" customHeight="1">
      <c r="B19" s="1093" t="s">
        <v>292</v>
      </c>
      <c r="C19" s="1093"/>
      <c r="D19" s="1093"/>
      <c r="E19" s="1093"/>
      <c r="F19" s="1093"/>
      <c r="G19" s="1093"/>
      <c r="H19" s="1093"/>
      <c r="I19" s="1093"/>
      <c r="J19" s="1093"/>
      <c r="K19" s="1066"/>
      <c r="L19" s="1066"/>
      <c r="T19" s="161"/>
      <c r="U19" s="161"/>
      <c r="V19" s="161"/>
      <c r="W19" s="161"/>
      <c r="X19" s="161"/>
      <c r="Y19" s="161"/>
      <c r="Z19" s="161"/>
    </row>
    <row r="20" spans="2:27" ht="13.5" customHeight="1">
      <c r="B20" s="1142" t="s">
        <v>121</v>
      </c>
      <c r="C20" s="1142"/>
      <c r="D20" s="1142"/>
      <c r="E20" s="1142"/>
      <c r="F20" s="1142"/>
      <c r="G20" s="1142"/>
      <c r="H20" s="1142"/>
      <c r="I20" s="1142"/>
      <c r="J20" s="1142"/>
      <c r="K20" s="1143"/>
      <c r="L20" s="1143"/>
      <c r="M20" s="161"/>
      <c r="N20" s="161"/>
      <c r="O20" s="161"/>
      <c r="P20" s="161"/>
      <c r="Q20" s="161"/>
      <c r="R20" s="161"/>
      <c r="S20" s="161"/>
      <c r="T20" s="161"/>
      <c r="U20" s="161"/>
      <c r="V20" s="161"/>
      <c r="W20" s="161"/>
      <c r="X20" s="161"/>
      <c r="Y20" s="161"/>
      <c r="Z20" s="161"/>
    </row>
    <row r="21" spans="2:27" ht="27" customHeight="1">
      <c r="B21" s="1127" t="s">
        <v>258</v>
      </c>
      <c r="C21" s="1127"/>
      <c r="D21" s="1127"/>
      <c r="E21" s="1127"/>
      <c r="F21" s="1127"/>
      <c r="G21" s="1127"/>
      <c r="H21" s="1127"/>
      <c r="I21" s="1127"/>
      <c r="J21" s="1127"/>
      <c r="K21" s="1127"/>
      <c r="L21" s="1127"/>
      <c r="M21" s="1127"/>
      <c r="N21" s="1127"/>
      <c r="O21" s="1127"/>
      <c r="P21" s="1127"/>
      <c r="Q21" s="1127"/>
      <c r="R21" s="1127"/>
      <c r="S21" s="1127"/>
      <c r="T21" s="1127"/>
      <c r="U21" s="1127"/>
      <c r="V21" s="1127"/>
      <c r="W21" s="1127"/>
      <c r="X21" s="176"/>
      <c r="Y21" s="176"/>
      <c r="Z21" s="176"/>
    </row>
    <row r="22" spans="2:27" ht="15" customHeight="1">
      <c r="B22" s="176" t="s">
        <v>244</v>
      </c>
      <c r="C22" s="176"/>
      <c r="D22" s="176"/>
      <c r="E22" s="176"/>
      <c r="F22" s="176"/>
      <c r="G22" s="176"/>
      <c r="H22" s="176"/>
      <c r="I22" s="176"/>
      <c r="J22" s="176"/>
      <c r="K22" s="176"/>
      <c r="L22" s="283"/>
      <c r="M22" s="161"/>
    </row>
    <row r="23" spans="2:27" ht="24.75" customHeight="1">
      <c r="B23" s="1127" t="s">
        <v>142</v>
      </c>
      <c r="C23" s="1127"/>
      <c r="D23" s="1127"/>
      <c r="E23" s="1127"/>
      <c r="F23" s="1127"/>
      <c r="G23" s="1127"/>
      <c r="H23" s="1127"/>
      <c r="I23" s="1127"/>
      <c r="J23" s="1127"/>
      <c r="K23" s="1127"/>
      <c r="L23" s="1127"/>
      <c r="M23" s="1127"/>
      <c r="N23" s="1127"/>
      <c r="O23" s="1127"/>
      <c r="P23" s="1127"/>
      <c r="Q23" s="1127"/>
      <c r="R23" s="1127"/>
      <c r="S23" s="1127"/>
      <c r="T23" s="1127"/>
      <c r="U23" s="1127"/>
      <c r="V23" s="1127"/>
      <c r="W23" s="1127"/>
      <c r="X23" s="176"/>
      <c r="Y23" s="176"/>
      <c r="Z23" s="176"/>
    </row>
  </sheetData>
  <mergeCells count="12">
    <mergeCell ref="B23:W23"/>
    <mergeCell ref="B1:C1"/>
    <mergeCell ref="B4:B6"/>
    <mergeCell ref="M1:AA1"/>
    <mergeCell ref="B3:AA3"/>
    <mergeCell ref="C6:AA6"/>
    <mergeCell ref="B2:W2"/>
    <mergeCell ref="C15:AA15"/>
    <mergeCell ref="B19:L19"/>
    <mergeCell ref="B20:L20"/>
    <mergeCell ref="B18:W18"/>
    <mergeCell ref="B21:W21"/>
  </mergeCells>
  <phoneticPr fontId="7" type="noConversion"/>
  <printOptions horizontalCentered="1"/>
  <pageMargins left="0.6692913385826772" right="0.6692913385826772" top="0.51181102362204722" bottom="0.27559055118110237" header="0" footer="0"/>
  <pageSetup paperSize="9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85"/>
  <dimension ref="B1:L47"/>
  <sheetViews>
    <sheetView zoomScaleNormal="100" workbookViewId="0">
      <selection activeCell="W28" sqref="W28"/>
    </sheetView>
  </sheetViews>
  <sheetFormatPr defaultColWidth="9.1328125" defaultRowHeight="12.75"/>
  <cols>
    <col min="1" max="1" width="9.1328125" style="581"/>
    <col min="2" max="2" width="22.73046875" customWidth="1"/>
    <col min="3" max="3" width="8" customWidth="1"/>
    <col min="4" max="4" width="1.73046875" customWidth="1"/>
    <col min="5" max="5" width="6.73046875" customWidth="1"/>
    <col min="6" max="6" width="1.73046875" customWidth="1"/>
    <col min="7" max="7" width="5.73046875" customWidth="1"/>
    <col min="8" max="8" width="12.3984375" customWidth="1"/>
    <col min="9" max="9" width="1.73046875" customWidth="1"/>
    <col min="10" max="10" width="9.73046875" customWidth="1"/>
    <col min="11" max="11" width="1.73046875" customWidth="1"/>
    <col min="12" max="12" width="7.265625" customWidth="1"/>
    <col min="13" max="16384" width="9.1328125" style="581"/>
  </cols>
  <sheetData>
    <row r="1" spans="2:12" ht="14.25" customHeight="1">
      <c r="B1" s="1129"/>
      <c r="C1" s="1129"/>
      <c r="D1" s="663"/>
      <c r="E1" s="40"/>
      <c r="L1" s="658" t="s">
        <v>115</v>
      </c>
    </row>
    <row r="2" spans="2:12" s="582" customFormat="1" ht="30" customHeight="1">
      <c r="B2" s="1063" t="s">
        <v>264</v>
      </c>
      <c r="C2" s="1063"/>
      <c r="D2" s="1063"/>
      <c r="E2" s="1063"/>
      <c r="F2" s="1063"/>
      <c r="G2" s="1063"/>
      <c r="H2" s="1063"/>
      <c r="I2" s="1063"/>
      <c r="J2" s="1063"/>
      <c r="K2" s="1063"/>
      <c r="L2" s="1063"/>
    </row>
    <row r="3" spans="2:12" s="583" customFormat="1" ht="30" customHeight="1">
      <c r="B3" s="1157" t="s">
        <v>322</v>
      </c>
      <c r="C3" s="1157"/>
      <c r="D3" s="1157"/>
      <c r="E3" s="1157"/>
      <c r="F3" s="1157"/>
      <c r="G3" s="1157"/>
      <c r="H3" s="1157"/>
      <c r="I3" s="1157"/>
      <c r="J3" s="1157"/>
      <c r="K3" s="1157"/>
      <c r="L3" s="1157"/>
    </row>
    <row r="4" spans="2:12" ht="20.100000000000001" customHeight="1">
      <c r="B4" s="546" t="s">
        <v>321</v>
      </c>
      <c r="C4" s="1108" t="s">
        <v>6</v>
      </c>
      <c r="D4" s="1109"/>
      <c r="E4" s="1109"/>
      <c r="F4" s="1109"/>
      <c r="G4" s="1118"/>
      <c r="H4" s="1108" t="s">
        <v>323</v>
      </c>
      <c r="I4" s="1109"/>
      <c r="J4" s="1109"/>
      <c r="K4" s="1109"/>
      <c r="L4" s="1118"/>
    </row>
    <row r="5" spans="2:12" ht="20.100000000000001" customHeight="1">
      <c r="B5" s="664" t="s">
        <v>170</v>
      </c>
      <c r="C5" s="1152" t="s">
        <v>60</v>
      </c>
      <c r="D5" s="1153"/>
      <c r="E5" s="1154" t="s">
        <v>237</v>
      </c>
      <c r="F5" s="1155"/>
      <c r="G5" s="517" t="s">
        <v>81</v>
      </c>
      <c r="H5" s="1152" t="s">
        <v>60</v>
      </c>
      <c r="I5" s="1153"/>
      <c r="J5" s="1156" t="s">
        <v>237</v>
      </c>
      <c r="K5" s="1155"/>
      <c r="L5" s="517" t="s">
        <v>81</v>
      </c>
    </row>
    <row r="6" spans="2:12" ht="30" customHeight="1">
      <c r="B6" s="162" t="s">
        <v>86</v>
      </c>
      <c r="C6" s="521">
        <f>47290</f>
        <v>47290</v>
      </c>
      <c r="D6" s="522"/>
      <c r="E6" s="523">
        <f>sea_fleet_eu!C7</f>
        <v>12452</v>
      </c>
      <c r="F6" s="534"/>
      <c r="G6" s="542">
        <f>E6/C6</f>
        <v>0.26331148234299007</v>
      </c>
      <c r="H6" s="523">
        <f>sea_world_region!Z14*1000</f>
        <v>2086712</v>
      </c>
      <c r="I6" s="524"/>
      <c r="J6" s="523">
        <f>sea_fleet_eu!D7</f>
        <v>680022</v>
      </c>
      <c r="K6" s="730"/>
      <c r="L6" s="539">
        <f>J6/H6</f>
        <v>0.32588205751440547</v>
      </c>
    </row>
    <row r="7" spans="2:12" ht="24.95" customHeight="1">
      <c r="B7" s="731" t="s">
        <v>94</v>
      </c>
      <c r="C7" s="732">
        <v>13791</v>
      </c>
      <c r="D7" s="732"/>
      <c r="E7" s="732">
        <v>3503</v>
      </c>
      <c r="F7" s="535"/>
      <c r="G7" s="543">
        <f t="shared" ref="G7:G23" si="0">E7/C7</f>
        <v>0.25400623595098254</v>
      </c>
      <c r="H7" s="732">
        <v>756565</v>
      </c>
      <c r="I7" s="535"/>
      <c r="J7" s="732">
        <f>260676</f>
        <v>260676</v>
      </c>
      <c r="K7" s="733"/>
      <c r="L7" s="540">
        <f>J7/H7</f>
        <v>0.34455202130682755</v>
      </c>
    </row>
    <row r="8" spans="2:12" ht="11.1" customHeight="1">
      <c r="B8" s="734" t="s">
        <v>66</v>
      </c>
      <c r="C8" s="735"/>
      <c r="D8" s="736"/>
      <c r="E8" s="737"/>
      <c r="F8" s="738"/>
      <c r="G8" s="739"/>
      <c r="H8" s="740"/>
      <c r="I8" s="736"/>
      <c r="J8" s="740"/>
      <c r="K8" s="741"/>
      <c r="L8" s="742"/>
    </row>
    <row r="9" spans="2:12" ht="22.5" customHeight="1">
      <c r="B9" s="743" t="s">
        <v>151</v>
      </c>
      <c r="C9" s="735">
        <v>6405</v>
      </c>
      <c r="D9" s="736"/>
      <c r="E9" s="737">
        <v>1505</v>
      </c>
      <c r="F9" s="738"/>
      <c r="G9" s="739">
        <f t="shared" si="0"/>
        <v>0.23497267759562843</v>
      </c>
      <c r="H9" s="740">
        <v>544082</v>
      </c>
      <c r="I9" s="736"/>
      <c r="J9" s="740">
        <v>191166</v>
      </c>
      <c r="K9" s="741"/>
      <c r="L9" s="742">
        <f t="shared" ref="L9:L23" si="1">J9/H9</f>
        <v>0.35135512661694379</v>
      </c>
    </row>
    <row r="10" spans="2:12" ht="15" customHeight="1">
      <c r="B10" s="743" t="s">
        <v>152</v>
      </c>
      <c r="C10" s="735">
        <v>5305</v>
      </c>
      <c r="D10" s="736"/>
      <c r="E10" s="737">
        <v>1517</v>
      </c>
      <c r="F10" s="738"/>
      <c r="G10" s="739">
        <f t="shared" si="0"/>
        <v>0.28595664467483506</v>
      </c>
      <c r="H10" s="740">
        <v>126821</v>
      </c>
      <c r="I10" s="736"/>
      <c r="J10" s="740">
        <v>44608</v>
      </c>
      <c r="K10" s="744"/>
      <c r="L10" s="742">
        <f t="shared" si="1"/>
        <v>0.3517398538097003</v>
      </c>
    </row>
    <row r="11" spans="2:12" ht="15" customHeight="1">
      <c r="B11" s="743" t="s">
        <v>69</v>
      </c>
      <c r="C11" s="735">
        <v>1951</v>
      </c>
      <c r="D11" s="736"/>
      <c r="E11" s="737">
        <v>482</v>
      </c>
      <c r="F11" s="738"/>
      <c r="G11" s="739">
        <f t="shared" si="0"/>
        <v>0.24705279343926193</v>
      </c>
      <c r="H11" s="740">
        <v>83502</v>
      </c>
      <c r="I11" s="736"/>
      <c r="J11" s="740">
        <v>14627</v>
      </c>
      <c r="K11" s="744"/>
      <c r="L11" s="742">
        <f t="shared" si="1"/>
        <v>0.17516945701899356</v>
      </c>
    </row>
    <row r="12" spans="2:12" ht="24.95" customHeight="1">
      <c r="B12" s="745" t="s">
        <v>14</v>
      </c>
      <c r="C12" s="525">
        <v>12365</v>
      </c>
      <c r="D12" s="526"/>
      <c r="E12" s="527">
        <v>3172</v>
      </c>
      <c r="F12" s="536"/>
      <c r="G12" s="544">
        <f t="shared" si="0"/>
        <v>0.25653052972098667</v>
      </c>
      <c r="H12" s="528">
        <v>907610</v>
      </c>
      <c r="I12" s="526"/>
      <c r="J12" s="528">
        <v>252404</v>
      </c>
      <c r="K12" s="746"/>
      <c r="L12" s="541">
        <f t="shared" si="1"/>
        <v>0.27809742069831755</v>
      </c>
    </row>
    <row r="13" spans="2:12" ht="9.75" hidden="1" customHeight="1">
      <c r="B13" s="734" t="s">
        <v>66</v>
      </c>
      <c r="C13" s="735"/>
      <c r="D13" s="736"/>
      <c r="E13" s="737"/>
      <c r="F13" s="738"/>
      <c r="G13" s="747" t="e">
        <f t="shared" si="0"/>
        <v>#DIV/0!</v>
      </c>
      <c r="H13" s="735"/>
      <c r="I13" s="736"/>
      <c r="J13" s="740"/>
      <c r="K13" s="741"/>
      <c r="L13" s="742" t="e">
        <f t="shared" si="1"/>
        <v>#DIV/0!</v>
      </c>
    </row>
    <row r="14" spans="2:12" ht="15" hidden="1" customHeight="1">
      <c r="B14" s="748" t="s">
        <v>70</v>
      </c>
      <c r="C14" s="749"/>
      <c r="D14" s="750"/>
      <c r="E14" s="751"/>
      <c r="F14" s="752"/>
      <c r="G14" s="753" t="e">
        <f t="shared" si="0"/>
        <v>#DIV/0!</v>
      </c>
      <c r="H14" s="749"/>
      <c r="I14" s="750"/>
      <c r="J14" s="754"/>
      <c r="K14" s="755"/>
      <c r="L14" s="756" t="e">
        <f t="shared" si="1"/>
        <v>#DIV/0!</v>
      </c>
    </row>
    <row r="15" spans="2:12" ht="24.95" customHeight="1">
      <c r="B15" s="162" t="s">
        <v>71</v>
      </c>
      <c r="C15" s="521">
        <v>5523</v>
      </c>
      <c r="D15" s="529"/>
      <c r="E15" s="530">
        <v>2337</v>
      </c>
      <c r="F15" s="537"/>
      <c r="G15" s="533">
        <f t="shared" si="0"/>
        <v>0.42313959804454099</v>
      </c>
      <c r="H15" s="521">
        <v>292166</v>
      </c>
      <c r="I15" s="529"/>
      <c r="J15" s="523">
        <v>138022</v>
      </c>
      <c r="K15" s="757"/>
      <c r="L15" s="539">
        <f t="shared" si="1"/>
        <v>0.47240952061499286</v>
      </c>
    </row>
    <row r="16" spans="2:12" ht="24.95" customHeight="1">
      <c r="B16" s="731" t="s">
        <v>15</v>
      </c>
      <c r="C16" s="531">
        <v>12619</v>
      </c>
      <c r="D16" s="532"/>
      <c r="E16" s="732">
        <v>2628</v>
      </c>
      <c r="F16" s="538"/>
      <c r="G16" s="758">
        <f t="shared" si="0"/>
        <v>0.20825738965052698</v>
      </c>
      <c r="H16" s="531">
        <v>115600</v>
      </c>
      <c r="I16" s="532"/>
      <c r="J16" s="732">
        <v>27890</v>
      </c>
      <c r="K16" s="759"/>
      <c r="L16" s="540">
        <f t="shared" si="1"/>
        <v>0.24126297577854672</v>
      </c>
    </row>
    <row r="17" spans="2:12" ht="11.1" customHeight="1">
      <c r="B17" s="734" t="s">
        <v>66</v>
      </c>
      <c r="C17" s="735"/>
      <c r="D17" s="736"/>
      <c r="E17" s="737"/>
      <c r="F17" s="738"/>
      <c r="G17" s="747"/>
      <c r="H17" s="735"/>
      <c r="I17" s="736"/>
      <c r="J17" s="740"/>
      <c r="K17" s="741"/>
      <c r="L17" s="742"/>
    </row>
    <row r="18" spans="2:12" ht="15" customHeight="1">
      <c r="B18" s="743" t="s">
        <v>153</v>
      </c>
      <c r="C18" s="735">
        <v>8753</v>
      </c>
      <c r="D18" s="736"/>
      <c r="E18" s="740">
        <v>1491</v>
      </c>
      <c r="F18" s="738"/>
      <c r="G18" s="747">
        <f t="shared" si="0"/>
        <v>0.1703415971666857</v>
      </c>
      <c r="H18" s="735">
        <v>46175</v>
      </c>
      <c r="I18" s="736"/>
      <c r="J18" s="740">
        <v>8380</v>
      </c>
      <c r="K18" s="741"/>
      <c r="L18" s="742">
        <f t="shared" si="1"/>
        <v>0.18148348673524634</v>
      </c>
    </row>
    <row r="19" spans="2:12" ht="15" customHeight="1">
      <c r="B19" s="743" t="s">
        <v>154</v>
      </c>
      <c r="C19" s="735">
        <v>1823</v>
      </c>
      <c r="D19" s="736"/>
      <c r="E19" s="740">
        <v>658</v>
      </c>
      <c r="F19" s="738"/>
      <c r="G19" s="747">
        <f t="shared" si="0"/>
        <v>0.36094349972572681</v>
      </c>
      <c r="H19" s="735">
        <v>47062</v>
      </c>
      <c r="I19" s="736"/>
      <c r="J19" s="740">
        <v>13644</v>
      </c>
      <c r="K19" s="741"/>
      <c r="L19" s="742">
        <f t="shared" si="1"/>
        <v>0.28991543070842718</v>
      </c>
    </row>
    <row r="20" spans="2:12" ht="15" customHeight="1">
      <c r="B20" s="743" t="s">
        <v>155</v>
      </c>
      <c r="C20" s="735">
        <v>760</v>
      </c>
      <c r="D20" s="736"/>
      <c r="E20" s="737">
        <v>70</v>
      </c>
      <c r="F20" s="738"/>
      <c r="G20" s="747">
        <f t="shared" si="0"/>
        <v>9.2105263157894732E-2</v>
      </c>
      <c r="H20" s="735">
        <v>12317</v>
      </c>
      <c r="I20" s="736"/>
      <c r="J20" s="740">
        <v>839</v>
      </c>
      <c r="K20" s="741"/>
      <c r="L20" s="742">
        <f t="shared" si="1"/>
        <v>6.8117236340017859E-2</v>
      </c>
    </row>
    <row r="21" spans="2:12" ht="15" customHeight="1">
      <c r="B21" s="743" t="s">
        <v>67</v>
      </c>
      <c r="C21" s="735">
        <v>600</v>
      </c>
      <c r="D21" s="736"/>
      <c r="E21" s="737">
        <v>128</v>
      </c>
      <c r="F21" s="738"/>
      <c r="G21" s="747">
        <f t="shared" si="0"/>
        <v>0.21333333333333335</v>
      </c>
      <c r="H21" s="735">
        <v>3733</v>
      </c>
      <c r="I21" s="736"/>
      <c r="J21" s="740">
        <v>1171</v>
      </c>
      <c r="K21" s="741"/>
      <c r="L21" s="742">
        <f t="shared" si="1"/>
        <v>0.31368872220733995</v>
      </c>
    </row>
    <row r="22" spans="2:12" ht="15" customHeight="1">
      <c r="B22" s="760" t="s">
        <v>156</v>
      </c>
      <c r="C22" s="749">
        <v>945</v>
      </c>
      <c r="D22" s="750"/>
      <c r="E22" s="751">
        <v>281</v>
      </c>
      <c r="F22" s="752"/>
      <c r="G22" s="753">
        <f t="shared" si="0"/>
        <v>0.29735449735449737</v>
      </c>
      <c r="H22" s="749">
        <v>7552</v>
      </c>
      <c r="I22" s="750"/>
      <c r="J22" s="754">
        <v>3855</v>
      </c>
      <c r="K22" s="755"/>
      <c r="L22" s="756">
        <f t="shared" si="1"/>
        <v>0.51046080508474578</v>
      </c>
    </row>
    <row r="23" spans="2:12" ht="24.95" customHeight="1">
      <c r="B23" s="162" t="s">
        <v>95</v>
      </c>
      <c r="C23" s="521">
        <v>2554</v>
      </c>
      <c r="D23" s="529"/>
      <c r="E23" s="530">
        <v>729</v>
      </c>
      <c r="F23" s="537"/>
      <c r="G23" s="533">
        <f t="shared" si="0"/>
        <v>0.28543461237274864</v>
      </c>
      <c r="H23" s="521">
        <v>7015</v>
      </c>
      <c r="I23" s="529"/>
      <c r="J23" s="523">
        <v>2456</v>
      </c>
      <c r="K23" s="757"/>
      <c r="L23" s="539">
        <f t="shared" si="1"/>
        <v>0.35010691375623665</v>
      </c>
    </row>
    <row r="24" spans="2:12" ht="15" customHeight="1">
      <c r="B24" s="700"/>
      <c r="C24" s="761"/>
      <c r="D24" s="762"/>
      <c r="E24" s="761"/>
      <c r="F24" s="762"/>
      <c r="G24" s="762"/>
      <c r="H24" s="761"/>
      <c r="I24" s="763"/>
      <c r="J24" s="761"/>
      <c r="K24" s="26"/>
      <c r="L24" s="26"/>
    </row>
    <row r="25" spans="2:12" s="582" customFormat="1" ht="30" customHeight="1">
      <c r="B25" s="1157" t="s">
        <v>324</v>
      </c>
      <c r="C25" s="1157"/>
      <c r="D25" s="1157"/>
      <c r="E25" s="1157"/>
      <c r="F25" s="1157"/>
      <c r="G25" s="1157"/>
      <c r="H25" s="1157"/>
      <c r="I25" s="1157"/>
      <c r="J25" s="1157"/>
      <c r="K25" s="1157"/>
      <c r="L25" s="1157"/>
    </row>
    <row r="26" spans="2:12" ht="20.100000000000001" customHeight="1">
      <c r="B26" s="546" t="s">
        <v>302</v>
      </c>
      <c r="C26" s="1108" t="s">
        <v>6</v>
      </c>
      <c r="D26" s="1109"/>
      <c r="E26" s="1109"/>
      <c r="F26" s="1109"/>
      <c r="G26" s="1118"/>
      <c r="H26" s="1108" t="s">
        <v>325</v>
      </c>
      <c r="I26" s="1109"/>
      <c r="J26" s="1109"/>
      <c r="K26" s="1109"/>
      <c r="L26" s="1118"/>
    </row>
    <row r="27" spans="2:12" ht="20.100000000000001" customHeight="1">
      <c r="B27" s="664" t="s">
        <v>13</v>
      </c>
      <c r="C27" s="1152" t="s">
        <v>60</v>
      </c>
      <c r="D27" s="1153"/>
      <c r="E27" s="1150" t="s">
        <v>237</v>
      </c>
      <c r="F27" s="1151"/>
      <c r="G27" s="503" t="s">
        <v>81</v>
      </c>
      <c r="H27" s="1148" t="s">
        <v>60</v>
      </c>
      <c r="I27" s="1149"/>
      <c r="J27" s="1150" t="s">
        <v>237</v>
      </c>
      <c r="K27" s="1151"/>
      <c r="L27" s="517" t="s">
        <v>81</v>
      </c>
    </row>
    <row r="28" spans="2:12" ht="30" customHeight="1">
      <c r="B28" s="545" t="s">
        <v>61</v>
      </c>
      <c r="C28" s="386">
        <v>5369</v>
      </c>
      <c r="D28" s="387"/>
      <c r="E28" s="388">
        <v>1400</v>
      </c>
      <c r="F28" s="764"/>
      <c r="G28" s="390">
        <f>E28/C28</f>
        <v>0.2607561929595828</v>
      </c>
      <c r="H28" s="386">
        <v>45861</v>
      </c>
      <c r="I28" s="387"/>
      <c r="J28" s="388">
        <v>17735</v>
      </c>
      <c r="K28" s="389"/>
      <c r="L28" s="390">
        <f>J28/H28</f>
        <v>0.38671202110725889</v>
      </c>
    </row>
    <row r="29" spans="2:12" ht="24.95" customHeight="1">
      <c r="B29" s="765" t="s">
        <v>96</v>
      </c>
      <c r="C29" s="766">
        <v>3142</v>
      </c>
      <c r="D29" s="767"/>
      <c r="E29" s="768">
        <v>873</v>
      </c>
      <c r="F29" s="769"/>
      <c r="G29" s="742">
        <f t="shared" ref="G29:G30" si="2">E29/C29</f>
        <v>0.27784850413749207</v>
      </c>
      <c r="H29" s="766">
        <v>19188</v>
      </c>
      <c r="I29" s="770"/>
      <c r="J29" s="770">
        <v>9795</v>
      </c>
      <c r="K29" s="771"/>
      <c r="L29" s="742">
        <f>J29/H29</f>
        <v>0.51047529706066297</v>
      </c>
    </row>
    <row r="30" spans="2:12" ht="24.95" customHeight="1">
      <c r="B30" s="772" t="s">
        <v>131</v>
      </c>
      <c r="C30" s="773">
        <v>2227</v>
      </c>
      <c r="D30" s="774"/>
      <c r="E30" s="775">
        <v>527</v>
      </c>
      <c r="F30" s="776"/>
      <c r="G30" s="742">
        <f t="shared" si="2"/>
        <v>0.23664122137404581</v>
      </c>
      <c r="H30" s="773">
        <v>26673</v>
      </c>
      <c r="I30" s="777"/>
      <c r="J30" s="777">
        <v>7940</v>
      </c>
      <c r="K30" s="778"/>
      <c r="L30" s="742">
        <f>J30/H30</f>
        <v>0.29767930116597308</v>
      </c>
    </row>
    <row r="31" spans="2:12" ht="15" customHeight="1">
      <c r="B31" s="779"/>
      <c r="C31" s="780"/>
      <c r="D31" s="780"/>
      <c r="E31" s="780"/>
      <c r="F31" s="780"/>
      <c r="G31" s="781"/>
      <c r="H31" s="780"/>
      <c r="I31" s="782"/>
      <c r="J31" s="780"/>
      <c r="K31" s="782"/>
      <c r="L31" s="783"/>
    </row>
    <row r="32" spans="2:12" s="582" customFormat="1" ht="30" customHeight="1">
      <c r="B32" s="1144" t="s">
        <v>303</v>
      </c>
      <c r="C32" s="1144"/>
      <c r="D32" s="1144"/>
      <c r="E32" s="1144"/>
      <c r="F32" s="1144"/>
      <c r="G32" s="1144"/>
      <c r="H32" s="1144"/>
      <c r="I32" s="1144"/>
      <c r="J32" s="1144"/>
      <c r="K32" s="1144"/>
      <c r="L32" s="1144"/>
    </row>
    <row r="33" spans="2:12" ht="20.100000000000001" customHeight="1">
      <c r="B33" s="546" t="s">
        <v>327</v>
      </c>
      <c r="C33" s="1145" t="s">
        <v>6</v>
      </c>
      <c r="D33" s="1146"/>
      <c r="E33" s="1146"/>
      <c r="F33" s="1146"/>
      <c r="G33" s="1147"/>
      <c r="H33" s="1145" t="s">
        <v>304</v>
      </c>
      <c r="I33" s="1146"/>
      <c r="J33" s="1146"/>
      <c r="K33" s="1146"/>
      <c r="L33" s="1147"/>
    </row>
    <row r="34" spans="2:12" ht="20.100000000000001" customHeight="1">
      <c r="B34" s="547" t="s">
        <v>16</v>
      </c>
      <c r="C34" s="1148" t="s">
        <v>60</v>
      </c>
      <c r="D34" s="1149"/>
      <c r="E34" s="1150" t="s">
        <v>237</v>
      </c>
      <c r="F34" s="1151"/>
      <c r="G34" s="503" t="s">
        <v>81</v>
      </c>
      <c r="H34" s="1148" t="s">
        <v>60</v>
      </c>
      <c r="I34" s="1149"/>
      <c r="J34" s="1150" t="s">
        <v>237</v>
      </c>
      <c r="K34" s="1151"/>
      <c r="L34" s="503" t="s">
        <v>81</v>
      </c>
    </row>
    <row r="35" spans="2:12" ht="30" customHeight="1">
      <c r="B35" s="784"/>
      <c r="C35" s="785">
        <v>360</v>
      </c>
      <c r="D35" s="786"/>
      <c r="E35" s="787">
        <f>27+14+11+12+1+1+2+1</f>
        <v>69</v>
      </c>
      <c r="F35" s="776"/>
      <c r="G35" s="788">
        <f>E35/C35</f>
        <v>0.19166666666666668</v>
      </c>
      <c r="H35" s="789">
        <f>25500</f>
        <v>25500</v>
      </c>
      <c r="I35" s="790"/>
      <c r="J35" s="791">
        <f>2863+939+300+35+9+8+7</f>
        <v>4161</v>
      </c>
      <c r="K35" s="778"/>
      <c r="L35" s="756">
        <f>J35/H35</f>
        <v>0.16317647058823528</v>
      </c>
    </row>
    <row r="36" spans="2:12" ht="15.75" customHeight="1">
      <c r="B36" s="1093" t="s">
        <v>326</v>
      </c>
      <c r="C36" s="1093"/>
      <c r="D36" s="1093"/>
      <c r="E36" s="1093"/>
      <c r="F36" s="1093"/>
      <c r="G36" s="1093"/>
      <c r="H36" s="1093"/>
      <c r="I36" s="1093"/>
      <c r="J36" s="1093"/>
      <c r="K36" s="491"/>
    </row>
    <row r="37" spans="2:12" ht="15" customHeight="1">
      <c r="B37" s="491" t="s">
        <v>289</v>
      </c>
      <c r="C37" s="700"/>
      <c r="D37" s="700"/>
      <c r="E37" s="700"/>
      <c r="F37" s="700"/>
      <c r="G37" s="700"/>
      <c r="H37" s="700"/>
      <c r="I37" s="700"/>
      <c r="J37" s="700"/>
      <c r="K37" s="700"/>
    </row>
    <row r="38" spans="2:12" ht="15" customHeight="1">
      <c r="B38" s="39" t="s">
        <v>157</v>
      </c>
      <c r="C38" s="700"/>
      <c r="D38" s="700"/>
      <c r="E38" s="700"/>
      <c r="F38" s="700"/>
      <c r="G38" s="700"/>
      <c r="H38" s="700"/>
      <c r="I38" s="700"/>
      <c r="J38" s="700"/>
      <c r="K38" s="700"/>
    </row>
    <row r="39" spans="2:12" ht="13.5" customHeight="1">
      <c r="B39" s="1142" t="s">
        <v>159</v>
      </c>
      <c r="C39" s="1142"/>
      <c r="D39" s="1142"/>
      <c r="E39" s="1142"/>
      <c r="F39" s="1142"/>
      <c r="G39" s="1142"/>
      <c r="H39" s="1142"/>
      <c r="I39" s="1142"/>
      <c r="J39" s="1142"/>
      <c r="K39" s="1142"/>
      <c r="L39" s="1142"/>
    </row>
    <row r="40" spans="2:12" ht="12.75" customHeight="1">
      <c r="B40" s="39" t="s">
        <v>68</v>
      </c>
      <c r="C40" s="40"/>
      <c r="D40" s="40"/>
    </row>
    <row r="41" spans="2:12" ht="12.75" customHeight="1">
      <c r="B41" s="39" t="s">
        <v>72</v>
      </c>
    </row>
    <row r="42" spans="2:12" ht="12.75" customHeight="1"/>
    <row r="43" spans="2:12">
      <c r="B43" s="1"/>
    </row>
    <row r="45" spans="2:12" ht="13.15">
      <c r="B45" s="658"/>
    </row>
    <row r="47" spans="2:12" ht="13.15">
      <c r="B47" s="658"/>
    </row>
  </sheetData>
  <mergeCells count="25">
    <mergeCell ref="B1:C1"/>
    <mergeCell ref="B2:L2"/>
    <mergeCell ref="B3:L3"/>
    <mergeCell ref="C4:G4"/>
    <mergeCell ref="H4:L4"/>
    <mergeCell ref="C5:D5"/>
    <mergeCell ref="E5:F5"/>
    <mergeCell ref="H5:I5"/>
    <mergeCell ref="J5:K5"/>
    <mergeCell ref="B25:L25"/>
    <mergeCell ref="C26:G26"/>
    <mergeCell ref="H26:L26"/>
    <mergeCell ref="C27:D27"/>
    <mergeCell ref="E27:F27"/>
    <mergeCell ref="H27:I27"/>
    <mergeCell ref="J27:K27"/>
    <mergeCell ref="B36:J36"/>
    <mergeCell ref="B39:L39"/>
    <mergeCell ref="B32:L32"/>
    <mergeCell ref="C33:G33"/>
    <mergeCell ref="H33:L33"/>
    <mergeCell ref="C34:D34"/>
    <mergeCell ref="E34:F34"/>
    <mergeCell ref="H34:I34"/>
    <mergeCell ref="J34:K34"/>
  </mergeCells>
  <phoneticPr fontId="7" type="noConversion"/>
  <printOptions horizontalCentered="1"/>
  <pageMargins left="0.6692913385826772" right="0.6692913385826772" top="0.51181102362204722" bottom="0.27559055118110237" header="0" footer="0"/>
  <pageSetup paperSize="9"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342"/>
  <dimension ref="A1:J52"/>
  <sheetViews>
    <sheetView zoomScaleNormal="100" workbookViewId="0">
      <selection activeCell="M31" sqref="M31"/>
    </sheetView>
  </sheetViews>
  <sheetFormatPr defaultColWidth="9.1328125" defaultRowHeight="10.15"/>
  <cols>
    <col min="1" max="1" width="3.73046875" style="1" customWidth="1"/>
    <col min="2" max="2" width="4.59765625" style="1" customWidth="1"/>
    <col min="3" max="6" width="8.73046875" style="1" customWidth="1"/>
    <col min="7" max="7" width="8.73046875" style="15" customWidth="1"/>
    <col min="8" max="8" width="1.73046875" style="1" customWidth="1"/>
    <col min="9" max="9" width="4.86328125" style="1" customWidth="1"/>
    <col min="10" max="10" width="4.73046875" style="1" customWidth="1"/>
    <col min="11" max="16384" width="9.1328125" style="1"/>
  </cols>
  <sheetData>
    <row r="1" spans="1:10" ht="14.25" customHeight="1">
      <c r="I1" s="12" t="s">
        <v>116</v>
      </c>
    </row>
    <row r="2" spans="1:10" s="39" customFormat="1" ht="30" customHeight="1">
      <c r="B2" s="1082" t="s">
        <v>265</v>
      </c>
      <c r="C2" s="1082"/>
      <c r="D2" s="1082"/>
      <c r="E2" s="1082"/>
      <c r="F2" s="1082"/>
      <c r="G2" s="1082"/>
      <c r="H2" s="1082"/>
      <c r="I2" s="1082"/>
    </row>
    <row r="3" spans="1:10" ht="15" customHeight="1">
      <c r="B3" s="1083" t="s">
        <v>266</v>
      </c>
      <c r="C3" s="1083"/>
      <c r="D3" s="1083"/>
      <c r="E3" s="1083"/>
      <c r="F3" s="1083"/>
      <c r="G3" s="1083"/>
      <c r="H3" s="1083"/>
      <c r="I3" s="1083"/>
    </row>
    <row r="4" spans="1:10" ht="12.75" customHeight="1">
      <c r="B4" s="1158" t="s">
        <v>311</v>
      </c>
      <c r="C4" s="1159"/>
      <c r="D4" s="1159"/>
      <c r="E4" s="1159"/>
      <c r="F4" s="1159"/>
      <c r="G4" s="1159"/>
      <c r="H4" s="1159"/>
      <c r="I4" s="1159"/>
    </row>
    <row r="5" spans="1:10" ht="15" customHeight="1">
      <c r="C5" s="1160" t="s">
        <v>17</v>
      </c>
      <c r="D5" s="1161"/>
      <c r="E5" s="1161"/>
      <c r="F5" s="1161"/>
      <c r="G5" s="1161"/>
      <c r="H5" s="1162"/>
    </row>
    <row r="6" spans="1:10" ht="33" customHeight="1">
      <c r="C6" s="163" t="s">
        <v>18</v>
      </c>
      <c r="D6" s="164" t="s">
        <v>19</v>
      </c>
      <c r="E6" s="164" t="s">
        <v>20</v>
      </c>
      <c r="F6" s="165" t="s">
        <v>21</v>
      </c>
      <c r="G6" s="1135" t="s">
        <v>61</v>
      </c>
      <c r="H6" s="1137"/>
    </row>
    <row r="7" spans="1:10" ht="15" customHeight="1">
      <c r="B7" s="35" t="s">
        <v>237</v>
      </c>
      <c r="C7" s="455">
        <f>SUM(C8:C34)</f>
        <v>109</v>
      </c>
      <c r="D7" s="455">
        <f t="shared" ref="D7:G7" si="0">SUM(D8:D34)</f>
        <v>688</v>
      </c>
      <c r="E7" s="455">
        <f t="shared" si="0"/>
        <v>1862</v>
      </c>
      <c r="F7" s="455">
        <f t="shared" si="0"/>
        <v>442</v>
      </c>
      <c r="G7" s="455">
        <f t="shared" si="0"/>
        <v>3101</v>
      </c>
      <c r="H7" s="450"/>
      <c r="I7" s="35" t="s">
        <v>237</v>
      </c>
      <c r="J7" s="189"/>
    </row>
    <row r="8" spans="1:10" ht="12.75" customHeight="1">
      <c r="B8" s="6" t="s">
        <v>45</v>
      </c>
      <c r="C8" s="456"/>
      <c r="D8" s="457">
        <v>20</v>
      </c>
      <c r="E8" s="457">
        <v>34</v>
      </c>
      <c r="F8" s="458">
        <v>14</v>
      </c>
      <c r="G8" s="599">
        <f>SUM(C8:F8)</f>
        <v>68</v>
      </c>
      <c r="H8" s="451"/>
      <c r="I8" s="6" t="s">
        <v>45</v>
      </c>
      <c r="J8" s="24"/>
    </row>
    <row r="9" spans="1:10" ht="12.75" customHeight="1">
      <c r="B9" s="34" t="s">
        <v>28</v>
      </c>
      <c r="C9" s="459"/>
      <c r="D9" s="460">
        <v>11</v>
      </c>
      <c r="E9" s="460">
        <v>23</v>
      </c>
      <c r="F9" s="461">
        <v>2</v>
      </c>
      <c r="G9" s="600">
        <f t="shared" ref="G9:G44" si="1">SUM(C9:F9)</f>
        <v>36</v>
      </c>
      <c r="H9" s="452"/>
      <c r="I9" s="34" t="s">
        <v>28</v>
      </c>
      <c r="J9" s="24"/>
    </row>
    <row r="10" spans="1:10" ht="12.75" customHeight="1">
      <c r="A10" s="5"/>
      <c r="B10" s="7" t="s">
        <v>30</v>
      </c>
      <c r="C10" s="462">
        <v>4</v>
      </c>
      <c r="D10" s="314">
        <v>2</v>
      </c>
      <c r="E10" s="314">
        <v>31</v>
      </c>
      <c r="F10" s="463"/>
      <c r="G10" s="601">
        <f t="shared" si="1"/>
        <v>37</v>
      </c>
      <c r="H10" s="451"/>
      <c r="I10" s="7" t="s">
        <v>30</v>
      </c>
      <c r="J10" s="14"/>
    </row>
    <row r="11" spans="1:10" ht="12.75" customHeight="1">
      <c r="A11" s="5"/>
      <c r="B11" s="34" t="s">
        <v>41</v>
      </c>
      <c r="C11" s="459">
        <v>11</v>
      </c>
      <c r="D11" s="460">
        <v>11</v>
      </c>
      <c r="E11" s="460">
        <v>14</v>
      </c>
      <c r="F11" s="461">
        <v>2</v>
      </c>
      <c r="G11" s="600">
        <f t="shared" si="1"/>
        <v>38</v>
      </c>
      <c r="H11" s="452"/>
      <c r="I11" s="34" t="s">
        <v>41</v>
      </c>
      <c r="J11" s="14"/>
    </row>
    <row r="12" spans="1:10" ht="12.75" customHeight="1">
      <c r="A12" s="5"/>
      <c r="B12" s="7" t="s">
        <v>46</v>
      </c>
      <c r="C12" s="462">
        <v>3</v>
      </c>
      <c r="D12" s="314">
        <v>97</v>
      </c>
      <c r="E12" s="314">
        <v>211</v>
      </c>
      <c r="F12" s="463">
        <v>98</v>
      </c>
      <c r="G12" s="601">
        <f t="shared" si="1"/>
        <v>409</v>
      </c>
      <c r="H12" s="451"/>
      <c r="I12" s="7" t="s">
        <v>46</v>
      </c>
      <c r="J12" s="14"/>
    </row>
    <row r="13" spans="1:10" ht="12.75" customHeight="1">
      <c r="A13" s="5"/>
      <c r="B13" s="34" t="s">
        <v>31</v>
      </c>
      <c r="C13" s="459">
        <v>7</v>
      </c>
      <c r="D13" s="460"/>
      <c r="E13" s="460">
        <v>3</v>
      </c>
      <c r="F13" s="461"/>
      <c r="G13" s="600">
        <f t="shared" si="1"/>
        <v>10</v>
      </c>
      <c r="H13" s="452"/>
      <c r="I13" s="34" t="s">
        <v>31</v>
      </c>
      <c r="J13" s="14"/>
    </row>
    <row r="14" spans="1:10" ht="12.75" customHeight="1">
      <c r="A14" s="5"/>
      <c r="B14" s="7" t="s">
        <v>49</v>
      </c>
      <c r="C14" s="462"/>
      <c r="D14" s="314">
        <v>5</v>
      </c>
      <c r="E14" s="314">
        <v>287</v>
      </c>
      <c r="F14" s="463">
        <v>7</v>
      </c>
      <c r="G14" s="601">
        <f t="shared" si="1"/>
        <v>299</v>
      </c>
      <c r="H14" s="451"/>
      <c r="I14" s="7" t="s">
        <v>49</v>
      </c>
      <c r="J14" s="14"/>
    </row>
    <row r="15" spans="1:10" ht="12.75" customHeight="1">
      <c r="A15" s="5"/>
      <c r="B15" s="34" t="s">
        <v>42</v>
      </c>
      <c r="C15" s="464">
        <v>9</v>
      </c>
      <c r="D15" s="460">
        <v>20</v>
      </c>
      <c r="E15" s="460">
        <v>53</v>
      </c>
      <c r="F15" s="461"/>
      <c r="G15" s="600">
        <f t="shared" si="1"/>
        <v>82</v>
      </c>
      <c r="H15" s="452"/>
      <c r="I15" s="34" t="s">
        <v>42</v>
      </c>
      <c r="J15" s="14"/>
    </row>
    <row r="16" spans="1:10" ht="12.75" customHeight="1">
      <c r="A16" s="5"/>
      <c r="B16" s="7" t="s">
        <v>47</v>
      </c>
      <c r="C16" s="462">
        <v>5</v>
      </c>
      <c r="D16" s="314">
        <v>83</v>
      </c>
      <c r="E16" s="314">
        <v>215</v>
      </c>
      <c r="F16" s="463">
        <v>66</v>
      </c>
      <c r="G16" s="601">
        <f t="shared" si="1"/>
        <v>369</v>
      </c>
      <c r="H16" s="451"/>
      <c r="I16" s="7" t="s">
        <v>47</v>
      </c>
      <c r="J16" s="14"/>
    </row>
    <row r="17" spans="1:10" ht="12.75" customHeight="1">
      <c r="A17" s="5"/>
      <c r="B17" s="34" t="s">
        <v>48</v>
      </c>
      <c r="C17" s="459">
        <v>31</v>
      </c>
      <c r="D17" s="460">
        <v>92</v>
      </c>
      <c r="E17" s="460">
        <v>124</v>
      </c>
      <c r="F17" s="461">
        <v>98</v>
      </c>
      <c r="G17" s="600">
        <f t="shared" si="1"/>
        <v>345</v>
      </c>
      <c r="H17" s="452"/>
      <c r="I17" s="34" t="s">
        <v>48</v>
      </c>
      <c r="J17" s="14"/>
    </row>
    <row r="18" spans="1:10" ht="12.75" customHeight="1">
      <c r="A18" s="5"/>
      <c r="B18" s="7" t="s">
        <v>59</v>
      </c>
      <c r="C18" s="462">
        <v>1</v>
      </c>
      <c r="D18" s="314">
        <v>11</v>
      </c>
      <c r="E18" s="314">
        <v>4</v>
      </c>
      <c r="F18" s="463"/>
      <c r="G18" s="601">
        <f t="shared" si="1"/>
        <v>16</v>
      </c>
      <c r="H18" s="451"/>
      <c r="I18" s="7" t="s">
        <v>59</v>
      </c>
      <c r="J18" s="14"/>
    </row>
    <row r="19" spans="1:10" ht="12.75" customHeight="1">
      <c r="A19" s="5"/>
      <c r="B19" s="107" t="s">
        <v>50</v>
      </c>
      <c r="C19" s="464"/>
      <c r="D19" s="460">
        <v>30</v>
      </c>
      <c r="E19" s="460">
        <v>35</v>
      </c>
      <c r="F19" s="461">
        <v>10</v>
      </c>
      <c r="G19" s="600">
        <f t="shared" si="1"/>
        <v>75</v>
      </c>
      <c r="H19" s="453"/>
      <c r="I19" s="107" t="s">
        <v>50</v>
      </c>
      <c r="J19" s="14"/>
    </row>
    <row r="20" spans="1:10" ht="12.75" customHeight="1">
      <c r="A20" s="5"/>
      <c r="B20" s="7" t="s">
        <v>29</v>
      </c>
      <c r="C20" s="462"/>
      <c r="D20" s="314">
        <v>1</v>
      </c>
      <c r="E20" s="314">
        <v>2</v>
      </c>
      <c r="F20" s="463"/>
      <c r="G20" s="601">
        <f t="shared" si="1"/>
        <v>3</v>
      </c>
      <c r="H20" s="451"/>
      <c r="I20" s="7" t="s">
        <v>29</v>
      </c>
      <c r="J20" s="14"/>
    </row>
    <row r="21" spans="1:10" ht="12.75" customHeight="1">
      <c r="A21" s="5"/>
      <c r="B21" s="107" t="s">
        <v>33</v>
      </c>
      <c r="C21" s="464">
        <v>1</v>
      </c>
      <c r="D21" s="460">
        <v>27</v>
      </c>
      <c r="E21" s="460">
        <v>4</v>
      </c>
      <c r="F21" s="461"/>
      <c r="G21" s="600">
        <f t="shared" si="1"/>
        <v>32</v>
      </c>
      <c r="H21" s="453"/>
      <c r="I21" s="107" t="s">
        <v>33</v>
      </c>
      <c r="J21" s="14"/>
    </row>
    <row r="22" spans="1:10" ht="12.75" customHeight="1">
      <c r="A22" s="5"/>
      <c r="B22" s="7" t="s">
        <v>34</v>
      </c>
      <c r="C22" s="462">
        <v>3</v>
      </c>
      <c r="D22" s="314">
        <v>1</v>
      </c>
      <c r="E22" s="314">
        <v>4</v>
      </c>
      <c r="F22" s="463">
        <v>1</v>
      </c>
      <c r="G22" s="601">
        <f t="shared" si="1"/>
        <v>9</v>
      </c>
      <c r="H22" s="451"/>
      <c r="I22" s="7" t="s">
        <v>34</v>
      </c>
      <c r="J22" s="14"/>
    </row>
    <row r="23" spans="1:10" ht="12.75" customHeight="1">
      <c r="A23" s="5"/>
      <c r="B23" s="107" t="s">
        <v>51</v>
      </c>
      <c r="C23" s="464"/>
      <c r="D23" s="460">
        <v>14</v>
      </c>
      <c r="E23" s="460">
        <v>4</v>
      </c>
      <c r="F23" s="461"/>
      <c r="G23" s="600">
        <f t="shared" si="1"/>
        <v>18</v>
      </c>
      <c r="H23" s="453"/>
      <c r="I23" s="107" t="s">
        <v>51</v>
      </c>
      <c r="J23" s="14"/>
    </row>
    <row r="24" spans="1:10" ht="12.75" customHeight="1">
      <c r="A24" s="5"/>
      <c r="B24" s="7" t="s">
        <v>32</v>
      </c>
      <c r="C24" s="462">
        <v>1</v>
      </c>
      <c r="D24" s="314"/>
      <c r="E24" s="314">
        <v>128</v>
      </c>
      <c r="F24" s="463"/>
      <c r="G24" s="601">
        <f t="shared" si="1"/>
        <v>129</v>
      </c>
      <c r="H24" s="451"/>
      <c r="I24" s="7" t="s">
        <v>32</v>
      </c>
      <c r="J24" s="14"/>
    </row>
    <row r="25" spans="1:10" ht="12.75" customHeight="1">
      <c r="A25" s="5"/>
      <c r="B25" s="107" t="s">
        <v>35</v>
      </c>
      <c r="C25" s="499">
        <v>3</v>
      </c>
      <c r="D25" s="500">
        <v>3</v>
      </c>
      <c r="E25" s="500">
        <v>202</v>
      </c>
      <c r="F25" s="501">
        <v>4</v>
      </c>
      <c r="G25" s="602">
        <f t="shared" si="1"/>
        <v>212</v>
      </c>
      <c r="H25" s="453"/>
      <c r="I25" s="107" t="s">
        <v>35</v>
      </c>
      <c r="J25" s="14"/>
    </row>
    <row r="26" spans="1:10" ht="12.75" customHeight="1">
      <c r="A26" s="5"/>
      <c r="B26" s="7" t="s">
        <v>43</v>
      </c>
      <c r="C26" s="462">
        <v>3</v>
      </c>
      <c r="D26" s="314">
        <v>66</v>
      </c>
      <c r="E26" s="314">
        <v>76</v>
      </c>
      <c r="F26" s="463">
        <v>63</v>
      </c>
      <c r="G26" s="601">
        <f t="shared" si="1"/>
        <v>208</v>
      </c>
      <c r="H26" s="451"/>
      <c r="I26" s="7" t="s">
        <v>43</v>
      </c>
      <c r="J26" s="14"/>
    </row>
    <row r="27" spans="1:10" ht="12.75" customHeight="1">
      <c r="A27" s="5"/>
      <c r="B27" s="107" t="s">
        <v>52</v>
      </c>
      <c r="C27" s="464">
        <v>3</v>
      </c>
      <c r="D27" s="460">
        <v>23</v>
      </c>
      <c r="E27" s="460">
        <v>150</v>
      </c>
      <c r="F27" s="461">
        <v>5</v>
      </c>
      <c r="G27" s="600">
        <f t="shared" si="1"/>
        <v>181</v>
      </c>
      <c r="H27" s="453"/>
      <c r="I27" s="107" t="s">
        <v>52</v>
      </c>
      <c r="J27" s="14"/>
    </row>
    <row r="28" spans="1:10" ht="12.75" customHeight="1">
      <c r="A28" s="5"/>
      <c r="B28" s="7" t="s">
        <v>36</v>
      </c>
      <c r="C28" s="462">
        <v>5</v>
      </c>
      <c r="D28" s="314">
        <v>43</v>
      </c>
      <c r="E28" s="314">
        <v>87</v>
      </c>
      <c r="F28" s="463">
        <v>12</v>
      </c>
      <c r="G28" s="601">
        <f t="shared" si="1"/>
        <v>147</v>
      </c>
      <c r="H28" s="451"/>
      <c r="I28" s="7" t="s">
        <v>36</v>
      </c>
      <c r="J28" s="14"/>
    </row>
    <row r="29" spans="1:10" ht="12.75" customHeight="1">
      <c r="A29" s="5"/>
      <c r="B29" s="107" t="s">
        <v>53</v>
      </c>
      <c r="C29" s="464">
        <v>6</v>
      </c>
      <c r="D29" s="460">
        <v>27</v>
      </c>
      <c r="E29" s="460">
        <v>53</v>
      </c>
      <c r="F29" s="461">
        <v>27</v>
      </c>
      <c r="G29" s="600">
        <f t="shared" si="1"/>
        <v>113</v>
      </c>
      <c r="H29" s="453"/>
      <c r="I29" s="107" t="s">
        <v>53</v>
      </c>
      <c r="J29" s="14"/>
    </row>
    <row r="30" spans="1:10" ht="12.75" customHeight="1">
      <c r="A30" s="5"/>
      <c r="B30" s="7" t="s">
        <v>37</v>
      </c>
      <c r="C30" s="462"/>
      <c r="D30" s="314">
        <v>16</v>
      </c>
      <c r="E30" s="314">
        <v>19</v>
      </c>
      <c r="F30" s="463"/>
      <c r="G30" s="601">
        <f t="shared" si="1"/>
        <v>35</v>
      </c>
      <c r="H30" s="451"/>
      <c r="I30" s="7" t="s">
        <v>37</v>
      </c>
      <c r="J30" s="14"/>
    </row>
    <row r="31" spans="1:10" ht="12.75" customHeight="1">
      <c r="A31" s="5"/>
      <c r="B31" s="107" t="s">
        <v>39</v>
      </c>
      <c r="C31" s="464">
        <v>2</v>
      </c>
      <c r="D31" s="460"/>
      <c r="E31" s="460"/>
      <c r="F31" s="461"/>
      <c r="G31" s="600">
        <f t="shared" si="1"/>
        <v>2</v>
      </c>
      <c r="H31" s="453"/>
      <c r="I31" s="107" t="s">
        <v>39</v>
      </c>
      <c r="J31" s="14"/>
    </row>
    <row r="32" spans="1:10" ht="12.75" customHeight="1">
      <c r="A32" s="5"/>
      <c r="B32" s="7" t="s">
        <v>38</v>
      </c>
      <c r="C32" s="462"/>
      <c r="D32" s="314"/>
      <c r="E32" s="314">
        <v>2</v>
      </c>
      <c r="F32" s="463"/>
      <c r="G32" s="601">
        <f t="shared" si="1"/>
        <v>2</v>
      </c>
      <c r="H32" s="451"/>
      <c r="I32" s="7" t="s">
        <v>38</v>
      </c>
      <c r="J32" s="14"/>
    </row>
    <row r="33" spans="1:10" ht="12.75" customHeight="1">
      <c r="A33" s="5"/>
      <c r="B33" s="107" t="s">
        <v>54</v>
      </c>
      <c r="C33" s="464">
        <v>1</v>
      </c>
      <c r="D33" s="460">
        <v>29</v>
      </c>
      <c r="E33" s="460">
        <v>19</v>
      </c>
      <c r="F33" s="461">
        <v>17</v>
      </c>
      <c r="G33" s="600">
        <f t="shared" si="1"/>
        <v>66</v>
      </c>
      <c r="H33" s="453"/>
      <c r="I33" s="107" t="s">
        <v>54</v>
      </c>
      <c r="J33" s="14"/>
    </row>
    <row r="34" spans="1:10" ht="12.75" customHeight="1">
      <c r="A34" s="5"/>
      <c r="B34" s="8" t="s">
        <v>55</v>
      </c>
      <c r="C34" s="465">
        <v>10</v>
      </c>
      <c r="D34" s="466">
        <v>56</v>
      </c>
      <c r="E34" s="466">
        <v>78</v>
      </c>
      <c r="F34" s="467">
        <v>16</v>
      </c>
      <c r="G34" s="603">
        <f t="shared" si="1"/>
        <v>160</v>
      </c>
      <c r="H34" s="454"/>
      <c r="I34" s="8" t="s">
        <v>55</v>
      </c>
      <c r="J34" s="14"/>
    </row>
    <row r="35" spans="1:10" ht="12.75" customHeight="1">
      <c r="A35" s="5"/>
      <c r="B35" s="107" t="s">
        <v>26</v>
      </c>
      <c r="C35" s="464">
        <v>10</v>
      </c>
      <c r="D35" s="460">
        <v>2</v>
      </c>
      <c r="E35" s="460">
        <v>23</v>
      </c>
      <c r="F35" s="461">
        <v>4</v>
      </c>
      <c r="G35" s="600">
        <f t="shared" si="1"/>
        <v>39</v>
      </c>
      <c r="H35" s="453"/>
      <c r="I35" s="107" t="s">
        <v>26</v>
      </c>
      <c r="J35" s="393"/>
    </row>
    <row r="36" spans="1:10" ht="12.75" customHeight="1">
      <c r="A36" s="5"/>
      <c r="B36" s="7" t="s">
        <v>65</v>
      </c>
      <c r="C36" s="462"/>
      <c r="D36" s="314"/>
      <c r="E36" s="314"/>
      <c r="F36" s="463"/>
      <c r="G36" s="601">
        <f t="shared" si="1"/>
        <v>0</v>
      </c>
      <c r="H36" s="451"/>
      <c r="I36" s="7" t="s">
        <v>65</v>
      </c>
      <c r="J36" s="14"/>
    </row>
    <row r="37" spans="1:10" ht="12.75" customHeight="1">
      <c r="A37" s="5"/>
      <c r="B37" s="107" t="s">
        <v>56</v>
      </c>
      <c r="C37" s="464">
        <v>28</v>
      </c>
      <c r="D37" s="460">
        <v>12</v>
      </c>
      <c r="E37" s="460">
        <v>32</v>
      </c>
      <c r="F37" s="461"/>
      <c r="G37" s="600">
        <f t="shared" si="1"/>
        <v>72</v>
      </c>
      <c r="H37" s="453"/>
      <c r="I37" s="107" t="s">
        <v>56</v>
      </c>
      <c r="J37" s="14"/>
    </row>
    <row r="38" spans="1:10" ht="12.75" customHeight="1">
      <c r="A38" s="5"/>
      <c r="B38" s="8" t="s">
        <v>27</v>
      </c>
      <c r="C38" s="465">
        <v>10</v>
      </c>
      <c r="D38" s="466">
        <v>41</v>
      </c>
      <c r="E38" s="466">
        <v>69</v>
      </c>
      <c r="F38" s="467">
        <v>16</v>
      </c>
      <c r="G38" s="603">
        <f t="shared" si="1"/>
        <v>136</v>
      </c>
      <c r="H38" s="454"/>
      <c r="I38" s="8" t="s">
        <v>27</v>
      </c>
      <c r="J38" s="14"/>
    </row>
    <row r="39" spans="1:10" ht="12.75" customHeight="1">
      <c r="A39" s="5"/>
      <c r="B39" s="107" t="s">
        <v>139</v>
      </c>
      <c r="C39" s="464"/>
      <c r="D39" s="460">
        <v>1</v>
      </c>
      <c r="E39" s="460"/>
      <c r="F39" s="461"/>
      <c r="G39" s="600">
        <f t="shared" si="1"/>
        <v>1</v>
      </c>
      <c r="H39" s="453"/>
      <c r="I39" s="107" t="s">
        <v>139</v>
      </c>
      <c r="J39" s="14"/>
    </row>
    <row r="40" spans="1:10" ht="12.75" customHeight="1">
      <c r="A40" s="5"/>
      <c r="B40" s="7" t="s">
        <v>144</v>
      </c>
      <c r="C40" s="462"/>
      <c r="D40" s="314">
        <v>1</v>
      </c>
      <c r="E40" s="314">
        <v>4</v>
      </c>
      <c r="F40" s="463"/>
      <c r="G40" s="601">
        <f t="shared" si="1"/>
        <v>5</v>
      </c>
      <c r="H40" s="451"/>
      <c r="I40" s="7" t="s">
        <v>144</v>
      </c>
      <c r="J40" s="14"/>
    </row>
    <row r="41" spans="1:10" ht="12.75" customHeight="1">
      <c r="A41" s="5"/>
      <c r="B41" s="7" t="s">
        <v>138</v>
      </c>
      <c r="C41" s="462"/>
      <c r="D41" s="314">
        <v>12</v>
      </c>
      <c r="E41" s="314">
        <v>2</v>
      </c>
      <c r="F41" s="463"/>
      <c r="G41" s="601">
        <f t="shared" si="1"/>
        <v>14</v>
      </c>
      <c r="H41" s="451"/>
      <c r="I41" s="7" t="s">
        <v>138</v>
      </c>
      <c r="J41" s="14"/>
    </row>
    <row r="42" spans="1:10" ht="12.75" customHeight="1">
      <c r="A42" s="5"/>
      <c r="B42" s="107" t="s">
        <v>40</v>
      </c>
      <c r="C42" s="464">
        <v>1</v>
      </c>
      <c r="D42" s="460">
        <v>5</v>
      </c>
      <c r="E42" s="460">
        <v>357</v>
      </c>
      <c r="F42" s="461">
        <v>89</v>
      </c>
      <c r="G42" s="600">
        <f t="shared" si="1"/>
        <v>452</v>
      </c>
      <c r="H42" s="453"/>
      <c r="I42" s="107" t="s">
        <v>40</v>
      </c>
      <c r="J42" s="14"/>
    </row>
    <row r="43" spans="1:10" ht="12.75" customHeight="1">
      <c r="A43" s="5"/>
      <c r="B43" s="8" t="s">
        <v>312</v>
      </c>
      <c r="C43" s="465">
        <v>1</v>
      </c>
      <c r="D43" s="466"/>
      <c r="E43" s="466"/>
      <c r="F43" s="467"/>
      <c r="G43" s="603">
        <f t="shared" si="1"/>
        <v>1</v>
      </c>
      <c r="H43" s="454"/>
      <c r="I43" s="8" t="s">
        <v>312</v>
      </c>
      <c r="J43" s="14"/>
    </row>
    <row r="44" spans="1:10" ht="12.75" customHeight="1">
      <c r="A44" s="5"/>
      <c r="B44" s="7" t="s">
        <v>44</v>
      </c>
      <c r="C44" s="462">
        <v>46</v>
      </c>
      <c r="D44" s="314">
        <v>72</v>
      </c>
      <c r="E44" s="314">
        <v>357</v>
      </c>
      <c r="F44" s="463">
        <v>104</v>
      </c>
      <c r="G44" s="601">
        <f t="shared" si="1"/>
        <v>579</v>
      </c>
      <c r="H44" s="451"/>
      <c r="I44" s="7" t="s">
        <v>44</v>
      </c>
      <c r="J44" s="14"/>
    </row>
    <row r="45" spans="1:10" ht="12.75" customHeight="1">
      <c r="A45" s="5"/>
      <c r="B45" s="1163" t="s">
        <v>168</v>
      </c>
      <c r="C45" s="1163"/>
      <c r="D45" s="1163"/>
      <c r="E45" s="1163"/>
      <c r="F45" s="1163"/>
      <c r="G45" s="1163"/>
      <c r="H45" s="1163"/>
      <c r="I45" s="1163"/>
      <c r="J45" s="14"/>
    </row>
    <row r="46" spans="1:10" ht="12.75" customHeight="1">
      <c r="A46" s="5"/>
      <c r="B46" s="1093" t="s">
        <v>289</v>
      </c>
      <c r="C46" s="1093"/>
      <c r="J46" s="14"/>
    </row>
    <row r="47" spans="1:10" ht="12.75" customHeight="1">
      <c r="A47" s="5"/>
      <c r="B47" s="1142" t="s">
        <v>62</v>
      </c>
      <c r="C47" s="1142"/>
      <c r="D47" s="1142"/>
      <c r="E47" s="1142"/>
      <c r="F47" s="1142"/>
      <c r="G47" s="1142"/>
      <c r="H47" s="167"/>
      <c r="J47" s="14"/>
    </row>
    <row r="48" spans="1:10" ht="12.75" customHeight="1">
      <c r="A48" s="5"/>
      <c r="B48" s="39" t="s">
        <v>89</v>
      </c>
      <c r="C48" s="39"/>
      <c r="D48" s="39"/>
      <c r="E48" s="39"/>
      <c r="F48" s="39"/>
      <c r="G48" s="381"/>
      <c r="H48" s="39"/>
      <c r="J48" s="14"/>
    </row>
    <row r="49" spans="10:10" ht="15.75" customHeight="1">
      <c r="J49" s="11"/>
    </row>
    <row r="50" spans="10:10" ht="11.25" customHeight="1">
      <c r="J50" s="9"/>
    </row>
    <row r="51" spans="10:10" ht="12.75" customHeight="1"/>
    <row r="52" spans="10:10" ht="12.75" customHeight="1"/>
  </sheetData>
  <mergeCells count="8">
    <mergeCell ref="B2:I2"/>
    <mergeCell ref="B3:I3"/>
    <mergeCell ref="B4:I4"/>
    <mergeCell ref="B47:G47"/>
    <mergeCell ref="C5:H5"/>
    <mergeCell ref="G6:H6"/>
    <mergeCell ref="B45:I45"/>
    <mergeCell ref="B46:C46"/>
  </mergeCells>
  <phoneticPr fontId="7" type="noConversion"/>
  <printOptions horizontalCentered="1"/>
  <pageMargins left="0.6692913385826772" right="0.6692913385826772" top="0.51181102362204722" bottom="0.27559055118110237" header="0" footer="0"/>
  <pageSetup paperSize="9"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344"/>
  <dimension ref="A1:J50"/>
  <sheetViews>
    <sheetView workbookViewId="0">
      <selection activeCell="S50" sqref="S50"/>
    </sheetView>
  </sheetViews>
  <sheetFormatPr defaultColWidth="9.1328125" defaultRowHeight="10.15"/>
  <cols>
    <col min="1" max="1" width="3.73046875" style="1" customWidth="1"/>
    <col min="2" max="2" width="9.1328125" style="1"/>
    <col min="3" max="3" width="5.3984375" style="1" customWidth="1"/>
    <col min="4" max="8" width="10.73046875" style="1" customWidth="1"/>
    <col min="9" max="9" width="1.73046875" style="1" customWidth="1"/>
    <col min="10" max="10" width="5.1328125" style="1" customWidth="1"/>
    <col min="11" max="16384" width="9.1328125" style="1"/>
  </cols>
  <sheetData>
    <row r="1" spans="1:10" ht="15">
      <c r="J1" s="12" t="s">
        <v>117</v>
      </c>
    </row>
    <row r="2" spans="1:10" s="39" customFormat="1" ht="15.75" customHeight="1">
      <c r="C2" s="1082" t="s">
        <v>267</v>
      </c>
      <c r="D2" s="1082"/>
      <c r="E2" s="1082"/>
      <c r="F2" s="1082"/>
      <c r="G2" s="1082"/>
      <c r="H2" s="1082"/>
      <c r="I2" s="1082"/>
      <c r="J2" s="1082"/>
    </row>
    <row r="3" spans="1:10" s="58" customFormat="1" ht="12.75" customHeight="1">
      <c r="C3" s="1083" t="s">
        <v>266</v>
      </c>
      <c r="D3" s="1083"/>
      <c r="E3" s="1083"/>
      <c r="F3" s="1083"/>
      <c r="G3" s="1083"/>
      <c r="H3" s="1083"/>
      <c r="I3" s="1083"/>
      <c r="J3" s="1083"/>
    </row>
    <row r="4" spans="1:10" ht="11.65">
      <c r="C4" s="1166" t="s">
        <v>311</v>
      </c>
      <c r="D4" s="1167"/>
      <c r="E4" s="1167"/>
      <c r="F4" s="1167"/>
      <c r="G4" s="1167"/>
      <c r="H4" s="1167"/>
      <c r="I4" s="1167"/>
      <c r="J4" s="1167"/>
    </row>
    <row r="5" spans="1:10" ht="45" customHeight="1">
      <c r="D5" s="1096" t="s">
        <v>22</v>
      </c>
      <c r="E5" s="1098"/>
      <c r="F5" s="516" t="s">
        <v>23</v>
      </c>
      <c r="G5" s="1168" t="s">
        <v>24</v>
      </c>
      <c r="H5" s="1096" t="s">
        <v>25</v>
      </c>
      <c r="I5" s="1098"/>
    </row>
    <row r="6" spans="1:10" ht="32.25" customHeight="1">
      <c r="D6" s="70" t="s">
        <v>147</v>
      </c>
      <c r="E6" s="68" t="s">
        <v>148</v>
      </c>
      <c r="F6" s="69" t="s">
        <v>83</v>
      </c>
      <c r="G6" s="1130"/>
      <c r="H6" s="1169"/>
      <c r="I6" s="1170"/>
    </row>
    <row r="7" spans="1:10">
      <c r="D7" s="65" t="s">
        <v>84</v>
      </c>
      <c r="E7" s="66" t="s">
        <v>84</v>
      </c>
      <c r="F7" s="67" t="s">
        <v>85</v>
      </c>
      <c r="G7" s="517"/>
      <c r="H7" s="1164"/>
      <c r="I7" s="1165"/>
    </row>
    <row r="8" spans="1:10" ht="13.5" customHeight="1">
      <c r="C8" s="106" t="s">
        <v>237</v>
      </c>
      <c r="D8" s="468">
        <f>SUM(D9:D35)</f>
        <v>106</v>
      </c>
      <c r="E8" s="468">
        <f t="shared" ref="E8:H8" si="0">SUM(E9:E35)</f>
        <v>299</v>
      </c>
      <c r="F8" s="468">
        <f t="shared" si="0"/>
        <v>12</v>
      </c>
      <c r="G8" s="468">
        <f t="shared" si="0"/>
        <v>150</v>
      </c>
      <c r="H8" s="468">
        <f t="shared" si="0"/>
        <v>1785</v>
      </c>
      <c r="I8" s="106"/>
      <c r="J8" s="106" t="s">
        <v>237</v>
      </c>
    </row>
    <row r="9" spans="1:10">
      <c r="C9" s="6" t="s">
        <v>45</v>
      </c>
      <c r="D9" s="469"/>
      <c r="E9" s="469">
        <v>45</v>
      </c>
      <c r="F9" s="469"/>
      <c r="G9" s="469">
        <v>1</v>
      </c>
      <c r="H9" s="469">
        <v>66</v>
      </c>
      <c r="I9" s="166"/>
      <c r="J9" s="6" t="s">
        <v>45</v>
      </c>
    </row>
    <row r="10" spans="1:10">
      <c r="A10" s="5"/>
      <c r="C10" s="34" t="s">
        <v>28</v>
      </c>
      <c r="D10" s="470">
        <v>1</v>
      </c>
      <c r="E10" s="471">
        <v>6</v>
      </c>
      <c r="F10" s="471"/>
      <c r="G10" s="471"/>
      <c r="H10" s="471">
        <v>13</v>
      </c>
      <c r="I10" s="64"/>
      <c r="J10" s="34" t="s">
        <v>28</v>
      </c>
    </row>
    <row r="11" spans="1:10">
      <c r="A11" s="5"/>
      <c r="C11" s="7" t="s">
        <v>30</v>
      </c>
      <c r="D11" s="472"/>
      <c r="E11" s="472"/>
      <c r="F11" s="472"/>
      <c r="G11" s="472">
        <v>1</v>
      </c>
      <c r="H11" s="502">
        <v>65</v>
      </c>
      <c r="I11" s="90"/>
      <c r="J11" s="7" t="s">
        <v>30</v>
      </c>
    </row>
    <row r="12" spans="1:10">
      <c r="A12" s="5"/>
      <c r="C12" s="34" t="s">
        <v>41</v>
      </c>
      <c r="D12" s="471"/>
      <c r="E12" s="471">
        <v>15</v>
      </c>
      <c r="F12" s="471">
        <v>5</v>
      </c>
      <c r="G12" s="471">
        <v>1</v>
      </c>
      <c r="H12" s="471">
        <v>67</v>
      </c>
      <c r="I12" s="64"/>
      <c r="J12" s="34" t="s">
        <v>41</v>
      </c>
    </row>
    <row r="13" spans="1:10">
      <c r="A13" s="5"/>
      <c r="C13" s="7" t="s">
        <v>46</v>
      </c>
      <c r="D13" s="472">
        <v>7</v>
      </c>
      <c r="E13" s="472">
        <v>95</v>
      </c>
      <c r="F13" s="472"/>
      <c r="G13" s="472">
        <v>50</v>
      </c>
      <c r="H13" s="472">
        <v>446</v>
      </c>
      <c r="I13" s="90"/>
      <c r="J13" s="7" t="s">
        <v>46</v>
      </c>
    </row>
    <row r="14" spans="1:10">
      <c r="A14" s="5"/>
      <c r="C14" s="34" t="s">
        <v>31</v>
      </c>
      <c r="D14" s="471">
        <v>9</v>
      </c>
      <c r="E14" s="471"/>
      <c r="F14" s="471"/>
      <c r="G14" s="471"/>
      <c r="H14" s="471">
        <v>11</v>
      </c>
      <c r="I14" s="64"/>
      <c r="J14" s="34" t="s">
        <v>31</v>
      </c>
    </row>
    <row r="15" spans="1:10">
      <c r="A15" s="5"/>
      <c r="C15" s="7" t="s">
        <v>49</v>
      </c>
      <c r="D15" s="472">
        <v>7</v>
      </c>
      <c r="E15" s="472">
        <v>22</v>
      </c>
      <c r="F15" s="472"/>
      <c r="G15" s="472">
        <v>1</v>
      </c>
      <c r="H15" s="472">
        <v>23</v>
      </c>
      <c r="I15" s="90"/>
      <c r="J15" s="7" t="s">
        <v>49</v>
      </c>
    </row>
    <row r="16" spans="1:10">
      <c r="A16" s="5"/>
      <c r="C16" s="34" t="s">
        <v>42</v>
      </c>
      <c r="D16" s="471">
        <v>7</v>
      </c>
      <c r="E16" s="471"/>
      <c r="F16" s="471"/>
      <c r="G16" s="471">
        <v>3</v>
      </c>
      <c r="H16" s="471">
        <v>13</v>
      </c>
      <c r="I16" s="64"/>
      <c r="J16" s="34" t="s">
        <v>42</v>
      </c>
    </row>
    <row r="17" spans="1:10">
      <c r="A17" s="5"/>
      <c r="C17" s="7" t="s">
        <v>47</v>
      </c>
      <c r="D17" s="472">
        <v>28</v>
      </c>
      <c r="E17" s="472">
        <v>13</v>
      </c>
      <c r="F17" s="472">
        <v>3</v>
      </c>
      <c r="G17" s="472">
        <v>23</v>
      </c>
      <c r="H17" s="472">
        <v>54</v>
      </c>
      <c r="I17" s="90"/>
      <c r="J17" s="7" t="s">
        <v>47</v>
      </c>
    </row>
    <row r="18" spans="1:10">
      <c r="A18" s="5"/>
      <c r="C18" s="34" t="s">
        <v>48</v>
      </c>
      <c r="D18" s="471"/>
      <c r="E18" s="471">
        <v>19</v>
      </c>
      <c r="F18" s="471">
        <v>1</v>
      </c>
      <c r="G18" s="471">
        <v>1</v>
      </c>
      <c r="H18" s="471">
        <v>133</v>
      </c>
      <c r="I18" s="64"/>
      <c r="J18" s="34" t="s">
        <v>48</v>
      </c>
    </row>
    <row r="19" spans="1:10">
      <c r="A19" s="5"/>
      <c r="C19" s="7" t="s">
        <v>59</v>
      </c>
      <c r="D19" s="472"/>
      <c r="E19" s="472"/>
      <c r="F19" s="472"/>
      <c r="G19" s="472"/>
      <c r="H19" s="472">
        <v>7</v>
      </c>
      <c r="I19" s="90"/>
      <c r="J19" s="7" t="s">
        <v>59</v>
      </c>
    </row>
    <row r="20" spans="1:10">
      <c r="A20" s="5"/>
      <c r="C20" s="107" t="s">
        <v>50</v>
      </c>
      <c r="D20" s="471">
        <v>2</v>
      </c>
      <c r="E20" s="471">
        <v>10</v>
      </c>
      <c r="F20" s="471"/>
      <c r="G20" s="471">
        <v>19</v>
      </c>
      <c r="H20" s="471">
        <v>71</v>
      </c>
      <c r="I20" s="206"/>
      <c r="J20" s="107" t="s">
        <v>50</v>
      </c>
    </row>
    <row r="21" spans="1:10">
      <c r="A21" s="5"/>
      <c r="C21" s="7" t="s">
        <v>29</v>
      </c>
      <c r="D21" s="472"/>
      <c r="E21" s="472"/>
      <c r="F21" s="472"/>
      <c r="G21" s="472"/>
      <c r="H21" s="472">
        <v>9</v>
      </c>
      <c r="I21" s="90"/>
      <c r="J21" s="7" t="s">
        <v>29</v>
      </c>
    </row>
    <row r="22" spans="1:10">
      <c r="A22" s="5"/>
      <c r="C22" s="107" t="s">
        <v>33</v>
      </c>
      <c r="D22" s="471">
        <v>4</v>
      </c>
      <c r="E22" s="471"/>
      <c r="F22" s="471"/>
      <c r="G22" s="471"/>
      <c r="H22" s="471">
        <v>4</v>
      </c>
      <c r="I22" s="206"/>
      <c r="J22" s="107" t="s">
        <v>33</v>
      </c>
    </row>
    <row r="23" spans="1:10">
      <c r="A23" s="5"/>
      <c r="C23" s="7" t="s">
        <v>34</v>
      </c>
      <c r="D23" s="472"/>
      <c r="E23" s="472">
        <v>1</v>
      </c>
      <c r="F23" s="472"/>
      <c r="G23" s="472">
        <v>1</v>
      </c>
      <c r="H23" s="472">
        <v>8</v>
      </c>
      <c r="I23" s="90"/>
      <c r="J23" s="7" t="s">
        <v>34</v>
      </c>
    </row>
    <row r="24" spans="1:10">
      <c r="A24" s="5"/>
      <c r="C24" s="107" t="s">
        <v>51</v>
      </c>
      <c r="D24" s="471"/>
      <c r="E24" s="471">
        <v>27</v>
      </c>
      <c r="F24" s="471"/>
      <c r="G24" s="471">
        <v>6</v>
      </c>
      <c r="H24" s="471">
        <v>74</v>
      </c>
      <c r="I24" s="206"/>
      <c r="J24" s="107" t="s">
        <v>51</v>
      </c>
    </row>
    <row r="25" spans="1:10">
      <c r="A25" s="5"/>
      <c r="C25" s="7" t="s">
        <v>32</v>
      </c>
      <c r="D25" s="472">
        <v>7</v>
      </c>
      <c r="E25" s="472">
        <v>1</v>
      </c>
      <c r="F25" s="472">
        <v>1</v>
      </c>
      <c r="G25" s="472"/>
      <c r="H25" s="472">
        <v>19</v>
      </c>
      <c r="I25" s="90"/>
      <c r="J25" s="7" t="s">
        <v>32</v>
      </c>
    </row>
    <row r="26" spans="1:10">
      <c r="A26" s="5"/>
      <c r="C26" s="107" t="s">
        <v>35</v>
      </c>
      <c r="D26" s="471">
        <v>1</v>
      </c>
      <c r="E26" s="471">
        <v>20</v>
      </c>
      <c r="F26" s="471"/>
      <c r="G26" s="471"/>
      <c r="H26" s="471">
        <v>215</v>
      </c>
      <c r="I26" s="206"/>
      <c r="J26" s="107" t="s">
        <v>35</v>
      </c>
    </row>
    <row r="27" spans="1:10">
      <c r="A27" s="5"/>
      <c r="C27" s="7" t="s">
        <v>43</v>
      </c>
      <c r="D27" s="472"/>
      <c r="E27" s="472">
        <v>4</v>
      </c>
      <c r="F27" s="472"/>
      <c r="G27" s="472"/>
      <c r="H27" s="472">
        <v>33</v>
      </c>
      <c r="I27" s="90"/>
      <c r="J27" s="7" t="s">
        <v>43</v>
      </c>
    </row>
    <row r="28" spans="1:10">
      <c r="A28" s="5"/>
      <c r="C28" s="107" t="s">
        <v>52</v>
      </c>
      <c r="D28" s="471">
        <v>2</v>
      </c>
      <c r="E28" s="471">
        <v>9</v>
      </c>
      <c r="F28" s="471"/>
      <c r="G28" s="471">
        <v>6</v>
      </c>
      <c r="H28" s="471">
        <v>215</v>
      </c>
      <c r="I28" s="206"/>
      <c r="J28" s="107" t="s">
        <v>52</v>
      </c>
    </row>
    <row r="29" spans="1:10">
      <c r="A29" s="5"/>
      <c r="C29" s="7" t="s">
        <v>36</v>
      </c>
      <c r="D29" s="472">
        <v>14</v>
      </c>
      <c r="E29" s="472">
        <v>2</v>
      </c>
      <c r="F29" s="472">
        <v>2</v>
      </c>
      <c r="G29" s="472"/>
      <c r="H29" s="472">
        <v>39</v>
      </c>
      <c r="I29" s="90"/>
      <c r="J29" s="7" t="s">
        <v>36</v>
      </c>
    </row>
    <row r="30" spans="1:10">
      <c r="A30" s="5"/>
      <c r="C30" s="107" t="s">
        <v>53</v>
      </c>
      <c r="D30" s="471"/>
      <c r="E30" s="471">
        <v>1</v>
      </c>
      <c r="F30" s="471"/>
      <c r="G30" s="471">
        <v>5</v>
      </c>
      <c r="H30" s="471">
        <v>121</v>
      </c>
      <c r="I30" s="206"/>
      <c r="J30" s="107" t="s">
        <v>53</v>
      </c>
    </row>
    <row r="31" spans="1:10">
      <c r="A31" s="5"/>
      <c r="C31" s="7" t="s">
        <v>37</v>
      </c>
      <c r="D31" s="473"/>
      <c r="E31" s="472">
        <v>1</v>
      </c>
      <c r="F31" s="472"/>
      <c r="G31" s="472"/>
      <c r="H31" s="472">
        <v>10</v>
      </c>
      <c r="I31" s="90"/>
      <c r="J31" s="7" t="s">
        <v>37</v>
      </c>
    </row>
    <row r="32" spans="1:10">
      <c r="A32" s="5"/>
      <c r="C32" s="107" t="s">
        <v>39</v>
      </c>
      <c r="D32" s="471"/>
      <c r="E32" s="471">
        <v>2</v>
      </c>
      <c r="F32" s="471"/>
      <c r="G32" s="471"/>
      <c r="H32" s="471">
        <v>9</v>
      </c>
      <c r="I32" s="206"/>
      <c r="J32" s="107" t="s">
        <v>39</v>
      </c>
    </row>
    <row r="33" spans="1:10">
      <c r="A33" s="5"/>
      <c r="C33" s="7" t="s">
        <v>38</v>
      </c>
      <c r="D33" s="472"/>
      <c r="E33" s="472"/>
      <c r="F33" s="472"/>
      <c r="G33" s="472"/>
      <c r="H33" s="472">
        <v>14</v>
      </c>
      <c r="I33" s="90"/>
      <c r="J33" s="7" t="s">
        <v>38</v>
      </c>
    </row>
    <row r="34" spans="1:10">
      <c r="A34" s="5"/>
      <c r="B34" s="378"/>
      <c r="C34" s="107" t="s">
        <v>54</v>
      </c>
      <c r="D34" s="471">
        <v>2</v>
      </c>
      <c r="E34" s="471">
        <v>2</v>
      </c>
      <c r="F34" s="471"/>
      <c r="G34" s="471"/>
      <c r="H34" s="471">
        <v>13</v>
      </c>
      <c r="I34" s="206"/>
      <c r="J34" s="107" t="s">
        <v>54</v>
      </c>
    </row>
    <row r="35" spans="1:10">
      <c r="A35" s="5"/>
      <c r="B35" s="378"/>
      <c r="C35" s="8" t="s">
        <v>55</v>
      </c>
      <c r="D35" s="474">
        <v>15</v>
      </c>
      <c r="E35" s="474">
        <v>4</v>
      </c>
      <c r="F35" s="474"/>
      <c r="G35" s="474">
        <v>32</v>
      </c>
      <c r="H35" s="474">
        <v>33</v>
      </c>
      <c r="I35" s="332"/>
      <c r="J35" s="8" t="s">
        <v>55</v>
      </c>
    </row>
    <row r="36" spans="1:10">
      <c r="A36" s="5"/>
      <c r="C36" s="106" t="s">
        <v>26</v>
      </c>
      <c r="D36" s="475"/>
      <c r="E36" s="471">
        <v>18</v>
      </c>
      <c r="F36" s="471"/>
      <c r="G36" s="471">
        <v>2</v>
      </c>
      <c r="H36" s="471"/>
      <c r="I36" s="206"/>
      <c r="J36" s="106" t="s">
        <v>26</v>
      </c>
    </row>
    <row r="37" spans="1:10">
      <c r="A37" s="5"/>
      <c r="C37" s="7" t="s">
        <v>65</v>
      </c>
      <c r="D37" s="473"/>
      <c r="E37" s="472"/>
      <c r="F37" s="472"/>
      <c r="G37" s="472"/>
      <c r="H37" s="472">
        <v>4</v>
      </c>
      <c r="I37" s="90"/>
      <c r="J37" s="7" t="s">
        <v>65</v>
      </c>
    </row>
    <row r="38" spans="1:10">
      <c r="A38" s="5"/>
      <c r="C38" s="107" t="s">
        <v>56</v>
      </c>
      <c r="D38" s="475"/>
      <c r="E38" s="471"/>
      <c r="F38" s="471"/>
      <c r="G38" s="471"/>
      <c r="H38" s="471">
        <v>11</v>
      </c>
      <c r="I38" s="206"/>
      <c r="J38" s="107" t="s">
        <v>56</v>
      </c>
    </row>
    <row r="39" spans="1:10">
      <c r="A39" s="5"/>
      <c r="C39" s="8" t="s">
        <v>27</v>
      </c>
      <c r="D39" s="476">
        <v>7</v>
      </c>
      <c r="E39" s="474"/>
      <c r="F39" s="474"/>
      <c r="G39" s="474">
        <v>6</v>
      </c>
      <c r="H39" s="474">
        <v>124</v>
      </c>
      <c r="I39" s="332"/>
      <c r="J39" s="8" t="s">
        <v>27</v>
      </c>
    </row>
    <row r="40" spans="1:10">
      <c r="A40" s="5"/>
      <c r="C40" s="107" t="s">
        <v>312</v>
      </c>
      <c r="D40" s="475"/>
      <c r="E40" s="471"/>
      <c r="F40" s="471"/>
      <c r="G40" s="471"/>
      <c r="H40" s="471">
        <v>1</v>
      </c>
      <c r="I40" s="206"/>
      <c r="J40" s="107" t="s">
        <v>312</v>
      </c>
    </row>
    <row r="41" spans="1:10">
      <c r="A41" s="5"/>
      <c r="C41" s="7" t="s">
        <v>139</v>
      </c>
      <c r="D41" s="473"/>
      <c r="E41" s="472"/>
      <c r="F41" s="472"/>
      <c r="G41" s="472"/>
      <c r="H41" s="472">
        <v>2</v>
      </c>
      <c r="I41" s="90"/>
      <c r="J41" s="7" t="s">
        <v>139</v>
      </c>
    </row>
    <row r="42" spans="1:10">
      <c r="A42" s="5"/>
      <c r="C42" s="107" t="s">
        <v>144</v>
      </c>
      <c r="D42" s="475"/>
      <c r="E42" s="471"/>
      <c r="F42" s="471"/>
      <c r="G42" s="471"/>
      <c r="H42" s="471">
        <v>1</v>
      </c>
      <c r="I42" s="206"/>
      <c r="J42" s="107" t="s">
        <v>144</v>
      </c>
    </row>
    <row r="43" spans="1:10">
      <c r="A43" s="5"/>
      <c r="C43" s="7" t="s">
        <v>138</v>
      </c>
      <c r="D43" s="473"/>
      <c r="E43" s="472"/>
      <c r="F43" s="472"/>
      <c r="G43" s="472"/>
      <c r="H43" s="472">
        <v>26</v>
      </c>
      <c r="I43" s="90"/>
      <c r="J43" s="7" t="s">
        <v>138</v>
      </c>
    </row>
    <row r="44" spans="1:10">
      <c r="A44" s="5"/>
      <c r="B44" s="378"/>
      <c r="C44" s="107" t="s">
        <v>40</v>
      </c>
      <c r="D44" s="471"/>
      <c r="E44" s="471">
        <v>33</v>
      </c>
      <c r="F44" s="471"/>
      <c r="G44" s="471">
        <v>20</v>
      </c>
      <c r="H44" s="471">
        <v>85</v>
      </c>
      <c r="I44" s="206"/>
      <c r="J44" s="194" t="s">
        <v>40</v>
      </c>
    </row>
    <row r="45" spans="1:10">
      <c r="A45" s="5"/>
      <c r="B45" s="378"/>
      <c r="C45" s="607" t="s">
        <v>44</v>
      </c>
      <c r="D45" s="614">
        <v>10</v>
      </c>
      <c r="E45" s="614">
        <v>36</v>
      </c>
      <c r="F45" s="614"/>
      <c r="G45" s="614">
        <v>15</v>
      </c>
      <c r="H45" s="615">
        <v>304</v>
      </c>
      <c r="I45" s="616"/>
      <c r="J45" s="607"/>
    </row>
    <row r="46" spans="1:10" ht="15.75" customHeight="1">
      <c r="C46" s="168" t="s">
        <v>168</v>
      </c>
      <c r="D46" s="25"/>
      <c r="E46" s="25"/>
      <c r="F46" s="25"/>
      <c r="J46" s="25"/>
    </row>
    <row r="47" spans="1:10" ht="11.25" customHeight="1">
      <c r="C47" s="1093" t="s">
        <v>289</v>
      </c>
      <c r="D47" s="1093"/>
      <c r="E47" s="1093"/>
      <c r="F47" s="1093"/>
      <c r="G47" s="1093"/>
      <c r="H47" s="1093"/>
      <c r="I47" s="491"/>
      <c r="J47" s="167"/>
    </row>
    <row r="48" spans="1:10" ht="24.75" customHeight="1">
      <c r="C48" s="1127" t="s">
        <v>130</v>
      </c>
      <c r="D48" s="1142"/>
      <c r="E48" s="1142"/>
      <c r="F48" s="1142"/>
      <c r="G48" s="1142"/>
      <c r="H48" s="1142"/>
      <c r="I48" s="1142"/>
      <c r="J48" s="1142"/>
    </row>
    <row r="49" spans="3:3">
      <c r="C49" s="39" t="s">
        <v>310</v>
      </c>
    </row>
    <row r="50" spans="3:3">
      <c r="C50" s="39" t="s">
        <v>89</v>
      </c>
    </row>
  </sheetData>
  <mergeCells count="9">
    <mergeCell ref="H7:I7"/>
    <mergeCell ref="C47:H47"/>
    <mergeCell ref="C48:J48"/>
    <mergeCell ref="C2:J2"/>
    <mergeCell ref="C3:J3"/>
    <mergeCell ref="C4:J4"/>
    <mergeCell ref="D5:E5"/>
    <mergeCell ref="G5:G6"/>
    <mergeCell ref="H5:I6"/>
  </mergeCells>
  <phoneticPr fontId="7" type="noConversion"/>
  <printOptions horizontalCentered="1"/>
  <pageMargins left="0.6692913385826772" right="0.6692913385826772" top="0.51181102362204722" bottom="0.27559055118110237" header="0" footer="0"/>
  <pageSetup paperSize="9" orientation="portrait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82"/>
  <dimension ref="A1:AD81"/>
  <sheetViews>
    <sheetView zoomScaleNormal="100" workbookViewId="0">
      <selection activeCell="AE23" sqref="AE23"/>
    </sheetView>
  </sheetViews>
  <sheetFormatPr defaultColWidth="9.1328125" defaultRowHeight="10.15"/>
  <cols>
    <col min="1" max="1" width="4.59765625" style="1" customWidth="1"/>
    <col min="2" max="2" width="5" style="1" customWidth="1"/>
    <col min="3" max="23" width="9.1328125" style="1" customWidth="1"/>
    <col min="24" max="24" width="9.1328125" style="1"/>
    <col min="25" max="27" width="7.86328125" style="1" customWidth="1"/>
    <col min="28" max="28" width="6.3984375" style="1" customWidth="1"/>
    <col min="29" max="29" width="2.73046875" style="1" customWidth="1"/>
    <col min="30" max="30" width="7.59765625" style="483" customWidth="1"/>
    <col min="31" max="16384" width="9.1328125" style="1"/>
  </cols>
  <sheetData>
    <row r="1" spans="1:30" ht="14.25" customHeight="1">
      <c r="A1"/>
      <c r="B1" s="21"/>
      <c r="C1" s="16"/>
      <c r="D1" s="16"/>
      <c r="E1" s="16"/>
      <c r="F1" s="16"/>
      <c r="G1" s="16"/>
      <c r="H1" s="592"/>
      <c r="I1"/>
      <c r="J1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 t="s">
        <v>118</v>
      </c>
      <c r="AC1"/>
      <c r="AD1" s="449"/>
    </row>
    <row r="2" spans="1:30" s="39" customFormat="1" ht="30" customHeight="1">
      <c r="A2" s="208"/>
      <c r="B2" s="1063" t="s">
        <v>268</v>
      </c>
      <c r="C2" s="1063"/>
      <c r="D2" s="1063"/>
      <c r="E2" s="1063"/>
      <c r="F2" s="1063"/>
      <c r="G2" s="1063"/>
      <c r="H2" s="1063"/>
      <c r="I2" s="1063"/>
      <c r="J2" s="1063"/>
      <c r="K2" s="1063"/>
      <c r="L2" s="1063"/>
      <c r="M2" s="1063"/>
      <c r="N2" s="1063"/>
      <c r="O2" s="1063"/>
      <c r="P2" s="1063"/>
      <c r="Q2" s="1063"/>
      <c r="R2" s="1063"/>
      <c r="S2" s="1063"/>
      <c r="T2" s="1063"/>
      <c r="U2" s="1063"/>
      <c r="V2" s="1063"/>
      <c r="W2" s="1063"/>
      <c r="X2" s="1063"/>
      <c r="Y2" s="1063"/>
      <c r="Z2" s="1063"/>
      <c r="AA2" s="1063"/>
      <c r="AB2" s="1063"/>
      <c r="AD2" s="483"/>
    </row>
    <row r="3" spans="1:30" ht="18" customHeight="1">
      <c r="A3"/>
      <c r="B3" s="1067" t="s">
        <v>3</v>
      </c>
      <c r="C3" s="1067"/>
      <c r="D3" s="1067"/>
      <c r="E3" s="1067"/>
      <c r="F3" s="1067"/>
      <c r="G3" s="1067"/>
      <c r="H3" s="1067"/>
      <c r="I3" s="1067"/>
      <c r="J3" s="1067"/>
      <c r="K3" s="1067"/>
      <c r="L3" s="1067"/>
      <c r="M3" s="1067"/>
      <c r="N3" s="1067"/>
      <c r="O3" s="1067"/>
      <c r="P3" s="1067"/>
      <c r="Q3" s="1067"/>
      <c r="R3" s="1067"/>
      <c r="S3" s="1067"/>
      <c r="T3" s="1067"/>
      <c r="U3" s="1067"/>
      <c r="V3" s="1067"/>
      <c r="W3" s="1067"/>
      <c r="X3" s="1067"/>
      <c r="Y3" s="1067"/>
      <c r="Z3" s="1067"/>
      <c r="AA3" s="1067"/>
      <c r="AB3" s="1067"/>
      <c r="AC3"/>
    </row>
    <row r="4" spans="1:30" ht="24.95" customHeight="1">
      <c r="A4"/>
      <c r="B4" s="71"/>
      <c r="C4" s="209">
        <v>1970</v>
      </c>
      <c r="D4" s="177">
        <v>1980</v>
      </c>
      <c r="E4" s="177">
        <v>1990</v>
      </c>
      <c r="F4" s="177">
        <v>2000</v>
      </c>
      <c r="G4" s="177">
        <v>2001</v>
      </c>
      <c r="H4" s="177">
        <v>2002</v>
      </c>
      <c r="I4" s="177">
        <v>2003</v>
      </c>
      <c r="J4" s="177">
        <v>2004</v>
      </c>
      <c r="K4" s="177">
        <v>2005</v>
      </c>
      <c r="L4" s="177">
        <v>2006</v>
      </c>
      <c r="M4" s="177">
        <v>2007</v>
      </c>
      <c r="N4" s="177">
        <v>2008</v>
      </c>
      <c r="O4" s="177">
        <v>2009</v>
      </c>
      <c r="P4" s="177">
        <v>2010</v>
      </c>
      <c r="Q4" s="177">
        <v>2011</v>
      </c>
      <c r="R4" s="37">
        <v>2012</v>
      </c>
      <c r="S4" s="37">
        <v>2013</v>
      </c>
      <c r="T4" s="177">
        <v>2014</v>
      </c>
      <c r="U4" s="37">
        <v>2015</v>
      </c>
      <c r="V4" s="177">
        <v>2016</v>
      </c>
      <c r="W4" s="37">
        <v>2017</v>
      </c>
      <c r="X4" s="37">
        <v>2018</v>
      </c>
      <c r="Y4" s="37">
        <v>2019</v>
      </c>
      <c r="Z4" s="37">
        <v>2020</v>
      </c>
      <c r="AA4" s="38">
        <v>2021</v>
      </c>
      <c r="AB4" s="556"/>
      <c r="AC4"/>
      <c r="AD4" s="680" t="s">
        <v>328</v>
      </c>
    </row>
    <row r="5" spans="1:30" ht="12.75" customHeight="1">
      <c r="A5"/>
      <c r="B5" s="344" t="s">
        <v>237</v>
      </c>
      <c r="C5" s="350"/>
      <c r="D5" s="351"/>
      <c r="E5" s="352"/>
      <c r="F5" s="351">
        <f>SUM(F6:F32)</f>
        <v>49674</v>
      </c>
      <c r="G5" s="351">
        <f>SUM(G6:G32)</f>
        <v>50320</v>
      </c>
      <c r="H5" s="351">
        <v>49897</v>
      </c>
      <c r="I5" s="351">
        <v>49371</v>
      </c>
      <c r="J5" s="351">
        <v>47125</v>
      </c>
      <c r="K5" s="351">
        <v>46374</v>
      </c>
      <c r="L5" s="351">
        <v>46032</v>
      </c>
      <c r="M5" s="351">
        <v>51752</v>
      </c>
      <c r="N5" s="351">
        <v>52612</v>
      </c>
      <c r="O5" s="351">
        <v>53664</v>
      </c>
      <c r="P5" s="351">
        <v>53322</v>
      </c>
      <c r="Q5" s="351">
        <v>53169</v>
      </c>
      <c r="R5" s="351">
        <v>52393</v>
      </c>
      <c r="S5" s="351">
        <v>53135</v>
      </c>
      <c r="T5" s="352">
        <v>54613</v>
      </c>
      <c r="U5" s="352">
        <v>53495</v>
      </c>
      <c r="V5" s="352">
        <v>54175</v>
      </c>
      <c r="W5" s="352">
        <v>52138</v>
      </c>
      <c r="X5" s="352">
        <v>52690</v>
      </c>
      <c r="Y5" s="352">
        <v>53696</v>
      </c>
      <c r="Z5" s="352">
        <f>SUM(Z6:Z32)</f>
        <v>56682</v>
      </c>
      <c r="AA5" s="353">
        <f>SUM(AA6:AA32)</f>
        <v>52477</v>
      </c>
      <c r="AB5" s="354" t="s">
        <v>237</v>
      </c>
      <c r="AC5" s="366"/>
      <c r="AD5" s="568">
        <f>AA5/Z5*100-100</f>
        <v>-7.4185808545922782</v>
      </c>
    </row>
    <row r="6" spans="1:30" ht="12.75" customHeight="1">
      <c r="A6"/>
      <c r="B6" s="7" t="s">
        <v>45</v>
      </c>
      <c r="C6" s="276">
        <v>1536</v>
      </c>
      <c r="D6" s="277">
        <v>1740</v>
      </c>
      <c r="E6" s="277">
        <v>1727</v>
      </c>
      <c r="F6" s="277">
        <v>1670</v>
      </c>
      <c r="G6" s="277">
        <v>1706</v>
      </c>
      <c r="H6" s="277">
        <v>1678</v>
      </c>
      <c r="I6" s="277">
        <v>1522</v>
      </c>
      <c r="J6" s="277">
        <v>1528</v>
      </c>
      <c r="K6" s="277">
        <v>1518</v>
      </c>
      <c r="L6" s="277">
        <v>1469</v>
      </c>
      <c r="M6" s="277">
        <v>1449</v>
      </c>
      <c r="N6" s="277">
        <v>1403</v>
      </c>
      <c r="O6" s="277">
        <v>1341</v>
      </c>
      <c r="P6" s="277">
        <v>1341</v>
      </c>
      <c r="Q6" s="277">
        <v>1266</v>
      </c>
      <c r="R6" s="284">
        <v>1266</v>
      </c>
      <c r="S6" s="277">
        <v>1188</v>
      </c>
      <c r="T6" s="284">
        <v>1188</v>
      </c>
      <c r="U6" s="284">
        <v>1188</v>
      </c>
      <c r="V6" s="307">
        <v>1188</v>
      </c>
      <c r="W6" s="307">
        <v>1188</v>
      </c>
      <c r="X6" s="307">
        <v>1188</v>
      </c>
      <c r="Y6" s="284">
        <v>1188</v>
      </c>
      <c r="Z6" s="284">
        <v>1188</v>
      </c>
      <c r="AA6" s="299">
        <f>Z6</f>
        <v>1188</v>
      </c>
      <c r="AB6" s="44" t="s">
        <v>45</v>
      </c>
      <c r="AC6" s="366"/>
      <c r="AD6" s="477"/>
    </row>
    <row r="7" spans="1:30" ht="12.75" customHeight="1">
      <c r="A7"/>
      <c r="B7" s="107" t="s">
        <v>28</v>
      </c>
      <c r="C7" s="278">
        <v>1005</v>
      </c>
      <c r="D7" s="279">
        <v>1009</v>
      </c>
      <c r="E7" s="279">
        <v>1119</v>
      </c>
      <c r="F7" s="279">
        <v>762</v>
      </c>
      <c r="G7" s="279">
        <v>753</v>
      </c>
      <c r="H7" s="279">
        <v>680</v>
      </c>
      <c r="I7" s="279">
        <v>671</v>
      </c>
      <c r="J7" s="279">
        <v>657</v>
      </c>
      <c r="K7" s="279">
        <v>669</v>
      </c>
      <c r="L7" s="279">
        <v>687</v>
      </c>
      <c r="M7" s="279">
        <v>699</v>
      </c>
      <c r="N7" s="279">
        <v>713</v>
      </c>
      <c r="O7" s="279">
        <v>712</v>
      </c>
      <c r="P7" s="279">
        <v>624</v>
      </c>
      <c r="Q7" s="279">
        <v>474</v>
      </c>
      <c r="R7" s="279">
        <v>451</v>
      </c>
      <c r="S7" s="279">
        <v>504</v>
      </c>
      <c r="T7" s="279">
        <v>313</v>
      </c>
      <c r="U7" s="279">
        <v>440</v>
      </c>
      <c r="V7" s="279">
        <v>466</v>
      </c>
      <c r="W7" s="279">
        <v>461</v>
      </c>
      <c r="X7" s="487">
        <v>455</v>
      </c>
      <c r="Y7" s="487">
        <v>450</v>
      </c>
      <c r="Z7" s="847">
        <v>311</v>
      </c>
      <c r="AA7" s="518">
        <v>309</v>
      </c>
      <c r="AB7" s="42" t="s">
        <v>28</v>
      </c>
      <c r="AC7" s="366"/>
      <c r="AD7" s="478">
        <f t="shared" ref="AD7:AD41" si="0">AA7/Z7*100-100</f>
        <v>-0.64308681672025614</v>
      </c>
    </row>
    <row r="8" spans="1:30" ht="12.75" customHeight="1">
      <c r="A8"/>
      <c r="B8" s="7" t="s">
        <v>30</v>
      </c>
      <c r="C8" s="285"/>
      <c r="D8" s="286"/>
      <c r="E8" s="286"/>
      <c r="F8" s="277">
        <v>3596</v>
      </c>
      <c r="G8" s="277">
        <v>3481</v>
      </c>
      <c r="H8" s="277">
        <v>3301</v>
      </c>
      <c r="I8" s="277">
        <v>3280</v>
      </c>
      <c r="J8" s="277">
        <v>3258</v>
      </c>
      <c r="K8" s="277">
        <v>3163</v>
      </c>
      <c r="L8" s="277">
        <v>3037</v>
      </c>
      <c r="M8" s="277">
        <v>2921</v>
      </c>
      <c r="N8" s="277">
        <v>2758</v>
      </c>
      <c r="O8" s="277">
        <v>2746</v>
      </c>
      <c r="P8" s="287">
        <v>2258</v>
      </c>
      <c r="Q8" s="277">
        <v>2408</v>
      </c>
      <c r="R8" s="277">
        <v>2124</v>
      </c>
      <c r="S8" s="277">
        <v>2274</v>
      </c>
      <c r="T8" s="277">
        <v>2262</v>
      </c>
      <c r="U8" s="277">
        <v>2285</v>
      </c>
      <c r="V8" s="277">
        <v>2290</v>
      </c>
      <c r="W8" s="277">
        <v>2242</v>
      </c>
      <c r="X8" s="277">
        <v>2253</v>
      </c>
      <c r="Y8" s="277">
        <v>2162</v>
      </c>
      <c r="Z8" s="848">
        <v>2161</v>
      </c>
      <c r="AA8" s="519">
        <v>1850</v>
      </c>
      <c r="AB8" s="44" t="s">
        <v>30</v>
      </c>
      <c r="AC8" s="366"/>
      <c r="AD8" s="477">
        <f t="shared" si="0"/>
        <v>-14.391485423415091</v>
      </c>
    </row>
    <row r="9" spans="1:30" ht="12.75" customHeight="1">
      <c r="A9"/>
      <c r="B9" s="107" t="s">
        <v>41</v>
      </c>
      <c r="C9" s="278">
        <v>480</v>
      </c>
      <c r="D9" s="279">
        <v>461</v>
      </c>
      <c r="E9" s="279">
        <v>524</v>
      </c>
      <c r="F9" s="279">
        <v>415</v>
      </c>
      <c r="G9" s="279">
        <v>495</v>
      </c>
      <c r="H9" s="279">
        <v>566</v>
      </c>
      <c r="I9" s="279">
        <v>458</v>
      </c>
      <c r="J9" s="279">
        <v>458</v>
      </c>
      <c r="K9" s="279">
        <v>464</v>
      </c>
      <c r="L9" s="279">
        <v>447</v>
      </c>
      <c r="M9" s="279">
        <v>447</v>
      </c>
      <c r="N9" s="279">
        <v>448</v>
      </c>
      <c r="O9" s="279">
        <v>538</v>
      </c>
      <c r="P9" s="279">
        <v>495</v>
      </c>
      <c r="Q9" s="279">
        <v>542</v>
      </c>
      <c r="R9" s="319">
        <v>561</v>
      </c>
      <c r="S9" s="279">
        <v>844</v>
      </c>
      <c r="T9" s="279">
        <v>865</v>
      </c>
      <c r="U9" s="279">
        <v>881</v>
      </c>
      <c r="V9" s="279">
        <v>756</v>
      </c>
      <c r="W9" s="279">
        <v>709</v>
      </c>
      <c r="X9" s="487">
        <v>723</v>
      </c>
      <c r="Y9" s="487">
        <v>741</v>
      </c>
      <c r="Z9" s="847">
        <v>725</v>
      </c>
      <c r="AA9" s="795">
        <f>Z9</f>
        <v>725</v>
      </c>
      <c r="AB9" s="42" t="s">
        <v>41</v>
      </c>
      <c r="AC9" s="366"/>
      <c r="AD9" s="478"/>
    </row>
    <row r="10" spans="1:30" ht="12.75" customHeight="1">
      <c r="A10"/>
      <c r="B10" s="7" t="s">
        <v>46</v>
      </c>
      <c r="C10" s="288">
        <v>11439</v>
      </c>
      <c r="D10" s="277">
        <v>12694</v>
      </c>
      <c r="E10" s="277">
        <v>14437</v>
      </c>
      <c r="F10" s="277">
        <v>9656</v>
      </c>
      <c r="G10" s="277">
        <v>9998</v>
      </c>
      <c r="H10" s="277">
        <v>9036</v>
      </c>
      <c r="I10" s="277">
        <v>10363</v>
      </c>
      <c r="J10" s="277">
        <v>8293</v>
      </c>
      <c r="K10" s="277">
        <v>7742</v>
      </c>
      <c r="L10" s="289">
        <v>8817</v>
      </c>
      <c r="M10" s="277">
        <v>13890</v>
      </c>
      <c r="N10" s="277">
        <v>14565</v>
      </c>
      <c r="O10" s="277">
        <v>15337</v>
      </c>
      <c r="P10" s="277">
        <v>15613</v>
      </c>
      <c r="Q10" s="277">
        <v>15492</v>
      </c>
      <c r="R10" s="277">
        <v>15103</v>
      </c>
      <c r="S10" s="277">
        <v>15887</v>
      </c>
      <c r="T10" s="277">
        <v>16693</v>
      </c>
      <c r="U10" s="277">
        <v>16613</v>
      </c>
      <c r="V10" s="277">
        <v>16892</v>
      </c>
      <c r="W10" s="277">
        <v>16049</v>
      </c>
      <c r="X10" s="277">
        <v>16480</v>
      </c>
      <c r="Y10" s="277">
        <v>16804</v>
      </c>
      <c r="Z10" s="848">
        <v>17010</v>
      </c>
      <c r="AA10" s="519">
        <v>17314</v>
      </c>
      <c r="AB10" s="44" t="s">
        <v>46</v>
      </c>
      <c r="AC10" s="366"/>
      <c r="AD10" s="477">
        <f t="shared" si="0"/>
        <v>1.7871840094062321</v>
      </c>
    </row>
    <row r="11" spans="1:30" ht="12.75" customHeight="1">
      <c r="A11"/>
      <c r="B11" s="107" t="s">
        <v>31</v>
      </c>
      <c r="C11" s="278"/>
      <c r="D11" s="279"/>
      <c r="E11" s="290">
        <v>300</v>
      </c>
      <c r="F11" s="335">
        <v>196</v>
      </c>
      <c r="G11" s="279">
        <v>194</v>
      </c>
      <c r="H11" s="279">
        <v>236</v>
      </c>
      <c r="I11" s="279">
        <v>241</v>
      </c>
      <c r="J11" s="279">
        <v>360</v>
      </c>
      <c r="K11" s="279">
        <v>344</v>
      </c>
      <c r="L11" s="279">
        <v>409</v>
      </c>
      <c r="M11" s="279">
        <v>461</v>
      </c>
      <c r="N11" s="279">
        <v>368</v>
      </c>
      <c r="O11" s="279">
        <v>361</v>
      </c>
      <c r="P11" s="279">
        <v>374</v>
      </c>
      <c r="Q11" s="279">
        <v>359</v>
      </c>
      <c r="R11" s="279">
        <v>347</v>
      </c>
      <c r="S11" s="279">
        <v>359</v>
      </c>
      <c r="T11" s="279">
        <v>368</v>
      </c>
      <c r="U11" s="279">
        <v>358</v>
      </c>
      <c r="V11" s="279">
        <v>358</v>
      </c>
      <c r="W11" s="279">
        <v>349</v>
      </c>
      <c r="X11" s="487">
        <v>343</v>
      </c>
      <c r="Y11" s="487">
        <v>266</v>
      </c>
      <c r="Z11" s="487">
        <v>238</v>
      </c>
      <c r="AA11" s="300">
        <v>210</v>
      </c>
      <c r="AB11" s="42" t="s">
        <v>31</v>
      </c>
      <c r="AC11" s="366"/>
      <c r="AD11" s="478">
        <f t="shared" si="0"/>
        <v>-11.764705882352942</v>
      </c>
    </row>
    <row r="12" spans="1:30" ht="12.75" customHeight="1">
      <c r="A12"/>
      <c r="B12" s="7" t="s">
        <v>49</v>
      </c>
      <c r="C12" s="276">
        <v>307</v>
      </c>
      <c r="D12" s="277">
        <v>192</v>
      </c>
      <c r="E12" s="277">
        <v>166</v>
      </c>
      <c r="F12" s="277">
        <v>224</v>
      </c>
      <c r="G12" s="277">
        <v>224</v>
      </c>
      <c r="H12" s="277">
        <v>225</v>
      </c>
      <c r="I12" s="277">
        <v>268</v>
      </c>
      <c r="J12" s="291">
        <v>306</v>
      </c>
      <c r="K12" s="291">
        <v>412</v>
      </c>
      <c r="L12" s="291">
        <v>428</v>
      </c>
      <c r="M12" s="291">
        <v>428</v>
      </c>
      <c r="N12" s="291">
        <v>549</v>
      </c>
      <c r="O12" s="291">
        <v>572</v>
      </c>
      <c r="P12" s="292">
        <v>572</v>
      </c>
      <c r="Q12" s="291">
        <v>374</v>
      </c>
      <c r="R12" s="356">
        <v>482</v>
      </c>
      <c r="S12" s="291">
        <v>482</v>
      </c>
      <c r="T12" s="291">
        <v>482</v>
      </c>
      <c r="U12" s="291">
        <v>482</v>
      </c>
      <c r="V12" s="291">
        <v>482</v>
      </c>
      <c r="W12" s="291">
        <v>482</v>
      </c>
      <c r="X12" s="291">
        <v>482</v>
      </c>
      <c r="Y12" s="291">
        <v>482</v>
      </c>
      <c r="Z12" s="291">
        <v>482</v>
      </c>
      <c r="AA12" s="564">
        <f>Z12</f>
        <v>482</v>
      </c>
      <c r="AB12" s="44" t="s">
        <v>49</v>
      </c>
      <c r="AC12" s="366"/>
      <c r="AD12" s="477"/>
    </row>
    <row r="13" spans="1:30" ht="12.75" customHeight="1">
      <c r="A13"/>
      <c r="B13" s="107" t="s">
        <v>42</v>
      </c>
      <c r="C13" s="278">
        <v>514</v>
      </c>
      <c r="D13" s="279">
        <v>313</v>
      </c>
      <c r="E13" s="279">
        <v>400</v>
      </c>
      <c r="F13" s="279">
        <v>244</v>
      </c>
      <c r="G13" s="279">
        <v>290</v>
      </c>
      <c r="H13" s="279">
        <v>278</v>
      </c>
      <c r="I13" s="279">
        <v>237</v>
      </c>
      <c r="J13" s="279">
        <v>269</v>
      </c>
      <c r="K13" s="279">
        <v>289</v>
      </c>
      <c r="L13" s="279">
        <v>284</v>
      </c>
      <c r="M13" s="279">
        <v>295</v>
      </c>
      <c r="N13" s="279">
        <v>301</v>
      </c>
      <c r="O13" s="279">
        <v>301</v>
      </c>
      <c r="P13" s="335">
        <v>306</v>
      </c>
      <c r="Q13" s="279">
        <v>306</v>
      </c>
      <c r="R13" s="279">
        <v>306</v>
      </c>
      <c r="S13" s="279">
        <v>308</v>
      </c>
      <c r="T13" s="279">
        <v>258</v>
      </c>
      <c r="U13" s="279">
        <v>258</v>
      </c>
      <c r="V13" s="279">
        <v>258</v>
      </c>
      <c r="W13" s="279">
        <v>258</v>
      </c>
      <c r="X13" s="290">
        <v>258</v>
      </c>
      <c r="Y13" s="487">
        <v>217</v>
      </c>
      <c r="Z13" s="487">
        <v>217</v>
      </c>
      <c r="AA13" s="851">
        <v>217</v>
      </c>
      <c r="AB13" s="42" t="s">
        <v>42</v>
      </c>
      <c r="AC13" s="366"/>
      <c r="AD13" s="478"/>
    </row>
    <row r="14" spans="1:30" ht="12.75" customHeight="1">
      <c r="A14"/>
      <c r="B14" s="7" t="s">
        <v>47</v>
      </c>
      <c r="C14" s="276">
        <v>1928</v>
      </c>
      <c r="D14" s="277">
        <v>1791</v>
      </c>
      <c r="E14" s="277">
        <v>1922</v>
      </c>
      <c r="F14" s="277">
        <v>1693</v>
      </c>
      <c r="G14" s="277">
        <v>1951</v>
      </c>
      <c r="H14" s="277">
        <v>1931</v>
      </c>
      <c r="I14" s="277">
        <v>1911</v>
      </c>
      <c r="J14" s="277">
        <v>1928</v>
      </c>
      <c r="K14" s="277">
        <v>1946</v>
      </c>
      <c r="L14" s="291">
        <v>1745</v>
      </c>
      <c r="M14" s="277">
        <v>1918</v>
      </c>
      <c r="N14" s="277">
        <v>1983</v>
      </c>
      <c r="O14" s="277">
        <v>1670</v>
      </c>
      <c r="P14" s="277">
        <v>1732</v>
      </c>
      <c r="Q14" s="277">
        <v>2052</v>
      </c>
      <c r="R14" s="277">
        <v>1785</v>
      </c>
      <c r="S14" s="277">
        <v>1782</v>
      </c>
      <c r="T14" s="277">
        <v>1959</v>
      </c>
      <c r="U14" s="277">
        <v>1634</v>
      </c>
      <c r="V14" s="277">
        <v>1512</v>
      </c>
      <c r="W14" s="277">
        <v>1502</v>
      </c>
      <c r="X14" s="277">
        <v>1481</v>
      </c>
      <c r="Y14" s="277">
        <v>1595</v>
      </c>
      <c r="Z14" s="277">
        <v>1595</v>
      </c>
      <c r="AA14" s="301">
        <v>3162</v>
      </c>
      <c r="AB14" s="44" t="s">
        <v>47</v>
      </c>
      <c r="AC14" s="366"/>
      <c r="AD14" s="477">
        <f t="shared" si="0"/>
        <v>98.244514106583068</v>
      </c>
    </row>
    <row r="15" spans="1:30" ht="12.75" customHeight="1">
      <c r="A15"/>
      <c r="B15" s="107" t="s">
        <v>48</v>
      </c>
      <c r="C15" s="278">
        <v>6261</v>
      </c>
      <c r="D15" s="279">
        <v>6204</v>
      </c>
      <c r="E15" s="279">
        <v>7422</v>
      </c>
      <c r="F15" s="279">
        <v>7158</v>
      </c>
      <c r="G15" s="279">
        <v>7240</v>
      </c>
      <c r="H15" s="279">
        <v>7341</v>
      </c>
      <c r="I15" s="279">
        <v>7240</v>
      </c>
      <c r="J15" s="279">
        <v>7149</v>
      </c>
      <c r="K15" s="279">
        <v>6948</v>
      </c>
      <c r="L15" s="279">
        <v>5585</v>
      </c>
      <c r="M15" s="279">
        <v>5880</v>
      </c>
      <c r="N15" s="279">
        <v>6227</v>
      </c>
      <c r="O15" s="279">
        <v>6548</v>
      </c>
      <c r="P15" s="279">
        <v>6849</v>
      </c>
      <c r="Q15" s="279">
        <v>7028</v>
      </c>
      <c r="R15" s="279">
        <v>7240</v>
      </c>
      <c r="S15" s="279">
        <v>7326</v>
      </c>
      <c r="T15" s="279">
        <v>7424</v>
      </c>
      <c r="U15" s="279">
        <v>7614</v>
      </c>
      <c r="V15" s="279">
        <v>7701</v>
      </c>
      <c r="W15" s="279">
        <v>7661</v>
      </c>
      <c r="X15" s="487">
        <v>7609</v>
      </c>
      <c r="Y15" s="487">
        <v>7566</v>
      </c>
      <c r="Z15" s="487">
        <v>7838</v>
      </c>
      <c r="AA15" s="300">
        <v>2331</v>
      </c>
      <c r="AB15" s="42" t="s">
        <v>48</v>
      </c>
      <c r="AC15" s="366"/>
      <c r="AD15" s="478">
        <f t="shared" si="0"/>
        <v>-70.260270477162535</v>
      </c>
    </row>
    <row r="16" spans="1:30" ht="12.75" customHeight="1">
      <c r="A16"/>
      <c r="B16" s="7" t="s">
        <v>59</v>
      </c>
      <c r="C16" s="276">
        <v>588</v>
      </c>
      <c r="D16" s="277">
        <v>565</v>
      </c>
      <c r="E16" s="277">
        <v>563</v>
      </c>
      <c r="F16" s="277">
        <v>480</v>
      </c>
      <c r="G16" s="277">
        <v>397</v>
      </c>
      <c r="H16" s="277">
        <v>396</v>
      </c>
      <c r="I16" s="277">
        <v>393</v>
      </c>
      <c r="J16" s="277">
        <v>388</v>
      </c>
      <c r="K16" s="277">
        <v>377</v>
      </c>
      <c r="L16" s="277">
        <v>374</v>
      </c>
      <c r="M16" s="277">
        <v>339</v>
      </c>
      <c r="N16" s="277">
        <v>345</v>
      </c>
      <c r="O16" s="277">
        <v>347</v>
      </c>
      <c r="P16" s="277">
        <v>284</v>
      </c>
      <c r="Q16" s="277">
        <v>296</v>
      </c>
      <c r="R16" s="284">
        <v>296</v>
      </c>
      <c r="S16" s="277">
        <v>301</v>
      </c>
      <c r="T16" s="277">
        <v>301</v>
      </c>
      <c r="U16" s="277">
        <v>298</v>
      </c>
      <c r="V16" s="277">
        <v>298</v>
      </c>
      <c r="W16" s="277">
        <v>298</v>
      </c>
      <c r="X16" s="277">
        <v>298</v>
      </c>
      <c r="Y16" s="277">
        <v>266</v>
      </c>
      <c r="Z16" s="277">
        <v>267</v>
      </c>
      <c r="AA16" s="301">
        <v>229</v>
      </c>
      <c r="AB16" s="44" t="s">
        <v>59</v>
      </c>
      <c r="AC16" s="366"/>
      <c r="AD16" s="477">
        <f t="shared" si="0"/>
        <v>-14.232209737827716</v>
      </c>
    </row>
    <row r="17" spans="2:30" ht="12.75" customHeight="1">
      <c r="B17" s="107" t="s">
        <v>50</v>
      </c>
      <c r="C17" s="278">
        <v>4715</v>
      </c>
      <c r="D17" s="279">
        <v>4916</v>
      </c>
      <c r="E17" s="279">
        <v>4818</v>
      </c>
      <c r="F17" s="279">
        <v>4697</v>
      </c>
      <c r="G17" s="279">
        <v>4650</v>
      </c>
      <c r="H17" s="279">
        <v>5205</v>
      </c>
      <c r="I17" s="279">
        <v>4937</v>
      </c>
      <c r="J17" s="279">
        <v>4901</v>
      </c>
      <c r="K17" s="279">
        <v>4674</v>
      </c>
      <c r="L17" s="279">
        <v>5008</v>
      </c>
      <c r="M17" s="279">
        <v>4683</v>
      </c>
      <c r="N17" s="279">
        <v>4621</v>
      </c>
      <c r="O17" s="279">
        <v>4691</v>
      </c>
      <c r="P17" s="279">
        <v>4494</v>
      </c>
      <c r="Q17" s="279">
        <v>3862</v>
      </c>
      <c r="R17" s="279">
        <v>3650</v>
      </c>
      <c r="S17" s="279">
        <v>3243</v>
      </c>
      <c r="T17" s="279">
        <v>3285</v>
      </c>
      <c r="U17" s="279">
        <v>2631</v>
      </c>
      <c r="V17" s="279">
        <v>2991</v>
      </c>
      <c r="W17" s="279">
        <v>1869</v>
      </c>
      <c r="X17" s="279">
        <v>2137</v>
      </c>
      <c r="Y17" s="279">
        <v>2048</v>
      </c>
      <c r="Z17" s="279">
        <v>1947</v>
      </c>
      <c r="AA17" s="302">
        <v>2048</v>
      </c>
      <c r="AB17" s="194" t="s">
        <v>50</v>
      </c>
      <c r="AC17" s="366"/>
      <c r="AD17" s="192">
        <f t="shared" si="0"/>
        <v>5.1874678993323045</v>
      </c>
    </row>
    <row r="18" spans="2:30" ht="12.75" customHeight="1">
      <c r="B18" s="7" t="s">
        <v>29</v>
      </c>
      <c r="C18" s="285" t="s">
        <v>58</v>
      </c>
      <c r="D18" s="286" t="s">
        <v>58</v>
      </c>
      <c r="E18" s="286" t="s">
        <v>58</v>
      </c>
      <c r="F18" s="286" t="s">
        <v>58</v>
      </c>
      <c r="G18" s="286" t="s">
        <v>58</v>
      </c>
      <c r="H18" s="286" t="s">
        <v>58</v>
      </c>
      <c r="I18" s="286" t="s">
        <v>58</v>
      </c>
      <c r="J18" s="286" t="s">
        <v>58</v>
      </c>
      <c r="K18" s="286" t="s">
        <v>58</v>
      </c>
      <c r="L18" s="286" t="s">
        <v>58</v>
      </c>
      <c r="M18" s="286" t="s">
        <v>58</v>
      </c>
      <c r="N18" s="286" t="s">
        <v>58</v>
      </c>
      <c r="O18" s="286" t="s">
        <v>58</v>
      </c>
      <c r="P18" s="286" t="s">
        <v>58</v>
      </c>
      <c r="Q18" s="286" t="s">
        <v>58</v>
      </c>
      <c r="R18" s="286" t="s">
        <v>58</v>
      </c>
      <c r="S18" s="286" t="s">
        <v>58</v>
      </c>
      <c r="T18" s="286" t="s">
        <v>58</v>
      </c>
      <c r="U18" s="286" t="s">
        <v>58</v>
      </c>
      <c r="V18" s="286" t="s">
        <v>58</v>
      </c>
      <c r="W18" s="286" t="s">
        <v>58</v>
      </c>
      <c r="X18" s="286" t="s">
        <v>58</v>
      </c>
      <c r="Y18" s="286" t="s">
        <v>58</v>
      </c>
      <c r="Z18" s="286" t="s">
        <v>58</v>
      </c>
      <c r="AA18" s="309" t="s">
        <v>58</v>
      </c>
      <c r="AB18" s="44" t="s">
        <v>29</v>
      </c>
      <c r="AC18" s="366"/>
      <c r="AD18" s="850" t="s">
        <v>58</v>
      </c>
    </row>
    <row r="19" spans="2:30" ht="12.75" customHeight="1">
      <c r="B19" s="107" t="s">
        <v>33</v>
      </c>
      <c r="C19" s="278"/>
      <c r="D19" s="279"/>
      <c r="E19" s="279">
        <v>739</v>
      </c>
      <c r="F19" s="279">
        <v>433</v>
      </c>
      <c r="G19" s="279">
        <v>403</v>
      </c>
      <c r="H19" s="279">
        <v>392</v>
      </c>
      <c r="I19" s="279">
        <v>386</v>
      </c>
      <c r="J19" s="279">
        <v>376</v>
      </c>
      <c r="K19" s="293">
        <v>358</v>
      </c>
      <c r="L19" s="279">
        <v>348</v>
      </c>
      <c r="M19" s="279">
        <v>346</v>
      </c>
      <c r="N19" s="279">
        <v>197</v>
      </c>
      <c r="O19" s="279">
        <v>196</v>
      </c>
      <c r="P19" s="279">
        <v>196</v>
      </c>
      <c r="Q19" s="279">
        <v>202</v>
      </c>
      <c r="R19" s="279">
        <v>205</v>
      </c>
      <c r="S19" s="279">
        <v>205</v>
      </c>
      <c r="T19" s="279">
        <v>205</v>
      </c>
      <c r="U19" s="279">
        <v>204</v>
      </c>
      <c r="V19" s="279">
        <v>202</v>
      </c>
      <c r="W19" s="279">
        <v>196</v>
      </c>
      <c r="X19" s="279">
        <v>177</v>
      </c>
      <c r="Y19" s="279">
        <v>177</v>
      </c>
      <c r="Z19" s="279">
        <v>157</v>
      </c>
      <c r="AA19" s="302">
        <v>133</v>
      </c>
      <c r="AB19" s="194" t="s">
        <v>33</v>
      </c>
      <c r="AC19" s="366"/>
      <c r="AD19" s="192">
        <f t="shared" si="0"/>
        <v>-15.286624203821646</v>
      </c>
    </row>
    <row r="20" spans="2:30" ht="12.75" customHeight="1">
      <c r="B20" s="7" t="s">
        <v>34</v>
      </c>
      <c r="C20" s="276"/>
      <c r="D20" s="277"/>
      <c r="E20" s="284">
        <v>389</v>
      </c>
      <c r="F20" s="277">
        <v>419</v>
      </c>
      <c r="G20" s="277">
        <v>406</v>
      </c>
      <c r="H20" s="277">
        <v>390</v>
      </c>
      <c r="I20" s="277">
        <v>371</v>
      </c>
      <c r="J20" s="277">
        <v>367</v>
      </c>
      <c r="K20" s="277">
        <v>365</v>
      </c>
      <c r="L20" s="277">
        <v>368</v>
      </c>
      <c r="M20" s="277">
        <v>368</v>
      </c>
      <c r="N20" s="277">
        <v>356</v>
      </c>
      <c r="O20" s="277">
        <v>317</v>
      </c>
      <c r="P20" s="277">
        <v>275</v>
      </c>
      <c r="Q20" s="277">
        <v>290</v>
      </c>
      <c r="R20" s="277">
        <v>262</v>
      </c>
      <c r="S20" s="277">
        <v>277</v>
      </c>
      <c r="T20" s="277">
        <v>250</v>
      </c>
      <c r="U20" s="277">
        <v>240</v>
      </c>
      <c r="V20" s="277">
        <v>241</v>
      </c>
      <c r="W20" s="277">
        <v>227</v>
      </c>
      <c r="X20" s="277">
        <v>227</v>
      </c>
      <c r="Y20" s="277">
        <v>224</v>
      </c>
      <c r="Z20" s="277">
        <v>227</v>
      </c>
      <c r="AA20" s="301">
        <v>231</v>
      </c>
      <c r="AB20" s="44" t="s">
        <v>34</v>
      </c>
      <c r="AC20" s="366"/>
      <c r="AD20" s="477">
        <f t="shared" si="0"/>
        <v>1.7621145374449299</v>
      </c>
    </row>
    <row r="21" spans="2:30" ht="12.75" customHeight="1">
      <c r="B21" s="107" t="s">
        <v>51</v>
      </c>
      <c r="C21" s="278">
        <v>95</v>
      </c>
      <c r="D21" s="279">
        <v>85</v>
      </c>
      <c r="E21" s="279">
        <v>97</v>
      </c>
      <c r="F21" s="279">
        <v>124</v>
      </c>
      <c r="G21" s="279">
        <v>132</v>
      </c>
      <c r="H21" s="279">
        <v>131</v>
      </c>
      <c r="I21" s="279">
        <v>141</v>
      </c>
      <c r="J21" s="279">
        <v>141</v>
      </c>
      <c r="K21" s="279">
        <v>145</v>
      </c>
      <c r="L21" s="279">
        <v>128</v>
      </c>
      <c r="M21" s="279">
        <v>99</v>
      </c>
      <c r="N21" s="279">
        <v>96</v>
      </c>
      <c r="O21" s="279">
        <v>99</v>
      </c>
      <c r="P21" s="279">
        <v>91</v>
      </c>
      <c r="Q21" s="279">
        <v>89</v>
      </c>
      <c r="R21" s="279">
        <v>98</v>
      </c>
      <c r="S21" s="279">
        <v>92</v>
      </c>
      <c r="T21" s="279">
        <v>89</v>
      </c>
      <c r="U21" s="341">
        <v>126</v>
      </c>
      <c r="V21" s="279">
        <v>125</v>
      </c>
      <c r="W21" s="279">
        <v>136</v>
      </c>
      <c r="X21" s="279">
        <v>134</v>
      </c>
      <c r="Y21" s="279">
        <v>134</v>
      </c>
      <c r="Z21" s="294">
        <f>Y21</f>
        <v>134</v>
      </c>
      <c r="AA21" s="310">
        <v>137</v>
      </c>
      <c r="AB21" s="194" t="s">
        <v>51</v>
      </c>
      <c r="AC21" s="366"/>
      <c r="AD21" s="553">
        <f t="shared" si="0"/>
        <v>2.2388059701492438</v>
      </c>
    </row>
    <row r="22" spans="2:30" ht="12.75" customHeight="1">
      <c r="B22" s="7" t="s">
        <v>32</v>
      </c>
      <c r="C22" s="276"/>
      <c r="D22" s="277"/>
      <c r="E22" s="277">
        <v>2040</v>
      </c>
      <c r="F22" s="277">
        <v>1453</v>
      </c>
      <c r="G22" s="277">
        <v>1442</v>
      </c>
      <c r="H22" s="277">
        <v>1363</v>
      </c>
      <c r="I22" s="277">
        <v>1458</v>
      </c>
      <c r="J22" s="277">
        <v>1328</v>
      </c>
      <c r="K22" s="289">
        <v>1385</v>
      </c>
      <c r="L22" s="277">
        <v>1400</v>
      </c>
      <c r="M22" s="277">
        <v>1413</v>
      </c>
      <c r="N22" s="277">
        <v>1428</v>
      </c>
      <c r="O22" s="277">
        <v>1458</v>
      </c>
      <c r="P22" s="277">
        <v>1275</v>
      </c>
      <c r="Q22" s="277">
        <v>1282</v>
      </c>
      <c r="R22" s="277">
        <v>1286</v>
      </c>
      <c r="S22" s="277">
        <v>1225</v>
      </c>
      <c r="T22" s="277">
        <v>1229</v>
      </c>
      <c r="U22" s="277">
        <v>1225</v>
      </c>
      <c r="V22" s="277">
        <v>1204</v>
      </c>
      <c r="W22" s="277">
        <v>1180</v>
      </c>
      <c r="X22" s="277">
        <v>1081</v>
      </c>
      <c r="Y22" s="277">
        <v>1081</v>
      </c>
      <c r="Z22" s="277">
        <v>1071</v>
      </c>
      <c r="AA22" s="301">
        <v>1035</v>
      </c>
      <c r="AB22" s="44" t="s">
        <v>32</v>
      </c>
      <c r="AC22" s="366"/>
      <c r="AD22" s="477">
        <f t="shared" si="0"/>
        <v>-3.3613445378151283</v>
      </c>
    </row>
    <row r="23" spans="2:30" ht="12.75" customHeight="1">
      <c r="B23" s="107" t="s">
        <v>35</v>
      </c>
      <c r="C23" s="295" t="s">
        <v>58</v>
      </c>
      <c r="D23" s="296" t="s">
        <v>58</v>
      </c>
      <c r="E23" s="336" t="s">
        <v>58</v>
      </c>
      <c r="F23" s="336" t="s">
        <v>58</v>
      </c>
      <c r="G23" s="336" t="s">
        <v>58</v>
      </c>
      <c r="H23" s="336" t="s">
        <v>58</v>
      </c>
      <c r="I23" s="336" t="s">
        <v>58</v>
      </c>
      <c r="J23" s="336" t="s">
        <v>58</v>
      </c>
      <c r="K23" s="336" t="s">
        <v>58</v>
      </c>
      <c r="L23" s="336" t="s">
        <v>58</v>
      </c>
      <c r="M23" s="336" t="s">
        <v>58</v>
      </c>
      <c r="N23" s="336" t="s">
        <v>58</v>
      </c>
      <c r="O23" s="336" t="s">
        <v>58</v>
      </c>
      <c r="P23" s="336" t="s">
        <v>58</v>
      </c>
      <c r="Q23" s="336" t="s">
        <v>58</v>
      </c>
      <c r="R23" s="336" t="s">
        <v>58</v>
      </c>
      <c r="S23" s="336" t="s">
        <v>58</v>
      </c>
      <c r="T23" s="336" t="s">
        <v>58</v>
      </c>
      <c r="U23" s="336" t="s">
        <v>58</v>
      </c>
      <c r="V23" s="336" t="s">
        <v>58</v>
      </c>
      <c r="W23" s="336" t="s">
        <v>58</v>
      </c>
      <c r="X23" s="336" t="s">
        <v>58</v>
      </c>
      <c r="Y23" s="336" t="s">
        <v>58</v>
      </c>
      <c r="Z23" s="336" t="s">
        <v>58</v>
      </c>
      <c r="AA23" s="337" t="s">
        <v>58</v>
      </c>
      <c r="AB23" s="194" t="s">
        <v>35</v>
      </c>
      <c r="AC23" s="366"/>
      <c r="AD23" s="849" t="s">
        <v>58</v>
      </c>
    </row>
    <row r="24" spans="2:30" ht="12.75" customHeight="1">
      <c r="B24" s="7" t="s">
        <v>43</v>
      </c>
      <c r="C24" s="276">
        <v>2140</v>
      </c>
      <c r="D24" s="277">
        <v>2174</v>
      </c>
      <c r="E24" s="277">
        <v>2372</v>
      </c>
      <c r="F24" s="277">
        <v>1965</v>
      </c>
      <c r="G24" s="277">
        <v>2128</v>
      </c>
      <c r="H24" s="277">
        <v>2029</v>
      </c>
      <c r="I24" s="277">
        <v>2118</v>
      </c>
      <c r="J24" s="277">
        <v>2076</v>
      </c>
      <c r="K24" s="277">
        <v>2078</v>
      </c>
      <c r="L24" s="277">
        <v>2025</v>
      </c>
      <c r="M24" s="277">
        <v>2033</v>
      </c>
      <c r="N24" s="277">
        <v>2079</v>
      </c>
      <c r="O24" s="277">
        <v>2027</v>
      </c>
      <c r="P24" s="277">
        <v>2411</v>
      </c>
      <c r="Q24" s="277">
        <v>2427</v>
      </c>
      <c r="R24" s="277">
        <v>2443</v>
      </c>
      <c r="S24" s="277">
        <v>2416</v>
      </c>
      <c r="T24" s="277">
        <v>2851</v>
      </c>
      <c r="U24" s="277">
        <v>2780</v>
      </c>
      <c r="V24" s="277">
        <v>3088</v>
      </c>
      <c r="W24" s="277">
        <v>3193</v>
      </c>
      <c r="X24" s="277">
        <v>3272</v>
      </c>
      <c r="Y24" s="277">
        <v>3333</v>
      </c>
      <c r="Z24" s="277">
        <v>3349</v>
      </c>
      <c r="AA24" s="301">
        <v>3670</v>
      </c>
      <c r="AB24" s="44" t="s">
        <v>43</v>
      </c>
      <c r="AC24" s="366"/>
      <c r="AD24" s="477">
        <f t="shared" si="0"/>
        <v>9.5849507315616762</v>
      </c>
    </row>
    <row r="25" spans="2:30" ht="12.75" customHeight="1">
      <c r="B25" s="107" t="s">
        <v>52</v>
      </c>
      <c r="C25" s="278">
        <v>1423</v>
      </c>
      <c r="D25" s="279">
        <v>1428</v>
      </c>
      <c r="E25" s="279">
        <v>1543</v>
      </c>
      <c r="F25" s="279">
        <v>1530</v>
      </c>
      <c r="G25" s="279">
        <v>1606</v>
      </c>
      <c r="H25" s="279">
        <v>1555</v>
      </c>
      <c r="I25" s="279">
        <v>1556</v>
      </c>
      <c r="J25" s="279">
        <v>1610</v>
      </c>
      <c r="K25" s="279">
        <v>1500</v>
      </c>
      <c r="L25" s="279">
        <v>1639</v>
      </c>
      <c r="M25" s="279">
        <v>1725</v>
      </c>
      <c r="N25" s="279">
        <v>1668</v>
      </c>
      <c r="O25" s="279">
        <v>1660</v>
      </c>
      <c r="P25" s="341">
        <v>2081</v>
      </c>
      <c r="Q25" s="279">
        <v>2068</v>
      </c>
      <c r="R25" s="279">
        <v>2114</v>
      </c>
      <c r="S25" s="279">
        <v>2023</v>
      </c>
      <c r="T25" s="279">
        <v>2033</v>
      </c>
      <c r="U25" s="279">
        <v>1972</v>
      </c>
      <c r="V25" s="279">
        <v>1973</v>
      </c>
      <c r="W25" s="279">
        <v>1994</v>
      </c>
      <c r="X25" s="565">
        <v>1915</v>
      </c>
      <c r="Y25" s="565">
        <v>1949</v>
      </c>
      <c r="Z25" s="565">
        <v>2006</v>
      </c>
      <c r="AA25" s="566">
        <v>2193</v>
      </c>
      <c r="AB25" s="194" t="s">
        <v>52</v>
      </c>
      <c r="AC25" s="366"/>
      <c r="AD25" s="553">
        <f t="shared" si="0"/>
        <v>9.3220338983050794</v>
      </c>
    </row>
    <row r="26" spans="2:30" ht="12.75" customHeight="1">
      <c r="B26" s="7" t="s">
        <v>36</v>
      </c>
      <c r="C26" s="276"/>
      <c r="D26" s="277"/>
      <c r="E26" s="277">
        <v>5483</v>
      </c>
      <c r="F26" s="277">
        <v>5293</v>
      </c>
      <c r="G26" s="277">
        <v>5286</v>
      </c>
      <c r="H26" s="277">
        <v>5386</v>
      </c>
      <c r="I26" s="277">
        <v>5479</v>
      </c>
      <c r="J26" s="277">
        <v>5623</v>
      </c>
      <c r="K26" s="277">
        <v>5828</v>
      </c>
      <c r="L26" s="277">
        <v>5579</v>
      </c>
      <c r="M26" s="277">
        <v>5744</v>
      </c>
      <c r="N26" s="277">
        <v>5821</v>
      </c>
      <c r="O26" s="277">
        <v>5770</v>
      </c>
      <c r="P26" s="277">
        <v>5657</v>
      </c>
      <c r="Q26" s="277">
        <v>5637</v>
      </c>
      <c r="R26" s="277">
        <v>5548</v>
      </c>
      <c r="S26" s="277">
        <v>5521</v>
      </c>
      <c r="T26" s="277">
        <v>5615</v>
      </c>
      <c r="U26" s="277">
        <v>5526</v>
      </c>
      <c r="V26" s="277">
        <v>5384</v>
      </c>
      <c r="W26" s="277">
        <v>5270</v>
      </c>
      <c r="X26" s="277">
        <v>5295</v>
      </c>
      <c r="Y26" s="277">
        <v>5197</v>
      </c>
      <c r="Z26" s="277">
        <v>7846</v>
      </c>
      <c r="AA26" s="301">
        <v>7127</v>
      </c>
      <c r="AB26" s="44" t="s">
        <v>36</v>
      </c>
      <c r="AC26" s="366"/>
      <c r="AD26" s="477">
        <f t="shared" si="0"/>
        <v>-9.1639051746112585</v>
      </c>
    </row>
    <row r="27" spans="2:30" ht="12.75" customHeight="1">
      <c r="B27" s="107" t="s">
        <v>53</v>
      </c>
      <c r="C27" s="278">
        <v>626</v>
      </c>
      <c r="D27" s="279">
        <v>583</v>
      </c>
      <c r="E27" s="279">
        <v>530</v>
      </c>
      <c r="F27" s="279">
        <v>589</v>
      </c>
      <c r="G27" s="279">
        <v>536</v>
      </c>
      <c r="H27" s="279">
        <v>515</v>
      </c>
      <c r="I27" s="279">
        <v>506</v>
      </c>
      <c r="J27" s="279">
        <v>463</v>
      </c>
      <c r="K27" s="279">
        <v>439</v>
      </c>
      <c r="L27" s="279">
        <v>429</v>
      </c>
      <c r="M27" s="279">
        <v>433</v>
      </c>
      <c r="N27" s="279">
        <v>431</v>
      </c>
      <c r="O27" s="279">
        <v>436</v>
      </c>
      <c r="P27" s="279">
        <v>363</v>
      </c>
      <c r="Q27" s="279">
        <v>383</v>
      </c>
      <c r="R27" s="279">
        <v>323</v>
      </c>
      <c r="S27" s="279">
        <v>339</v>
      </c>
      <c r="T27" s="279">
        <v>309</v>
      </c>
      <c r="U27" s="341">
        <v>363</v>
      </c>
      <c r="V27" s="279">
        <v>360</v>
      </c>
      <c r="W27" s="279">
        <v>368</v>
      </c>
      <c r="X27" s="279">
        <v>370</v>
      </c>
      <c r="Y27" s="279">
        <v>377</v>
      </c>
      <c r="Z27" s="279">
        <v>383</v>
      </c>
      <c r="AA27" s="302">
        <v>394</v>
      </c>
      <c r="AB27" s="194" t="s">
        <v>53</v>
      </c>
      <c r="AC27" s="366"/>
      <c r="AD27" s="553">
        <f t="shared" si="0"/>
        <v>2.8720626631853747</v>
      </c>
    </row>
    <row r="28" spans="2:30" ht="12.75" customHeight="1">
      <c r="B28" s="7" t="s">
        <v>37</v>
      </c>
      <c r="C28" s="276"/>
      <c r="D28" s="277">
        <v>4564</v>
      </c>
      <c r="E28" s="277">
        <v>4515</v>
      </c>
      <c r="F28" s="277">
        <v>3440</v>
      </c>
      <c r="G28" s="277">
        <v>3341</v>
      </c>
      <c r="H28" s="277">
        <v>3594</v>
      </c>
      <c r="I28" s="277">
        <v>2173</v>
      </c>
      <c r="J28" s="277">
        <v>2071</v>
      </c>
      <c r="K28" s="277">
        <v>2186</v>
      </c>
      <c r="L28" s="277">
        <v>2220</v>
      </c>
      <c r="M28" s="277">
        <v>2262</v>
      </c>
      <c r="N28" s="277">
        <v>2290</v>
      </c>
      <c r="O28" s="277">
        <v>2649</v>
      </c>
      <c r="P28" s="277">
        <v>2158</v>
      </c>
      <c r="Q28" s="277">
        <v>2156</v>
      </c>
      <c r="R28" s="277">
        <v>2128</v>
      </c>
      <c r="S28" s="277">
        <v>2122</v>
      </c>
      <c r="T28" s="277">
        <v>2125</v>
      </c>
      <c r="U28" s="277">
        <v>2095</v>
      </c>
      <c r="V28" s="277">
        <v>2069</v>
      </c>
      <c r="W28" s="277">
        <v>2069</v>
      </c>
      <c r="X28" s="277">
        <v>2032</v>
      </c>
      <c r="Y28" s="277">
        <v>2995</v>
      </c>
      <c r="Z28" s="277">
        <v>2779</v>
      </c>
      <c r="AA28" s="301">
        <v>2917</v>
      </c>
      <c r="AB28" s="44" t="s">
        <v>37</v>
      </c>
      <c r="AC28" s="366"/>
      <c r="AD28" s="477">
        <f t="shared" si="0"/>
        <v>4.9658150413817879</v>
      </c>
    </row>
    <row r="29" spans="2:30" ht="12.75" customHeight="1">
      <c r="B29" s="107" t="s">
        <v>39</v>
      </c>
      <c r="C29" s="278"/>
      <c r="D29" s="279"/>
      <c r="E29" s="279">
        <v>358</v>
      </c>
      <c r="F29" s="279">
        <v>300</v>
      </c>
      <c r="G29" s="279">
        <v>304</v>
      </c>
      <c r="H29" s="279">
        <v>310</v>
      </c>
      <c r="I29" s="279">
        <v>273</v>
      </c>
      <c r="J29" s="279">
        <v>273</v>
      </c>
      <c r="K29" s="279">
        <v>261</v>
      </c>
      <c r="L29" s="279">
        <v>271</v>
      </c>
      <c r="M29" s="279">
        <v>273</v>
      </c>
      <c r="N29" s="279">
        <v>267</v>
      </c>
      <c r="O29" s="279">
        <v>269</v>
      </c>
      <c r="P29" s="279">
        <v>267</v>
      </c>
      <c r="Q29" s="279">
        <v>405</v>
      </c>
      <c r="R29" s="279">
        <v>405</v>
      </c>
      <c r="S29" s="279">
        <v>405</v>
      </c>
      <c r="T29" s="279">
        <v>405</v>
      </c>
      <c r="U29" s="279">
        <v>401</v>
      </c>
      <c r="V29" s="279">
        <v>401</v>
      </c>
      <c r="W29" s="279">
        <v>400</v>
      </c>
      <c r="X29" s="279">
        <v>400</v>
      </c>
      <c r="Y29" s="279">
        <v>389</v>
      </c>
      <c r="Z29" s="279">
        <v>410</v>
      </c>
      <c r="AA29" s="302">
        <v>498</v>
      </c>
      <c r="AB29" s="194" t="s">
        <v>39</v>
      </c>
      <c r="AC29" s="366"/>
      <c r="AD29" s="553">
        <f t="shared" si="0"/>
        <v>21.463414634146332</v>
      </c>
    </row>
    <row r="30" spans="2:30" ht="12.75" customHeight="1">
      <c r="B30" s="7" t="s">
        <v>38</v>
      </c>
      <c r="C30" s="285"/>
      <c r="D30" s="286"/>
      <c r="E30" s="286"/>
      <c r="F30" s="277">
        <v>1570</v>
      </c>
      <c r="G30" s="277">
        <v>1512</v>
      </c>
      <c r="H30" s="277">
        <v>1450</v>
      </c>
      <c r="I30" s="277">
        <v>1441</v>
      </c>
      <c r="J30" s="277">
        <v>1334</v>
      </c>
      <c r="K30" s="284">
        <v>1204</v>
      </c>
      <c r="L30" s="277">
        <v>1176</v>
      </c>
      <c r="M30" s="277">
        <v>1258</v>
      </c>
      <c r="N30" s="277">
        <v>1216</v>
      </c>
      <c r="O30" s="277">
        <v>1155</v>
      </c>
      <c r="P30" s="277">
        <v>1035</v>
      </c>
      <c r="Q30" s="277">
        <v>1101</v>
      </c>
      <c r="R30" s="277">
        <v>1033</v>
      </c>
      <c r="S30" s="277">
        <v>1029</v>
      </c>
      <c r="T30" s="277">
        <v>1029</v>
      </c>
      <c r="U30" s="277">
        <v>978</v>
      </c>
      <c r="V30" s="277">
        <v>914</v>
      </c>
      <c r="W30" s="277">
        <v>851</v>
      </c>
      <c r="X30" s="277">
        <v>804</v>
      </c>
      <c r="Y30" s="277">
        <v>788</v>
      </c>
      <c r="Z30" s="277">
        <v>780</v>
      </c>
      <c r="AA30" s="301">
        <v>439</v>
      </c>
      <c r="AB30" s="44" t="s">
        <v>38</v>
      </c>
      <c r="AC30" s="366"/>
      <c r="AD30" s="477">
        <f t="shared" si="0"/>
        <v>-43.717948717948715</v>
      </c>
    </row>
    <row r="31" spans="2:30" ht="12.75" customHeight="1">
      <c r="B31" s="107" t="s">
        <v>54</v>
      </c>
      <c r="C31" s="278">
        <v>877</v>
      </c>
      <c r="D31" s="279">
        <v>752</v>
      </c>
      <c r="E31" s="279">
        <v>669</v>
      </c>
      <c r="F31" s="279">
        <v>735</v>
      </c>
      <c r="G31" s="279">
        <v>724</v>
      </c>
      <c r="H31" s="279">
        <v>731</v>
      </c>
      <c r="I31" s="279">
        <v>731</v>
      </c>
      <c r="J31" s="279">
        <v>737</v>
      </c>
      <c r="K31" s="279">
        <v>702</v>
      </c>
      <c r="L31" s="279">
        <v>697</v>
      </c>
      <c r="M31" s="279">
        <v>694</v>
      </c>
      <c r="N31" s="279">
        <v>662</v>
      </c>
      <c r="O31" s="279">
        <v>641</v>
      </c>
      <c r="P31" s="279">
        <v>644</v>
      </c>
      <c r="Q31" s="279">
        <v>643</v>
      </c>
      <c r="R31" s="279">
        <v>652</v>
      </c>
      <c r="S31" s="279">
        <v>652</v>
      </c>
      <c r="T31" s="279">
        <v>659</v>
      </c>
      <c r="U31" s="279">
        <v>650</v>
      </c>
      <c r="V31" s="279">
        <v>647</v>
      </c>
      <c r="W31" s="279">
        <v>676</v>
      </c>
      <c r="X31" s="279">
        <v>641</v>
      </c>
      <c r="Y31" s="294">
        <v>641</v>
      </c>
      <c r="Z31" s="294">
        <v>641</v>
      </c>
      <c r="AA31" s="310">
        <f>Z31</f>
        <v>641</v>
      </c>
      <c r="AB31" s="194" t="s">
        <v>54</v>
      </c>
      <c r="AC31" s="366"/>
      <c r="AD31" s="553">
        <f t="shared" si="0"/>
        <v>0</v>
      </c>
    </row>
    <row r="32" spans="2:30" ht="12.75" customHeight="1">
      <c r="B32" s="8" t="s">
        <v>55</v>
      </c>
      <c r="C32" s="280">
        <v>1408</v>
      </c>
      <c r="D32" s="281">
        <v>1576</v>
      </c>
      <c r="E32" s="281">
        <v>1234</v>
      </c>
      <c r="F32" s="281">
        <v>1032</v>
      </c>
      <c r="G32" s="281">
        <v>1121</v>
      </c>
      <c r="H32" s="281">
        <v>1178</v>
      </c>
      <c r="I32" s="281">
        <v>1217</v>
      </c>
      <c r="J32" s="281">
        <v>1231</v>
      </c>
      <c r="K32" s="281">
        <v>1377</v>
      </c>
      <c r="L32" s="281">
        <v>1462</v>
      </c>
      <c r="M32" s="281">
        <v>1694</v>
      </c>
      <c r="N32" s="281">
        <v>1820</v>
      </c>
      <c r="O32" s="281">
        <v>1823</v>
      </c>
      <c r="P32" s="281">
        <v>1927</v>
      </c>
      <c r="Q32" s="281">
        <v>2027</v>
      </c>
      <c r="R32" s="281">
        <v>2285</v>
      </c>
      <c r="S32" s="281">
        <v>2331</v>
      </c>
      <c r="T32" s="281">
        <v>2416</v>
      </c>
      <c r="U32" s="281">
        <v>2422</v>
      </c>
      <c r="V32" s="281">
        <v>2538</v>
      </c>
      <c r="W32" s="281">
        <v>2679</v>
      </c>
      <c r="X32" s="281">
        <v>2795</v>
      </c>
      <c r="Y32" s="281">
        <v>2771</v>
      </c>
      <c r="Z32" s="281">
        <v>2920</v>
      </c>
      <c r="AA32" s="304">
        <v>2997</v>
      </c>
      <c r="AB32" s="45" t="s">
        <v>55</v>
      </c>
      <c r="AC32" s="366"/>
      <c r="AD32" s="489">
        <f t="shared" si="0"/>
        <v>2.6369863013698591</v>
      </c>
    </row>
    <row r="33" spans="1:30" ht="12.75" customHeight="1">
      <c r="B33" s="107" t="s">
        <v>26</v>
      </c>
      <c r="C33" s="295" t="s">
        <v>58</v>
      </c>
      <c r="D33" s="296" t="s">
        <v>58</v>
      </c>
      <c r="E33" s="296" t="s">
        <v>58</v>
      </c>
      <c r="F33" s="296" t="s">
        <v>58</v>
      </c>
      <c r="G33" s="296" t="s">
        <v>58</v>
      </c>
      <c r="H33" s="296" t="s">
        <v>58</v>
      </c>
      <c r="I33" s="296" t="s">
        <v>58</v>
      </c>
      <c r="J33" s="296" t="s">
        <v>58</v>
      </c>
      <c r="K33" s="296" t="s">
        <v>58</v>
      </c>
      <c r="L33" s="296" t="s">
        <v>58</v>
      </c>
      <c r="M33" s="296" t="s">
        <v>58</v>
      </c>
      <c r="N33" s="296" t="s">
        <v>58</v>
      </c>
      <c r="O33" s="296" t="s">
        <v>58</v>
      </c>
      <c r="P33" s="296" t="s">
        <v>58</v>
      </c>
      <c r="Q33" s="296" t="s">
        <v>58</v>
      </c>
      <c r="R33" s="296" t="s">
        <v>58</v>
      </c>
      <c r="S33" s="296" t="s">
        <v>58</v>
      </c>
      <c r="T33" s="296" t="s">
        <v>58</v>
      </c>
      <c r="U33" s="296" t="s">
        <v>58</v>
      </c>
      <c r="V33" s="296" t="s">
        <v>58</v>
      </c>
      <c r="W33" s="336" t="s">
        <v>58</v>
      </c>
      <c r="X33" s="492" t="s">
        <v>58</v>
      </c>
      <c r="Y33" s="492" t="s">
        <v>58</v>
      </c>
      <c r="Z33" s="492" t="s">
        <v>58</v>
      </c>
      <c r="AA33" s="337" t="s">
        <v>58</v>
      </c>
      <c r="AB33" s="194" t="s">
        <v>26</v>
      </c>
      <c r="AC33" s="366"/>
      <c r="AD33" s="849" t="s">
        <v>58</v>
      </c>
    </row>
    <row r="34" spans="1:30" ht="12.75" customHeight="1">
      <c r="B34" s="7" t="s">
        <v>56</v>
      </c>
      <c r="C34" s="276">
        <v>439</v>
      </c>
      <c r="D34" s="277">
        <v>430</v>
      </c>
      <c r="E34" s="277">
        <v>502</v>
      </c>
      <c r="F34" s="277">
        <v>299</v>
      </c>
      <c r="G34" s="277">
        <v>303</v>
      </c>
      <c r="H34" s="277">
        <v>269</v>
      </c>
      <c r="I34" s="277">
        <v>266</v>
      </c>
      <c r="J34" s="277">
        <v>208</v>
      </c>
      <c r="K34" s="277">
        <v>289</v>
      </c>
      <c r="L34" s="277">
        <v>223</v>
      </c>
      <c r="M34" s="277">
        <v>223</v>
      </c>
      <c r="N34" s="277">
        <v>223</v>
      </c>
      <c r="O34" s="277">
        <v>207</v>
      </c>
      <c r="P34" s="287">
        <v>544</v>
      </c>
      <c r="Q34" s="277">
        <v>593</v>
      </c>
      <c r="R34" s="277">
        <v>629</v>
      </c>
      <c r="S34" s="277">
        <v>816</v>
      </c>
      <c r="T34" s="277">
        <v>712</v>
      </c>
      <c r="U34" s="287">
        <v>270</v>
      </c>
      <c r="V34" s="277">
        <v>272</v>
      </c>
      <c r="W34" s="277">
        <v>279</v>
      </c>
      <c r="X34" s="284">
        <v>279</v>
      </c>
      <c r="Y34" s="284">
        <v>279</v>
      </c>
      <c r="Z34" s="284">
        <v>279</v>
      </c>
      <c r="AA34" s="299">
        <f>Z34</f>
        <v>279</v>
      </c>
      <c r="AB34" s="44" t="s">
        <v>56</v>
      </c>
      <c r="AC34" s="366"/>
      <c r="AD34" s="477"/>
    </row>
    <row r="35" spans="1:30" ht="12.75" customHeight="1">
      <c r="A35" s="378"/>
      <c r="B35" s="195" t="s">
        <v>27</v>
      </c>
      <c r="C35" s="275">
        <v>1116</v>
      </c>
      <c r="D35" s="233">
        <v>1205</v>
      </c>
      <c r="E35" s="297">
        <v>1254</v>
      </c>
      <c r="F35" s="297">
        <v>1528</v>
      </c>
      <c r="G35" s="297">
        <v>2011</v>
      </c>
      <c r="H35" s="297">
        <v>2008</v>
      </c>
      <c r="I35" s="297">
        <v>2164</v>
      </c>
      <c r="J35" s="297">
        <v>2224</v>
      </c>
      <c r="K35" s="297">
        <v>2198</v>
      </c>
      <c r="L35" s="297">
        <v>2167</v>
      </c>
      <c r="M35" s="297">
        <v>2272</v>
      </c>
      <c r="N35" s="297">
        <v>2278</v>
      </c>
      <c r="O35" s="297">
        <v>2265</v>
      </c>
      <c r="P35" s="297">
        <v>1745</v>
      </c>
      <c r="Q35" s="297">
        <v>1752</v>
      </c>
      <c r="R35" s="297">
        <v>1680</v>
      </c>
      <c r="S35" s="297">
        <v>1645</v>
      </c>
      <c r="T35" s="297">
        <v>1632</v>
      </c>
      <c r="U35" s="297">
        <v>1694</v>
      </c>
      <c r="V35" s="297">
        <v>1633</v>
      </c>
      <c r="W35" s="297">
        <v>1678</v>
      </c>
      <c r="X35" s="297">
        <v>1675</v>
      </c>
      <c r="Y35" s="297">
        <v>1501</v>
      </c>
      <c r="Z35" s="297">
        <v>1509</v>
      </c>
      <c r="AA35" s="303">
        <v>1605</v>
      </c>
      <c r="AB35" s="195" t="s">
        <v>27</v>
      </c>
      <c r="AC35" s="366"/>
      <c r="AD35" s="490">
        <f t="shared" si="0"/>
        <v>6.3618290258449264</v>
      </c>
    </row>
    <row r="36" spans="1:30" ht="12.75" customHeight="1">
      <c r="A36" s="378"/>
      <c r="B36" s="44" t="s">
        <v>312</v>
      </c>
      <c r="C36" s="792"/>
      <c r="D36" s="223"/>
      <c r="E36" s="277"/>
      <c r="F36" s="277"/>
      <c r="G36" s="277"/>
      <c r="H36" s="277"/>
      <c r="I36" s="277"/>
      <c r="J36" s="277"/>
      <c r="K36" s="277"/>
      <c r="L36" s="277"/>
      <c r="M36" s="277"/>
      <c r="N36" s="277"/>
      <c r="O36" s="277"/>
      <c r="P36" s="277"/>
      <c r="Q36" s="277"/>
      <c r="R36" s="277"/>
      <c r="T36" s="277">
        <v>187</v>
      </c>
      <c r="U36" s="277">
        <v>187</v>
      </c>
      <c r="V36" s="284">
        <f>U36</f>
        <v>187</v>
      </c>
      <c r="W36" s="277">
        <v>188</v>
      </c>
      <c r="X36" s="277">
        <v>188</v>
      </c>
      <c r="Y36" s="277">
        <v>188</v>
      </c>
      <c r="Z36" s="277">
        <v>188</v>
      </c>
      <c r="AA36" s="301">
        <v>187</v>
      </c>
      <c r="AB36" s="44" t="s">
        <v>312</v>
      </c>
      <c r="AC36" s="366"/>
      <c r="AD36" s="477">
        <f t="shared" si="0"/>
        <v>-0.53191489361702793</v>
      </c>
    </row>
    <row r="37" spans="1:30" ht="12.75" customHeight="1">
      <c r="A37" s="378"/>
      <c r="B37" s="194" t="s">
        <v>139</v>
      </c>
      <c r="C37" s="278"/>
      <c r="D37" s="279"/>
      <c r="E37" s="224"/>
      <c r="F37" s="224"/>
      <c r="G37" s="224"/>
      <c r="H37" s="224"/>
      <c r="I37" s="224"/>
      <c r="J37" s="224"/>
      <c r="K37" s="224"/>
      <c r="L37" s="224"/>
      <c r="M37" s="224"/>
      <c r="N37" s="224"/>
      <c r="O37" s="224"/>
      <c r="P37" s="224"/>
      <c r="Q37" s="224"/>
      <c r="R37" s="224"/>
      <c r="S37" s="224"/>
      <c r="T37" s="224"/>
      <c r="U37" s="224"/>
      <c r="V37" s="224">
        <v>39</v>
      </c>
      <c r="W37" s="296">
        <v>39</v>
      </c>
      <c r="X37" s="296">
        <v>36</v>
      </c>
      <c r="Y37" s="296">
        <v>37</v>
      </c>
      <c r="Z37" s="336">
        <v>37</v>
      </c>
      <c r="AA37" s="337">
        <f>Z37</f>
        <v>37</v>
      </c>
      <c r="AB37" s="194" t="s">
        <v>139</v>
      </c>
      <c r="AC37" s="366"/>
      <c r="AD37" s="192"/>
    </row>
    <row r="38" spans="1:30" ht="12.75" customHeight="1">
      <c r="A38" s="378"/>
      <c r="B38" s="44" t="s">
        <v>314</v>
      </c>
      <c r="C38" s="276"/>
      <c r="D38" s="277"/>
      <c r="E38" s="223"/>
      <c r="F38" s="223">
        <v>193</v>
      </c>
      <c r="G38" s="223">
        <v>193</v>
      </c>
      <c r="H38" s="223">
        <v>192</v>
      </c>
      <c r="I38" s="223">
        <v>190</v>
      </c>
      <c r="J38" s="223">
        <v>187</v>
      </c>
      <c r="K38" s="223">
        <v>187</v>
      </c>
      <c r="L38" s="223">
        <v>185</v>
      </c>
      <c r="M38" s="223">
        <v>185</v>
      </c>
      <c r="N38" s="223" t="e">
        <v>#VALUE!</v>
      </c>
      <c r="O38" s="223">
        <v>182</v>
      </c>
      <c r="P38" s="223">
        <v>182</v>
      </c>
      <c r="Q38" s="223">
        <v>178</v>
      </c>
      <c r="R38" s="223">
        <v>167</v>
      </c>
      <c r="S38" s="223">
        <v>166</v>
      </c>
      <c r="T38" s="223">
        <v>166</v>
      </c>
      <c r="U38" s="223">
        <v>166</v>
      </c>
      <c r="V38" s="223">
        <v>166</v>
      </c>
      <c r="W38" s="286">
        <v>154</v>
      </c>
      <c r="X38" s="286">
        <v>154</v>
      </c>
      <c r="Y38" s="286">
        <v>154</v>
      </c>
      <c r="Z38" s="286">
        <v>166</v>
      </c>
      <c r="AA38" s="567">
        <f>Z38</f>
        <v>166</v>
      </c>
      <c r="AB38" s="44" t="s">
        <v>314</v>
      </c>
      <c r="AC38" s="366"/>
      <c r="AD38" s="477"/>
    </row>
    <row r="39" spans="1:30" ht="12.75" customHeight="1">
      <c r="A39" s="378"/>
      <c r="B39" s="194" t="s">
        <v>0</v>
      </c>
      <c r="C39" s="278"/>
      <c r="D39" s="279">
        <v>91</v>
      </c>
      <c r="E39" s="279">
        <v>92</v>
      </c>
      <c r="F39" s="279">
        <v>101</v>
      </c>
      <c r="G39" s="279">
        <v>71</v>
      </c>
      <c r="H39" s="279">
        <v>71</v>
      </c>
      <c r="I39" s="279">
        <v>74</v>
      </c>
      <c r="J39" s="279">
        <v>73</v>
      </c>
      <c r="K39" s="279">
        <v>73</v>
      </c>
      <c r="L39" s="279">
        <v>72</v>
      </c>
      <c r="M39" s="279">
        <v>72</v>
      </c>
      <c r="N39" s="279">
        <v>72</v>
      </c>
      <c r="O39" s="279">
        <v>67</v>
      </c>
      <c r="P39" s="279">
        <v>63</v>
      </c>
      <c r="Q39" s="279">
        <v>63</v>
      </c>
      <c r="R39" s="279">
        <v>69</v>
      </c>
      <c r="S39" s="294">
        <v>53</v>
      </c>
      <c r="T39" s="294">
        <v>53</v>
      </c>
      <c r="U39" s="279">
        <v>53</v>
      </c>
      <c r="V39" s="279">
        <v>52</v>
      </c>
      <c r="W39" s="279">
        <v>58</v>
      </c>
      <c r="X39" s="279">
        <v>58</v>
      </c>
      <c r="Y39" s="279">
        <v>59</v>
      </c>
      <c r="Z39" s="279">
        <v>59</v>
      </c>
      <c r="AA39" s="302">
        <v>67</v>
      </c>
      <c r="AB39" s="194" t="s">
        <v>0</v>
      </c>
      <c r="AC39" s="366"/>
      <c r="AD39" s="553">
        <f t="shared" si="0"/>
        <v>13.559322033898312</v>
      </c>
    </row>
    <row r="40" spans="1:30" ht="12.75" customHeight="1">
      <c r="A40" s="378"/>
      <c r="B40" s="44" t="s">
        <v>144</v>
      </c>
      <c r="C40" s="276"/>
      <c r="D40" s="277"/>
      <c r="E40" s="277"/>
      <c r="F40" s="277"/>
      <c r="G40" s="277"/>
      <c r="H40" s="277"/>
      <c r="I40" s="277"/>
      <c r="J40" s="277"/>
      <c r="K40" s="277"/>
      <c r="L40" s="277"/>
      <c r="M40" s="277"/>
      <c r="N40" s="277"/>
      <c r="O40" s="277"/>
      <c r="P40" s="277"/>
      <c r="Q40" s="277"/>
      <c r="R40" s="277"/>
      <c r="S40" s="277">
        <v>63</v>
      </c>
      <c r="T40" s="284">
        <f>S40</f>
        <v>63</v>
      </c>
      <c r="U40" s="284">
        <f>T40</f>
        <v>63</v>
      </c>
      <c r="V40" s="277">
        <v>38</v>
      </c>
      <c r="W40" s="277">
        <v>38</v>
      </c>
      <c r="X40" s="284">
        <f>W40</f>
        <v>38</v>
      </c>
      <c r="Y40" s="284">
        <f t="shared" ref="Y40:AA40" si="1">X40</f>
        <v>38</v>
      </c>
      <c r="Z40" s="284">
        <f t="shared" si="1"/>
        <v>38</v>
      </c>
      <c r="AA40" s="284">
        <f t="shared" si="1"/>
        <v>38</v>
      </c>
      <c r="AB40" s="44" t="s">
        <v>144</v>
      </c>
      <c r="AC40" s="366"/>
      <c r="AD40" s="477">
        <f t="shared" si="0"/>
        <v>0</v>
      </c>
    </row>
    <row r="41" spans="1:30" ht="12.75" customHeight="1">
      <c r="A41" s="378"/>
      <c r="B41" s="194" t="s">
        <v>138</v>
      </c>
      <c r="C41" s="278"/>
      <c r="D41" s="279"/>
      <c r="E41" s="279"/>
      <c r="F41" s="279"/>
      <c r="G41" s="279"/>
      <c r="H41" s="279"/>
      <c r="I41" s="279"/>
      <c r="J41" s="279"/>
      <c r="K41" s="279"/>
      <c r="L41" s="279"/>
      <c r="M41" s="279"/>
      <c r="N41" s="279"/>
      <c r="O41" s="279"/>
      <c r="P41" s="279"/>
      <c r="Q41" s="279">
        <v>466</v>
      </c>
      <c r="R41" s="279">
        <v>485</v>
      </c>
      <c r="S41" s="279">
        <v>490</v>
      </c>
      <c r="T41" s="279">
        <v>488</v>
      </c>
      <c r="U41" s="279">
        <v>506</v>
      </c>
      <c r="V41" s="341">
        <v>306</v>
      </c>
      <c r="W41" s="279">
        <v>226</v>
      </c>
      <c r="X41" s="294">
        <v>211</v>
      </c>
      <c r="Y41" s="279">
        <v>239</v>
      </c>
      <c r="Z41" s="279">
        <v>255</v>
      </c>
      <c r="AA41" s="302">
        <v>42</v>
      </c>
      <c r="AB41" s="194" t="s">
        <v>138</v>
      </c>
      <c r="AC41" s="366"/>
      <c r="AD41" s="553">
        <f t="shared" si="0"/>
        <v>-83.529411764705884</v>
      </c>
    </row>
    <row r="42" spans="1:30" ht="12.75" customHeight="1">
      <c r="A42" s="378"/>
      <c r="B42" s="44" t="s">
        <v>40</v>
      </c>
      <c r="C42" s="792">
        <v>1055</v>
      </c>
      <c r="D42" s="223">
        <v>1101</v>
      </c>
      <c r="E42" s="223">
        <v>897</v>
      </c>
      <c r="F42" s="277">
        <v>849</v>
      </c>
      <c r="G42" s="277">
        <v>838</v>
      </c>
      <c r="H42" s="277">
        <v>819</v>
      </c>
      <c r="I42" s="277">
        <v>755</v>
      </c>
      <c r="J42" s="277">
        <v>734</v>
      </c>
      <c r="K42" s="277">
        <v>735</v>
      </c>
      <c r="L42" s="277">
        <v>732</v>
      </c>
      <c r="M42" s="277">
        <v>724</v>
      </c>
      <c r="N42" s="277">
        <v>613</v>
      </c>
      <c r="O42" s="277">
        <v>660</v>
      </c>
      <c r="P42" s="277">
        <v>673</v>
      </c>
      <c r="Q42" s="287">
        <v>744</v>
      </c>
      <c r="R42" s="277">
        <v>773</v>
      </c>
      <c r="S42" s="277">
        <v>792</v>
      </c>
      <c r="T42" s="277">
        <v>829</v>
      </c>
      <c r="U42" s="277">
        <v>864</v>
      </c>
      <c r="V42" s="277">
        <v>885</v>
      </c>
      <c r="W42" s="277">
        <v>871</v>
      </c>
      <c r="X42" s="277">
        <v>940</v>
      </c>
      <c r="Y42" s="277">
        <v>799</v>
      </c>
      <c r="Z42" s="277">
        <v>901</v>
      </c>
      <c r="AA42" s="299">
        <f>Z42</f>
        <v>901</v>
      </c>
      <c r="AB42" s="44" t="s">
        <v>40</v>
      </c>
      <c r="AC42" s="366"/>
      <c r="AD42" s="477"/>
    </row>
    <row r="43" spans="1:30" ht="12.75" customHeight="1">
      <c r="A43" s="378"/>
      <c r="B43" s="195" t="s">
        <v>313</v>
      </c>
      <c r="C43" s="275"/>
      <c r="D43" s="233"/>
      <c r="E43" s="233"/>
      <c r="F43" s="297"/>
      <c r="G43" s="297"/>
      <c r="H43" s="297"/>
      <c r="I43" s="297"/>
      <c r="J43" s="297"/>
      <c r="K43" s="297"/>
      <c r="L43" s="297"/>
      <c r="M43" s="297"/>
      <c r="N43" s="297"/>
      <c r="O43" s="297"/>
      <c r="P43" s="297"/>
      <c r="Q43" s="297"/>
      <c r="R43" s="297"/>
      <c r="S43" s="297"/>
      <c r="T43" s="297"/>
      <c r="U43" s="297"/>
      <c r="V43" s="297"/>
      <c r="W43" s="297"/>
      <c r="X43" s="297"/>
      <c r="Y43" s="297"/>
      <c r="Z43" s="297"/>
      <c r="AA43" s="303"/>
      <c r="AB43" s="195" t="s">
        <v>313</v>
      </c>
      <c r="AC43" s="366"/>
      <c r="AD43" s="569"/>
    </row>
    <row r="44" spans="1:30" ht="12.75" customHeight="1">
      <c r="A44" s="378"/>
      <c r="B44" s="45" t="s">
        <v>44</v>
      </c>
      <c r="C44" s="280">
        <v>9510</v>
      </c>
      <c r="D44" s="281">
        <v>5452</v>
      </c>
      <c r="E44" s="281">
        <v>5610</v>
      </c>
      <c r="F44" s="281" t="s">
        <v>57</v>
      </c>
      <c r="G44" s="281" t="s">
        <v>57</v>
      </c>
      <c r="H44" s="281">
        <v>4430</v>
      </c>
      <c r="I44" s="281">
        <v>3588</v>
      </c>
      <c r="J44" s="281">
        <v>3505</v>
      </c>
      <c r="K44" s="281">
        <v>3177</v>
      </c>
      <c r="L44" s="793">
        <v>3271</v>
      </c>
      <c r="M44" s="281">
        <v>11367</v>
      </c>
      <c r="N44" s="281">
        <v>10639</v>
      </c>
      <c r="O44" s="281">
        <v>10562</v>
      </c>
      <c r="P44" s="281">
        <v>10710</v>
      </c>
      <c r="Q44" s="281">
        <v>11036</v>
      </c>
      <c r="R44" s="281">
        <v>11082</v>
      </c>
      <c r="S44" s="281">
        <v>11176</v>
      </c>
      <c r="T44" s="281">
        <v>11347</v>
      </c>
      <c r="U44" s="385">
        <v>11347</v>
      </c>
      <c r="V44" s="385">
        <v>11347</v>
      </c>
      <c r="W44" s="385">
        <v>11347</v>
      </c>
      <c r="X44" s="385">
        <v>11347</v>
      </c>
      <c r="Y44" s="385">
        <v>11347</v>
      </c>
      <c r="Z44" s="385">
        <f>Y44</f>
        <v>11347</v>
      </c>
      <c r="AA44" s="794">
        <f>Z44</f>
        <v>11347</v>
      </c>
      <c r="AB44" s="45" t="s">
        <v>44</v>
      </c>
      <c r="AC44" s="366"/>
      <c r="AD44" s="489"/>
    </row>
    <row r="45" spans="1:30" ht="15.75" customHeight="1">
      <c r="B45" s="1171" t="s">
        <v>296</v>
      </c>
      <c r="C45" s="1171"/>
      <c r="D45" s="1171"/>
      <c r="E45" s="1171"/>
      <c r="F45" s="1171"/>
      <c r="G45" s="1171"/>
      <c r="H45" s="1171"/>
      <c r="I45" s="1171"/>
      <c r="J45" s="1172"/>
      <c r="K45" s="1172"/>
      <c r="L45" s="1172"/>
      <c r="M45" s="1172"/>
      <c r="N45" s="1172"/>
      <c r="O45" s="1172"/>
      <c r="P45" s="1172"/>
      <c r="Q45" s="1172"/>
      <c r="R45" s="1172"/>
      <c r="S45" s="1172"/>
      <c r="T45" s="1172"/>
      <c r="U45" s="1172"/>
      <c r="V45" s="1172"/>
      <c r="W45" s="1172"/>
      <c r="X45" s="1172"/>
      <c r="Y45" s="1172"/>
      <c r="Z45" s="1172"/>
      <c r="AA45" s="1172"/>
      <c r="AB45" s="1172"/>
      <c r="AC45"/>
      <c r="AD45" s="449"/>
    </row>
    <row r="46" spans="1:30" ht="13.5" customHeight="1">
      <c r="B46" s="168" t="s">
        <v>289</v>
      </c>
      <c r="C46" s="178"/>
      <c r="D46" s="178"/>
      <c r="E46" s="178"/>
      <c r="F46" s="210"/>
      <c r="G46" s="210"/>
      <c r="H46" s="178"/>
      <c r="I46" s="207"/>
      <c r="J46" s="207"/>
      <c r="K46" s="207"/>
      <c r="L46" s="207"/>
      <c r="M46" s="207"/>
      <c r="N46" s="207"/>
      <c r="O46" s="207"/>
      <c r="P46" s="207"/>
      <c r="Q46" s="207"/>
      <c r="R46" s="207"/>
      <c r="S46" s="207"/>
      <c r="T46" s="207"/>
      <c r="U46" s="207"/>
      <c r="V46" s="207"/>
      <c r="W46" s="207"/>
      <c r="X46" s="207"/>
      <c r="Y46" s="207"/>
      <c r="Z46" s="207"/>
      <c r="AA46" s="207"/>
      <c r="AB46" s="207"/>
      <c r="AC46"/>
      <c r="AD46" s="449"/>
    </row>
    <row r="47" spans="1:30" ht="11.25" customHeight="1">
      <c r="B47" s="179" t="s">
        <v>164</v>
      </c>
      <c r="C47" s="178"/>
      <c r="D47" s="178"/>
      <c r="E47" s="178"/>
      <c r="F47" s="210"/>
      <c r="G47" s="210"/>
      <c r="H47" s="178"/>
      <c r="I47" s="207"/>
      <c r="J47" s="207"/>
      <c r="K47" s="207"/>
      <c r="L47" s="207"/>
      <c r="M47" s="207"/>
      <c r="N47" s="207"/>
      <c r="O47" s="207"/>
      <c r="P47" s="207"/>
      <c r="Q47" s="207"/>
      <c r="R47" s="207"/>
      <c r="S47" s="207"/>
      <c r="T47" s="207"/>
      <c r="U47" s="207"/>
      <c r="V47" s="207"/>
      <c r="W47"/>
      <c r="X47"/>
      <c r="Y47"/>
      <c r="Z47"/>
      <c r="AA47"/>
      <c r="AB47" s="2"/>
    </row>
    <row r="48" spans="1:30" ht="11.25" customHeight="1">
      <c r="B48" s="179" t="s">
        <v>299</v>
      </c>
      <c r="C48" s="178"/>
      <c r="D48" s="178"/>
      <c r="E48" s="178"/>
      <c r="F48" s="210"/>
      <c r="G48" s="210"/>
      <c r="H48" s="178"/>
      <c r="I48" s="207"/>
      <c r="J48" s="207"/>
      <c r="K48" s="207"/>
      <c r="L48" s="207"/>
      <c r="M48" s="207"/>
      <c r="N48" s="207"/>
      <c r="O48" s="207"/>
      <c r="P48" s="207"/>
      <c r="Q48" s="207"/>
      <c r="R48" s="207"/>
      <c r="S48" s="207"/>
      <c r="T48" s="207"/>
      <c r="U48" s="207"/>
      <c r="V48" s="207"/>
      <c r="W48"/>
      <c r="X48"/>
      <c r="Y48"/>
      <c r="Z48"/>
      <c r="AA48"/>
      <c r="AB48" s="2"/>
    </row>
    <row r="49" spans="2:30" ht="12.75">
      <c r="B49" s="100" t="s">
        <v>259</v>
      </c>
      <c r="C49"/>
      <c r="D49" s="176"/>
      <c r="E49" s="176"/>
      <c r="F49" s="176"/>
      <c r="G49" s="176"/>
      <c r="H49" s="176"/>
      <c r="I49" s="176"/>
      <c r="J49" s="176"/>
      <c r="K49" s="176"/>
      <c r="L49" s="176"/>
      <c r="M49" s="176"/>
      <c r="N49" s="176"/>
      <c r="O49" s="176"/>
      <c r="P49" s="176"/>
      <c r="Q49" s="176"/>
      <c r="R49" s="176"/>
      <c r="S49" s="176"/>
      <c r="T49" s="176"/>
      <c r="U49" s="176"/>
      <c r="V49" s="176"/>
      <c r="W49"/>
      <c r="X49"/>
      <c r="Y49"/>
      <c r="Z49"/>
      <c r="AA49"/>
      <c r="AB49" s="2"/>
    </row>
    <row r="50" spans="2:30" ht="12.75">
      <c r="B50" s="100" t="s">
        <v>161</v>
      </c>
      <c r="C50"/>
      <c r="D50" s="176"/>
      <c r="E50" s="176"/>
      <c r="F50" s="176"/>
      <c r="G50" s="176"/>
      <c r="H50" s="176"/>
      <c r="I50" s="176"/>
      <c r="J50" s="176"/>
      <c r="K50" s="169"/>
      <c r="L50" s="169"/>
      <c r="M50" s="169"/>
      <c r="N50" s="169"/>
      <c r="O50" s="169"/>
      <c r="P50" s="169"/>
      <c r="Q50" s="169"/>
      <c r="R50" s="169"/>
      <c r="S50" s="169"/>
      <c r="T50" s="169"/>
      <c r="U50" s="169"/>
      <c r="V50" s="169"/>
      <c r="W50" s="169"/>
      <c r="X50" s="169"/>
      <c r="Y50" s="169"/>
      <c r="Z50" s="169"/>
      <c r="AA50" s="169"/>
      <c r="AB50" s="169"/>
      <c r="AC50"/>
      <c r="AD50" s="449"/>
    </row>
    <row r="51" spans="2:30" ht="12.75">
      <c r="B51" s="1173"/>
      <c r="C51" s="1173"/>
      <c r="D51" s="1173"/>
      <c r="E51" s="1173"/>
      <c r="F51" s="1173"/>
      <c r="G51" s="1173"/>
      <c r="AC51"/>
    </row>
    <row r="54" spans="2:30">
      <c r="AB54" s="185"/>
      <c r="AC54" s="185"/>
      <c r="AD54" s="613"/>
    </row>
    <row r="55" spans="2:30">
      <c r="C55" s="185"/>
      <c r="D55" s="185"/>
      <c r="E55" s="185"/>
      <c r="F55" s="185"/>
      <c r="G55" s="185"/>
      <c r="H55" s="185"/>
      <c r="I55" s="185"/>
      <c r="J55" s="185"/>
      <c r="K55" s="185"/>
      <c r="L55" s="185"/>
      <c r="M55" s="185"/>
      <c r="N55" s="185"/>
      <c r="O55" s="185"/>
      <c r="P55" s="185"/>
      <c r="Q55" s="185"/>
      <c r="R55" s="185"/>
    </row>
    <row r="61" spans="2:30" ht="12.75">
      <c r="D61" s="355"/>
      <c r="E61"/>
      <c r="F61"/>
      <c r="G61"/>
      <c r="H61"/>
      <c r="I61"/>
      <c r="J61"/>
    </row>
    <row r="62" spans="2:30" ht="12.75">
      <c r="D62" s="355"/>
      <c r="E62" s="355"/>
      <c r="F62" s="355"/>
      <c r="G62" s="355"/>
      <c r="H62" s="355"/>
      <c r="I62" s="355"/>
      <c r="J62" s="355"/>
    </row>
    <row r="63" spans="2:30" ht="12.75">
      <c r="D63" s="355"/>
      <c r="E63" s="355"/>
      <c r="F63" s="355"/>
      <c r="G63" s="355"/>
      <c r="H63" s="355"/>
      <c r="I63" s="355"/>
      <c r="J63" s="355"/>
    </row>
    <row r="64" spans="2:30" ht="12.75">
      <c r="D64" s="355"/>
      <c r="E64" s="355"/>
      <c r="F64" s="355"/>
      <c r="G64" s="355"/>
      <c r="H64" s="355"/>
      <c r="I64" s="355"/>
      <c r="J64" s="355"/>
    </row>
    <row r="65" spans="4:10" ht="12.75">
      <c r="D65" s="355"/>
      <c r="E65" s="355"/>
      <c r="F65" s="355"/>
      <c r="G65" s="355"/>
      <c r="H65" s="355"/>
      <c r="I65" s="355"/>
      <c r="J65" s="355"/>
    </row>
    <row r="66" spans="4:10" ht="12.75">
      <c r="D66" s="355"/>
      <c r="E66" s="355"/>
      <c r="F66" s="355"/>
      <c r="G66" s="355"/>
      <c r="H66" s="355"/>
      <c r="I66" s="355"/>
      <c r="J66" s="355"/>
    </row>
    <row r="67" spans="4:10" ht="12.75">
      <c r="D67" s="355"/>
      <c r="E67" s="355"/>
      <c r="F67" s="355"/>
      <c r="G67" s="355"/>
      <c r="H67" s="355"/>
      <c r="I67" s="355"/>
      <c r="J67" s="355"/>
    </row>
    <row r="68" spans="4:10" ht="12.75">
      <c r="D68" s="355"/>
      <c r="E68" s="355"/>
      <c r="F68" s="355"/>
      <c r="G68" s="355"/>
      <c r="H68" s="355"/>
      <c r="I68" s="355"/>
      <c r="J68" s="355"/>
    </row>
    <row r="69" spans="4:10" ht="12.75">
      <c r="D69" s="355"/>
      <c r="E69" s="355"/>
      <c r="F69" s="355"/>
      <c r="G69" s="355"/>
      <c r="H69" s="355"/>
      <c r="I69" s="355"/>
      <c r="J69" s="355"/>
    </row>
    <row r="70" spans="4:10" ht="12.75">
      <c r="D70" s="355"/>
      <c r="E70" s="355"/>
      <c r="F70" s="355"/>
      <c r="G70" s="355"/>
      <c r="H70" s="355"/>
      <c r="I70" s="355"/>
      <c r="J70" s="355"/>
    </row>
    <row r="71" spans="4:10" ht="12.75">
      <c r="D71" s="355"/>
      <c r="E71" s="355"/>
      <c r="F71" s="355"/>
      <c r="G71" s="355"/>
      <c r="H71" s="355"/>
      <c r="I71" s="355"/>
      <c r="J71" s="355"/>
    </row>
    <row r="72" spans="4:10" ht="12.75">
      <c r="D72" s="355"/>
      <c r="E72" s="355"/>
      <c r="F72" s="355"/>
      <c r="G72" s="355"/>
      <c r="H72" s="355"/>
      <c r="I72" s="355"/>
      <c r="J72" s="355"/>
    </row>
    <row r="73" spans="4:10" ht="12.75">
      <c r="D73" s="355"/>
      <c r="E73" s="355"/>
      <c r="F73" s="355"/>
      <c r="G73" s="355"/>
      <c r="H73" s="355"/>
      <c r="I73" s="355"/>
      <c r="J73" s="355"/>
    </row>
    <row r="74" spans="4:10" ht="12.75">
      <c r="D74" s="355"/>
      <c r="E74" s="355"/>
      <c r="F74" s="355"/>
      <c r="G74" s="355"/>
      <c r="H74" s="355"/>
      <c r="I74" s="355"/>
      <c r="J74" s="355"/>
    </row>
    <row r="75" spans="4:10" ht="12.75">
      <c r="D75" s="355"/>
      <c r="E75" s="355"/>
      <c r="F75" s="355"/>
      <c r="G75" s="355"/>
      <c r="H75" s="355"/>
      <c r="I75" s="355"/>
      <c r="J75" s="355"/>
    </row>
    <row r="76" spans="4:10" ht="12.75">
      <c r="D76" s="355"/>
      <c r="E76"/>
      <c r="F76"/>
      <c r="G76"/>
      <c r="H76"/>
      <c r="I76"/>
      <c r="J76"/>
    </row>
    <row r="81" spans="5:5">
      <c r="E81" s="100"/>
    </row>
  </sheetData>
  <mergeCells count="4">
    <mergeCell ref="B45:AB45"/>
    <mergeCell ref="B2:AB2"/>
    <mergeCell ref="B3:AB3"/>
    <mergeCell ref="B51:G51"/>
  </mergeCells>
  <phoneticPr fontId="7" type="noConversion"/>
  <printOptions horizontalCentered="1"/>
  <pageMargins left="0.6692913385826772" right="0.28000000000000003" top="0.51181102362204722" bottom="0.27559055118110237" header="0" footer="0"/>
  <pageSetup paperSize="9" scale="90" orientation="portrait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343"/>
  <dimension ref="A1:AD50"/>
  <sheetViews>
    <sheetView topLeftCell="A14" zoomScaleNormal="100" workbookViewId="0">
      <selection activeCell="AG12" sqref="AG12"/>
    </sheetView>
  </sheetViews>
  <sheetFormatPr defaultColWidth="9.1328125" defaultRowHeight="10.15"/>
  <cols>
    <col min="1" max="1" width="3.73046875" style="1" customWidth="1"/>
    <col min="2" max="2" width="4" style="1" customWidth="1"/>
    <col min="3" max="10" width="7.73046875" style="1" customWidth="1"/>
    <col min="11" max="24" width="8.265625" style="1" customWidth="1"/>
    <col min="25" max="27" width="7" style="1" customWidth="1"/>
    <col min="28" max="28" width="6.1328125" style="1" customWidth="1"/>
    <col min="29" max="29" width="2.3984375" style="1" customWidth="1"/>
    <col min="30" max="30" width="6.59765625" style="495" customWidth="1"/>
    <col min="31" max="16384" width="9.1328125" style="1"/>
  </cols>
  <sheetData>
    <row r="1" spans="1:30" ht="14.25" customHeight="1">
      <c r="B1" s="21"/>
      <c r="C1" s="16"/>
      <c r="D1" s="16"/>
      <c r="E1" s="16"/>
      <c r="F1" s="16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 t="s">
        <v>119</v>
      </c>
      <c r="AC1" s="22"/>
    </row>
    <row r="2" spans="1:30" s="39" customFormat="1" ht="30" customHeight="1">
      <c r="B2" s="1082" t="s">
        <v>269</v>
      </c>
      <c r="C2" s="1082"/>
      <c r="D2" s="1082"/>
      <c r="E2" s="1082"/>
      <c r="F2" s="1082"/>
      <c r="G2" s="1082"/>
      <c r="H2" s="1082"/>
      <c r="I2" s="1082"/>
      <c r="J2" s="1082"/>
      <c r="K2" s="1082"/>
      <c r="L2" s="1082"/>
      <c r="M2" s="1082"/>
      <c r="N2" s="1082"/>
      <c r="O2" s="1082"/>
      <c r="P2" s="1082"/>
      <c r="Q2" s="1082"/>
      <c r="R2" s="1082"/>
      <c r="S2" s="1082"/>
      <c r="T2" s="1082"/>
      <c r="U2" s="1082"/>
      <c r="V2" s="1082"/>
      <c r="W2" s="1082"/>
      <c r="X2" s="1082"/>
      <c r="Y2" s="1082"/>
      <c r="Z2" s="1082"/>
      <c r="AA2" s="1082"/>
      <c r="AB2" s="1082"/>
      <c r="AC2" s="334"/>
      <c r="AD2" s="483"/>
    </row>
    <row r="3" spans="1:30" ht="18" customHeight="1">
      <c r="B3" s="1174" t="s">
        <v>122</v>
      </c>
      <c r="C3" s="1174"/>
      <c r="D3" s="1174"/>
      <c r="E3" s="1174"/>
      <c r="F3" s="1174"/>
      <c r="G3" s="1174"/>
      <c r="H3" s="1174"/>
      <c r="I3" s="1174"/>
      <c r="J3" s="1174"/>
      <c r="K3" s="1174"/>
      <c r="L3" s="1174"/>
      <c r="M3" s="1174"/>
      <c r="N3" s="1174"/>
      <c r="O3" s="1174"/>
      <c r="P3" s="1174"/>
      <c r="Q3" s="1174"/>
      <c r="R3" s="1174"/>
      <c r="S3" s="1174"/>
      <c r="T3" s="1174"/>
      <c r="U3" s="1174"/>
      <c r="V3" s="1174"/>
      <c r="W3" s="1174"/>
      <c r="X3" s="1174"/>
      <c r="Y3" s="1174"/>
      <c r="Z3" s="1174"/>
      <c r="AA3" s="1064"/>
      <c r="AB3" s="1064"/>
      <c r="AC3" s="333"/>
    </row>
    <row r="4" spans="1:30" ht="24.95" customHeight="1">
      <c r="B4" s="72"/>
      <c r="C4" s="29">
        <v>1970</v>
      </c>
      <c r="D4" s="30">
        <v>1980</v>
      </c>
      <c r="E4" s="30">
        <v>1990</v>
      </c>
      <c r="F4" s="30">
        <v>2000</v>
      </c>
      <c r="G4" s="30">
        <v>2001</v>
      </c>
      <c r="H4" s="30">
        <v>2002</v>
      </c>
      <c r="I4" s="30">
        <v>2003</v>
      </c>
      <c r="J4" s="30">
        <v>2004</v>
      </c>
      <c r="K4" s="30">
        <v>2005</v>
      </c>
      <c r="L4" s="30">
        <v>2006</v>
      </c>
      <c r="M4" s="30">
        <v>2007</v>
      </c>
      <c r="N4" s="30">
        <v>2008</v>
      </c>
      <c r="O4" s="30">
        <v>2009</v>
      </c>
      <c r="P4" s="61">
        <v>2010</v>
      </c>
      <c r="Q4" s="61">
        <v>2011</v>
      </c>
      <c r="R4" s="30">
        <v>2012</v>
      </c>
      <c r="S4" s="30">
        <v>2013</v>
      </c>
      <c r="T4" s="30">
        <v>2014</v>
      </c>
      <c r="U4" s="61">
        <v>2015</v>
      </c>
      <c r="V4" s="61">
        <v>2016</v>
      </c>
      <c r="W4" s="61">
        <v>2017</v>
      </c>
      <c r="X4" s="30">
        <v>2018</v>
      </c>
      <c r="Y4" s="30">
        <v>2019</v>
      </c>
      <c r="Z4" s="30">
        <v>2020</v>
      </c>
      <c r="AA4" s="38">
        <v>2021</v>
      </c>
      <c r="AB4" s="480"/>
      <c r="AC4" s="3"/>
      <c r="AD4" s="496" t="s">
        <v>329</v>
      </c>
    </row>
    <row r="5" spans="1:30" ht="12.75" customHeight="1">
      <c r="B5" s="106" t="s">
        <v>237</v>
      </c>
      <c r="C5" s="274"/>
      <c r="D5" s="273"/>
      <c r="E5" s="272"/>
      <c r="F5" s="272">
        <f>SUM(F6:F32)</f>
        <v>100981</v>
      </c>
      <c r="G5" s="272">
        <f t="shared" ref="G5:AA5" si="0">SUM(G6:G32)</f>
        <v>100989</v>
      </c>
      <c r="H5" s="272">
        <f t="shared" si="0"/>
        <v>98554</v>
      </c>
      <c r="I5" s="272">
        <f t="shared" si="0"/>
        <v>94388</v>
      </c>
      <c r="J5" s="272">
        <f t="shared" si="0"/>
        <v>90904</v>
      </c>
      <c r="K5" s="272">
        <f t="shared" si="0"/>
        <v>90831</v>
      </c>
      <c r="L5" s="272">
        <f t="shared" si="0"/>
        <v>84709</v>
      </c>
      <c r="M5" s="272">
        <f t="shared" si="0"/>
        <v>84859</v>
      </c>
      <c r="N5" s="272">
        <f t="shared" si="0"/>
        <v>86923</v>
      </c>
      <c r="O5" s="272">
        <f t="shared" si="0"/>
        <v>89767</v>
      </c>
      <c r="P5" s="272">
        <f t="shared" si="0"/>
        <v>90248</v>
      </c>
      <c r="Q5" s="272">
        <f t="shared" si="0"/>
        <v>87180</v>
      </c>
      <c r="R5" s="272">
        <f t="shared" si="0"/>
        <v>86989</v>
      </c>
      <c r="S5" s="272">
        <f t="shared" si="0"/>
        <v>92108</v>
      </c>
      <c r="T5" s="272">
        <f t="shared" si="0"/>
        <v>95976</v>
      </c>
      <c r="U5" s="272">
        <f t="shared" si="0"/>
        <v>94149</v>
      </c>
      <c r="V5" s="272">
        <f t="shared" si="0"/>
        <v>95500</v>
      </c>
      <c r="W5" s="272">
        <f t="shared" si="0"/>
        <v>93595</v>
      </c>
      <c r="X5" s="272">
        <f t="shared" si="0"/>
        <v>94068</v>
      </c>
      <c r="Y5" s="272">
        <f t="shared" si="0"/>
        <v>94878</v>
      </c>
      <c r="Z5" s="272">
        <f t="shared" si="0"/>
        <v>93578</v>
      </c>
      <c r="AA5" s="272">
        <f t="shared" si="0"/>
        <v>93749</v>
      </c>
      <c r="AB5" s="41" t="s">
        <v>237</v>
      </c>
      <c r="AC5" s="367"/>
      <c r="AD5" s="488">
        <f>AA5/Z5*100-100</f>
        <v>0.18273525828720949</v>
      </c>
    </row>
    <row r="6" spans="1:30" ht="12.75" customHeight="1">
      <c r="A6" s="5"/>
      <c r="B6" s="6" t="s">
        <v>45</v>
      </c>
      <c r="C6" s="305">
        <v>3415</v>
      </c>
      <c r="D6" s="306">
        <v>3609</v>
      </c>
      <c r="E6" s="306">
        <v>3286</v>
      </c>
      <c r="F6" s="306">
        <v>3494</v>
      </c>
      <c r="G6" s="306">
        <v>3462</v>
      </c>
      <c r="H6" s="306">
        <v>3413</v>
      </c>
      <c r="I6" s="306">
        <v>3358</v>
      </c>
      <c r="J6" s="306">
        <v>3292</v>
      </c>
      <c r="K6" s="306">
        <v>3251</v>
      </c>
      <c r="L6" s="306">
        <v>3235</v>
      </c>
      <c r="M6" s="306">
        <v>3275</v>
      </c>
      <c r="N6" s="306">
        <v>3201</v>
      </c>
      <c r="O6" s="306">
        <v>3412</v>
      </c>
      <c r="P6" s="306">
        <v>3412</v>
      </c>
      <c r="Q6" s="306">
        <v>3290</v>
      </c>
      <c r="R6" s="307">
        <v>3290</v>
      </c>
      <c r="S6" s="306">
        <v>2345</v>
      </c>
      <c r="T6" s="307">
        <v>2345</v>
      </c>
      <c r="U6" s="307">
        <v>2345</v>
      </c>
      <c r="V6" s="306">
        <v>3879</v>
      </c>
      <c r="W6" s="306">
        <v>3838</v>
      </c>
      <c r="X6" s="307">
        <v>3838</v>
      </c>
      <c r="Y6" s="307">
        <v>3838</v>
      </c>
      <c r="Z6" s="307">
        <v>3838</v>
      </c>
      <c r="AA6" s="307">
        <f>Z6</f>
        <v>3838</v>
      </c>
      <c r="AB6" s="6" t="s">
        <v>45</v>
      </c>
      <c r="AC6" s="367"/>
      <c r="AD6" s="384"/>
    </row>
    <row r="7" spans="1:30" ht="12.75" customHeight="1">
      <c r="A7" s="5"/>
      <c r="B7" s="34" t="s">
        <v>28</v>
      </c>
      <c r="C7" s="278">
        <v>1762</v>
      </c>
      <c r="D7" s="279">
        <v>2441</v>
      </c>
      <c r="E7" s="279">
        <v>2386</v>
      </c>
      <c r="F7" s="279">
        <v>2099</v>
      </c>
      <c r="G7" s="279">
        <v>1935</v>
      </c>
      <c r="H7" s="279">
        <v>1655</v>
      </c>
      <c r="I7" s="279">
        <v>1705</v>
      </c>
      <c r="J7" s="279">
        <v>1749</v>
      </c>
      <c r="K7" s="279">
        <v>1558</v>
      </c>
      <c r="L7" s="279">
        <v>1531</v>
      </c>
      <c r="M7" s="279">
        <v>1550</v>
      </c>
      <c r="N7" s="279">
        <v>1599</v>
      </c>
      <c r="O7" s="279">
        <v>1602</v>
      </c>
      <c r="P7" s="279">
        <v>1369</v>
      </c>
      <c r="Q7" s="279">
        <v>1777</v>
      </c>
      <c r="R7" s="279">
        <v>1777</v>
      </c>
      <c r="S7" s="335">
        <v>744</v>
      </c>
      <c r="T7" s="279">
        <v>759</v>
      </c>
      <c r="U7" s="279">
        <v>756</v>
      </c>
      <c r="V7" s="279">
        <v>756</v>
      </c>
      <c r="W7" s="279">
        <v>756</v>
      </c>
      <c r="X7" s="487">
        <v>778</v>
      </c>
      <c r="Y7" s="487">
        <v>766</v>
      </c>
      <c r="Z7" s="487">
        <v>667</v>
      </c>
      <c r="AA7" s="487">
        <v>572</v>
      </c>
      <c r="AB7" s="34" t="s">
        <v>28</v>
      </c>
      <c r="AC7" s="367"/>
      <c r="AD7" s="170">
        <f t="shared" ref="AD7:AD42" si="1">AA7/Z7*100-100</f>
        <v>-14.242878560719646</v>
      </c>
    </row>
    <row r="8" spans="1:30" ht="12.75" customHeight="1">
      <c r="A8" s="5"/>
      <c r="B8" s="7" t="s">
        <v>30</v>
      </c>
      <c r="C8" s="285"/>
      <c r="D8" s="286"/>
      <c r="E8" s="286"/>
      <c r="F8" s="277">
        <v>5252</v>
      </c>
      <c r="G8" s="277">
        <v>5223</v>
      </c>
      <c r="H8" s="277">
        <v>5103</v>
      </c>
      <c r="I8" s="277">
        <v>5085</v>
      </c>
      <c r="J8" s="277">
        <v>4985</v>
      </c>
      <c r="K8" s="277">
        <v>4895</v>
      </c>
      <c r="L8" s="277">
        <v>4767</v>
      </c>
      <c r="M8" s="277">
        <v>4566</v>
      </c>
      <c r="N8" s="277">
        <v>4561</v>
      </c>
      <c r="O8" s="277">
        <v>4553</v>
      </c>
      <c r="P8" s="277">
        <v>4514</v>
      </c>
      <c r="Q8" s="277">
        <v>4463</v>
      </c>
      <c r="R8" s="277">
        <v>4419</v>
      </c>
      <c r="S8" s="277">
        <v>4312</v>
      </c>
      <c r="T8" s="277">
        <v>4363</v>
      </c>
      <c r="U8" s="277">
        <v>4139</v>
      </c>
      <c r="V8" s="277">
        <v>3988</v>
      </c>
      <c r="W8" s="277">
        <v>3872</v>
      </c>
      <c r="X8" s="277">
        <v>3845</v>
      </c>
      <c r="Y8" s="277">
        <v>3816</v>
      </c>
      <c r="Z8" s="277">
        <v>3771</v>
      </c>
      <c r="AA8" s="277">
        <v>3738</v>
      </c>
      <c r="AB8" s="7" t="s">
        <v>30</v>
      </c>
      <c r="AC8" s="367"/>
      <c r="AD8" s="171">
        <f t="shared" si="1"/>
        <v>-0.87509944311852905</v>
      </c>
    </row>
    <row r="9" spans="1:30" ht="12.75" customHeight="1">
      <c r="A9" s="5"/>
      <c r="B9" s="34" t="s">
        <v>41</v>
      </c>
      <c r="C9" s="278">
        <v>1526</v>
      </c>
      <c r="D9" s="279">
        <v>1613</v>
      </c>
      <c r="E9" s="279">
        <v>1594</v>
      </c>
      <c r="F9" s="279">
        <v>1590</v>
      </c>
      <c r="G9" s="279">
        <v>1573</v>
      </c>
      <c r="H9" s="279">
        <v>1704</v>
      </c>
      <c r="I9" s="279">
        <v>1538</v>
      </c>
      <c r="J9" s="279">
        <v>1525</v>
      </c>
      <c r="K9" s="293">
        <v>1473</v>
      </c>
      <c r="L9" s="279">
        <v>1602</v>
      </c>
      <c r="M9" s="279">
        <v>1663</v>
      </c>
      <c r="N9" s="279">
        <v>1703</v>
      </c>
      <c r="O9" s="279">
        <v>1890</v>
      </c>
      <c r="P9" s="279">
        <v>2069</v>
      </c>
      <c r="Q9" s="279">
        <v>2139</v>
      </c>
      <c r="R9" s="279">
        <v>2143</v>
      </c>
      <c r="S9" s="279">
        <v>2139</v>
      </c>
      <c r="T9" s="279">
        <v>2675</v>
      </c>
      <c r="U9" s="279">
        <v>2755</v>
      </c>
      <c r="V9" s="279">
        <v>2420</v>
      </c>
      <c r="W9" s="279">
        <v>2252</v>
      </c>
      <c r="X9" s="487">
        <v>2252</v>
      </c>
      <c r="Y9" s="487">
        <v>2195</v>
      </c>
      <c r="Z9" s="487">
        <v>2171</v>
      </c>
      <c r="AA9" s="487">
        <v>2173</v>
      </c>
      <c r="AB9" s="34" t="s">
        <v>41</v>
      </c>
      <c r="AC9" s="367"/>
      <c r="AD9" s="170">
        <f t="shared" si="1"/>
        <v>9.2123445416874006E-2</v>
      </c>
    </row>
    <row r="10" spans="1:30" ht="12.75" customHeight="1">
      <c r="A10" s="5"/>
      <c r="B10" s="7" t="s">
        <v>46</v>
      </c>
      <c r="C10" s="288">
        <v>31506</v>
      </c>
      <c r="D10" s="277">
        <v>29118</v>
      </c>
      <c r="E10" s="277">
        <v>24139</v>
      </c>
      <c r="F10" s="277">
        <v>21097</v>
      </c>
      <c r="G10" s="277">
        <v>21139</v>
      </c>
      <c r="H10" s="277">
        <v>21728</v>
      </c>
      <c r="I10" s="277">
        <v>20992</v>
      </c>
      <c r="J10" s="277">
        <v>20396</v>
      </c>
      <c r="K10" s="277">
        <v>20169</v>
      </c>
      <c r="L10" s="277">
        <v>18174</v>
      </c>
      <c r="M10" s="277">
        <v>17537</v>
      </c>
      <c r="N10" s="277">
        <v>18671</v>
      </c>
      <c r="O10" s="277">
        <v>18607</v>
      </c>
      <c r="P10" s="277">
        <v>18565</v>
      </c>
      <c r="Q10" s="277">
        <v>17849</v>
      </c>
      <c r="R10" s="277">
        <v>17743</v>
      </c>
      <c r="S10" s="277">
        <v>18290</v>
      </c>
      <c r="T10" s="277">
        <v>21217</v>
      </c>
      <c r="U10" s="277">
        <v>18990</v>
      </c>
      <c r="V10" s="277">
        <v>19034</v>
      </c>
      <c r="W10" s="277">
        <v>17753</v>
      </c>
      <c r="X10" s="277">
        <v>18059</v>
      </c>
      <c r="Y10" s="277">
        <v>18133</v>
      </c>
      <c r="Z10" s="277">
        <v>17874</v>
      </c>
      <c r="AA10" s="277">
        <v>17913</v>
      </c>
      <c r="AB10" s="7" t="s">
        <v>46</v>
      </c>
      <c r="AC10" s="367"/>
      <c r="AD10" s="171">
        <f t="shared" si="1"/>
        <v>0.21819402484055672</v>
      </c>
    </row>
    <row r="11" spans="1:30" ht="12.75" customHeight="1">
      <c r="A11" s="5"/>
      <c r="B11" s="34" t="s">
        <v>31</v>
      </c>
      <c r="C11" s="278"/>
      <c r="D11" s="279"/>
      <c r="E11" s="290">
        <v>596</v>
      </c>
      <c r="F11" s="279">
        <v>241</v>
      </c>
      <c r="G11" s="279">
        <v>308</v>
      </c>
      <c r="H11" s="279">
        <v>203</v>
      </c>
      <c r="I11" s="279">
        <v>251</v>
      </c>
      <c r="J11" s="279">
        <v>192</v>
      </c>
      <c r="K11" s="279">
        <v>234</v>
      </c>
      <c r="L11" s="279">
        <v>234</v>
      </c>
      <c r="M11" s="279">
        <v>186</v>
      </c>
      <c r="N11" s="279">
        <v>186</v>
      </c>
      <c r="O11" s="279">
        <v>215</v>
      </c>
      <c r="P11" s="279">
        <v>217</v>
      </c>
      <c r="Q11" s="279">
        <v>217</v>
      </c>
      <c r="R11" s="279">
        <v>253</v>
      </c>
      <c r="S11" s="279">
        <v>267</v>
      </c>
      <c r="T11" s="279">
        <v>280</v>
      </c>
      <c r="U11" s="279">
        <v>280</v>
      </c>
      <c r="V11" s="279">
        <v>280</v>
      </c>
      <c r="W11" s="279">
        <v>274</v>
      </c>
      <c r="X11" s="487">
        <v>273</v>
      </c>
      <c r="Y11" s="487">
        <v>267</v>
      </c>
      <c r="Z11" s="487">
        <v>199</v>
      </c>
      <c r="AA11" s="487">
        <v>106</v>
      </c>
      <c r="AB11" s="34" t="s">
        <v>31</v>
      </c>
      <c r="AC11" s="367"/>
      <c r="AD11" s="170">
        <f t="shared" si="1"/>
        <v>-46.733668341708544</v>
      </c>
    </row>
    <row r="12" spans="1:30" ht="12.75" customHeight="1">
      <c r="A12" s="5"/>
      <c r="B12" s="7" t="s">
        <v>49</v>
      </c>
      <c r="C12" s="276">
        <v>484</v>
      </c>
      <c r="D12" s="277">
        <v>348</v>
      </c>
      <c r="E12" s="277">
        <v>314</v>
      </c>
      <c r="F12" s="277">
        <v>421</v>
      </c>
      <c r="G12" s="277">
        <v>418</v>
      </c>
      <c r="H12" s="277">
        <v>419</v>
      </c>
      <c r="I12" s="277">
        <v>405</v>
      </c>
      <c r="J12" s="277">
        <v>554</v>
      </c>
      <c r="K12" s="277">
        <v>581</v>
      </c>
      <c r="L12" s="277">
        <v>581</v>
      </c>
      <c r="M12" s="277">
        <v>581</v>
      </c>
      <c r="N12" s="277">
        <v>649</v>
      </c>
      <c r="O12" s="277">
        <v>592</v>
      </c>
      <c r="P12" s="284">
        <v>592</v>
      </c>
      <c r="Q12" s="284">
        <v>592</v>
      </c>
      <c r="R12" s="287">
        <v>426</v>
      </c>
      <c r="S12" s="277">
        <v>426</v>
      </c>
      <c r="T12" s="277">
        <v>426</v>
      </c>
      <c r="U12" s="277">
        <v>426</v>
      </c>
      <c r="V12" s="277">
        <v>426</v>
      </c>
      <c r="W12" s="277">
        <v>426</v>
      </c>
      <c r="X12" s="277">
        <v>426</v>
      </c>
      <c r="Y12" s="277">
        <v>426</v>
      </c>
      <c r="Z12" s="277">
        <v>426</v>
      </c>
      <c r="AA12" s="284">
        <f>Z12</f>
        <v>426</v>
      </c>
      <c r="AB12" s="7" t="s">
        <v>49</v>
      </c>
      <c r="AC12" s="367"/>
      <c r="AD12" s="171"/>
    </row>
    <row r="13" spans="1:30" ht="12.75" customHeight="1">
      <c r="A13" s="5"/>
      <c r="B13" s="34" t="s">
        <v>42</v>
      </c>
      <c r="C13" s="278">
        <v>574</v>
      </c>
      <c r="D13" s="279">
        <v>660</v>
      </c>
      <c r="E13" s="279">
        <v>810</v>
      </c>
      <c r="F13" s="279">
        <v>505</v>
      </c>
      <c r="G13" s="279">
        <v>509</v>
      </c>
      <c r="H13" s="279">
        <v>660</v>
      </c>
      <c r="I13" s="279">
        <v>457</v>
      </c>
      <c r="J13" s="279">
        <v>514</v>
      </c>
      <c r="K13" s="279">
        <v>564</v>
      </c>
      <c r="L13" s="279">
        <v>591</v>
      </c>
      <c r="M13" s="279">
        <v>781</v>
      </c>
      <c r="N13" s="279">
        <v>793</v>
      </c>
      <c r="O13" s="279">
        <v>793</v>
      </c>
      <c r="P13" s="279">
        <v>718</v>
      </c>
      <c r="Q13" s="279">
        <v>718</v>
      </c>
      <c r="R13" s="279">
        <v>718</v>
      </c>
      <c r="S13" s="279">
        <v>724</v>
      </c>
      <c r="T13" s="279">
        <v>707</v>
      </c>
      <c r="U13" s="279">
        <v>707</v>
      </c>
      <c r="V13" s="279">
        <v>707</v>
      </c>
      <c r="W13" s="279">
        <v>707</v>
      </c>
      <c r="X13" s="487">
        <v>707</v>
      </c>
      <c r="Y13" s="487">
        <v>312</v>
      </c>
      <c r="Z13" s="487">
        <v>312</v>
      </c>
      <c r="AA13" s="487">
        <v>312</v>
      </c>
      <c r="AB13" s="34" t="s">
        <v>42</v>
      </c>
      <c r="AC13" s="367"/>
      <c r="AD13" s="170">
        <f t="shared" si="1"/>
        <v>0</v>
      </c>
    </row>
    <row r="14" spans="1:30" ht="12.75" customHeight="1">
      <c r="A14" s="5"/>
      <c r="B14" s="7" t="s">
        <v>47</v>
      </c>
      <c r="C14" s="276">
        <v>3904</v>
      </c>
      <c r="D14" s="277">
        <v>3721</v>
      </c>
      <c r="E14" s="277">
        <v>3839</v>
      </c>
      <c r="F14" s="277">
        <v>4315</v>
      </c>
      <c r="G14" s="277">
        <v>4267</v>
      </c>
      <c r="H14" s="277">
        <v>4345</v>
      </c>
      <c r="I14" s="277">
        <v>4408</v>
      </c>
      <c r="J14" s="277">
        <v>4473</v>
      </c>
      <c r="K14" s="277">
        <v>5236</v>
      </c>
      <c r="L14" s="277">
        <v>5021</v>
      </c>
      <c r="M14" s="277">
        <v>5033</v>
      </c>
      <c r="N14" s="277">
        <v>4732</v>
      </c>
      <c r="O14" s="277">
        <v>5253</v>
      </c>
      <c r="P14" s="277">
        <v>5365</v>
      </c>
      <c r="Q14" s="277">
        <v>5327</v>
      </c>
      <c r="R14" s="284">
        <v>4944</v>
      </c>
      <c r="S14" s="284">
        <v>5225</v>
      </c>
      <c r="T14" s="284">
        <v>5285</v>
      </c>
      <c r="U14" s="284">
        <v>4292</v>
      </c>
      <c r="V14" s="284">
        <v>4280</v>
      </c>
      <c r="W14" s="277">
        <v>4321</v>
      </c>
      <c r="X14" s="277">
        <v>4267</v>
      </c>
      <c r="Y14" s="277">
        <v>4420</v>
      </c>
      <c r="Z14" s="277">
        <v>4323</v>
      </c>
      <c r="AA14" s="277">
        <f>309+3929</f>
        <v>4238</v>
      </c>
      <c r="AB14" s="7" t="s">
        <v>47</v>
      </c>
      <c r="AC14" s="367"/>
      <c r="AD14" s="171">
        <f t="shared" si="1"/>
        <v>-1.9662271570668395</v>
      </c>
    </row>
    <row r="15" spans="1:30" ht="12.75" customHeight="1">
      <c r="A15" s="5"/>
      <c r="B15" s="34" t="s">
        <v>48</v>
      </c>
      <c r="C15" s="278">
        <v>11687</v>
      </c>
      <c r="D15" s="279">
        <v>15922</v>
      </c>
      <c r="E15" s="279">
        <v>15798</v>
      </c>
      <c r="F15" s="279">
        <v>15694</v>
      </c>
      <c r="G15" s="279">
        <v>16653</v>
      </c>
      <c r="H15" s="279">
        <v>15685</v>
      </c>
      <c r="I15" s="279">
        <v>15553</v>
      </c>
      <c r="J15" s="279">
        <v>15630</v>
      </c>
      <c r="K15" s="279">
        <v>15879</v>
      </c>
      <c r="L15" s="279">
        <v>12258</v>
      </c>
      <c r="M15" s="279">
        <v>12550</v>
      </c>
      <c r="N15" s="279">
        <v>12751</v>
      </c>
      <c r="O15" s="279">
        <v>12974</v>
      </c>
      <c r="P15" s="279">
        <v>13521</v>
      </c>
      <c r="Q15" s="279">
        <v>13957</v>
      </c>
      <c r="R15" s="279">
        <v>14688</v>
      </c>
      <c r="S15" s="341">
        <v>22246</v>
      </c>
      <c r="T15" s="279">
        <v>22898</v>
      </c>
      <c r="U15" s="487">
        <v>23958</v>
      </c>
      <c r="V15" s="279">
        <v>24285</v>
      </c>
      <c r="W15" s="279">
        <v>24173</v>
      </c>
      <c r="X15" s="487">
        <v>25443</v>
      </c>
      <c r="Y15" s="487">
        <v>25931</v>
      </c>
      <c r="Z15" s="487">
        <v>26506</v>
      </c>
      <c r="AA15" s="487">
        <v>25679</v>
      </c>
      <c r="AB15" s="34" t="s">
        <v>48</v>
      </c>
      <c r="AC15" s="367"/>
      <c r="AD15" s="170">
        <f t="shared" si="1"/>
        <v>-3.1200482909529939</v>
      </c>
    </row>
    <row r="16" spans="1:30" ht="12.75" customHeight="1">
      <c r="A16" s="5"/>
      <c r="B16" s="7" t="s">
        <v>59</v>
      </c>
      <c r="C16" s="276"/>
      <c r="D16" s="277"/>
      <c r="E16" s="277">
        <v>1052</v>
      </c>
      <c r="F16" s="277">
        <v>720</v>
      </c>
      <c r="G16" s="277">
        <v>698</v>
      </c>
      <c r="H16" s="277">
        <v>681</v>
      </c>
      <c r="I16" s="277">
        <v>640</v>
      </c>
      <c r="J16" s="277">
        <v>617</v>
      </c>
      <c r="K16" s="277">
        <v>579</v>
      </c>
      <c r="L16" s="277">
        <v>571</v>
      </c>
      <c r="M16" s="277">
        <v>552</v>
      </c>
      <c r="N16" s="277">
        <v>553</v>
      </c>
      <c r="O16" s="277">
        <v>523</v>
      </c>
      <c r="P16" s="277">
        <v>523</v>
      </c>
      <c r="Q16" s="277">
        <v>519</v>
      </c>
      <c r="R16" s="284">
        <v>519</v>
      </c>
      <c r="S16" s="277">
        <v>541</v>
      </c>
      <c r="T16" s="277">
        <v>529</v>
      </c>
      <c r="U16" s="277">
        <v>545</v>
      </c>
      <c r="V16" s="277">
        <v>543</v>
      </c>
      <c r="W16" s="277">
        <v>513</v>
      </c>
      <c r="X16" s="277">
        <v>497</v>
      </c>
      <c r="Y16" s="277">
        <v>452</v>
      </c>
      <c r="Z16" s="277">
        <v>527</v>
      </c>
      <c r="AA16" s="277">
        <v>543</v>
      </c>
      <c r="AB16" s="7" t="s">
        <v>59</v>
      </c>
      <c r="AC16" s="367"/>
      <c r="AD16" s="171">
        <f t="shared" si="1"/>
        <v>3.0360531309297869</v>
      </c>
    </row>
    <row r="17" spans="1:30" ht="12.75" customHeight="1">
      <c r="A17" s="5"/>
      <c r="B17" s="107" t="s">
        <v>50</v>
      </c>
      <c r="C17" s="278">
        <v>11060</v>
      </c>
      <c r="D17" s="279">
        <v>13444</v>
      </c>
      <c r="E17" s="279">
        <v>14025</v>
      </c>
      <c r="F17" s="279">
        <v>11914</v>
      </c>
      <c r="G17" s="279">
        <v>11933</v>
      </c>
      <c r="H17" s="279">
        <v>11007</v>
      </c>
      <c r="I17" s="279">
        <v>10813</v>
      </c>
      <c r="J17" s="279">
        <v>10277</v>
      </c>
      <c r="K17" s="279">
        <v>10066</v>
      </c>
      <c r="L17" s="279">
        <v>10418</v>
      </c>
      <c r="M17" s="279">
        <v>10174</v>
      </c>
      <c r="N17" s="279">
        <v>9825</v>
      </c>
      <c r="O17" s="279">
        <v>12474</v>
      </c>
      <c r="P17" s="279">
        <v>12465</v>
      </c>
      <c r="Q17" s="279">
        <v>10743</v>
      </c>
      <c r="R17" s="279">
        <v>10041</v>
      </c>
      <c r="S17" s="279">
        <v>9510</v>
      </c>
      <c r="T17" s="279">
        <v>9022</v>
      </c>
      <c r="U17" s="279">
        <v>9762</v>
      </c>
      <c r="V17" s="279">
        <v>9443</v>
      </c>
      <c r="W17" s="279">
        <v>9050</v>
      </c>
      <c r="X17" s="279">
        <v>8692</v>
      </c>
      <c r="Y17" s="279">
        <v>9390</v>
      </c>
      <c r="Z17" s="279">
        <v>8598</v>
      </c>
      <c r="AA17" s="279">
        <v>8273</v>
      </c>
      <c r="AB17" s="107" t="s">
        <v>50</v>
      </c>
      <c r="AC17" s="367"/>
      <c r="AD17" s="192">
        <f t="shared" si="1"/>
        <v>-3.7799488253082103</v>
      </c>
    </row>
    <row r="18" spans="1:30" ht="12.75" customHeight="1">
      <c r="A18" s="5"/>
      <c r="B18" s="7" t="s">
        <v>29</v>
      </c>
      <c r="C18" s="285" t="s">
        <v>58</v>
      </c>
      <c r="D18" s="286" t="s">
        <v>58</v>
      </c>
      <c r="E18" s="286" t="s">
        <v>58</v>
      </c>
      <c r="F18" s="286" t="s">
        <v>58</v>
      </c>
      <c r="G18" s="286" t="s">
        <v>58</v>
      </c>
      <c r="H18" s="286" t="s">
        <v>58</v>
      </c>
      <c r="I18" s="286" t="s">
        <v>58</v>
      </c>
      <c r="J18" s="286" t="s">
        <v>58</v>
      </c>
      <c r="K18" s="286" t="s">
        <v>58</v>
      </c>
      <c r="L18" s="286" t="s">
        <v>58</v>
      </c>
      <c r="M18" s="286" t="s">
        <v>58</v>
      </c>
      <c r="N18" s="286" t="s">
        <v>58</v>
      </c>
      <c r="O18" s="286" t="s">
        <v>58</v>
      </c>
      <c r="P18" s="286" t="s">
        <v>58</v>
      </c>
      <c r="Q18" s="286" t="s">
        <v>58</v>
      </c>
      <c r="R18" s="286" t="s">
        <v>58</v>
      </c>
      <c r="S18" s="286" t="s">
        <v>58</v>
      </c>
      <c r="T18" s="286" t="s">
        <v>58</v>
      </c>
      <c r="U18" s="286" t="s">
        <v>58</v>
      </c>
      <c r="V18" s="286" t="s">
        <v>58</v>
      </c>
      <c r="W18" s="286" t="s">
        <v>58</v>
      </c>
      <c r="X18" s="286" t="s">
        <v>58</v>
      </c>
      <c r="Y18" s="286" t="s">
        <v>58</v>
      </c>
      <c r="Z18" s="286" t="s">
        <v>58</v>
      </c>
      <c r="AA18" s="286" t="s">
        <v>58</v>
      </c>
      <c r="AB18" s="7" t="s">
        <v>29</v>
      </c>
      <c r="AC18" s="367"/>
      <c r="AD18" s="171" t="s">
        <v>58</v>
      </c>
    </row>
    <row r="19" spans="1:30" ht="12.75" customHeight="1">
      <c r="A19" s="5"/>
      <c r="B19" s="107" t="s">
        <v>33</v>
      </c>
      <c r="C19" s="278"/>
      <c r="D19" s="279"/>
      <c r="E19" s="279">
        <v>1226</v>
      </c>
      <c r="F19" s="279">
        <v>702</v>
      </c>
      <c r="G19" s="279">
        <v>621</v>
      </c>
      <c r="H19" s="279">
        <v>597</v>
      </c>
      <c r="I19" s="279">
        <v>579</v>
      </c>
      <c r="J19" s="279">
        <v>535</v>
      </c>
      <c r="K19" s="279">
        <v>490</v>
      </c>
      <c r="L19" s="279">
        <v>490</v>
      </c>
      <c r="M19" s="279">
        <v>491</v>
      </c>
      <c r="N19" s="279">
        <v>451</v>
      </c>
      <c r="O19" s="279">
        <v>294</v>
      </c>
      <c r="P19" s="279">
        <v>238</v>
      </c>
      <c r="Q19" s="279">
        <v>238</v>
      </c>
      <c r="R19" s="279">
        <v>238</v>
      </c>
      <c r="S19" s="279">
        <v>238</v>
      </c>
      <c r="T19" s="279">
        <v>238</v>
      </c>
      <c r="U19" s="279">
        <v>374</v>
      </c>
      <c r="V19" s="279">
        <v>372</v>
      </c>
      <c r="W19" s="279">
        <v>370</v>
      </c>
      <c r="X19" s="279">
        <v>370</v>
      </c>
      <c r="Y19" s="294">
        <v>370</v>
      </c>
      <c r="Z19" s="294">
        <v>370</v>
      </c>
      <c r="AA19" s="294">
        <f>Z19</f>
        <v>370</v>
      </c>
      <c r="AB19" s="107" t="s">
        <v>33</v>
      </c>
      <c r="AC19" s="367"/>
      <c r="AD19" s="192">
        <f t="shared" si="1"/>
        <v>0</v>
      </c>
    </row>
    <row r="20" spans="1:30" ht="12.75" customHeight="1">
      <c r="A20" s="5"/>
      <c r="B20" s="7" t="s">
        <v>34</v>
      </c>
      <c r="C20" s="276"/>
      <c r="D20" s="277"/>
      <c r="E20" s="284">
        <v>664</v>
      </c>
      <c r="F20" s="277">
        <v>563</v>
      </c>
      <c r="G20" s="277">
        <v>537</v>
      </c>
      <c r="H20" s="277">
        <v>509</v>
      </c>
      <c r="I20" s="277">
        <v>480</v>
      </c>
      <c r="J20" s="277">
        <v>475</v>
      </c>
      <c r="K20" s="277">
        <v>467</v>
      </c>
      <c r="L20" s="277">
        <v>458</v>
      </c>
      <c r="M20" s="277">
        <v>423</v>
      </c>
      <c r="N20" s="277">
        <v>363</v>
      </c>
      <c r="O20" s="277">
        <v>340</v>
      </c>
      <c r="P20" s="277">
        <v>337</v>
      </c>
      <c r="Q20" s="277">
        <v>268</v>
      </c>
      <c r="R20" s="277">
        <v>262</v>
      </c>
      <c r="S20" s="277">
        <v>264</v>
      </c>
      <c r="T20" s="277">
        <v>234</v>
      </c>
      <c r="U20" s="277">
        <v>217</v>
      </c>
      <c r="V20" s="277">
        <v>230</v>
      </c>
      <c r="W20" s="277">
        <v>214</v>
      </c>
      <c r="X20" s="277">
        <v>192</v>
      </c>
      <c r="Y20" s="277">
        <v>171</v>
      </c>
      <c r="Z20" s="277">
        <v>165</v>
      </c>
      <c r="AA20" s="301">
        <v>157</v>
      </c>
      <c r="AB20" s="7" t="s">
        <v>34</v>
      </c>
      <c r="AC20" s="367"/>
      <c r="AD20" s="171">
        <f t="shared" si="1"/>
        <v>-4.8484848484848442</v>
      </c>
    </row>
    <row r="21" spans="1:30" ht="12.75" customHeight="1">
      <c r="A21" s="5"/>
      <c r="B21" s="107" t="s">
        <v>51</v>
      </c>
      <c r="C21" s="278">
        <v>114</v>
      </c>
      <c r="D21" s="279">
        <v>102</v>
      </c>
      <c r="E21" s="279">
        <v>114</v>
      </c>
      <c r="F21" s="279">
        <v>149</v>
      </c>
      <c r="G21" s="279">
        <v>152</v>
      </c>
      <c r="H21" s="279">
        <v>150</v>
      </c>
      <c r="I21" s="279">
        <v>150</v>
      </c>
      <c r="J21" s="279">
        <v>212</v>
      </c>
      <c r="K21" s="279">
        <v>185</v>
      </c>
      <c r="L21" s="279">
        <v>191</v>
      </c>
      <c r="M21" s="279">
        <v>191</v>
      </c>
      <c r="N21" s="279">
        <v>187</v>
      </c>
      <c r="O21" s="279">
        <v>187</v>
      </c>
      <c r="P21" s="279">
        <v>214</v>
      </c>
      <c r="Q21" s="279">
        <v>210</v>
      </c>
      <c r="R21" s="279">
        <v>210</v>
      </c>
      <c r="S21" s="279">
        <v>210</v>
      </c>
      <c r="T21" s="279">
        <v>210</v>
      </c>
      <c r="U21" s="279">
        <v>242</v>
      </c>
      <c r="V21" s="279">
        <v>242</v>
      </c>
      <c r="W21" s="279">
        <v>259</v>
      </c>
      <c r="X21" s="279">
        <v>251</v>
      </c>
      <c r="Y21" s="279">
        <v>251</v>
      </c>
      <c r="Z21" s="279">
        <v>255</v>
      </c>
      <c r="AA21" s="302">
        <v>255</v>
      </c>
      <c r="AB21" s="194" t="s">
        <v>51</v>
      </c>
      <c r="AC21" s="367"/>
      <c r="AD21" s="553">
        <f t="shared" si="1"/>
        <v>0</v>
      </c>
    </row>
    <row r="22" spans="1:30" ht="12.75" customHeight="1">
      <c r="A22" s="5"/>
      <c r="B22" s="7" t="s">
        <v>32</v>
      </c>
      <c r="C22" s="276"/>
      <c r="D22" s="277"/>
      <c r="E22" s="277">
        <v>4385</v>
      </c>
      <c r="F22" s="277">
        <v>3232</v>
      </c>
      <c r="G22" s="277">
        <v>3142</v>
      </c>
      <c r="H22" s="277">
        <v>3376</v>
      </c>
      <c r="I22" s="277">
        <v>3015</v>
      </c>
      <c r="J22" s="277">
        <v>3396</v>
      </c>
      <c r="K22" s="277">
        <v>2787</v>
      </c>
      <c r="L22" s="277">
        <v>2797</v>
      </c>
      <c r="M22" s="277">
        <v>3372</v>
      </c>
      <c r="N22" s="277">
        <v>3253</v>
      </c>
      <c r="O22" s="277">
        <v>3071</v>
      </c>
      <c r="P22" s="277">
        <v>3136</v>
      </c>
      <c r="Q22" s="277">
        <v>2931</v>
      </c>
      <c r="R22" s="277">
        <v>3086</v>
      </c>
      <c r="S22" s="277">
        <v>2458</v>
      </c>
      <c r="T22" s="277">
        <v>2499</v>
      </c>
      <c r="U22" s="277">
        <v>2495</v>
      </c>
      <c r="V22" s="277">
        <v>2602</v>
      </c>
      <c r="W22" s="277">
        <v>2331</v>
      </c>
      <c r="X22" s="277">
        <v>2176</v>
      </c>
      <c r="Y22" s="277">
        <v>2132</v>
      </c>
      <c r="Z22" s="277">
        <v>2042</v>
      </c>
      <c r="AA22" s="301">
        <v>1682</v>
      </c>
      <c r="AB22" s="44" t="s">
        <v>32</v>
      </c>
      <c r="AC22" s="367"/>
      <c r="AD22" s="477">
        <f t="shared" si="1"/>
        <v>-17.629774730656223</v>
      </c>
    </row>
    <row r="23" spans="1:30" ht="12.75" customHeight="1">
      <c r="A23" s="5"/>
      <c r="B23" s="107" t="s">
        <v>35</v>
      </c>
      <c r="C23" s="295" t="s">
        <v>58</v>
      </c>
      <c r="D23" s="296" t="s">
        <v>58</v>
      </c>
      <c r="E23" s="296" t="s">
        <v>58</v>
      </c>
      <c r="F23" s="296" t="s">
        <v>58</v>
      </c>
      <c r="G23" s="296" t="s">
        <v>58</v>
      </c>
      <c r="H23" s="296" t="s">
        <v>58</v>
      </c>
      <c r="I23" s="296" t="s">
        <v>58</v>
      </c>
      <c r="J23" s="296" t="s">
        <v>58</v>
      </c>
      <c r="K23" s="296" t="s">
        <v>58</v>
      </c>
      <c r="L23" s="296" t="s">
        <v>58</v>
      </c>
      <c r="M23" s="296" t="s">
        <v>58</v>
      </c>
      <c r="N23" s="296" t="s">
        <v>58</v>
      </c>
      <c r="O23" s="296" t="s">
        <v>58</v>
      </c>
      <c r="P23" s="296" t="s">
        <v>58</v>
      </c>
      <c r="Q23" s="296" t="s">
        <v>58</v>
      </c>
      <c r="R23" s="296" t="s">
        <v>58</v>
      </c>
      <c r="S23" s="296" t="s">
        <v>58</v>
      </c>
      <c r="T23" s="296" t="s">
        <v>58</v>
      </c>
      <c r="U23" s="296" t="s">
        <v>58</v>
      </c>
      <c r="V23" s="296" t="s">
        <v>58</v>
      </c>
      <c r="W23" s="296" t="s">
        <v>58</v>
      </c>
      <c r="X23" s="296" t="s">
        <v>58</v>
      </c>
      <c r="Y23" s="296" t="s">
        <v>58</v>
      </c>
      <c r="Z23" s="296" t="s">
        <v>58</v>
      </c>
      <c r="AA23" s="311" t="s">
        <v>58</v>
      </c>
      <c r="AB23" s="194" t="s">
        <v>35</v>
      </c>
      <c r="AC23" s="367"/>
      <c r="AD23" s="802" t="s">
        <v>58</v>
      </c>
    </row>
    <row r="24" spans="1:30" ht="12.75" customHeight="1">
      <c r="A24" s="5"/>
      <c r="B24" s="7" t="s">
        <v>43</v>
      </c>
      <c r="C24" s="276">
        <v>1919</v>
      </c>
      <c r="D24" s="277">
        <v>1958</v>
      </c>
      <c r="E24" s="277">
        <v>2268</v>
      </c>
      <c r="F24" s="277">
        <v>2742</v>
      </c>
      <c r="G24" s="277">
        <v>2742</v>
      </c>
      <c r="H24" s="277">
        <v>2693</v>
      </c>
      <c r="I24" s="312">
        <v>2758</v>
      </c>
      <c r="J24" s="277">
        <v>833</v>
      </c>
      <c r="K24" s="277">
        <v>852</v>
      </c>
      <c r="L24" s="277">
        <v>870</v>
      </c>
      <c r="M24" s="289">
        <v>833</v>
      </c>
      <c r="N24" s="277">
        <v>2818</v>
      </c>
      <c r="O24" s="277">
        <v>2531</v>
      </c>
      <c r="P24" s="277">
        <v>2824</v>
      </c>
      <c r="Q24" s="277">
        <v>2854</v>
      </c>
      <c r="R24" s="277">
        <v>2948</v>
      </c>
      <c r="S24" s="277">
        <v>2895</v>
      </c>
      <c r="T24" s="277">
        <v>2849</v>
      </c>
      <c r="U24" s="277">
        <v>2791</v>
      </c>
      <c r="V24" s="277">
        <v>2993</v>
      </c>
      <c r="W24" s="277">
        <v>3093</v>
      </c>
      <c r="X24" s="277">
        <v>3165</v>
      </c>
      <c r="Y24" s="277">
        <v>3233</v>
      </c>
      <c r="Z24" s="277">
        <v>3274</v>
      </c>
      <c r="AA24" s="301">
        <v>3593</v>
      </c>
      <c r="AB24" s="44" t="s">
        <v>43</v>
      </c>
      <c r="AC24" s="367"/>
      <c r="AD24" s="477">
        <f t="shared" si="1"/>
        <v>9.7434331093463555</v>
      </c>
    </row>
    <row r="25" spans="1:30" ht="12.75" customHeight="1">
      <c r="A25" s="5"/>
      <c r="B25" s="107" t="s">
        <v>52</v>
      </c>
      <c r="C25" s="278">
        <v>4125</v>
      </c>
      <c r="D25" s="279">
        <v>4025</v>
      </c>
      <c r="E25" s="279">
        <v>3689</v>
      </c>
      <c r="F25" s="279">
        <v>3468</v>
      </c>
      <c r="G25" s="279">
        <v>3332</v>
      </c>
      <c r="H25" s="279">
        <v>3320</v>
      </c>
      <c r="I25" s="279">
        <v>3175</v>
      </c>
      <c r="J25" s="279">
        <v>3102</v>
      </c>
      <c r="K25" s="279">
        <v>3112</v>
      </c>
      <c r="L25" s="279">
        <v>3040</v>
      </c>
      <c r="M25" s="279">
        <v>2978</v>
      </c>
      <c r="N25" s="279">
        <v>3010</v>
      </c>
      <c r="O25" s="279">
        <v>2995</v>
      </c>
      <c r="P25" s="279">
        <v>2974</v>
      </c>
      <c r="Q25" s="279">
        <v>2860</v>
      </c>
      <c r="R25" s="279">
        <v>2815</v>
      </c>
      <c r="S25" s="279">
        <v>2819</v>
      </c>
      <c r="T25" s="279">
        <v>2687</v>
      </c>
      <c r="U25" s="279">
        <v>2646</v>
      </c>
      <c r="V25" s="279">
        <v>2834</v>
      </c>
      <c r="W25" s="294">
        <v>2834</v>
      </c>
      <c r="X25" s="294">
        <v>2834</v>
      </c>
      <c r="Y25" s="279">
        <v>3004</v>
      </c>
      <c r="Z25" s="279">
        <v>2935</v>
      </c>
      <c r="AA25" s="302">
        <v>2916</v>
      </c>
      <c r="AB25" s="194" t="s">
        <v>52</v>
      </c>
      <c r="AC25" s="367"/>
      <c r="AD25" s="553">
        <f t="shared" si="1"/>
        <v>-0.64735945485520574</v>
      </c>
    </row>
    <row r="26" spans="1:30" ht="12.75" customHeight="1">
      <c r="A26" s="5"/>
      <c r="B26" s="7" t="s">
        <v>36</v>
      </c>
      <c r="C26" s="276">
        <v>8522</v>
      </c>
      <c r="D26" s="277">
        <v>7493</v>
      </c>
      <c r="E26" s="277">
        <v>11928</v>
      </c>
      <c r="F26" s="277">
        <v>9761</v>
      </c>
      <c r="G26" s="277">
        <v>9544</v>
      </c>
      <c r="H26" s="277">
        <v>8985</v>
      </c>
      <c r="I26" s="277">
        <v>8877</v>
      </c>
      <c r="J26" s="277">
        <v>8603</v>
      </c>
      <c r="K26" s="277">
        <v>8843</v>
      </c>
      <c r="L26" s="277">
        <v>8298</v>
      </c>
      <c r="M26" s="277">
        <v>8277</v>
      </c>
      <c r="N26" s="277">
        <v>7863</v>
      </c>
      <c r="O26" s="277">
        <v>7799</v>
      </c>
      <c r="P26" s="277">
        <v>7885</v>
      </c>
      <c r="Q26" s="277">
        <v>7797</v>
      </c>
      <c r="R26" s="277">
        <v>7330</v>
      </c>
      <c r="S26" s="277">
        <v>7478</v>
      </c>
      <c r="T26" s="277">
        <v>7406</v>
      </c>
      <c r="U26" s="277">
        <v>7409</v>
      </c>
      <c r="V26" s="277">
        <v>6972</v>
      </c>
      <c r="W26" s="277">
        <v>7263</v>
      </c>
      <c r="X26" s="277">
        <v>6764</v>
      </c>
      <c r="Y26" s="277">
        <v>6808</v>
      </c>
      <c r="Z26" s="277">
        <v>6392</v>
      </c>
      <c r="AA26" s="301">
        <v>7113</v>
      </c>
      <c r="AB26" s="44" t="s">
        <v>36</v>
      </c>
      <c r="AC26" s="367"/>
      <c r="AD26" s="477">
        <f t="shared" si="1"/>
        <v>11.279724655819763</v>
      </c>
    </row>
    <row r="27" spans="1:30" ht="12.75" customHeight="1">
      <c r="A27" s="5"/>
      <c r="B27" s="107" t="s">
        <v>53</v>
      </c>
      <c r="C27" s="278">
        <v>980</v>
      </c>
      <c r="D27" s="279">
        <v>1137</v>
      </c>
      <c r="E27" s="279">
        <v>1232</v>
      </c>
      <c r="F27" s="279">
        <v>1303</v>
      </c>
      <c r="G27" s="279">
        <v>1313</v>
      </c>
      <c r="H27" s="229">
        <v>1258</v>
      </c>
      <c r="I27" s="279">
        <v>1203</v>
      </c>
      <c r="J27" s="279">
        <v>1150</v>
      </c>
      <c r="K27" s="279">
        <v>1125</v>
      </c>
      <c r="L27" s="279">
        <v>1062</v>
      </c>
      <c r="M27" s="279">
        <v>1060</v>
      </c>
      <c r="N27" s="279">
        <v>1051</v>
      </c>
      <c r="O27" s="279">
        <v>1043</v>
      </c>
      <c r="P27" s="279">
        <v>965</v>
      </c>
      <c r="Q27" s="279">
        <v>953</v>
      </c>
      <c r="R27" s="279">
        <v>980</v>
      </c>
      <c r="S27" s="279">
        <v>973</v>
      </c>
      <c r="T27" s="279">
        <v>980</v>
      </c>
      <c r="U27" s="279">
        <v>977</v>
      </c>
      <c r="V27" s="279">
        <v>966</v>
      </c>
      <c r="W27" s="279">
        <v>981</v>
      </c>
      <c r="X27" s="279">
        <v>981</v>
      </c>
      <c r="Y27" s="279">
        <v>990</v>
      </c>
      <c r="Z27" s="279">
        <v>988</v>
      </c>
      <c r="AA27" s="302">
        <v>1100</v>
      </c>
      <c r="AB27" s="194" t="s">
        <v>53</v>
      </c>
      <c r="AC27" s="367"/>
      <c r="AD27" s="553">
        <f t="shared" si="1"/>
        <v>11.336032388663966</v>
      </c>
    </row>
    <row r="28" spans="1:30" ht="12.75" customHeight="1">
      <c r="A28" s="5"/>
      <c r="B28" s="7" t="s">
        <v>37</v>
      </c>
      <c r="C28" s="276"/>
      <c r="D28" s="277">
        <v>5579</v>
      </c>
      <c r="E28" s="277">
        <v>6352</v>
      </c>
      <c r="F28" s="277">
        <v>6234</v>
      </c>
      <c r="G28" s="277">
        <v>6245</v>
      </c>
      <c r="H28" s="312">
        <v>5467</v>
      </c>
      <c r="I28" s="277">
        <v>3629</v>
      </c>
      <c r="J28" s="277">
        <v>3407</v>
      </c>
      <c r="K28" s="277">
        <v>3310</v>
      </c>
      <c r="L28" s="277">
        <v>3380</v>
      </c>
      <c r="M28" s="277">
        <v>3462</v>
      </c>
      <c r="N28" s="277">
        <v>3314</v>
      </c>
      <c r="O28" s="277">
        <v>3312</v>
      </c>
      <c r="P28" s="277">
        <v>3037</v>
      </c>
      <c r="Q28" s="277">
        <v>2059</v>
      </c>
      <c r="R28" s="277">
        <v>2511</v>
      </c>
      <c r="S28" s="277">
        <v>2304</v>
      </c>
      <c r="T28" s="277">
        <v>2630</v>
      </c>
      <c r="U28" s="277">
        <v>2329</v>
      </c>
      <c r="V28" s="277">
        <v>2313</v>
      </c>
      <c r="W28" s="277">
        <v>2318</v>
      </c>
      <c r="X28" s="284">
        <v>2312</v>
      </c>
      <c r="Y28" s="287">
        <v>2000</v>
      </c>
      <c r="Z28" s="277">
        <v>1702</v>
      </c>
      <c r="AA28" s="301">
        <v>2317</v>
      </c>
      <c r="AB28" s="44" t="s">
        <v>37</v>
      </c>
      <c r="AC28" s="367"/>
      <c r="AD28" s="477">
        <f t="shared" si="1"/>
        <v>36.133960047003541</v>
      </c>
    </row>
    <row r="29" spans="1:30" ht="12.75" customHeight="1">
      <c r="A29" s="5"/>
      <c r="B29" s="107" t="s">
        <v>39</v>
      </c>
      <c r="C29" s="278"/>
      <c r="D29" s="279"/>
      <c r="E29" s="279">
        <v>606</v>
      </c>
      <c r="F29" s="279">
        <v>461</v>
      </c>
      <c r="G29" s="279">
        <v>470</v>
      </c>
      <c r="H29" s="279">
        <v>482</v>
      </c>
      <c r="I29" s="279">
        <v>432</v>
      </c>
      <c r="J29" s="279">
        <v>403</v>
      </c>
      <c r="K29" s="279">
        <v>401</v>
      </c>
      <c r="L29" s="279">
        <v>400</v>
      </c>
      <c r="M29" s="279">
        <v>373</v>
      </c>
      <c r="N29" s="279">
        <v>362</v>
      </c>
      <c r="O29" s="279">
        <v>360</v>
      </c>
      <c r="P29" s="279">
        <v>355</v>
      </c>
      <c r="Q29" s="279">
        <v>355</v>
      </c>
      <c r="R29" s="279">
        <v>355</v>
      </c>
      <c r="S29" s="279">
        <v>355</v>
      </c>
      <c r="T29" s="279">
        <v>355</v>
      </c>
      <c r="U29" s="279">
        <v>349</v>
      </c>
      <c r="V29" s="279">
        <v>349</v>
      </c>
      <c r="W29" s="279">
        <v>349</v>
      </c>
      <c r="X29" s="279">
        <v>347</v>
      </c>
      <c r="Y29" s="279">
        <v>348</v>
      </c>
      <c r="Z29" s="279">
        <v>356</v>
      </c>
      <c r="AA29" s="302">
        <v>442</v>
      </c>
      <c r="AB29" s="194" t="s">
        <v>39</v>
      </c>
      <c r="AC29" s="367"/>
      <c r="AD29" s="553">
        <f t="shared" si="1"/>
        <v>24.157303370786522</v>
      </c>
    </row>
    <row r="30" spans="1:30" ht="12.75" customHeight="1">
      <c r="A30" s="5"/>
      <c r="B30" s="7" t="s">
        <v>38</v>
      </c>
      <c r="C30" s="285"/>
      <c r="D30" s="286"/>
      <c r="E30" s="286"/>
      <c r="F30" s="277">
        <v>2273</v>
      </c>
      <c r="G30" s="277">
        <v>1915</v>
      </c>
      <c r="H30" s="277">
        <v>2189</v>
      </c>
      <c r="I30" s="277">
        <v>1984</v>
      </c>
      <c r="J30" s="277">
        <v>1797</v>
      </c>
      <c r="K30" s="277">
        <v>1808</v>
      </c>
      <c r="L30" s="277">
        <v>1727</v>
      </c>
      <c r="M30" s="277">
        <v>1771</v>
      </c>
      <c r="N30" s="277">
        <v>1709</v>
      </c>
      <c r="O30" s="277">
        <v>1646</v>
      </c>
      <c r="P30" s="277">
        <v>1530</v>
      </c>
      <c r="Q30" s="277">
        <v>1569</v>
      </c>
      <c r="R30" s="277">
        <v>1516</v>
      </c>
      <c r="S30" s="277">
        <v>1467</v>
      </c>
      <c r="T30" s="277">
        <v>1395</v>
      </c>
      <c r="U30" s="277">
        <v>1406</v>
      </c>
      <c r="V30" s="277">
        <v>1419</v>
      </c>
      <c r="W30" s="277">
        <v>1373</v>
      </c>
      <c r="X30" s="277">
        <v>1289</v>
      </c>
      <c r="Y30" s="277">
        <v>1303</v>
      </c>
      <c r="Z30" s="277">
        <v>1377</v>
      </c>
      <c r="AA30" s="299">
        <f>Z30</f>
        <v>1377</v>
      </c>
      <c r="AB30" s="44" t="s">
        <v>38</v>
      </c>
      <c r="AC30" s="367"/>
      <c r="AD30" s="477"/>
    </row>
    <row r="31" spans="1:30" ht="12.75" customHeight="1">
      <c r="A31" s="5"/>
      <c r="B31" s="107" t="s">
        <v>54</v>
      </c>
      <c r="C31" s="278">
        <v>1032</v>
      </c>
      <c r="D31" s="279">
        <v>1100</v>
      </c>
      <c r="E31" s="279">
        <v>957</v>
      </c>
      <c r="F31" s="279">
        <v>1003</v>
      </c>
      <c r="G31" s="279">
        <v>1011</v>
      </c>
      <c r="H31" s="279">
        <v>1030</v>
      </c>
      <c r="I31" s="279">
        <v>1060</v>
      </c>
      <c r="J31" s="279">
        <v>1029</v>
      </c>
      <c r="K31" s="279">
        <v>1084</v>
      </c>
      <c r="L31" s="279">
        <v>1083</v>
      </c>
      <c r="M31" s="279">
        <v>1024</v>
      </c>
      <c r="N31" s="279">
        <v>1035</v>
      </c>
      <c r="O31" s="279">
        <v>1033</v>
      </c>
      <c r="P31" s="279">
        <v>1071</v>
      </c>
      <c r="Q31" s="279">
        <v>1102</v>
      </c>
      <c r="R31" s="279">
        <v>1131</v>
      </c>
      <c r="S31" s="279">
        <v>1163</v>
      </c>
      <c r="T31" s="279">
        <v>1181</v>
      </c>
      <c r="U31" s="279">
        <v>1101</v>
      </c>
      <c r="V31" s="279">
        <v>1203</v>
      </c>
      <c r="W31" s="279">
        <v>1227</v>
      </c>
      <c r="X31" s="279">
        <v>1226</v>
      </c>
      <c r="Y31" s="294">
        <v>1226</v>
      </c>
      <c r="Z31" s="294">
        <v>1226</v>
      </c>
      <c r="AA31" s="310">
        <f>Z31</f>
        <v>1226</v>
      </c>
      <c r="AB31" s="194" t="s">
        <v>54</v>
      </c>
      <c r="AC31" s="367"/>
      <c r="AD31" s="553"/>
    </row>
    <row r="32" spans="1:30" ht="12.75" customHeight="1">
      <c r="A32" s="5"/>
      <c r="B32" s="8" t="s">
        <v>55</v>
      </c>
      <c r="C32" s="280">
        <v>2746</v>
      </c>
      <c r="D32" s="281">
        <v>1998</v>
      </c>
      <c r="E32" s="281">
        <v>1747</v>
      </c>
      <c r="F32" s="281">
        <v>1748</v>
      </c>
      <c r="G32" s="385">
        <v>1847</v>
      </c>
      <c r="H32" s="281">
        <v>1895</v>
      </c>
      <c r="I32" s="281">
        <v>1841</v>
      </c>
      <c r="J32" s="281">
        <v>1758</v>
      </c>
      <c r="K32" s="281">
        <v>1882</v>
      </c>
      <c r="L32" s="281">
        <v>1930</v>
      </c>
      <c r="M32" s="281">
        <v>2156</v>
      </c>
      <c r="N32" s="281">
        <v>2283</v>
      </c>
      <c r="O32" s="281">
        <v>2268</v>
      </c>
      <c r="P32" s="281">
        <v>2352</v>
      </c>
      <c r="Q32" s="281">
        <v>2393</v>
      </c>
      <c r="R32" s="281">
        <v>2646</v>
      </c>
      <c r="S32" s="281">
        <v>2715</v>
      </c>
      <c r="T32" s="281">
        <v>2806</v>
      </c>
      <c r="U32" s="281">
        <v>2858</v>
      </c>
      <c r="V32" s="281">
        <v>2964</v>
      </c>
      <c r="W32" s="281">
        <v>3048</v>
      </c>
      <c r="X32" s="281">
        <v>3084</v>
      </c>
      <c r="Y32" s="281">
        <v>3096</v>
      </c>
      <c r="Z32" s="281">
        <v>3284</v>
      </c>
      <c r="AA32" s="304">
        <v>3390</v>
      </c>
      <c r="AB32" s="45" t="s">
        <v>55</v>
      </c>
      <c r="AC32" s="367"/>
      <c r="AD32" s="489">
        <f t="shared" si="1"/>
        <v>3.2277710109622291</v>
      </c>
    </row>
    <row r="33" spans="1:30" ht="12.75" customHeight="1">
      <c r="A33" s="5"/>
      <c r="B33" s="106" t="s">
        <v>26</v>
      </c>
      <c r="C33" s="295" t="s">
        <v>58</v>
      </c>
      <c r="D33" s="296" t="s">
        <v>58</v>
      </c>
      <c r="E33" s="296" t="s">
        <v>58</v>
      </c>
      <c r="F33" s="296" t="s">
        <v>58</v>
      </c>
      <c r="G33" s="296" t="s">
        <v>58</v>
      </c>
      <c r="H33" s="296" t="s">
        <v>58</v>
      </c>
      <c r="I33" s="296" t="s">
        <v>58</v>
      </c>
      <c r="J33" s="296" t="s">
        <v>58</v>
      </c>
      <c r="K33" s="296" t="s">
        <v>58</v>
      </c>
      <c r="L33" s="296" t="s">
        <v>58</v>
      </c>
      <c r="M33" s="296" t="s">
        <v>58</v>
      </c>
      <c r="N33" s="296" t="s">
        <v>58</v>
      </c>
      <c r="O33" s="296" t="s">
        <v>58</v>
      </c>
      <c r="P33" s="296" t="s">
        <v>58</v>
      </c>
      <c r="Q33" s="296" t="s">
        <v>58</v>
      </c>
      <c r="R33" s="296" t="s">
        <v>58</v>
      </c>
      <c r="S33" s="296" t="s">
        <v>58</v>
      </c>
      <c r="T33" s="296" t="s">
        <v>58</v>
      </c>
      <c r="U33" s="296" t="s">
        <v>58</v>
      </c>
      <c r="V33" s="296" t="s">
        <v>58</v>
      </c>
      <c r="W33" s="296" t="s">
        <v>58</v>
      </c>
      <c r="X33" s="296" t="s">
        <v>58</v>
      </c>
      <c r="Y33" s="296" t="s">
        <v>58</v>
      </c>
      <c r="Z33" s="296" t="s">
        <v>58</v>
      </c>
      <c r="AA33" s="311" t="s">
        <v>58</v>
      </c>
      <c r="AB33" s="194" t="s">
        <v>26</v>
      </c>
      <c r="AC33" s="367"/>
      <c r="AD33" s="802" t="s">
        <v>58</v>
      </c>
    </row>
    <row r="34" spans="1:30" ht="12.75" customHeight="1">
      <c r="A34" s="5"/>
      <c r="B34" s="7" t="s">
        <v>56</v>
      </c>
      <c r="C34" s="276">
        <v>1067</v>
      </c>
      <c r="D34" s="277">
        <v>908</v>
      </c>
      <c r="E34" s="277">
        <v>900</v>
      </c>
      <c r="F34" s="277">
        <v>918</v>
      </c>
      <c r="G34" s="277">
        <v>942</v>
      </c>
      <c r="H34" s="277">
        <v>850</v>
      </c>
      <c r="I34" s="316">
        <v>231</v>
      </c>
      <c r="J34" s="223">
        <v>237</v>
      </c>
      <c r="K34" s="223">
        <v>191</v>
      </c>
      <c r="L34" s="223">
        <v>191</v>
      </c>
      <c r="M34" s="223">
        <v>191</v>
      </c>
      <c r="N34" s="223">
        <v>191</v>
      </c>
      <c r="O34" s="223">
        <v>191</v>
      </c>
      <c r="P34" s="223">
        <v>210</v>
      </c>
      <c r="Q34" s="223">
        <v>212</v>
      </c>
      <c r="R34" s="223">
        <v>209</v>
      </c>
      <c r="S34" s="223">
        <v>175</v>
      </c>
      <c r="T34" s="223">
        <v>383</v>
      </c>
      <c r="U34" s="223">
        <v>386</v>
      </c>
      <c r="V34" s="223">
        <v>388</v>
      </c>
      <c r="W34" s="223">
        <v>394</v>
      </c>
      <c r="X34" s="227">
        <v>394</v>
      </c>
      <c r="Y34" s="227">
        <v>394</v>
      </c>
      <c r="Z34" s="227">
        <v>394</v>
      </c>
      <c r="AA34" s="494">
        <f>Z34</f>
        <v>394</v>
      </c>
      <c r="AB34" s="44" t="s">
        <v>56</v>
      </c>
      <c r="AC34" s="367"/>
      <c r="AD34" s="477"/>
    </row>
    <row r="35" spans="1:30" ht="12.75" customHeight="1">
      <c r="A35" s="5"/>
      <c r="B35" s="108" t="s">
        <v>27</v>
      </c>
      <c r="C35" s="275">
        <v>3816</v>
      </c>
      <c r="D35" s="233">
        <v>4006</v>
      </c>
      <c r="E35" s="297">
        <v>4136</v>
      </c>
      <c r="F35" s="297">
        <v>3333</v>
      </c>
      <c r="G35" s="297">
        <v>3925</v>
      </c>
      <c r="H35" s="297">
        <v>4020</v>
      </c>
      <c r="I35" s="297">
        <v>4076</v>
      </c>
      <c r="J35" s="297">
        <v>4359</v>
      </c>
      <c r="K35" s="297">
        <v>4293</v>
      </c>
      <c r="L35" s="297">
        <v>4463</v>
      </c>
      <c r="M35" s="313">
        <v>4491</v>
      </c>
      <c r="N35" s="297">
        <v>4470</v>
      </c>
      <c r="O35" s="297">
        <v>4470</v>
      </c>
      <c r="P35" s="297">
        <v>4949</v>
      </c>
      <c r="Q35" s="297">
        <v>4822</v>
      </c>
      <c r="R35" s="297">
        <v>4911</v>
      </c>
      <c r="S35" s="297">
        <v>4997</v>
      </c>
      <c r="T35" s="297">
        <v>4865</v>
      </c>
      <c r="U35" s="297">
        <v>5245</v>
      </c>
      <c r="V35" s="297">
        <v>5280</v>
      </c>
      <c r="W35" s="297">
        <v>5355</v>
      </c>
      <c r="X35" s="297">
        <v>5474</v>
      </c>
      <c r="Y35" s="297">
        <v>5566</v>
      </c>
      <c r="Z35" s="297">
        <v>5940</v>
      </c>
      <c r="AA35" s="303">
        <v>5707</v>
      </c>
      <c r="AB35" s="195" t="s">
        <v>27</v>
      </c>
      <c r="AC35" s="367"/>
      <c r="AD35" s="490">
        <f>AA35/Z35*100-100</f>
        <v>-3.9225589225589204</v>
      </c>
    </row>
    <row r="36" spans="1:30" ht="12.75" customHeight="1">
      <c r="A36" s="5"/>
      <c r="B36" s="7" t="s">
        <v>312</v>
      </c>
      <c r="C36" s="276"/>
      <c r="D36" s="277"/>
      <c r="E36" s="277"/>
      <c r="F36" s="277">
        <v>300</v>
      </c>
      <c r="G36" s="284">
        <v>302</v>
      </c>
      <c r="H36" s="277">
        <v>246</v>
      </c>
      <c r="I36" s="277">
        <v>248</v>
      </c>
      <c r="J36" s="277">
        <v>168</v>
      </c>
      <c r="K36" s="277">
        <v>180</v>
      </c>
      <c r="L36" s="277">
        <v>180</v>
      </c>
      <c r="M36" s="277">
        <v>181</v>
      </c>
      <c r="N36" s="277">
        <v>181</v>
      </c>
      <c r="O36" s="277">
        <v>190</v>
      </c>
      <c r="P36" s="277">
        <v>187</v>
      </c>
      <c r="Q36" s="798">
        <v>183</v>
      </c>
      <c r="R36" s="277">
        <v>132</v>
      </c>
      <c r="S36" s="277">
        <v>132</v>
      </c>
      <c r="T36" s="277">
        <v>132</v>
      </c>
      <c r="U36" s="277">
        <v>132</v>
      </c>
      <c r="V36" s="277">
        <v>214</v>
      </c>
      <c r="W36" s="277">
        <v>214</v>
      </c>
      <c r="X36" s="277">
        <v>214</v>
      </c>
      <c r="Y36" s="277">
        <v>200</v>
      </c>
      <c r="Z36" s="277">
        <v>188</v>
      </c>
      <c r="AA36" s="301">
        <v>188</v>
      </c>
      <c r="AB36" s="44" t="s">
        <v>312</v>
      </c>
      <c r="AC36" s="367"/>
      <c r="AD36" s="477">
        <f t="shared" si="1"/>
        <v>0</v>
      </c>
    </row>
    <row r="37" spans="1:30" ht="12.75" customHeight="1">
      <c r="A37" s="5"/>
      <c r="B37" s="107" t="s">
        <v>139</v>
      </c>
      <c r="C37" s="278"/>
      <c r="D37" s="279"/>
      <c r="E37" s="224"/>
      <c r="F37" s="224"/>
      <c r="G37" s="224"/>
      <c r="H37" s="224"/>
      <c r="I37" s="224"/>
      <c r="J37" s="224">
        <v>78</v>
      </c>
      <c r="K37" s="224">
        <v>83</v>
      </c>
      <c r="L37" s="224">
        <v>83</v>
      </c>
      <c r="M37" s="224">
        <v>68</v>
      </c>
      <c r="N37" s="229">
        <f>M37</f>
        <v>68</v>
      </c>
      <c r="O37" s="229">
        <f t="shared" ref="O37:V37" si="2">N37</f>
        <v>68</v>
      </c>
      <c r="P37" s="229">
        <f t="shared" si="2"/>
        <v>68</v>
      </c>
      <c r="Q37" s="229">
        <f t="shared" si="2"/>
        <v>68</v>
      </c>
      <c r="R37" s="229">
        <f t="shared" si="2"/>
        <v>68</v>
      </c>
      <c r="S37" s="229">
        <f t="shared" si="2"/>
        <v>68</v>
      </c>
      <c r="T37" s="229">
        <f t="shared" si="2"/>
        <v>68</v>
      </c>
      <c r="U37" s="229">
        <f t="shared" si="2"/>
        <v>68</v>
      </c>
      <c r="V37" s="229">
        <f t="shared" si="2"/>
        <v>68</v>
      </c>
      <c r="W37" s="224">
        <v>35</v>
      </c>
      <c r="X37" s="296">
        <v>35</v>
      </c>
      <c r="Y37" s="296">
        <v>34</v>
      </c>
      <c r="Z37" s="296">
        <v>27</v>
      </c>
      <c r="AA37" s="311">
        <v>24</v>
      </c>
      <c r="AB37" s="194" t="s">
        <v>139</v>
      </c>
      <c r="AC37" s="367"/>
      <c r="AD37" s="553">
        <f t="shared" si="1"/>
        <v>-11.111111111111114</v>
      </c>
    </row>
    <row r="38" spans="1:30" ht="12.75" customHeight="1">
      <c r="A38" s="5"/>
      <c r="B38" s="7" t="s">
        <v>314</v>
      </c>
      <c r="C38" s="276"/>
      <c r="D38" s="277"/>
      <c r="E38" s="223"/>
      <c r="F38" s="223">
        <v>582</v>
      </c>
      <c r="G38" s="660">
        <v>561</v>
      </c>
      <c r="H38" s="223">
        <v>580</v>
      </c>
      <c r="I38" s="223">
        <v>580</v>
      </c>
      <c r="J38" s="223">
        <v>560</v>
      </c>
      <c r="K38" s="223">
        <v>548</v>
      </c>
      <c r="L38" s="223">
        <v>521</v>
      </c>
      <c r="M38" s="223">
        <v>502</v>
      </c>
      <c r="N38" s="223">
        <v>489</v>
      </c>
      <c r="O38" s="223">
        <v>411</v>
      </c>
      <c r="P38" s="223">
        <v>458</v>
      </c>
      <c r="Q38" s="223">
        <v>370</v>
      </c>
      <c r="R38" s="223">
        <v>359</v>
      </c>
      <c r="S38" s="223">
        <v>359</v>
      </c>
      <c r="T38" s="223">
        <v>359</v>
      </c>
      <c r="U38" s="223">
        <v>324</v>
      </c>
      <c r="V38" s="223">
        <v>268</v>
      </c>
      <c r="W38" s="227">
        <v>268</v>
      </c>
      <c r="X38" s="227">
        <v>268</v>
      </c>
      <c r="Y38" s="286">
        <v>262</v>
      </c>
      <c r="Z38" s="286">
        <v>264</v>
      </c>
      <c r="AA38" s="567">
        <f>Z38</f>
        <v>264</v>
      </c>
      <c r="AB38" s="44" t="s">
        <v>314</v>
      </c>
      <c r="AC38" s="367"/>
      <c r="AD38" s="477"/>
    </row>
    <row r="39" spans="1:30" ht="12.75" customHeight="1">
      <c r="A39" s="5"/>
      <c r="B39" s="107" t="s">
        <v>0</v>
      </c>
      <c r="C39" s="278"/>
      <c r="D39" s="279">
        <v>180</v>
      </c>
      <c r="E39" s="279">
        <v>175</v>
      </c>
      <c r="F39" s="279">
        <v>164</v>
      </c>
      <c r="G39" s="279">
        <v>139</v>
      </c>
      <c r="H39" s="279">
        <v>139</v>
      </c>
      <c r="I39" s="279">
        <v>137</v>
      </c>
      <c r="J39" s="279">
        <v>135</v>
      </c>
      <c r="K39" s="279">
        <v>125</v>
      </c>
      <c r="L39" s="279">
        <v>124</v>
      </c>
      <c r="M39" s="279">
        <v>124</v>
      </c>
      <c r="N39" s="279">
        <v>124</v>
      </c>
      <c r="O39" s="279">
        <v>110</v>
      </c>
      <c r="P39" s="279">
        <v>64</v>
      </c>
      <c r="Q39" s="279">
        <v>64</v>
      </c>
      <c r="R39" s="279">
        <v>68</v>
      </c>
      <c r="S39" s="279">
        <v>67</v>
      </c>
      <c r="T39" s="279">
        <v>67</v>
      </c>
      <c r="U39" s="279">
        <v>67</v>
      </c>
      <c r="V39" s="279">
        <v>67</v>
      </c>
      <c r="W39" s="279">
        <v>67</v>
      </c>
      <c r="X39" s="279">
        <v>67</v>
      </c>
      <c r="Y39" s="279">
        <v>67</v>
      </c>
      <c r="Z39" s="279">
        <v>67</v>
      </c>
      <c r="AA39" s="302">
        <v>40</v>
      </c>
      <c r="AB39" s="194" t="s">
        <v>0</v>
      </c>
      <c r="AC39" s="367"/>
      <c r="AD39" s="553">
        <f t="shared" si="1"/>
        <v>-40.298507462686572</v>
      </c>
    </row>
    <row r="40" spans="1:30" ht="12.75" customHeight="1">
      <c r="A40" s="5"/>
      <c r="B40" s="203" t="s">
        <v>144</v>
      </c>
      <c r="C40" s="314"/>
      <c r="D40" s="314"/>
      <c r="E40" s="315"/>
      <c r="F40" s="284">
        <v>99</v>
      </c>
      <c r="G40" s="277">
        <v>76</v>
      </c>
      <c r="H40" s="277">
        <v>86</v>
      </c>
      <c r="I40" s="284">
        <v>88</v>
      </c>
      <c r="J40" s="277">
        <v>88</v>
      </c>
      <c r="K40" s="277">
        <v>88</v>
      </c>
      <c r="L40" s="277">
        <v>88</v>
      </c>
      <c r="M40" s="277">
        <v>88</v>
      </c>
      <c r="N40" s="284">
        <f>M40</f>
        <v>88</v>
      </c>
      <c r="O40" s="284">
        <f t="shared" ref="O40:AA40" si="3">N40</f>
        <v>88</v>
      </c>
      <c r="P40" s="284">
        <f t="shared" si="3"/>
        <v>88</v>
      </c>
      <c r="Q40" s="284">
        <f t="shared" si="3"/>
        <v>88</v>
      </c>
      <c r="R40" s="284">
        <f t="shared" si="3"/>
        <v>88</v>
      </c>
      <c r="S40" s="284">
        <f t="shared" si="3"/>
        <v>88</v>
      </c>
      <c r="T40" s="284">
        <f t="shared" si="3"/>
        <v>88</v>
      </c>
      <c r="U40" s="284">
        <f t="shared" si="3"/>
        <v>88</v>
      </c>
      <c r="V40" s="284">
        <f t="shared" si="3"/>
        <v>88</v>
      </c>
      <c r="W40" s="284">
        <f t="shared" si="3"/>
        <v>88</v>
      </c>
      <c r="X40" s="284">
        <f t="shared" si="3"/>
        <v>88</v>
      </c>
      <c r="Y40" s="284">
        <f t="shared" si="3"/>
        <v>88</v>
      </c>
      <c r="Z40" s="284">
        <f t="shared" si="3"/>
        <v>88</v>
      </c>
      <c r="AA40" s="299">
        <f t="shared" si="3"/>
        <v>88</v>
      </c>
      <c r="AB40" s="44" t="s">
        <v>144</v>
      </c>
      <c r="AC40" s="367"/>
      <c r="AD40" s="477"/>
    </row>
    <row r="41" spans="1:30" ht="12.75" customHeight="1">
      <c r="A41" s="5"/>
      <c r="B41" s="107" t="s">
        <v>138</v>
      </c>
      <c r="C41" s="278"/>
      <c r="D41" s="279"/>
      <c r="E41" s="279"/>
      <c r="F41" s="279"/>
      <c r="G41" s="279"/>
      <c r="H41" s="279"/>
      <c r="I41" s="279">
        <v>795</v>
      </c>
      <c r="J41" s="279">
        <v>793</v>
      </c>
      <c r="K41" s="279">
        <v>784</v>
      </c>
      <c r="L41" s="279">
        <v>784</v>
      </c>
      <c r="M41" s="279">
        <v>784</v>
      </c>
      <c r="N41" s="279">
        <v>784</v>
      </c>
      <c r="O41" s="279">
        <v>784</v>
      </c>
      <c r="P41" s="279">
        <v>784</v>
      </c>
      <c r="Q41" s="279">
        <v>784</v>
      </c>
      <c r="R41" s="279">
        <v>767</v>
      </c>
      <c r="S41" s="279">
        <v>769</v>
      </c>
      <c r="T41" s="293">
        <v>732</v>
      </c>
      <c r="U41" s="279">
        <v>817</v>
      </c>
      <c r="V41" s="279">
        <v>883</v>
      </c>
      <c r="W41" s="279">
        <v>691</v>
      </c>
      <c r="X41" s="279">
        <v>542</v>
      </c>
      <c r="Y41" s="279">
        <v>467</v>
      </c>
      <c r="Z41" s="279">
        <v>464</v>
      </c>
      <c r="AA41" s="310">
        <f>Z41</f>
        <v>464</v>
      </c>
      <c r="AB41" s="194" t="s">
        <v>138</v>
      </c>
      <c r="AC41" s="367"/>
      <c r="AD41" s="553"/>
    </row>
    <row r="42" spans="1:30" ht="12.75" customHeight="1">
      <c r="A42" s="5"/>
      <c r="B42" s="7" t="s">
        <v>40</v>
      </c>
      <c r="C42" s="792">
        <v>1548</v>
      </c>
      <c r="D42" s="223">
        <v>1351</v>
      </c>
      <c r="E42" s="223">
        <v>1443</v>
      </c>
      <c r="F42" s="277">
        <v>1415</v>
      </c>
      <c r="G42" s="277">
        <v>1385</v>
      </c>
      <c r="H42" s="277">
        <v>1356</v>
      </c>
      <c r="I42" s="277">
        <v>1294</v>
      </c>
      <c r="J42" s="277">
        <v>1318</v>
      </c>
      <c r="K42" s="277">
        <v>1312</v>
      </c>
      <c r="L42" s="277">
        <v>1306</v>
      </c>
      <c r="M42" s="277">
        <v>1319</v>
      </c>
      <c r="N42" s="277">
        <v>1304</v>
      </c>
      <c r="O42" s="277">
        <v>1313</v>
      </c>
      <c r="P42" s="277">
        <v>1342</v>
      </c>
      <c r="Q42" s="277">
        <v>1347</v>
      </c>
      <c r="R42" s="277">
        <v>1365</v>
      </c>
      <c r="S42" s="277">
        <v>1381</v>
      </c>
      <c r="T42" s="277">
        <v>1307</v>
      </c>
      <c r="U42" s="277">
        <v>1467</v>
      </c>
      <c r="V42" s="277">
        <v>1426</v>
      </c>
      <c r="W42" s="277">
        <v>1426</v>
      </c>
      <c r="X42" s="277">
        <v>1332</v>
      </c>
      <c r="Y42" s="277">
        <v>1521</v>
      </c>
      <c r="Z42" s="277">
        <v>1338</v>
      </c>
      <c r="AA42" s="301">
        <v>640</v>
      </c>
      <c r="AB42" s="44" t="s">
        <v>40</v>
      </c>
      <c r="AC42" s="367"/>
      <c r="AD42" s="477">
        <f t="shared" si="1"/>
        <v>-52.167414050822124</v>
      </c>
    </row>
    <row r="43" spans="1:30" ht="12.75" customHeight="1">
      <c r="A43" s="5"/>
      <c r="B43" s="108" t="s">
        <v>313</v>
      </c>
      <c r="C43" s="275"/>
      <c r="D43" s="233"/>
      <c r="E43" s="233"/>
      <c r="F43" s="297">
        <v>8667</v>
      </c>
      <c r="G43" s="297">
        <v>8620</v>
      </c>
      <c r="H43" s="297">
        <v>8329</v>
      </c>
      <c r="I43" s="313">
        <f>H43</f>
        <v>8329</v>
      </c>
      <c r="J43" s="297">
        <v>9911</v>
      </c>
      <c r="K43" s="297">
        <v>11812</v>
      </c>
      <c r="L43" s="297">
        <v>9425</v>
      </c>
      <c r="M43" s="313">
        <f>L43</f>
        <v>9425</v>
      </c>
      <c r="N43" s="313">
        <f>M43</f>
        <v>9425</v>
      </c>
      <c r="O43" s="297">
        <v>7444</v>
      </c>
      <c r="P43" s="297">
        <v>7315</v>
      </c>
      <c r="Q43" s="297">
        <v>7115</v>
      </c>
      <c r="R43" s="297">
        <v>6767</v>
      </c>
      <c r="S43" s="297">
        <v>6216</v>
      </c>
      <c r="T43" s="297">
        <v>5362</v>
      </c>
      <c r="U43" s="297">
        <v>5226</v>
      </c>
      <c r="V43" s="297">
        <v>4509</v>
      </c>
      <c r="W43" s="297">
        <v>4463</v>
      </c>
      <c r="X43" s="297">
        <v>4323</v>
      </c>
      <c r="Y43" s="297">
        <v>4032</v>
      </c>
      <c r="Z43" s="313">
        <f>Y43</f>
        <v>4032</v>
      </c>
      <c r="AA43" s="313">
        <f>Z43</f>
        <v>4032</v>
      </c>
      <c r="AB43" s="195" t="s">
        <v>313</v>
      </c>
      <c r="AC43" s="367"/>
      <c r="AD43" s="490"/>
    </row>
    <row r="44" spans="1:30" ht="12.75" customHeight="1">
      <c r="A44" s="5"/>
      <c r="B44" s="695" t="s">
        <v>44</v>
      </c>
      <c r="C44" s="466">
        <v>18678</v>
      </c>
      <c r="D44" s="799">
        <v>17042</v>
      </c>
      <c r="E44" s="800"/>
      <c r="F44" s="385">
        <v>10424.174167483587</v>
      </c>
      <c r="G44" s="281">
        <v>10425</v>
      </c>
      <c r="H44" s="281">
        <v>16982</v>
      </c>
      <c r="I44" s="385">
        <v>14562.5</v>
      </c>
      <c r="J44" s="281">
        <v>12143</v>
      </c>
      <c r="K44" s="281">
        <v>10934</v>
      </c>
      <c r="L44" s="281">
        <v>10934</v>
      </c>
      <c r="M44" s="281">
        <v>10896</v>
      </c>
      <c r="N44" s="281">
        <v>11515</v>
      </c>
      <c r="O44" s="281">
        <v>11751</v>
      </c>
      <c r="P44" s="281">
        <v>11751</v>
      </c>
      <c r="Q44" s="281">
        <v>12144</v>
      </c>
      <c r="R44" s="281">
        <v>12234</v>
      </c>
      <c r="S44" s="281">
        <v>12341</v>
      </c>
      <c r="T44" s="281">
        <v>12304</v>
      </c>
      <c r="U44" s="385">
        <v>12304</v>
      </c>
      <c r="V44" s="385">
        <v>12304</v>
      </c>
      <c r="W44" s="385">
        <v>12304</v>
      </c>
      <c r="X44" s="385">
        <v>12304</v>
      </c>
      <c r="Y44" s="385">
        <v>12304</v>
      </c>
      <c r="Z44" s="385">
        <f>Y44</f>
        <v>12304</v>
      </c>
      <c r="AA44" s="794">
        <f>Z44</f>
        <v>12304</v>
      </c>
      <c r="AB44" s="45" t="s">
        <v>44</v>
      </c>
      <c r="AC44" s="367"/>
      <c r="AD44" s="489"/>
    </row>
    <row r="45" spans="1:30" ht="12.75" customHeight="1">
      <c r="A45" s="5"/>
      <c r="B45" s="1095" t="s">
        <v>255</v>
      </c>
      <c r="C45" s="1095"/>
      <c r="D45" s="1095"/>
      <c r="E45" s="1095"/>
      <c r="F45" s="1095"/>
      <c r="G45" s="1095"/>
      <c r="H45" s="1095"/>
      <c r="I45" s="1095"/>
      <c r="J45" s="1095"/>
      <c r="K45" s="1175"/>
      <c r="L45" s="1175"/>
      <c r="M45" s="1175"/>
      <c r="N45" s="1175"/>
      <c r="O45" s="1175"/>
      <c r="P45" s="1175"/>
      <c r="Q45" s="1175"/>
      <c r="R45" s="1175"/>
      <c r="S45" s="1175"/>
      <c r="T45" s="1175"/>
      <c r="U45" s="1175"/>
      <c r="V45" s="1175"/>
      <c r="W45" s="1175"/>
      <c r="X45" s="1175"/>
      <c r="Y45" s="1175"/>
      <c r="Z45" s="1175"/>
      <c r="AA45" s="1175"/>
      <c r="AB45" s="1175"/>
    </row>
    <row r="46" spans="1:30" ht="14.25" customHeight="1">
      <c r="B46" s="168" t="s">
        <v>289</v>
      </c>
      <c r="C46" s="178"/>
      <c r="D46" s="178"/>
      <c r="E46" s="178"/>
      <c r="F46" s="178"/>
      <c r="G46" s="178"/>
      <c r="H46" s="178"/>
      <c r="R46" s="291"/>
      <c r="S46" s="291"/>
      <c r="T46" s="291"/>
      <c r="U46" s="291"/>
      <c r="V46" s="291"/>
      <c r="W46" s="291"/>
      <c r="X46" s="291"/>
      <c r="Y46" s="291"/>
      <c r="Z46" s="291"/>
      <c r="AA46" s="291"/>
      <c r="AC46" s="220"/>
    </row>
    <row r="47" spans="1:30" ht="12" customHeight="1">
      <c r="B47" s="1176" t="s">
        <v>82</v>
      </c>
      <c r="C47" s="1177"/>
      <c r="D47" s="1177"/>
      <c r="E47" s="1177"/>
      <c r="F47" s="1177"/>
      <c r="G47" s="1177"/>
      <c r="H47" s="1177"/>
      <c r="I47" s="1177"/>
      <c r="J47" s="1177"/>
      <c r="K47" s="1177"/>
      <c r="L47" s="1177"/>
      <c r="M47" s="1177"/>
      <c r="N47" s="1177"/>
      <c r="O47" s="1177"/>
      <c r="P47" s="1177"/>
      <c r="Q47" s="1177"/>
      <c r="R47" s="1177"/>
      <c r="S47" s="1177"/>
      <c r="T47" s="1177"/>
      <c r="U47" s="1177"/>
      <c r="V47" s="1177"/>
      <c r="W47" s="1177"/>
      <c r="X47" s="1177"/>
      <c r="Y47" s="1177"/>
      <c r="Z47" s="1177"/>
      <c r="AA47" s="1177"/>
      <c r="AB47" s="1177"/>
    </row>
    <row r="48" spans="1:30" ht="13.5" customHeight="1">
      <c r="B48" s="179" t="s">
        <v>332</v>
      </c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</row>
    <row r="49" spans="2:29" ht="10.5" customHeight="1">
      <c r="B49" s="169" t="s">
        <v>256</v>
      </c>
      <c r="C49" s="39"/>
      <c r="D49" s="176"/>
      <c r="E49" s="176"/>
      <c r="F49" s="176"/>
      <c r="G49" s="176"/>
      <c r="H49" s="176"/>
      <c r="I49" s="176"/>
      <c r="J49" s="180"/>
      <c r="K49" s="180"/>
      <c r="L49" s="180"/>
      <c r="M49" s="180"/>
      <c r="N49" s="180"/>
      <c r="O49" s="180"/>
      <c r="P49" s="180"/>
      <c r="Q49" s="180"/>
      <c r="R49" s="180"/>
      <c r="S49" s="180"/>
      <c r="T49" s="180"/>
      <c r="U49" s="180"/>
      <c r="V49" s="180"/>
      <c r="W49" s="180"/>
      <c r="X49" s="180"/>
      <c r="Y49" s="180"/>
      <c r="Z49" s="180"/>
      <c r="AA49" s="180"/>
      <c r="AB49" s="180"/>
      <c r="AC49" s="28"/>
    </row>
    <row r="50" spans="2:29" ht="12.75">
      <c r="B50" s="169" t="s">
        <v>165</v>
      </c>
      <c r="C50" s="39"/>
      <c r="D50" s="169"/>
      <c r="E50" s="169"/>
      <c r="F50" s="169"/>
      <c r="G50" s="169"/>
      <c r="H50" s="169"/>
      <c r="I50" s="169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180"/>
    </row>
  </sheetData>
  <mergeCells count="4">
    <mergeCell ref="B2:AB2"/>
    <mergeCell ref="B3:AB3"/>
    <mergeCell ref="B45:AB45"/>
    <mergeCell ref="B47:AB47"/>
  </mergeCells>
  <phoneticPr fontId="7" type="noConversion"/>
  <printOptions horizontalCentered="1"/>
  <pageMargins left="0.6692913385826772" right="0.6692913385826772" top="0.51181102362204722" bottom="0.27559055118110237" header="0" footer="0"/>
  <pageSetup paperSize="9" scale="9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63"/>
  <dimension ref="A1:AK50"/>
  <sheetViews>
    <sheetView topLeftCell="P1" zoomScaleNormal="100" workbookViewId="0">
      <selection activeCell="AK1" sqref="AK1:AK1048576"/>
    </sheetView>
  </sheetViews>
  <sheetFormatPr defaultColWidth="9.1328125" defaultRowHeight="10.15"/>
  <cols>
    <col min="1" max="1" width="3.73046875" style="1" customWidth="1"/>
    <col min="2" max="4" width="5.73046875" style="1" customWidth="1"/>
    <col min="5" max="5" width="6.73046875" style="1" customWidth="1"/>
    <col min="6" max="20" width="5.73046875" style="1" customWidth="1"/>
    <col min="21" max="26" width="6" style="1" customWidth="1"/>
    <col min="27" max="27" width="7.1328125" style="1" customWidth="1"/>
    <col min="28" max="36" width="6" style="1" customWidth="1"/>
    <col min="37" max="37" width="1.86328125" style="1" customWidth="1"/>
    <col min="38" max="16384" width="9.1328125" style="1"/>
  </cols>
  <sheetData>
    <row r="1" spans="1:37" ht="14.25" customHeight="1">
      <c r="B1" s="1062"/>
      <c r="C1" s="1062"/>
      <c r="D1" s="19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</row>
    <row r="2" spans="1:37" s="39" customFormat="1" ht="30" customHeight="1">
      <c r="B2" s="1063" t="s">
        <v>98</v>
      </c>
      <c r="C2" s="1063"/>
      <c r="D2" s="1063"/>
      <c r="E2" s="1063"/>
      <c r="F2" s="1063"/>
      <c r="G2" s="1063"/>
      <c r="H2" s="1063"/>
      <c r="I2" s="1063"/>
      <c r="J2" s="1063"/>
      <c r="K2" s="1063"/>
      <c r="L2" s="1063"/>
      <c r="M2" s="1063"/>
      <c r="N2" s="1063"/>
      <c r="O2" s="1063"/>
      <c r="P2" s="1063"/>
      <c r="Q2" s="1063"/>
      <c r="R2" s="1063"/>
      <c r="S2" s="1063"/>
      <c r="T2" s="1063"/>
      <c r="U2" s="1063"/>
      <c r="V2" s="1063"/>
      <c r="W2" s="1063"/>
      <c r="X2" s="1063"/>
      <c r="Y2" s="1063"/>
      <c r="Z2" s="1063"/>
      <c r="AA2" s="1063"/>
      <c r="AB2" s="1063"/>
      <c r="AC2" s="1063"/>
      <c r="AD2" s="1063"/>
      <c r="AE2" s="1063"/>
      <c r="AF2" s="1063"/>
      <c r="AG2" s="1063"/>
      <c r="AH2" s="1063"/>
      <c r="AI2" s="1063"/>
      <c r="AJ2" s="1063"/>
      <c r="AK2" s="59"/>
    </row>
    <row r="3" spans="1:37" ht="18" customHeight="1">
      <c r="B3" s="1064" t="s">
        <v>2</v>
      </c>
      <c r="C3" s="1064"/>
      <c r="D3" s="1064"/>
      <c r="E3" s="1064"/>
      <c r="F3" s="1064"/>
      <c r="G3" s="1064"/>
      <c r="H3" s="1064"/>
      <c r="I3" s="1064"/>
      <c r="J3" s="1064"/>
      <c r="K3" s="1064"/>
      <c r="L3" s="1064"/>
      <c r="M3" s="1064"/>
      <c r="N3" s="1064"/>
      <c r="O3" s="1064"/>
      <c r="P3" s="1064"/>
      <c r="Q3" s="1064"/>
      <c r="R3" s="1064"/>
      <c r="S3" s="1064"/>
      <c r="T3" s="1064"/>
      <c r="U3" s="1064"/>
      <c r="V3" s="1064"/>
      <c r="W3" s="1064"/>
      <c r="X3" s="1064"/>
      <c r="Y3" s="1064"/>
      <c r="Z3" s="1064"/>
      <c r="AA3" s="1064"/>
      <c r="AB3" s="1064"/>
      <c r="AC3" s="1064"/>
      <c r="AD3" s="1064"/>
      <c r="AE3" s="1064"/>
      <c r="AF3" s="1064"/>
      <c r="AG3" s="1064"/>
      <c r="AH3" s="1064"/>
      <c r="AI3" s="1064"/>
      <c r="AJ3" s="1064"/>
      <c r="AK3" s="60"/>
    </row>
    <row r="4" spans="1:37" ht="24.95" customHeight="1">
      <c r="B4"/>
      <c r="C4" s="75">
        <v>1970</v>
      </c>
      <c r="D4" s="75">
        <v>1980</v>
      </c>
      <c r="E4" s="36">
        <v>1990</v>
      </c>
      <c r="F4" s="37">
        <v>1991</v>
      </c>
      <c r="G4" s="37">
        <v>1992</v>
      </c>
      <c r="H4" s="37">
        <v>1993</v>
      </c>
      <c r="I4" s="37">
        <v>1994</v>
      </c>
      <c r="J4" s="37">
        <v>1995</v>
      </c>
      <c r="K4" s="37">
        <v>1996</v>
      </c>
      <c r="L4" s="37">
        <v>1997</v>
      </c>
      <c r="M4" s="37">
        <v>1998</v>
      </c>
      <c r="N4" s="37">
        <v>1999</v>
      </c>
      <c r="O4" s="37">
        <v>2000</v>
      </c>
      <c r="P4" s="37">
        <v>2001</v>
      </c>
      <c r="Q4" s="37">
        <v>2002</v>
      </c>
      <c r="R4" s="37">
        <v>2003</v>
      </c>
      <c r="S4" s="37">
        <v>2004</v>
      </c>
      <c r="T4" s="37">
        <v>2005</v>
      </c>
      <c r="U4" s="37">
        <v>2006</v>
      </c>
      <c r="V4" s="37">
        <v>2007</v>
      </c>
      <c r="W4" s="37">
        <v>2008</v>
      </c>
      <c r="X4" s="37">
        <v>2009</v>
      </c>
      <c r="Y4" s="37">
        <v>2010</v>
      </c>
      <c r="Z4" s="37">
        <v>2011</v>
      </c>
      <c r="AA4" s="37">
        <v>2012</v>
      </c>
      <c r="AB4" s="37">
        <v>2013</v>
      </c>
      <c r="AC4" s="37">
        <v>2014</v>
      </c>
      <c r="AD4" s="37">
        <v>2015</v>
      </c>
      <c r="AE4" s="177">
        <v>2016</v>
      </c>
      <c r="AF4" s="177">
        <v>2017</v>
      </c>
      <c r="AG4" s="37">
        <v>2018</v>
      </c>
      <c r="AH4" s="37">
        <v>2019</v>
      </c>
      <c r="AI4" s="37">
        <v>2020</v>
      </c>
      <c r="AJ4" s="38">
        <v>2021</v>
      </c>
      <c r="AK4" s="3"/>
    </row>
    <row r="5" spans="1:37" ht="16.5" customHeight="1">
      <c r="A5" s="378"/>
      <c r="B5" s="344" t="s">
        <v>237</v>
      </c>
      <c r="C5" s="344"/>
      <c r="D5" s="344"/>
      <c r="E5" s="623">
        <v>339.47285080379072</v>
      </c>
      <c r="F5" s="623">
        <v>350.15814542670779</v>
      </c>
      <c r="G5" s="623">
        <v>358.93974071725631</v>
      </c>
      <c r="H5" s="623">
        <v>364.0311574567578</v>
      </c>
      <c r="I5" s="623">
        <v>369.75195847660137</v>
      </c>
      <c r="J5" s="623">
        <v>376.92426760911189</v>
      </c>
      <c r="K5" s="623">
        <v>384.44784771866733</v>
      </c>
      <c r="L5" s="623">
        <v>381.67487759444811</v>
      </c>
      <c r="M5" s="623">
        <v>391.51549700216367</v>
      </c>
      <c r="N5" s="817">
        <v>402.38067839633817</v>
      </c>
      <c r="O5" s="624">
        <v>412.18286392597037</v>
      </c>
      <c r="P5" s="624">
        <v>421.06748116441906</v>
      </c>
      <c r="Q5" s="624">
        <v>427.65003667152126</v>
      </c>
      <c r="R5" s="624">
        <v>431.61911897730005</v>
      </c>
      <c r="S5" s="624">
        <v>436.05970174155885</v>
      </c>
      <c r="T5" s="624">
        <v>443.49433553457607</v>
      </c>
      <c r="U5" s="624">
        <v>451.58172531765928</v>
      </c>
      <c r="V5" s="624">
        <v>460.77674885218511</v>
      </c>
      <c r="W5" s="624">
        <v>468.89853298058745</v>
      </c>
      <c r="X5" s="624">
        <v>472.97503035789993</v>
      </c>
      <c r="Y5" s="624">
        <v>480.30250466592435</v>
      </c>
      <c r="Z5" s="624">
        <v>486.34094619621419</v>
      </c>
      <c r="AA5" s="624">
        <v>489.57387171869732</v>
      </c>
      <c r="AB5" s="624">
        <v>500.50223773324529</v>
      </c>
      <c r="AC5" s="624">
        <v>505.4919951957101</v>
      </c>
      <c r="AD5" s="624">
        <v>513.2493648927549</v>
      </c>
      <c r="AE5" s="624">
        <v>523.31943908352946</v>
      </c>
      <c r="AF5" s="624">
        <v>533.57203098191587</v>
      </c>
      <c r="AG5" s="624">
        <v>543.60292765597637</v>
      </c>
      <c r="AH5" s="624">
        <v>553.23204299269332</v>
      </c>
      <c r="AI5" s="624">
        <v>560.24455350746598</v>
      </c>
      <c r="AJ5" s="818">
        <v>566.93922487310272</v>
      </c>
      <c r="AK5" s="382"/>
    </row>
    <row r="6" spans="1:37" ht="12.75" customHeight="1">
      <c r="B6" s="6" t="s">
        <v>45</v>
      </c>
      <c r="C6" s="625">
        <v>213.41083317859889</v>
      </c>
      <c r="D6" s="625">
        <v>320.24913584337367</v>
      </c>
      <c r="E6" s="626">
        <v>386.90394238495645</v>
      </c>
      <c r="F6" s="627">
        <v>396.12863583974331</v>
      </c>
      <c r="G6" s="627">
        <v>399.37153361946514</v>
      </c>
      <c r="H6" s="627">
        <v>406.90527156174699</v>
      </c>
      <c r="I6" s="627">
        <v>415.57368812468081</v>
      </c>
      <c r="J6" s="627">
        <v>421.27380460723492</v>
      </c>
      <c r="K6" s="627">
        <v>426.63752014950308</v>
      </c>
      <c r="L6" s="627">
        <v>433.17166823779291</v>
      </c>
      <c r="M6" s="627">
        <v>439.79920405351533</v>
      </c>
      <c r="N6" s="634">
        <v>447.69625410864353</v>
      </c>
      <c r="O6" s="628">
        <v>455.79375439790306</v>
      </c>
      <c r="P6" s="628">
        <v>459.76008089449522</v>
      </c>
      <c r="Q6" s="628">
        <v>462.25107292075859</v>
      </c>
      <c r="R6" s="628">
        <v>463.71727347324622</v>
      </c>
      <c r="S6" s="628">
        <v>466.59669311799558</v>
      </c>
      <c r="T6" s="628">
        <v>467.96891217539235</v>
      </c>
      <c r="U6" s="628">
        <v>470.11989379976484</v>
      </c>
      <c r="V6" s="628">
        <v>473.33490455397117</v>
      </c>
      <c r="W6" s="628">
        <v>477.16561208509557</v>
      </c>
      <c r="X6" s="628">
        <v>479.06323902285123</v>
      </c>
      <c r="Y6" s="628">
        <v>479.6085463406759</v>
      </c>
      <c r="Z6" s="628">
        <v>488.17751784980874</v>
      </c>
      <c r="AA6" s="628">
        <v>488.77830025460651</v>
      </c>
      <c r="AB6" s="628">
        <v>491.32909513059838</v>
      </c>
      <c r="AC6" s="628">
        <v>494.38137754761516</v>
      </c>
      <c r="AD6" s="628">
        <v>497.1727372283392</v>
      </c>
      <c r="AE6" s="628">
        <v>503.18872185703543</v>
      </c>
      <c r="AF6" s="628">
        <v>507.55817233168068</v>
      </c>
      <c r="AG6" s="628">
        <v>511.0010292855348</v>
      </c>
      <c r="AH6" s="628">
        <v>511.10789034267049</v>
      </c>
      <c r="AI6" s="133">
        <v>509.62420964438309</v>
      </c>
      <c r="AJ6" s="648">
        <v>510.25170983771807</v>
      </c>
      <c r="AK6" s="7"/>
    </row>
    <row r="7" spans="1:37" ht="12.75" customHeight="1">
      <c r="B7" s="34" t="s">
        <v>28</v>
      </c>
      <c r="C7" s="629">
        <v>18.790628127244968</v>
      </c>
      <c r="D7" s="629">
        <v>92.377171032501892</v>
      </c>
      <c r="E7" s="630">
        <v>151.96206277599646</v>
      </c>
      <c r="F7" s="631">
        <v>158.10662948426872</v>
      </c>
      <c r="G7" s="631">
        <v>166.33150116861049</v>
      </c>
      <c r="H7" s="631">
        <v>177.95427602404465</v>
      </c>
      <c r="I7" s="631">
        <v>188.41749631975063</v>
      </c>
      <c r="J7" s="631">
        <v>196.49695904989017</v>
      </c>
      <c r="K7" s="631">
        <v>204.65604819411155</v>
      </c>
      <c r="L7" s="631">
        <v>208.9175680896272</v>
      </c>
      <c r="M7" s="631">
        <v>219.83820656444283</v>
      </c>
      <c r="N7" s="631">
        <v>232.99095237188308</v>
      </c>
      <c r="O7" s="481">
        <v>244.51902872678318</v>
      </c>
      <c r="P7" s="481">
        <v>265.05897012447235</v>
      </c>
      <c r="Q7" s="481">
        <v>278.5341526865779</v>
      </c>
      <c r="R7" s="481">
        <v>298.16089998033607</v>
      </c>
      <c r="S7" s="481">
        <v>317.14597754355719</v>
      </c>
      <c r="T7" s="481">
        <v>332.67382068587307</v>
      </c>
      <c r="U7" s="481">
        <v>233.43699113906013</v>
      </c>
      <c r="V7" s="481">
        <v>276.87103568208676</v>
      </c>
      <c r="W7" s="481">
        <v>316.88205317204665</v>
      </c>
      <c r="X7" s="481">
        <v>337.11652994718509</v>
      </c>
      <c r="Y7" s="481">
        <v>353.1344550210186</v>
      </c>
      <c r="Z7" s="481">
        <v>367.80641618162622</v>
      </c>
      <c r="AA7" s="481">
        <v>385.33598222649795</v>
      </c>
      <c r="AB7" s="481">
        <v>401.64638859833246</v>
      </c>
      <c r="AC7" s="481">
        <v>418.46947279150061</v>
      </c>
      <c r="AD7" s="481">
        <v>442.00384020540736</v>
      </c>
      <c r="AE7" s="481">
        <v>442.63058447091106</v>
      </c>
      <c r="AF7" s="481">
        <v>392.99101252561331</v>
      </c>
      <c r="AG7" s="481">
        <v>396.18707838627756</v>
      </c>
      <c r="AH7" s="481">
        <v>407.09966594173733</v>
      </c>
      <c r="AI7" s="653">
        <v>414.47887009531343</v>
      </c>
      <c r="AJ7" s="651">
        <v>413.87484633942381</v>
      </c>
      <c r="AK7" s="7"/>
    </row>
    <row r="8" spans="1:37" ht="12.75" customHeight="1">
      <c r="A8" s="5"/>
      <c r="B8" s="7" t="s">
        <v>30</v>
      </c>
      <c r="C8" s="632">
        <v>69.829077786228638</v>
      </c>
      <c r="D8" s="632">
        <v>172.93781612765611</v>
      </c>
      <c r="E8" s="633">
        <v>233.87597411526707</v>
      </c>
      <c r="F8" s="634">
        <v>240.48372914240011</v>
      </c>
      <c r="G8" s="634">
        <v>249.86206742266407</v>
      </c>
      <c r="H8" s="634">
        <v>274.15709657032556</v>
      </c>
      <c r="I8" s="634">
        <v>282.96433201805331</v>
      </c>
      <c r="J8" s="634">
        <v>294.85656131604566</v>
      </c>
      <c r="K8" s="634">
        <v>309.67985002042366</v>
      </c>
      <c r="L8" s="634">
        <v>329.30380008010388</v>
      </c>
      <c r="M8" s="634">
        <v>339.46449533952705</v>
      </c>
      <c r="N8" s="634">
        <v>334.66746473909859</v>
      </c>
      <c r="O8" s="628">
        <v>336.08883166551459</v>
      </c>
      <c r="P8" s="628">
        <v>346.01784381456974</v>
      </c>
      <c r="Q8" s="628">
        <v>357.81345948437939</v>
      </c>
      <c r="R8" s="628">
        <v>363.50033010156494</v>
      </c>
      <c r="S8" s="628">
        <v>374.11523156275877</v>
      </c>
      <c r="T8" s="628">
        <v>387.21359461566141</v>
      </c>
      <c r="U8" s="628">
        <v>400.67453119116755</v>
      </c>
      <c r="V8" s="628">
        <v>413.79738736367909</v>
      </c>
      <c r="W8" s="628">
        <v>424.27221053804783</v>
      </c>
      <c r="X8" s="628">
        <v>423.91652603189721</v>
      </c>
      <c r="Y8" s="628">
        <v>428.75439448194101</v>
      </c>
      <c r="Z8" s="628">
        <v>436.12069740977176</v>
      </c>
      <c r="AA8" s="628">
        <v>447.50323907332785</v>
      </c>
      <c r="AB8" s="628">
        <v>449.86648648612658</v>
      </c>
      <c r="AC8" s="628">
        <v>458.6505856034313</v>
      </c>
      <c r="AD8" s="628">
        <v>484.68752093431749</v>
      </c>
      <c r="AE8" s="628">
        <v>501.73913536670449</v>
      </c>
      <c r="AF8" s="628">
        <v>521.9577089845435</v>
      </c>
      <c r="AG8" s="628">
        <v>539.72844560461226</v>
      </c>
      <c r="AH8" s="628">
        <v>554.05169227166903</v>
      </c>
      <c r="AI8" s="133">
        <v>565.25705964532801</v>
      </c>
      <c r="AJ8" s="648">
        <v>578.95784298259889</v>
      </c>
      <c r="AK8" s="7"/>
    </row>
    <row r="9" spans="1:37" ht="12.75" customHeight="1">
      <c r="A9" s="5"/>
      <c r="B9" s="34" t="s">
        <v>41</v>
      </c>
      <c r="C9" s="629">
        <v>217.52422636618849</v>
      </c>
      <c r="D9" s="629">
        <v>271.27302576176493</v>
      </c>
      <c r="E9" s="630">
        <v>308.94968958328519</v>
      </c>
      <c r="F9" s="631">
        <v>308.78750344334873</v>
      </c>
      <c r="G9" s="631">
        <v>309.62604046547381</v>
      </c>
      <c r="H9" s="631">
        <v>311.3037226732186</v>
      </c>
      <c r="I9" s="631">
        <v>308.91068113728545</v>
      </c>
      <c r="J9" s="631">
        <v>319.74830828331301</v>
      </c>
      <c r="K9" s="631">
        <v>329.63300747034998</v>
      </c>
      <c r="L9" s="631">
        <v>336.76017873938122</v>
      </c>
      <c r="M9" s="631">
        <v>341.98187021661676</v>
      </c>
      <c r="N9" s="631">
        <v>345.82496876184325</v>
      </c>
      <c r="O9" s="481">
        <v>346.60432228148744</v>
      </c>
      <c r="P9" s="481">
        <v>348.82777849597846</v>
      </c>
      <c r="Q9" s="481">
        <v>350.75462890639875</v>
      </c>
      <c r="R9" s="481">
        <v>351.01433218962359</v>
      </c>
      <c r="S9" s="481">
        <v>354.03393388593167</v>
      </c>
      <c r="T9" s="481">
        <v>361.9892844883766</v>
      </c>
      <c r="U9" s="481">
        <v>370.84300517487884</v>
      </c>
      <c r="V9" s="481">
        <v>377.75236490947151</v>
      </c>
      <c r="W9" s="481">
        <v>380.85977721656241</v>
      </c>
      <c r="X9" s="481">
        <v>383.09347253655005</v>
      </c>
      <c r="Y9" s="481">
        <v>389.1062304473524</v>
      </c>
      <c r="Z9" s="482">
        <v>393.84010367500065</v>
      </c>
      <c r="AA9" s="481">
        <v>399.29868625937684</v>
      </c>
      <c r="AB9" s="481">
        <v>404.83843308480988</v>
      </c>
      <c r="AC9" s="481">
        <v>411.60694487266585</v>
      </c>
      <c r="AD9" s="481">
        <v>418.9097343011548</v>
      </c>
      <c r="AE9" s="481">
        <v>428.88103522684594</v>
      </c>
      <c r="AF9" s="481">
        <v>437.62616347153443</v>
      </c>
      <c r="AG9" s="481">
        <v>446.8537383477771</v>
      </c>
      <c r="AH9" s="481">
        <v>455.40682318686169</v>
      </c>
      <c r="AI9" s="653">
        <v>466.37774195233084</v>
      </c>
      <c r="AJ9" s="651">
        <v>474.60474476540071</v>
      </c>
      <c r="AK9" s="7"/>
    </row>
    <row r="10" spans="1:37" ht="12.75" customHeight="1">
      <c r="A10" s="5"/>
      <c r="B10" s="7" t="s">
        <v>46</v>
      </c>
      <c r="C10" s="632">
        <v>193.50812395552978</v>
      </c>
      <c r="D10" s="632">
        <v>329.98015625245148</v>
      </c>
      <c r="E10" s="633">
        <v>461.07225228641846</v>
      </c>
      <c r="F10" s="634">
        <v>472.71511807899697</v>
      </c>
      <c r="G10" s="634">
        <v>480.29857054490844</v>
      </c>
      <c r="H10" s="634">
        <v>481.96440995979583</v>
      </c>
      <c r="I10" s="634">
        <v>489.55434029204548</v>
      </c>
      <c r="J10" s="634">
        <v>494.99731102755908</v>
      </c>
      <c r="K10" s="634">
        <v>500.47719751614397</v>
      </c>
      <c r="L10" s="635">
        <v>449.9856984220761</v>
      </c>
      <c r="M10" s="634">
        <v>457.76349652719546</v>
      </c>
      <c r="N10" s="634">
        <v>467.6868401683351</v>
      </c>
      <c r="O10" s="628">
        <v>474.82561901026918</v>
      </c>
      <c r="P10" s="628">
        <v>477.77985645347354</v>
      </c>
      <c r="Q10" s="628">
        <v>481.25210512465492</v>
      </c>
      <c r="R10" s="628">
        <v>484.87424906252056</v>
      </c>
      <c r="S10" s="628">
        <v>487.0189517686054</v>
      </c>
      <c r="T10" s="628">
        <v>493.21311126016593</v>
      </c>
      <c r="U10" s="628">
        <v>498.32651209004592</v>
      </c>
      <c r="V10" s="628">
        <v>500.90826398169531</v>
      </c>
      <c r="W10" s="628">
        <v>503.90224154047479</v>
      </c>
      <c r="X10" s="628">
        <v>510.22586088303166</v>
      </c>
      <c r="Y10" s="628">
        <v>527.30583537085465</v>
      </c>
      <c r="Z10" s="628">
        <v>534.40958869832275</v>
      </c>
      <c r="AA10" s="628">
        <v>539.35642785421339</v>
      </c>
      <c r="AB10" s="628">
        <v>542.93187344512728</v>
      </c>
      <c r="AC10" s="628">
        <v>546.85308989113798</v>
      </c>
      <c r="AD10" s="628">
        <v>548.47379183360374</v>
      </c>
      <c r="AE10" s="628">
        <v>555.04898817283743</v>
      </c>
      <c r="AF10" s="628">
        <v>561.33922323331535</v>
      </c>
      <c r="AG10" s="628">
        <v>567.28776747136828</v>
      </c>
      <c r="AH10" s="628">
        <v>573.73889656403514</v>
      </c>
      <c r="AI10" s="133">
        <v>580.22447252770553</v>
      </c>
      <c r="AJ10" s="648">
        <v>583.16380561154415</v>
      </c>
      <c r="AK10" s="7"/>
    </row>
    <row r="11" spans="1:37" ht="12.75" customHeight="1">
      <c r="A11" s="5"/>
      <c r="B11" s="34" t="s">
        <v>31</v>
      </c>
      <c r="C11" s="629">
        <v>21.921635997080038</v>
      </c>
      <c r="D11" s="629">
        <v>85.680726626533897</v>
      </c>
      <c r="E11" s="630">
        <v>153.72358713033782</v>
      </c>
      <c r="F11" s="631">
        <v>167.8588287955711</v>
      </c>
      <c r="G11" s="631">
        <v>187.91731373523376</v>
      </c>
      <c r="H11" s="631">
        <v>214.91896825353837</v>
      </c>
      <c r="I11" s="631">
        <v>233.283497056437</v>
      </c>
      <c r="J11" s="631">
        <v>269.04725819398368</v>
      </c>
      <c r="K11" s="631">
        <v>289.18858944122172</v>
      </c>
      <c r="L11" s="631">
        <v>307.00307377784668</v>
      </c>
      <c r="M11" s="631">
        <v>326.9590360467418</v>
      </c>
      <c r="N11" s="631">
        <v>327.35057983942903</v>
      </c>
      <c r="O11" s="481">
        <v>333.08920673214999</v>
      </c>
      <c r="P11" s="481">
        <v>294.39613736077081</v>
      </c>
      <c r="Q11" s="481">
        <v>291.3779186875995</v>
      </c>
      <c r="R11" s="481">
        <v>317.65782250686181</v>
      </c>
      <c r="S11" s="481">
        <v>346.76380763145306</v>
      </c>
      <c r="T11" s="481">
        <v>365.573406381876</v>
      </c>
      <c r="U11" s="481">
        <v>412.54281714472933</v>
      </c>
      <c r="V11" s="481">
        <v>391.32572248289051</v>
      </c>
      <c r="W11" s="481">
        <v>413.12680611496251</v>
      </c>
      <c r="X11" s="481">
        <v>409.28830186981077</v>
      </c>
      <c r="Y11" s="481">
        <v>415.67017132199209</v>
      </c>
      <c r="Z11" s="481">
        <v>433.13661083430111</v>
      </c>
      <c r="AA11" s="481">
        <v>456.07624449504385</v>
      </c>
      <c r="AB11" s="481">
        <v>477.649281550122</v>
      </c>
      <c r="AC11" s="481">
        <v>496.62704297763275</v>
      </c>
      <c r="AD11" s="636">
        <v>514.15561756427326</v>
      </c>
      <c r="AE11" s="481">
        <v>534.41874076016529</v>
      </c>
      <c r="AF11" s="481">
        <v>550.28568006410262</v>
      </c>
      <c r="AG11" s="481">
        <v>563.44560015700256</v>
      </c>
      <c r="AH11" s="481">
        <v>598.14925175473456</v>
      </c>
      <c r="AI11" s="654">
        <v>608.00575609668067</v>
      </c>
      <c r="AJ11" s="651">
        <v>620.16705261166123</v>
      </c>
      <c r="AK11" s="7"/>
    </row>
    <row r="12" spans="1:37" ht="12.75" customHeight="1">
      <c r="A12" s="5"/>
      <c r="B12" s="7" t="s">
        <v>49</v>
      </c>
      <c r="C12" s="632">
        <v>132.42427302100162</v>
      </c>
      <c r="D12" s="632">
        <v>215.01806105802845</v>
      </c>
      <c r="E12" s="633">
        <v>227.60302041166415</v>
      </c>
      <c r="F12" s="634">
        <v>237.33555988286938</v>
      </c>
      <c r="G12" s="634">
        <v>242.11828035615278</v>
      </c>
      <c r="H12" s="634">
        <v>250.38583326309728</v>
      </c>
      <c r="I12" s="634">
        <v>262.93710531165493</v>
      </c>
      <c r="J12" s="634">
        <v>275.81548950087915</v>
      </c>
      <c r="K12" s="634">
        <v>291.82356554321461</v>
      </c>
      <c r="L12" s="634">
        <v>309.95108553506191</v>
      </c>
      <c r="M12" s="634">
        <v>323.7267035476363</v>
      </c>
      <c r="N12" s="634">
        <v>339.45703118278573</v>
      </c>
      <c r="O12" s="628">
        <v>347.75957835337925</v>
      </c>
      <c r="P12" s="628">
        <v>359.32258413591603</v>
      </c>
      <c r="Q12" s="628">
        <v>369.85099860223681</v>
      </c>
      <c r="R12" s="628">
        <v>379.00681856936382</v>
      </c>
      <c r="S12" s="628">
        <v>390.00606079473266</v>
      </c>
      <c r="T12" s="628">
        <v>400.18597219304604</v>
      </c>
      <c r="U12" s="628">
        <v>415.22949376030795</v>
      </c>
      <c r="V12" s="628">
        <v>428.36600852669443</v>
      </c>
      <c r="W12" s="628">
        <v>432.02718143056393</v>
      </c>
      <c r="X12" s="628">
        <v>424.38587884015317</v>
      </c>
      <c r="Y12" s="628">
        <v>415.54243044174632</v>
      </c>
      <c r="Z12" s="628">
        <v>416.82705832082411</v>
      </c>
      <c r="AA12" s="628">
        <v>413.62720425426033</v>
      </c>
      <c r="AB12" s="628">
        <v>416.81558618084404</v>
      </c>
      <c r="AC12" s="628">
        <v>420.35010487155131</v>
      </c>
      <c r="AD12" s="628">
        <v>424.66896840352024</v>
      </c>
      <c r="AE12" s="628">
        <v>428.1956523965577</v>
      </c>
      <c r="AF12" s="628">
        <v>432.13884090566569</v>
      </c>
      <c r="AG12" s="628">
        <v>433.87558520790174</v>
      </c>
      <c r="AH12" s="628">
        <v>442.45634955805684</v>
      </c>
      <c r="AI12" s="133">
        <v>446.31470116596529</v>
      </c>
      <c r="AJ12" s="648">
        <v>444.71447058144616</v>
      </c>
      <c r="AK12" s="7"/>
    </row>
    <row r="13" spans="1:37" ht="12.75" customHeight="1">
      <c r="A13" s="5"/>
      <c r="B13" s="34" t="s">
        <v>42</v>
      </c>
      <c r="C13" s="629">
        <v>25.768367370811774</v>
      </c>
      <c r="D13" s="629">
        <v>88.92119083467739</v>
      </c>
      <c r="E13" s="630">
        <v>168.94531335557548</v>
      </c>
      <c r="F13" s="631">
        <v>171.45327029197861</v>
      </c>
      <c r="G13" s="631">
        <v>175.35302126611955</v>
      </c>
      <c r="H13" s="631">
        <v>186.70811109116593</v>
      </c>
      <c r="I13" s="631">
        <v>196.8570914143383</v>
      </c>
      <c r="J13" s="631">
        <v>208.22552598464046</v>
      </c>
      <c r="K13" s="631">
        <v>220.09241088778745</v>
      </c>
      <c r="L13" s="631">
        <v>233.80160381549109</v>
      </c>
      <c r="M13" s="631">
        <v>248.95178236076549</v>
      </c>
      <c r="N13" s="631">
        <v>271.80608608668433</v>
      </c>
      <c r="O13" s="481">
        <v>294.85679618168678</v>
      </c>
      <c r="P13" s="481">
        <v>314.43955212736199</v>
      </c>
      <c r="Q13" s="481">
        <v>334.01848884687013</v>
      </c>
      <c r="R13" s="481">
        <v>350.95242217150081</v>
      </c>
      <c r="S13" s="481">
        <v>371.33488399906946</v>
      </c>
      <c r="T13" s="481">
        <v>391.02590198602127</v>
      </c>
      <c r="U13" s="481">
        <v>411.65392413633623</v>
      </c>
      <c r="V13" s="481">
        <v>433.82671829701223</v>
      </c>
      <c r="W13" s="481">
        <v>452.82194408253639</v>
      </c>
      <c r="X13" s="481">
        <v>461.53670437021646</v>
      </c>
      <c r="Y13" s="481">
        <v>469.00019346616568</v>
      </c>
      <c r="Z13" s="481">
        <v>469.36680832363533</v>
      </c>
      <c r="AA13" s="481">
        <v>469.623573707368</v>
      </c>
      <c r="AB13" s="481">
        <v>468.95749142453053</v>
      </c>
      <c r="AC13" s="481">
        <v>470.70036170505517</v>
      </c>
      <c r="AD13" s="481">
        <v>473.64051904773743</v>
      </c>
      <c r="AE13" s="481">
        <v>479.19423435296898</v>
      </c>
      <c r="AF13" s="481">
        <v>487.46369690811002</v>
      </c>
      <c r="AG13" s="481">
        <v>492.5773914716998</v>
      </c>
      <c r="AH13" s="481">
        <v>504.40996532651525</v>
      </c>
      <c r="AI13" s="654">
        <v>514.31456763375684</v>
      </c>
      <c r="AJ13" s="651">
        <v>535.78478021817284</v>
      </c>
      <c r="AK13" s="7"/>
    </row>
    <row r="14" spans="1:37" ht="12.75" customHeight="1">
      <c r="A14" s="5"/>
      <c r="B14" s="7" t="s">
        <v>47</v>
      </c>
      <c r="C14" s="632">
        <v>69.856009667272716</v>
      </c>
      <c r="D14" s="632">
        <v>200.77772993081848</v>
      </c>
      <c r="E14" s="633">
        <v>308.57290702588551</v>
      </c>
      <c r="F14" s="634">
        <v>321.43503238322774</v>
      </c>
      <c r="G14" s="634">
        <v>334.82307022345873</v>
      </c>
      <c r="H14" s="634">
        <v>342.46569653148828</v>
      </c>
      <c r="I14" s="634">
        <v>349.07757650007244</v>
      </c>
      <c r="J14" s="634">
        <v>360.4342560192527</v>
      </c>
      <c r="K14" s="634">
        <v>373.27376359497896</v>
      </c>
      <c r="L14" s="634">
        <v>385.91327393853811</v>
      </c>
      <c r="M14" s="634">
        <v>403.2391216834925</v>
      </c>
      <c r="N14" s="634">
        <v>416.29160452008841</v>
      </c>
      <c r="O14" s="628">
        <v>429.09138436482289</v>
      </c>
      <c r="P14" s="628">
        <v>442.32379758704207</v>
      </c>
      <c r="Q14" s="628">
        <v>447.85083082706785</v>
      </c>
      <c r="R14" s="628">
        <v>439.23477342978782</v>
      </c>
      <c r="S14" s="628">
        <v>451.35267560041689</v>
      </c>
      <c r="T14" s="628">
        <v>460.13156882107467</v>
      </c>
      <c r="U14" s="628">
        <v>466.8724111953855</v>
      </c>
      <c r="V14" s="628">
        <v>476.47645153306496</v>
      </c>
      <c r="W14" s="628">
        <v>478.92976172008588</v>
      </c>
      <c r="X14" s="628">
        <v>472.8992013809393</v>
      </c>
      <c r="Y14" s="628">
        <v>474.58316203162423</v>
      </c>
      <c r="Z14" s="628">
        <v>475.81903959225792</v>
      </c>
      <c r="AA14" s="628">
        <v>476.10812300748006</v>
      </c>
      <c r="AB14" s="628">
        <v>473.52175286315747</v>
      </c>
      <c r="AC14" s="628">
        <v>474.26734782123361</v>
      </c>
      <c r="AD14" s="628">
        <v>481.38461117406314</v>
      </c>
      <c r="AE14" s="628">
        <v>491.67852045468345</v>
      </c>
      <c r="AF14" s="628">
        <v>503.66873548105883</v>
      </c>
      <c r="AG14" s="628">
        <v>512.90283200524277</v>
      </c>
      <c r="AH14" s="628">
        <v>518.84153281709735</v>
      </c>
      <c r="AI14" s="133">
        <v>521.4679011732286</v>
      </c>
      <c r="AJ14" s="648">
        <v>525.22902197848236</v>
      </c>
      <c r="AK14" s="7"/>
    </row>
    <row r="15" spans="1:37" ht="12.75" customHeight="1">
      <c r="A15" s="5"/>
      <c r="B15" s="34" t="s">
        <v>48</v>
      </c>
      <c r="C15" s="629">
        <v>233.25908376537555</v>
      </c>
      <c r="D15" s="629">
        <v>353.51627461218249</v>
      </c>
      <c r="E15" s="630">
        <v>464.24361972546325</v>
      </c>
      <c r="F15" s="631">
        <v>465.9963046403787</v>
      </c>
      <c r="G15" s="631">
        <v>468.63557166602573</v>
      </c>
      <c r="H15" s="631">
        <v>468.32930317107105</v>
      </c>
      <c r="I15" s="631">
        <v>468.04108475578215</v>
      </c>
      <c r="J15" s="631">
        <v>468.26262434058953</v>
      </c>
      <c r="K15" s="631">
        <v>469.09285621266292</v>
      </c>
      <c r="L15" s="631">
        <v>470.53267008909205</v>
      </c>
      <c r="M15" s="631">
        <v>475.86532736760722</v>
      </c>
      <c r="N15" s="631">
        <v>483.47765073072395</v>
      </c>
      <c r="O15" s="481">
        <v>488.81820007325433</v>
      </c>
      <c r="P15" s="481">
        <v>493.78686219837459</v>
      </c>
      <c r="Q15" s="481">
        <v>494.48305129787087</v>
      </c>
      <c r="R15" s="481">
        <v>490.955478708817</v>
      </c>
      <c r="S15" s="481">
        <v>486.47200613895779</v>
      </c>
      <c r="T15" s="481">
        <v>482.32150952634788</v>
      </c>
      <c r="U15" s="481">
        <v>487.11245718737189</v>
      </c>
      <c r="V15" s="481">
        <v>491.23978925306102</v>
      </c>
      <c r="W15" s="481">
        <v>483.43390433469494</v>
      </c>
      <c r="X15" s="481">
        <v>485.53287116617093</v>
      </c>
      <c r="Y15" s="481">
        <v>487.19026033153222</v>
      </c>
      <c r="Z15" s="481">
        <v>486.45017800531622</v>
      </c>
      <c r="AA15" s="481">
        <v>489.81445983138809</v>
      </c>
      <c r="AB15" s="481">
        <v>546.34163961600814</v>
      </c>
      <c r="AC15" s="481">
        <v>551.44299601585374</v>
      </c>
      <c r="AD15" s="482">
        <v>557.93815609983744</v>
      </c>
      <c r="AE15" s="481">
        <v>563.89132998061245</v>
      </c>
      <c r="AF15" s="481">
        <v>568.98353695114918</v>
      </c>
      <c r="AG15" s="504">
        <v>569.33280593559437</v>
      </c>
      <c r="AH15" s="504">
        <v>570.94169157151839</v>
      </c>
      <c r="AI15" s="654">
        <v>568.76133831097411</v>
      </c>
      <c r="AJ15" s="651">
        <v>570.76014276889896</v>
      </c>
      <c r="AK15" s="7"/>
    </row>
    <row r="16" spans="1:37" ht="12.75" customHeight="1">
      <c r="A16" s="5"/>
      <c r="B16" s="7" t="s">
        <v>59</v>
      </c>
      <c r="C16" s="632"/>
      <c r="D16" s="632"/>
      <c r="E16" s="633">
        <v>121.28362405505942</v>
      </c>
      <c r="F16" s="634">
        <v>130.55210922163528</v>
      </c>
      <c r="G16" s="634">
        <v>136.09112486119253</v>
      </c>
      <c r="H16" s="634">
        <v>139.11484116245853</v>
      </c>
      <c r="I16" s="634">
        <v>149.90492376622515</v>
      </c>
      <c r="J16" s="634">
        <v>155.18098336078995</v>
      </c>
      <c r="K16" s="634">
        <v>184.36109373248965</v>
      </c>
      <c r="L16" s="634">
        <v>205.49187402960493</v>
      </c>
      <c r="M16" s="634">
        <v>220.88593182180114</v>
      </c>
      <c r="N16" s="634">
        <v>236.46257505166491</v>
      </c>
      <c r="O16" s="628">
        <v>261.86698067656465</v>
      </c>
      <c r="P16" s="628">
        <v>277.65687282342049</v>
      </c>
      <c r="Q16" s="628">
        <v>288.99907650513865</v>
      </c>
      <c r="R16" s="628">
        <v>300.39563604271058</v>
      </c>
      <c r="S16" s="628">
        <v>310.27166034813001</v>
      </c>
      <c r="T16" s="628">
        <v>321.09059111366599</v>
      </c>
      <c r="U16" s="628">
        <v>332.85522530271032</v>
      </c>
      <c r="V16" s="628">
        <v>345.81131998459176</v>
      </c>
      <c r="W16" s="628">
        <v>356.23031809394229</v>
      </c>
      <c r="X16" s="628">
        <v>356.17092590092091</v>
      </c>
      <c r="Y16" s="628">
        <v>353.26329059453496</v>
      </c>
      <c r="Z16" s="628">
        <v>355.07101991027093</v>
      </c>
      <c r="AA16" s="628">
        <v>339.08318356506356</v>
      </c>
      <c r="AB16" s="628">
        <v>341.03229036201066</v>
      </c>
      <c r="AC16" s="628">
        <v>348.96679916957692</v>
      </c>
      <c r="AD16" s="628">
        <v>357.89082840949737</v>
      </c>
      <c r="AE16" s="628">
        <v>373.81424592335537</v>
      </c>
      <c r="AF16" s="628">
        <v>388.76865701634375</v>
      </c>
      <c r="AG16" s="628">
        <v>408.81070475138154</v>
      </c>
      <c r="AH16" s="628">
        <v>425.0443242204297</v>
      </c>
      <c r="AI16" s="133">
        <v>432.63910136744664</v>
      </c>
      <c r="AJ16" s="648">
        <v>464.86877654664761</v>
      </c>
      <c r="AK16" s="7"/>
    </row>
    <row r="17" spans="1:37" ht="12.75" customHeight="1">
      <c r="A17" s="5"/>
      <c r="B17" s="107" t="s">
        <v>50</v>
      </c>
      <c r="C17" s="637">
        <v>188.6859506582849</v>
      </c>
      <c r="D17" s="637">
        <v>313.14553645641939</v>
      </c>
      <c r="E17" s="638">
        <v>483.14835939209843</v>
      </c>
      <c r="F17" s="639">
        <v>500.85360234138375</v>
      </c>
      <c r="G17" s="639">
        <v>517.93348439184285</v>
      </c>
      <c r="H17" s="639">
        <v>521.65334632645306</v>
      </c>
      <c r="I17" s="639">
        <v>521.86853630351823</v>
      </c>
      <c r="J17" s="639">
        <v>533.06099125650417</v>
      </c>
      <c r="K17" s="639">
        <v>535.67371149112125</v>
      </c>
      <c r="L17" s="639">
        <v>540.23879251893777</v>
      </c>
      <c r="M17" s="639">
        <v>551.24329920540492</v>
      </c>
      <c r="N17" s="639">
        <v>562.83042139133909</v>
      </c>
      <c r="O17" s="481">
        <v>572.04036425681056</v>
      </c>
      <c r="P17" s="481">
        <v>583.26869782178755</v>
      </c>
      <c r="Q17" s="481">
        <v>589.98519985102178</v>
      </c>
      <c r="R17" s="481">
        <v>596.74595927709629</v>
      </c>
      <c r="S17" s="481">
        <v>587.01152469713338</v>
      </c>
      <c r="T17" s="481">
        <v>597.05423722776993</v>
      </c>
      <c r="U17" s="481">
        <v>606.23518130335276</v>
      </c>
      <c r="V17" s="481">
        <v>608.32648015975349</v>
      </c>
      <c r="W17" s="481">
        <v>611.94617626340175</v>
      </c>
      <c r="X17" s="481">
        <v>614.49420725339348</v>
      </c>
      <c r="Y17" s="481">
        <v>619.0769462453186</v>
      </c>
      <c r="Z17" s="481">
        <v>624.8639703195297</v>
      </c>
      <c r="AA17" s="481">
        <v>621.22575155825405</v>
      </c>
      <c r="AB17" s="481">
        <v>608.11634658748437</v>
      </c>
      <c r="AC17" s="481">
        <v>609.92482483768731</v>
      </c>
      <c r="AD17" s="481">
        <v>615.69098746008262</v>
      </c>
      <c r="AE17" s="481">
        <v>625.1276604365662</v>
      </c>
      <c r="AF17" s="481">
        <v>636.86823284574916</v>
      </c>
      <c r="AG17" s="481">
        <v>652.29589081291772</v>
      </c>
      <c r="AH17" s="482">
        <v>663.04905068766902</v>
      </c>
      <c r="AI17" s="653">
        <v>670.49988492680995</v>
      </c>
      <c r="AJ17" s="649">
        <v>674.6168605108852</v>
      </c>
      <c r="AK17" s="7"/>
    </row>
    <row r="18" spans="1:37" ht="12.75" customHeight="1">
      <c r="A18" s="5"/>
      <c r="B18" s="7" t="s">
        <v>29</v>
      </c>
      <c r="C18" s="632">
        <v>97.260496028529744</v>
      </c>
      <c r="D18" s="632">
        <v>174.75728155339806</v>
      </c>
      <c r="E18" s="633">
        <v>304.1892833237672</v>
      </c>
      <c r="F18" s="634">
        <v>315.05515952569277</v>
      </c>
      <c r="G18" s="634">
        <v>322.98124609394557</v>
      </c>
      <c r="H18" s="634">
        <v>321.68722667408178</v>
      </c>
      <c r="I18" s="634">
        <v>325.94565532329619</v>
      </c>
      <c r="J18" s="634">
        <v>334.81327314031137</v>
      </c>
      <c r="K18" s="634">
        <v>340.42859737090521</v>
      </c>
      <c r="L18" s="634">
        <v>348.00174759150786</v>
      </c>
      <c r="M18" s="634">
        <v>364.97125334254946</v>
      </c>
      <c r="N18" s="634">
        <v>372.17974878963986</v>
      </c>
      <c r="O18" s="628">
        <v>383.61319419854374</v>
      </c>
      <c r="P18" s="628">
        <v>396.95750341228484</v>
      </c>
      <c r="Q18" s="628">
        <v>402.98996805469937</v>
      </c>
      <c r="R18" s="628">
        <v>418.45888672320797</v>
      </c>
      <c r="S18" s="628">
        <v>457.84900970852601</v>
      </c>
      <c r="T18" s="628">
        <v>477.3223048522002</v>
      </c>
      <c r="U18" s="628">
        <v>492.06640313702309</v>
      </c>
      <c r="V18" s="628">
        <v>529.32955316855009</v>
      </c>
      <c r="W18" s="628">
        <v>556.53194132483407</v>
      </c>
      <c r="X18" s="628">
        <v>562.17984715677414</v>
      </c>
      <c r="Y18" s="628">
        <v>550.93950468650826</v>
      </c>
      <c r="Z18" s="628">
        <v>545.23666171313357</v>
      </c>
      <c r="AA18" s="628">
        <v>549.10968981773419</v>
      </c>
      <c r="AB18" s="628">
        <v>553.10139860139861</v>
      </c>
      <c r="AC18" s="628">
        <v>564.92028410593525</v>
      </c>
      <c r="AD18" s="628">
        <v>574.89222804157407</v>
      </c>
      <c r="AE18" s="628">
        <v>594.62191244288147</v>
      </c>
      <c r="AF18" s="628">
        <v>609.34397548817685</v>
      </c>
      <c r="AG18" s="628">
        <v>628.71974965150093</v>
      </c>
      <c r="AH18" s="628">
        <v>644.7047032392835</v>
      </c>
      <c r="AI18" s="133">
        <v>645.26058390168828</v>
      </c>
      <c r="AJ18" s="648">
        <v>654.5293769792363</v>
      </c>
      <c r="AK18" s="7"/>
    </row>
    <row r="19" spans="1:37" ht="12.75" customHeight="1">
      <c r="A19" s="5"/>
      <c r="B19" s="107" t="s">
        <v>33</v>
      </c>
      <c r="C19" s="637">
        <v>16.903141617901102</v>
      </c>
      <c r="D19" s="637">
        <v>66.013425380969039</v>
      </c>
      <c r="E19" s="638">
        <v>106.46458209265728</v>
      </c>
      <c r="F19" s="639">
        <v>124.47975785092699</v>
      </c>
      <c r="G19" s="639">
        <v>135.36117261450104</v>
      </c>
      <c r="H19" s="639">
        <v>144.62372446971631</v>
      </c>
      <c r="I19" s="640">
        <v>100.61385758504028</v>
      </c>
      <c r="J19" s="639">
        <v>134.43848244869167</v>
      </c>
      <c r="K19" s="639">
        <v>155.38187059493347</v>
      </c>
      <c r="L19" s="639">
        <v>178.37820644426259</v>
      </c>
      <c r="M19" s="639">
        <v>201.17553500096696</v>
      </c>
      <c r="N19" s="639">
        <v>220.66955954007932</v>
      </c>
      <c r="O19" s="481">
        <v>236.59547273203179</v>
      </c>
      <c r="P19" s="481">
        <v>252.56833821925105</v>
      </c>
      <c r="Q19" s="481">
        <v>269.24532158529001</v>
      </c>
      <c r="R19" s="481">
        <v>285.04032470613038</v>
      </c>
      <c r="S19" s="481">
        <v>304.9831890489678</v>
      </c>
      <c r="T19" s="481">
        <v>333.25358615433368</v>
      </c>
      <c r="U19" s="481">
        <v>372.14601329204464</v>
      </c>
      <c r="V19" s="481">
        <v>412.84098530438314</v>
      </c>
      <c r="W19" s="481">
        <v>431.29893463853443</v>
      </c>
      <c r="X19" s="481">
        <v>426.45899276775714</v>
      </c>
      <c r="Y19" s="481">
        <v>306.88444306265529</v>
      </c>
      <c r="Z19" s="481">
        <v>299.45036538793522</v>
      </c>
      <c r="AA19" s="481">
        <v>305.49775795832147</v>
      </c>
      <c r="AB19" s="481">
        <v>317.06877152170307</v>
      </c>
      <c r="AC19" s="481">
        <v>331.2020164181389</v>
      </c>
      <c r="AD19" s="481">
        <v>344.8770084872346</v>
      </c>
      <c r="AE19" s="481">
        <v>340.58332940194327</v>
      </c>
      <c r="AF19" s="481">
        <v>356.70362426391108</v>
      </c>
      <c r="AG19" s="481">
        <v>368.67333205553422</v>
      </c>
      <c r="AH19" s="481">
        <v>381.17813568873106</v>
      </c>
      <c r="AI19" s="653">
        <v>390.40514508856063</v>
      </c>
      <c r="AJ19" s="649">
        <v>404.47030185679705</v>
      </c>
      <c r="AK19" s="7"/>
    </row>
    <row r="20" spans="1:37" ht="12.75" customHeight="1">
      <c r="A20" s="5"/>
      <c r="B20" s="7" t="s">
        <v>34</v>
      </c>
      <c r="C20" s="632">
        <v>13.827201744568869</v>
      </c>
      <c r="D20" s="632">
        <v>72.175582445261981</v>
      </c>
      <c r="E20" s="633">
        <v>133.17240991818406</v>
      </c>
      <c r="F20" s="634">
        <v>143.26960668850515</v>
      </c>
      <c r="G20" s="634">
        <v>152.9536707392048</v>
      </c>
      <c r="H20" s="634">
        <v>162.81307745275782</v>
      </c>
      <c r="I20" s="634">
        <v>179.19616051755273</v>
      </c>
      <c r="J20" s="634">
        <v>198.73495662218426</v>
      </c>
      <c r="K20" s="634">
        <v>218.80857176381465</v>
      </c>
      <c r="L20" s="634">
        <v>247.62391076903126</v>
      </c>
      <c r="M20" s="634">
        <v>277.37521847776878</v>
      </c>
      <c r="N20" s="634">
        <v>310.1682937204626</v>
      </c>
      <c r="O20" s="628">
        <v>336.21871879479136</v>
      </c>
      <c r="P20" s="628">
        <v>328.10306842658144</v>
      </c>
      <c r="Q20" s="628">
        <v>344.14863250645419</v>
      </c>
      <c r="R20" s="628">
        <v>369.77912748398097</v>
      </c>
      <c r="S20" s="628">
        <v>392.19902122662597</v>
      </c>
      <c r="T20" s="628">
        <v>442.35531569212441</v>
      </c>
      <c r="U20" s="628">
        <v>489.92194728403194</v>
      </c>
      <c r="V20" s="628">
        <v>494.27271637814175</v>
      </c>
      <c r="W20" s="628">
        <v>524.85570955470348</v>
      </c>
      <c r="X20" s="628">
        <v>539.56045494936939</v>
      </c>
      <c r="Y20" s="628">
        <v>554.23627426957069</v>
      </c>
      <c r="Z20" s="628">
        <v>570.40771516968903</v>
      </c>
      <c r="AA20" s="628">
        <v>589.99429658754229</v>
      </c>
      <c r="AB20" s="641">
        <v>614.57421711502604</v>
      </c>
      <c r="AC20" s="628">
        <v>412.72162510586173</v>
      </c>
      <c r="AD20" s="628">
        <v>430.68652247938246</v>
      </c>
      <c r="AE20" s="628">
        <v>456.03257694079582</v>
      </c>
      <c r="AF20" s="628">
        <v>483.10709419805113</v>
      </c>
      <c r="AG20" s="628">
        <v>511.96342116338798</v>
      </c>
      <c r="AH20" s="628">
        <v>536.37785468614118</v>
      </c>
      <c r="AI20" s="133">
        <v>559.95857895038057</v>
      </c>
      <c r="AJ20" s="648">
        <v>574.17824246489135</v>
      </c>
      <c r="AK20" s="7"/>
    </row>
    <row r="21" spans="1:37" ht="12.75" customHeight="1">
      <c r="A21" s="5"/>
      <c r="B21" s="107" t="s">
        <v>51</v>
      </c>
      <c r="C21" s="637">
        <v>211.86378335751129</v>
      </c>
      <c r="D21" s="637">
        <v>352.47361929560088</v>
      </c>
      <c r="E21" s="638">
        <v>477.1175858480749</v>
      </c>
      <c r="F21" s="639">
        <v>492.81314168377821</v>
      </c>
      <c r="G21" s="639">
        <v>509.18302723242562</v>
      </c>
      <c r="H21" s="639">
        <v>519.74012993503243</v>
      </c>
      <c r="I21" s="639">
        <v>536.80266239368905</v>
      </c>
      <c r="J21" s="639">
        <v>556.45529640427594</v>
      </c>
      <c r="K21" s="639">
        <v>555.75386829794888</v>
      </c>
      <c r="L21" s="639">
        <v>561.15152233147739</v>
      </c>
      <c r="M21" s="639">
        <v>592.97063297063301</v>
      </c>
      <c r="N21" s="639">
        <v>607.64529520295207</v>
      </c>
      <c r="O21" s="481">
        <v>622.06378132118459</v>
      </c>
      <c r="P21" s="481">
        <v>632.15628870622686</v>
      </c>
      <c r="Q21" s="481">
        <v>640.74280615659154</v>
      </c>
      <c r="R21" s="481">
        <v>644.88746263407779</v>
      </c>
      <c r="S21" s="481">
        <v>649.91219131452851</v>
      </c>
      <c r="T21" s="481">
        <v>655.02914177784044</v>
      </c>
      <c r="U21" s="481">
        <v>660.88322444753851</v>
      </c>
      <c r="V21" s="481">
        <v>664.57351090018778</v>
      </c>
      <c r="W21" s="481">
        <v>666.74366767983793</v>
      </c>
      <c r="X21" s="481">
        <v>660.27773240968315</v>
      </c>
      <c r="Y21" s="481">
        <v>658.87582056892791</v>
      </c>
      <c r="Z21" s="481">
        <v>658.42245352508235</v>
      </c>
      <c r="AA21" s="481">
        <v>662.61481940790145</v>
      </c>
      <c r="AB21" s="481">
        <v>660.83357589870468</v>
      </c>
      <c r="AC21" s="481">
        <v>662.26432522497237</v>
      </c>
      <c r="AD21" s="481">
        <v>661.35125614100843</v>
      </c>
      <c r="AE21" s="481">
        <v>661.85346396531372</v>
      </c>
      <c r="AF21" s="481">
        <v>669.89809054742068</v>
      </c>
      <c r="AG21" s="482">
        <v>676.24866833687895</v>
      </c>
      <c r="AH21" s="481">
        <v>680.94641818983314</v>
      </c>
      <c r="AI21" s="653">
        <v>682.46813605785144</v>
      </c>
      <c r="AJ21" s="649">
        <v>681.42554117853047</v>
      </c>
      <c r="AK21" s="7"/>
    </row>
    <row r="22" spans="1:37" ht="12.75" customHeight="1">
      <c r="A22" s="5"/>
      <c r="B22" s="7" t="s">
        <v>32</v>
      </c>
      <c r="C22" s="632">
        <v>23.180072169223024</v>
      </c>
      <c r="D22" s="632">
        <v>94.279907336853057</v>
      </c>
      <c r="E22" s="633">
        <v>187.40685691226187</v>
      </c>
      <c r="F22" s="634">
        <v>194.72418909184012</v>
      </c>
      <c r="G22" s="634">
        <v>198.55215153639134</v>
      </c>
      <c r="H22" s="634">
        <v>202.27313790034987</v>
      </c>
      <c r="I22" s="634">
        <v>210.79174204533362</v>
      </c>
      <c r="J22" s="634">
        <v>217.50762433427258</v>
      </c>
      <c r="K22" s="634">
        <v>219.89376625956061</v>
      </c>
      <c r="L22" s="634">
        <v>223.5433558332889</v>
      </c>
      <c r="M22" s="634">
        <v>216.33024545185719</v>
      </c>
      <c r="N22" s="634">
        <v>220.66176438936827</v>
      </c>
      <c r="O22" s="628">
        <v>231.82714857938464</v>
      </c>
      <c r="P22" s="628">
        <v>244.01600691430139</v>
      </c>
      <c r="Q22" s="628">
        <v>259.26169860630097</v>
      </c>
      <c r="R22" s="628">
        <v>274.51713209647926</v>
      </c>
      <c r="S22" s="628">
        <v>280.11084670151143</v>
      </c>
      <c r="T22" s="628">
        <v>286.67809051502689</v>
      </c>
      <c r="U22" s="628">
        <v>293.4324098628295</v>
      </c>
      <c r="V22" s="628">
        <v>299.85512773457231</v>
      </c>
      <c r="W22" s="628">
        <v>304.59920396571619</v>
      </c>
      <c r="X22" s="628">
        <v>300.94083235173935</v>
      </c>
      <c r="Y22" s="628">
        <v>298.83297371987726</v>
      </c>
      <c r="Z22" s="628">
        <v>298.81498299675036</v>
      </c>
      <c r="AA22" s="628">
        <v>301.35118305974146</v>
      </c>
      <c r="AB22" s="628">
        <v>307.84850008074017</v>
      </c>
      <c r="AC22" s="628">
        <v>315.32368850064597</v>
      </c>
      <c r="AD22" s="628">
        <v>325.19819724052275</v>
      </c>
      <c r="AE22" s="628">
        <v>338.1664069251521</v>
      </c>
      <c r="AF22" s="628">
        <v>355.06936687102586</v>
      </c>
      <c r="AG22" s="628">
        <v>372.65056039463178</v>
      </c>
      <c r="AH22" s="628">
        <v>390.19426326313067</v>
      </c>
      <c r="AI22" s="133">
        <v>402.92784580709531</v>
      </c>
      <c r="AJ22" s="648">
        <v>414.91948093768093</v>
      </c>
      <c r="AK22" s="7"/>
    </row>
    <row r="23" spans="1:37" ht="12.75" customHeight="1">
      <c r="A23" s="5"/>
      <c r="B23" s="107" t="s">
        <v>35</v>
      </c>
      <c r="C23" s="637"/>
      <c r="D23" s="637"/>
      <c r="E23" s="642">
        <v>337.16388974740806</v>
      </c>
      <c r="F23" s="639">
        <v>339.31963631610125</v>
      </c>
      <c r="G23" s="639">
        <v>344.37443694779557</v>
      </c>
      <c r="H23" s="639">
        <v>416.48495896908287</v>
      </c>
      <c r="I23" s="639">
        <v>461.8609775044593</v>
      </c>
      <c r="J23" s="639">
        <v>486.92432992743966</v>
      </c>
      <c r="K23" s="639">
        <v>486.68567058332752</v>
      </c>
      <c r="L23" s="639">
        <v>488.09470058138766</v>
      </c>
      <c r="M23" s="640">
        <v>461.76403764153883</v>
      </c>
      <c r="N23" s="639">
        <v>468.80458072996379</v>
      </c>
      <c r="O23" s="481">
        <v>483.17770141665494</v>
      </c>
      <c r="P23" s="481">
        <v>495.08033883960366</v>
      </c>
      <c r="Q23" s="481">
        <v>508.23819016551892</v>
      </c>
      <c r="R23" s="481">
        <v>522.20363270787539</v>
      </c>
      <c r="S23" s="481">
        <v>524.95604319190988</v>
      </c>
      <c r="T23" s="481">
        <v>524.84327121795366</v>
      </c>
      <c r="U23" s="481">
        <v>537.83134787582355</v>
      </c>
      <c r="V23" s="481">
        <v>551.4427509366601</v>
      </c>
      <c r="W23" s="481">
        <v>558.22459518258756</v>
      </c>
      <c r="X23" s="481">
        <v>563.93906677583834</v>
      </c>
      <c r="Y23" s="481">
        <v>580.64189653219728</v>
      </c>
      <c r="Z23" s="481">
        <v>592.44969416543324</v>
      </c>
      <c r="AA23" s="481">
        <v>591.78621047125614</v>
      </c>
      <c r="AB23" s="481">
        <v>597.53996050523494</v>
      </c>
      <c r="AC23" s="481">
        <v>605.73220739109968</v>
      </c>
      <c r="AD23" s="481">
        <v>610.94102105835736</v>
      </c>
      <c r="AE23" s="481">
        <v>614.67487296245679</v>
      </c>
      <c r="AF23" s="481">
        <v>613.12463080800762</v>
      </c>
      <c r="AG23" s="481">
        <v>608.11777315376696</v>
      </c>
      <c r="AH23" s="481">
        <v>596.87424693526953</v>
      </c>
      <c r="AI23" s="653">
        <v>597.47723309436151</v>
      </c>
      <c r="AJ23" s="649">
        <v>601.14094642504097</v>
      </c>
      <c r="AK23" s="7"/>
    </row>
    <row r="24" spans="1:37" ht="12.75" customHeight="1">
      <c r="A24" s="5"/>
      <c r="B24" s="7" t="s">
        <v>43</v>
      </c>
      <c r="C24" s="632">
        <v>195.43531997960278</v>
      </c>
      <c r="D24" s="632">
        <v>320.22890947769184</v>
      </c>
      <c r="E24" s="633">
        <v>367.02262990870685</v>
      </c>
      <c r="F24" s="634">
        <v>367.10588499684388</v>
      </c>
      <c r="G24" s="634">
        <v>371.2797707908469</v>
      </c>
      <c r="H24" s="634">
        <v>375.1249954942632</v>
      </c>
      <c r="I24" s="634">
        <v>381.48038507475496</v>
      </c>
      <c r="J24" s="634">
        <v>363.56269236213063</v>
      </c>
      <c r="K24" s="634">
        <v>368.72618656761335</v>
      </c>
      <c r="L24" s="634">
        <v>378.90087204756401</v>
      </c>
      <c r="M24" s="634">
        <v>388.29274328253564</v>
      </c>
      <c r="N24" s="634">
        <v>399.84965913281366</v>
      </c>
      <c r="O24" s="628">
        <v>409.03117049241342</v>
      </c>
      <c r="P24" s="628">
        <v>416.67080092031898</v>
      </c>
      <c r="Q24" s="628">
        <v>423.32638693840607</v>
      </c>
      <c r="R24" s="628">
        <v>424.92676850433065</v>
      </c>
      <c r="S24" s="628">
        <v>428.81112820279452</v>
      </c>
      <c r="T24" s="628">
        <v>434.198715456701</v>
      </c>
      <c r="U24" s="628">
        <v>441.99667049598753</v>
      </c>
      <c r="V24" s="628">
        <v>450.57745928642152</v>
      </c>
      <c r="W24" s="628">
        <v>457.50506178443283</v>
      </c>
      <c r="X24" s="628">
        <v>459.84947561654491</v>
      </c>
      <c r="Y24" s="628">
        <v>464.46285765095985</v>
      </c>
      <c r="Z24" s="628">
        <v>469.74516011262887</v>
      </c>
      <c r="AA24" s="628">
        <v>471.74097079336042</v>
      </c>
      <c r="AB24" s="628">
        <v>471.33839106334199</v>
      </c>
      <c r="AC24" s="628">
        <v>472.11480737573044</v>
      </c>
      <c r="AD24" s="628">
        <v>477.10741192711987</v>
      </c>
      <c r="AE24" s="628">
        <v>481.39628429739838</v>
      </c>
      <c r="AF24" s="628">
        <v>487.33828435970628</v>
      </c>
      <c r="AG24" s="628">
        <v>488.53734338693602</v>
      </c>
      <c r="AH24" s="628">
        <v>498.51320559399824</v>
      </c>
      <c r="AI24" s="133">
        <v>503.19789258223625</v>
      </c>
      <c r="AJ24" s="648">
        <v>501.84035038570443</v>
      </c>
      <c r="AK24" s="7"/>
    </row>
    <row r="25" spans="1:37" ht="12.75" customHeight="1">
      <c r="A25" s="5"/>
      <c r="B25" s="107" t="s">
        <v>52</v>
      </c>
      <c r="C25" s="637">
        <v>160.04749278984039</v>
      </c>
      <c r="D25" s="637">
        <v>297.4848431009068</v>
      </c>
      <c r="E25" s="638">
        <v>387.8933693966527</v>
      </c>
      <c r="F25" s="639">
        <v>397.49200496121313</v>
      </c>
      <c r="G25" s="639">
        <v>411.67043174903858</v>
      </c>
      <c r="H25" s="639">
        <v>424.73626977078089</v>
      </c>
      <c r="I25" s="639">
        <v>438.04366066346915</v>
      </c>
      <c r="J25" s="639">
        <v>451.8493305790081</v>
      </c>
      <c r="K25" s="639">
        <v>463.36569421639712</v>
      </c>
      <c r="L25" s="639">
        <v>474.53116978852148</v>
      </c>
      <c r="M25" s="639">
        <v>486.9643584854345</v>
      </c>
      <c r="N25" s="639">
        <v>501.06358437556935</v>
      </c>
      <c r="O25" s="481">
        <v>510.80570795514649</v>
      </c>
      <c r="P25" s="481">
        <v>518.62769171242758</v>
      </c>
      <c r="Q25" s="481">
        <v>492.21711416393003</v>
      </c>
      <c r="R25" s="481">
        <v>497.9148482918115</v>
      </c>
      <c r="S25" s="481">
        <v>501.03025608316864</v>
      </c>
      <c r="T25" s="481">
        <v>503.58528369099349</v>
      </c>
      <c r="U25" s="481">
        <v>507.66354251076666</v>
      </c>
      <c r="V25" s="481">
        <v>511.02414796167869</v>
      </c>
      <c r="W25" s="481">
        <v>514.08727747308546</v>
      </c>
      <c r="X25" s="481">
        <v>522.04626083753828</v>
      </c>
      <c r="Y25" s="481">
        <v>530.26149696889513</v>
      </c>
      <c r="Z25" s="481">
        <v>536.79305994763877</v>
      </c>
      <c r="AA25" s="481">
        <v>542.38972249895289</v>
      </c>
      <c r="AB25" s="481">
        <v>545.53652383828182</v>
      </c>
      <c r="AC25" s="481">
        <v>546.87961200830387</v>
      </c>
      <c r="AD25" s="481">
        <v>545.72309935864394</v>
      </c>
      <c r="AE25" s="481">
        <v>549.59890526071013</v>
      </c>
      <c r="AF25" s="481">
        <v>555.29944854310122</v>
      </c>
      <c r="AG25" s="481">
        <v>562.02488493047861</v>
      </c>
      <c r="AH25" s="481">
        <v>566.22444238127036</v>
      </c>
      <c r="AI25" s="653">
        <v>570.02334354006825</v>
      </c>
      <c r="AJ25" s="649">
        <v>571.76485079679321</v>
      </c>
      <c r="AK25" s="7"/>
    </row>
    <row r="26" spans="1:37" ht="12.75" customHeight="1">
      <c r="A26" s="5"/>
      <c r="B26" s="7" t="s">
        <v>36</v>
      </c>
      <c r="C26" s="632">
        <v>14.667156592565373</v>
      </c>
      <c r="D26" s="632">
        <v>66.601622812902747</v>
      </c>
      <c r="E26" s="633">
        <v>137.78325314091342</v>
      </c>
      <c r="F26" s="634">
        <v>159.49160653885306</v>
      </c>
      <c r="G26" s="634">
        <v>169.32119614011185</v>
      </c>
      <c r="H26" s="634">
        <v>175.83712557532249</v>
      </c>
      <c r="I26" s="634">
        <v>185.4077322857394</v>
      </c>
      <c r="J26" s="634">
        <v>194.70041478760129</v>
      </c>
      <c r="K26" s="634">
        <v>208.45200232581607</v>
      </c>
      <c r="L26" s="634">
        <v>220.73082346992481</v>
      </c>
      <c r="M26" s="634">
        <v>229.93164478335433</v>
      </c>
      <c r="N26" s="634">
        <v>242.60581999415993</v>
      </c>
      <c r="O26" s="628">
        <v>261.18345148887215</v>
      </c>
      <c r="P26" s="628">
        <v>274.64687763624039</v>
      </c>
      <c r="Q26" s="628">
        <v>288.5746707533055</v>
      </c>
      <c r="R26" s="628">
        <v>294.41269958310164</v>
      </c>
      <c r="S26" s="628">
        <v>313.70154452650621</v>
      </c>
      <c r="T26" s="628">
        <v>323.38326424824976</v>
      </c>
      <c r="U26" s="628">
        <v>351.05733360097582</v>
      </c>
      <c r="V26" s="628">
        <v>382.74940725777117</v>
      </c>
      <c r="W26" s="628">
        <v>421.63796106322559</v>
      </c>
      <c r="X26" s="628">
        <v>433.81786892514606</v>
      </c>
      <c r="Y26" s="628">
        <v>452.93139601853971</v>
      </c>
      <c r="Z26" s="628">
        <v>476.17431284828376</v>
      </c>
      <c r="AA26" s="628">
        <v>492.45274914032922</v>
      </c>
      <c r="AB26" s="628">
        <v>510.00892843615372</v>
      </c>
      <c r="AC26" s="628">
        <v>526.33968760509958</v>
      </c>
      <c r="AD26" s="628">
        <v>545.81309887698092</v>
      </c>
      <c r="AE26" s="628">
        <v>570.81106441941165</v>
      </c>
      <c r="AF26" s="628">
        <v>592.57407050804613</v>
      </c>
      <c r="AG26" s="628">
        <v>616.99407460263944</v>
      </c>
      <c r="AH26" s="628">
        <v>641.76398747483347</v>
      </c>
      <c r="AI26" s="133">
        <v>663.68555328526554</v>
      </c>
      <c r="AJ26" s="648">
        <v>687.03548898481483</v>
      </c>
      <c r="AK26" s="7"/>
    </row>
    <row r="27" spans="1:37" ht="12.75" customHeight="1">
      <c r="A27" s="5"/>
      <c r="B27" s="107" t="s">
        <v>53</v>
      </c>
      <c r="C27" s="637">
        <v>48.596069928474897</v>
      </c>
      <c r="D27" s="637">
        <v>129.2385193115345</v>
      </c>
      <c r="E27" s="642">
        <v>185.4481662345728</v>
      </c>
      <c r="F27" s="643">
        <v>195.97932830145518</v>
      </c>
      <c r="G27" s="643">
        <v>210.95016171841209</v>
      </c>
      <c r="H27" s="643">
        <v>225.57768188554067</v>
      </c>
      <c r="I27" s="643">
        <v>240.79149864132648</v>
      </c>
      <c r="J27" s="639">
        <v>254.88632517939368</v>
      </c>
      <c r="K27" s="639">
        <v>272.70394189085573</v>
      </c>
      <c r="L27" s="639">
        <v>291.10622140374772</v>
      </c>
      <c r="M27" s="639">
        <v>309.22874032776679</v>
      </c>
      <c r="N27" s="639">
        <v>326.86045556346744</v>
      </c>
      <c r="O27" s="481">
        <v>333.27609334983032</v>
      </c>
      <c r="P27" s="481">
        <v>345.27313952950306</v>
      </c>
      <c r="Q27" s="481">
        <v>371.96283014214436</v>
      </c>
      <c r="R27" s="481">
        <v>378.68624708179567</v>
      </c>
      <c r="S27" s="481">
        <v>390.67442984401987</v>
      </c>
      <c r="T27" s="481">
        <v>399.54383509570215</v>
      </c>
      <c r="U27" s="481">
        <v>407.30730187110709</v>
      </c>
      <c r="V27" s="481">
        <v>414.93976456171833</v>
      </c>
      <c r="W27" s="481">
        <v>417.30513658317597</v>
      </c>
      <c r="X27" s="481">
        <v>421.5263490852916</v>
      </c>
      <c r="Y27" s="481">
        <v>443.78358229636439</v>
      </c>
      <c r="Z27" s="481">
        <v>446.9571344204611</v>
      </c>
      <c r="AA27" s="481">
        <v>406.11067359734244</v>
      </c>
      <c r="AB27" s="481">
        <v>415.0142016615805</v>
      </c>
      <c r="AC27" s="481">
        <v>452.98560303010504</v>
      </c>
      <c r="AD27" s="481">
        <v>456.70750280669893</v>
      </c>
      <c r="AE27" s="481">
        <v>470.45876681798563</v>
      </c>
      <c r="AF27" s="481">
        <v>491.63917265011543</v>
      </c>
      <c r="AG27" s="481">
        <v>514.07676281017393</v>
      </c>
      <c r="AH27" s="481">
        <v>529.54226771040805</v>
      </c>
      <c r="AI27" s="653">
        <v>540.4764808629659</v>
      </c>
      <c r="AJ27" s="649">
        <v>544.10946168881469</v>
      </c>
      <c r="AK27" s="7"/>
    </row>
    <row r="28" spans="1:37" ht="12.75" customHeight="1">
      <c r="A28" s="5"/>
      <c r="B28" s="7" t="s">
        <v>37</v>
      </c>
      <c r="C28" s="632">
        <v>1.964521527030441</v>
      </c>
      <c r="D28" s="632">
        <v>10.771077180422813</v>
      </c>
      <c r="E28" s="633">
        <v>55.720409305271225</v>
      </c>
      <c r="F28" s="634">
        <v>62.760359639956718</v>
      </c>
      <c r="G28" s="634">
        <v>69.93553974700653</v>
      </c>
      <c r="H28" s="634">
        <v>78.822396333536972</v>
      </c>
      <c r="I28" s="634">
        <v>88.938973143914296</v>
      </c>
      <c r="J28" s="634">
        <v>96.992537786106155</v>
      </c>
      <c r="K28" s="634">
        <v>103.01085889197269</v>
      </c>
      <c r="L28" s="634">
        <v>108.63344122746896</v>
      </c>
      <c r="M28" s="634">
        <v>115.37274783062259</v>
      </c>
      <c r="N28" s="634">
        <v>120.32788425634095</v>
      </c>
      <c r="O28" s="628">
        <v>123.83136019029841</v>
      </c>
      <c r="P28" s="628">
        <v>131.96204197012452</v>
      </c>
      <c r="Q28" s="628">
        <v>137.48185239455916</v>
      </c>
      <c r="R28" s="628">
        <v>143.46952406150194</v>
      </c>
      <c r="S28" s="628">
        <v>150.84246570793843</v>
      </c>
      <c r="T28" s="628">
        <v>158.24323602146228</v>
      </c>
      <c r="U28" s="628">
        <v>170.53247620276716</v>
      </c>
      <c r="V28" s="628">
        <v>171.61051898043465</v>
      </c>
      <c r="W28" s="628">
        <v>197.03061942858932</v>
      </c>
      <c r="X28" s="628">
        <v>209.1631586460355</v>
      </c>
      <c r="Y28" s="628">
        <v>213.8565464856556</v>
      </c>
      <c r="Z28" s="628">
        <v>215.69207119667018</v>
      </c>
      <c r="AA28" s="628">
        <v>224.13758310783467</v>
      </c>
      <c r="AB28" s="628">
        <v>235.40315784919582</v>
      </c>
      <c r="AC28" s="628">
        <v>246.97555142517501</v>
      </c>
      <c r="AD28" s="628">
        <v>260.875829334</v>
      </c>
      <c r="AE28" s="628">
        <v>278.58059497100095</v>
      </c>
      <c r="AF28" s="628">
        <v>307.06252510753205</v>
      </c>
      <c r="AG28" s="628">
        <v>332.35725663832591</v>
      </c>
      <c r="AH28" s="652">
        <v>357.13393634940707</v>
      </c>
      <c r="AI28" s="133">
        <v>378.8592883261876</v>
      </c>
      <c r="AJ28" s="648">
        <v>399.68790788792722</v>
      </c>
      <c r="AK28" s="7"/>
    </row>
    <row r="29" spans="1:37" ht="12.75" customHeight="1">
      <c r="A29" s="5"/>
      <c r="B29" s="107" t="s">
        <v>39</v>
      </c>
      <c r="C29" s="637">
        <v>87.081725408494222</v>
      </c>
      <c r="D29" s="637">
        <v>218.08515652247681</v>
      </c>
      <c r="E29" s="638">
        <v>293.56007290200483</v>
      </c>
      <c r="F29" s="639">
        <v>301.60607370409502</v>
      </c>
      <c r="G29" s="639">
        <v>304.02179647397003</v>
      </c>
      <c r="H29" s="639">
        <v>326.90327976966012</v>
      </c>
      <c r="I29" s="639">
        <v>335.92094806826117</v>
      </c>
      <c r="J29" s="639">
        <v>357.42157078501066</v>
      </c>
      <c r="K29" s="639">
        <v>373.96130527144339</v>
      </c>
      <c r="L29" s="639">
        <v>391.34918583743553</v>
      </c>
      <c r="M29" s="639">
        <v>410.2800639325817</v>
      </c>
      <c r="N29" s="639">
        <v>425.66060706676632</v>
      </c>
      <c r="O29" s="481">
        <v>435.20356324877122</v>
      </c>
      <c r="P29" s="481">
        <v>442.06394500372613</v>
      </c>
      <c r="Q29" s="481">
        <v>448.3740369206925</v>
      </c>
      <c r="R29" s="481">
        <v>456.02782562700577</v>
      </c>
      <c r="S29" s="481">
        <v>467.53387832337967</v>
      </c>
      <c r="T29" s="481">
        <v>479.30175235779126</v>
      </c>
      <c r="U29" s="481">
        <v>487.60058436800659</v>
      </c>
      <c r="V29" s="481">
        <v>504.47079470458925</v>
      </c>
      <c r="W29" s="481">
        <v>514.27009558336556</v>
      </c>
      <c r="X29" s="481">
        <v>517.27914738619302</v>
      </c>
      <c r="Y29" s="481">
        <v>517.82835631251555</v>
      </c>
      <c r="Z29" s="481">
        <v>518.84800554221465</v>
      </c>
      <c r="AA29" s="481">
        <v>517.78566470810233</v>
      </c>
      <c r="AB29" s="481">
        <v>516.13349279626993</v>
      </c>
      <c r="AC29" s="481">
        <v>517.89978447544547</v>
      </c>
      <c r="AD29" s="481">
        <v>522.59774787955359</v>
      </c>
      <c r="AE29" s="481">
        <v>530.77382926044163</v>
      </c>
      <c r="AF29" s="481">
        <v>540.88045750116123</v>
      </c>
      <c r="AG29" s="481">
        <v>549.35153308075132</v>
      </c>
      <c r="AH29" s="481">
        <v>556.03448892841664</v>
      </c>
      <c r="AI29" s="653">
        <v>555.09851458787841</v>
      </c>
      <c r="AJ29" s="649">
        <v>564.47811767385804</v>
      </c>
      <c r="AK29" s="7"/>
    </row>
    <row r="30" spans="1:37" ht="12.75" customHeight="1">
      <c r="A30" s="5"/>
      <c r="B30" s="7" t="s">
        <v>38</v>
      </c>
      <c r="C30" s="632">
        <v>36.124223274132191</v>
      </c>
      <c r="D30" s="632">
        <v>110.48111523480539</v>
      </c>
      <c r="E30" s="633">
        <v>165.70285974891121</v>
      </c>
      <c r="F30" s="634">
        <v>175.41948198570321</v>
      </c>
      <c r="G30" s="634">
        <v>182.71954807490559</v>
      </c>
      <c r="H30" s="634">
        <v>186.44081136259933</v>
      </c>
      <c r="I30" s="634">
        <v>185.58767426277586</v>
      </c>
      <c r="J30" s="634">
        <v>189.23877424414889</v>
      </c>
      <c r="K30" s="634">
        <v>196.77233324384841</v>
      </c>
      <c r="L30" s="634">
        <v>210.83663563891494</v>
      </c>
      <c r="M30" s="634">
        <v>221.77346236554354</v>
      </c>
      <c r="N30" s="634">
        <v>229.01992106555392</v>
      </c>
      <c r="O30" s="628">
        <v>236.89373599938872</v>
      </c>
      <c r="P30" s="628">
        <v>240.34426043293573</v>
      </c>
      <c r="Q30" s="628">
        <v>246.87094932289563</v>
      </c>
      <c r="R30" s="628">
        <v>252.46305991855729</v>
      </c>
      <c r="S30" s="628">
        <v>222.79921491768081</v>
      </c>
      <c r="T30" s="628">
        <v>242.64311749571183</v>
      </c>
      <c r="U30" s="628">
        <v>248.22339843444661</v>
      </c>
      <c r="V30" s="628">
        <v>266.72413126034212</v>
      </c>
      <c r="W30" s="628">
        <v>287.0258087422323</v>
      </c>
      <c r="X30" s="628">
        <v>294.79093427030597</v>
      </c>
      <c r="Y30" s="628">
        <v>309.51909393251231</v>
      </c>
      <c r="Z30" s="628">
        <v>323.68537625996379</v>
      </c>
      <c r="AA30" s="628">
        <v>337.1364425016763</v>
      </c>
      <c r="AB30" s="628">
        <v>347.07841598951541</v>
      </c>
      <c r="AC30" s="628">
        <v>359.51476283854817</v>
      </c>
      <c r="AD30" s="628">
        <v>374.95014975345782</v>
      </c>
      <c r="AE30" s="628">
        <v>390.36616456403942</v>
      </c>
      <c r="AF30" s="628">
        <v>408.4269683563839</v>
      </c>
      <c r="AG30" s="628">
        <v>425.95021558885088</v>
      </c>
      <c r="AH30" s="628">
        <v>438.55490957741233</v>
      </c>
      <c r="AI30" s="133">
        <v>446.90180796629022</v>
      </c>
      <c r="AJ30" s="648">
        <v>458.75163210120422</v>
      </c>
      <c r="AK30" s="7"/>
    </row>
    <row r="31" spans="1:37" ht="12.75" customHeight="1">
      <c r="A31" s="5"/>
      <c r="B31" s="107" t="s">
        <v>54</v>
      </c>
      <c r="C31" s="637">
        <v>154.8386198833665</v>
      </c>
      <c r="D31" s="637">
        <v>256.06868154705586</v>
      </c>
      <c r="E31" s="638">
        <v>387.88927349485181</v>
      </c>
      <c r="F31" s="639">
        <v>382.38203126584557</v>
      </c>
      <c r="G31" s="639">
        <v>382.98850520140331</v>
      </c>
      <c r="H31" s="639">
        <v>368.83920004915404</v>
      </c>
      <c r="I31" s="639">
        <v>367.26384524532858</v>
      </c>
      <c r="J31" s="639">
        <v>371.49103760807975</v>
      </c>
      <c r="K31" s="639">
        <v>378.53290519687005</v>
      </c>
      <c r="L31" s="639">
        <v>378.47171427466839</v>
      </c>
      <c r="M31" s="639">
        <v>391.71602082778543</v>
      </c>
      <c r="N31" s="639">
        <v>402.71869637472344</v>
      </c>
      <c r="O31" s="481">
        <v>412.02096459931892</v>
      </c>
      <c r="P31" s="481">
        <v>415.9084071092019</v>
      </c>
      <c r="Q31" s="481">
        <v>421.54411150347801</v>
      </c>
      <c r="R31" s="481">
        <v>435.7650929204795</v>
      </c>
      <c r="S31" s="481">
        <v>448.13830929965968</v>
      </c>
      <c r="T31" s="481">
        <v>462.43135867021334</v>
      </c>
      <c r="U31" s="481">
        <v>474.80848330144943</v>
      </c>
      <c r="V31" s="481">
        <v>484.92854614786125</v>
      </c>
      <c r="W31" s="481">
        <v>507.00953792810571</v>
      </c>
      <c r="X31" s="481">
        <v>518.86422070225387</v>
      </c>
      <c r="Y31" s="481">
        <v>535.31837248915213</v>
      </c>
      <c r="Z31" s="481">
        <v>551.48708627068424</v>
      </c>
      <c r="AA31" s="481">
        <v>563.41766614320295</v>
      </c>
      <c r="AB31" s="481">
        <v>573.7009907782957</v>
      </c>
      <c r="AC31" s="481">
        <v>583.89879806343595</v>
      </c>
      <c r="AD31" s="481">
        <v>593.65739994911905</v>
      </c>
      <c r="AE31" s="481">
        <v>608.00007704472421</v>
      </c>
      <c r="AF31" s="481">
        <v>620.88142307545797</v>
      </c>
      <c r="AG31" s="481">
        <v>633.36123636465118</v>
      </c>
      <c r="AH31" s="481">
        <v>646.94680389742302</v>
      </c>
      <c r="AI31" s="653">
        <v>656.48480165412764</v>
      </c>
      <c r="AJ31" s="649">
        <v>660.95975282977076</v>
      </c>
      <c r="AK31" s="7"/>
    </row>
    <row r="32" spans="1:37" ht="12.75" customHeight="1">
      <c r="A32" s="5"/>
      <c r="B32" s="8" t="s">
        <v>55</v>
      </c>
      <c r="C32" s="644">
        <v>283.12521732459044</v>
      </c>
      <c r="D32" s="644">
        <v>346.59911490391823</v>
      </c>
      <c r="E32" s="816">
        <v>419.17763889260738</v>
      </c>
      <c r="F32" s="645">
        <v>418.66609903610782</v>
      </c>
      <c r="G32" s="645">
        <v>412.90780398050487</v>
      </c>
      <c r="H32" s="645">
        <v>407.7822243267637</v>
      </c>
      <c r="I32" s="645">
        <v>407.67294426136982</v>
      </c>
      <c r="J32" s="645">
        <v>410.83582951550983</v>
      </c>
      <c r="K32" s="645">
        <v>413.24217459914911</v>
      </c>
      <c r="L32" s="645">
        <v>418.32356140772237</v>
      </c>
      <c r="M32" s="645">
        <v>428.11804223971075</v>
      </c>
      <c r="N32" s="645">
        <v>438.9992084795382</v>
      </c>
      <c r="O32" s="647">
        <v>450.15283482940947</v>
      </c>
      <c r="P32" s="647">
        <v>451.0579486567035</v>
      </c>
      <c r="Q32" s="647">
        <v>452.17401419203765</v>
      </c>
      <c r="R32" s="647">
        <v>454.05122960180137</v>
      </c>
      <c r="S32" s="647">
        <v>456.4693223865969</v>
      </c>
      <c r="T32" s="647">
        <v>459.08353809874541</v>
      </c>
      <c r="U32" s="647">
        <v>461.13732993593834</v>
      </c>
      <c r="V32" s="647">
        <v>463.73699801816997</v>
      </c>
      <c r="W32" s="647">
        <v>462.27685716622335</v>
      </c>
      <c r="X32" s="647">
        <v>460.43233245709473</v>
      </c>
      <c r="Y32" s="647">
        <v>460.4269311364049</v>
      </c>
      <c r="Z32" s="647">
        <v>464.13785721705119</v>
      </c>
      <c r="AA32" s="647">
        <v>465.3845538036058</v>
      </c>
      <c r="AB32" s="647">
        <v>466.10019591774443</v>
      </c>
      <c r="AC32" s="647">
        <v>470.4372622111332</v>
      </c>
      <c r="AD32" s="647">
        <v>473.96761166892719</v>
      </c>
      <c r="AE32" s="647">
        <v>477.03721994050517</v>
      </c>
      <c r="AF32" s="647">
        <v>478.7260027971663</v>
      </c>
      <c r="AG32" s="647">
        <v>476.04016936155114</v>
      </c>
      <c r="AH32" s="647">
        <v>473.20976851421955</v>
      </c>
      <c r="AI32" s="655">
        <v>476.26481374698375</v>
      </c>
      <c r="AJ32" s="650">
        <v>477.02099991906113</v>
      </c>
      <c r="AK32" s="44"/>
    </row>
    <row r="33" spans="1:37" ht="12.75" customHeight="1">
      <c r="A33" s="379"/>
      <c r="B33" s="107" t="s">
        <v>26</v>
      </c>
      <c r="C33" s="637">
        <v>199.11733403634165</v>
      </c>
      <c r="D33" s="637">
        <v>374.67895188965974</v>
      </c>
      <c r="E33" s="639">
        <v>467.94415827034464</v>
      </c>
      <c r="F33" s="639">
        <v>465.34245573236512</v>
      </c>
      <c r="G33" s="639">
        <v>457.89790613828478</v>
      </c>
      <c r="H33" s="639">
        <v>438.36582863006663</v>
      </c>
      <c r="I33" s="639">
        <v>435.40291709429243</v>
      </c>
      <c r="J33" s="639">
        <v>444.96525574903535</v>
      </c>
      <c r="K33" s="639">
        <v>462.84191882137594</v>
      </c>
      <c r="L33" s="639">
        <v>486.33348141023049</v>
      </c>
      <c r="M33" s="639">
        <v>509.1254642525534</v>
      </c>
      <c r="N33" s="639">
        <v>542.58929435332141</v>
      </c>
      <c r="O33" s="481">
        <v>560.89581840832011</v>
      </c>
      <c r="P33" s="481">
        <v>557.8469859548112</v>
      </c>
      <c r="Q33" s="481">
        <v>560.61441184729142</v>
      </c>
      <c r="R33" s="481">
        <v>574.28158447190003</v>
      </c>
      <c r="S33" s="481">
        <v>597.55021680853747</v>
      </c>
      <c r="T33" s="481">
        <v>625.03376226695696</v>
      </c>
      <c r="U33" s="481">
        <v>641.28357471593131</v>
      </c>
      <c r="V33" s="481">
        <v>657.81290120110691</v>
      </c>
      <c r="W33" s="481">
        <v>656.73455073770708</v>
      </c>
      <c r="X33" s="481">
        <v>646.46916223278652</v>
      </c>
      <c r="Y33" s="481">
        <v>642.91007749990581</v>
      </c>
      <c r="Z33" s="481">
        <v>644.95658296174611</v>
      </c>
      <c r="AA33" s="481">
        <v>652.68115964543267</v>
      </c>
      <c r="AB33" s="481">
        <v>654.38126207123139</v>
      </c>
      <c r="AC33" s="481">
        <v>660.75357034336071</v>
      </c>
      <c r="AD33" s="481">
        <v>680.60530059032442</v>
      </c>
      <c r="AE33" s="481">
        <v>710.77496904084239</v>
      </c>
      <c r="AF33" s="481">
        <v>737.83900129143353</v>
      </c>
      <c r="AG33" s="481">
        <v>748.99087091831439</v>
      </c>
      <c r="AH33" s="504">
        <v>741.00468508845643</v>
      </c>
      <c r="AI33" s="653">
        <v>731.0760537104926</v>
      </c>
      <c r="AJ33" s="649">
        <v>768.15557823563176</v>
      </c>
      <c r="AK33" s="7"/>
    </row>
    <row r="34" spans="1:37" ht="12.75" customHeight="1">
      <c r="A34" s="379"/>
      <c r="B34" s="7" t="s">
        <v>65</v>
      </c>
      <c r="C34" s="632"/>
      <c r="D34" s="632"/>
      <c r="E34" s="634">
        <v>581.80628272251306</v>
      </c>
      <c r="F34" s="634">
        <v>589.668549649493</v>
      </c>
      <c r="G34" s="634">
        <v>591.90437926878258</v>
      </c>
      <c r="H34" s="634">
        <v>586.17617947871986</v>
      </c>
      <c r="I34" s="634">
        <v>596.03643605733134</v>
      </c>
      <c r="J34" s="1">
        <v>608.60847912556994</v>
      </c>
      <c r="K34" s="1">
        <v>620.04302732556266</v>
      </c>
      <c r="L34" s="1">
        <v>636.20689655172407</v>
      </c>
      <c r="M34" s="1">
        <v>639.35655161642978</v>
      </c>
      <c r="N34" s="1">
        <v>652.25436378214999</v>
      </c>
      <c r="O34" s="628">
        <v>662.87314000547724</v>
      </c>
      <c r="P34" s="628">
        <v>674.89932885906035</v>
      </c>
      <c r="Q34" s="628">
        <v>687.03304491628035</v>
      </c>
      <c r="R34" s="628">
        <v>685.95089520032661</v>
      </c>
      <c r="S34" s="628">
        <v>691.76300578034682</v>
      </c>
      <c r="T34" s="628">
        <v>698.83970777825527</v>
      </c>
      <c r="U34" s="628">
        <v>690.7700181983621</v>
      </c>
      <c r="V34" s="628">
        <v>689.21823735716703</v>
      </c>
      <c r="W34" s="628">
        <v>715.44578380960411</v>
      </c>
      <c r="X34" s="628">
        <v>721.81980275254921</v>
      </c>
      <c r="Y34" s="628">
        <v>743.8656671000582</v>
      </c>
      <c r="Z34" s="628">
        <v>749.19808087731326</v>
      </c>
      <c r="AA34" s="628">
        <v>760.19327867962431</v>
      </c>
      <c r="AB34" s="628">
        <v>756.87468016913999</v>
      </c>
      <c r="AC34" s="628">
        <v>762.02965262538135</v>
      </c>
      <c r="AD34" s="628">
        <v>765.56270267396735</v>
      </c>
      <c r="AE34" s="628">
        <v>773.3668341708543</v>
      </c>
      <c r="AF34" s="628">
        <v>778.61153381959377</v>
      </c>
      <c r="AG34" s="628">
        <v>780.36896138412635</v>
      </c>
      <c r="AH34" s="628">
        <v>774.25349059282007</v>
      </c>
      <c r="AI34" s="133">
        <v>768.14748431698888</v>
      </c>
      <c r="AJ34" s="648">
        <v>776.96652081001321</v>
      </c>
      <c r="AK34" s="7"/>
    </row>
    <row r="35" spans="1:37" ht="12.75" customHeight="1">
      <c r="A35" s="379"/>
      <c r="B35" s="107" t="s">
        <v>56</v>
      </c>
      <c r="C35" s="637">
        <v>177.45521506157567</v>
      </c>
      <c r="D35" s="637">
        <v>300.56153692019723</v>
      </c>
      <c r="E35" s="639">
        <v>379.55329977904995</v>
      </c>
      <c r="F35" s="639">
        <v>377.81031319013277</v>
      </c>
      <c r="G35" s="639">
        <v>376.68646042361235</v>
      </c>
      <c r="H35" s="639">
        <v>377.60875320678457</v>
      </c>
      <c r="I35" s="639">
        <v>380.29486639944253</v>
      </c>
      <c r="J35" s="639">
        <v>385.51042950765873</v>
      </c>
      <c r="K35" s="639">
        <v>378.18237199143857</v>
      </c>
      <c r="L35" s="639">
        <v>397.95395643651676</v>
      </c>
      <c r="M35" s="639">
        <v>401.86091963047056</v>
      </c>
      <c r="N35" s="639">
        <v>404.96666627218912</v>
      </c>
      <c r="O35" s="481">
        <v>411.22578404578195</v>
      </c>
      <c r="P35" s="481">
        <v>413.9776033329311</v>
      </c>
      <c r="Q35" s="481">
        <v>417.32465601640683</v>
      </c>
      <c r="R35" s="481">
        <v>422.43105724422975</v>
      </c>
      <c r="S35" s="481">
        <v>429.38908635728444</v>
      </c>
      <c r="T35" s="481">
        <v>437.24423351570266</v>
      </c>
      <c r="U35" s="481">
        <v>445.23250135544083</v>
      </c>
      <c r="V35" s="481">
        <v>454.87844960631566</v>
      </c>
      <c r="W35" s="481">
        <v>457.81988526545393</v>
      </c>
      <c r="X35" s="481">
        <v>461.89956401538922</v>
      </c>
      <c r="Y35" s="481">
        <v>469.18798733005366</v>
      </c>
      <c r="Z35" s="481">
        <v>476.54672103364106</v>
      </c>
      <c r="AA35" s="481">
        <v>483.64026904098472</v>
      </c>
      <c r="AB35" s="481">
        <v>489.4831018976227</v>
      </c>
      <c r="AC35" s="481">
        <v>494.61849653139961</v>
      </c>
      <c r="AD35" s="481">
        <v>500.95792885475919</v>
      </c>
      <c r="AE35" s="481">
        <v>506.41868871732146</v>
      </c>
      <c r="AF35" s="481">
        <v>513.51806087258171</v>
      </c>
      <c r="AG35" s="481">
        <v>516.4862058791955</v>
      </c>
      <c r="AH35" s="481">
        <v>521.83665637028241</v>
      </c>
      <c r="AI35" s="653">
        <v>544.36693166429518</v>
      </c>
      <c r="AJ35" s="649">
        <v>553.52176020732611</v>
      </c>
      <c r="AK35" s="7"/>
    </row>
    <row r="36" spans="1:37" ht="12.75" customHeight="1">
      <c r="A36" s="379"/>
      <c r="B36" s="8" t="s">
        <v>27</v>
      </c>
      <c r="C36" s="644">
        <v>223.34764076011609</v>
      </c>
      <c r="D36" s="644">
        <v>354.64338147723771</v>
      </c>
      <c r="E36" s="645">
        <v>441.81055788295367</v>
      </c>
      <c r="F36" s="645">
        <v>446.8656543667708</v>
      </c>
      <c r="G36" s="645">
        <v>447.48789041741566</v>
      </c>
      <c r="H36" s="645">
        <v>446.22110418636828</v>
      </c>
      <c r="I36" s="645">
        <v>450.92369745686682</v>
      </c>
      <c r="J36" s="645">
        <v>457.23791245808405</v>
      </c>
      <c r="K36" s="645">
        <v>461.50731795904335</v>
      </c>
      <c r="L36" s="645">
        <v>468.32542681461825</v>
      </c>
      <c r="M36" s="645">
        <v>474.94762784274161</v>
      </c>
      <c r="N36" s="645">
        <v>483.96093262784944</v>
      </c>
      <c r="O36" s="647">
        <v>492.11825839752748</v>
      </c>
      <c r="P36" s="647">
        <v>500.26000416502831</v>
      </c>
      <c r="Q36" s="647">
        <v>506.01933071392057</v>
      </c>
      <c r="R36" s="647">
        <v>509.7521125322304</v>
      </c>
      <c r="S36" s="647">
        <v>513.99845882093052</v>
      </c>
      <c r="T36" s="647">
        <v>517.68008271208112</v>
      </c>
      <c r="U36" s="647">
        <v>519.39666567182587</v>
      </c>
      <c r="V36" s="647">
        <v>520.94424516566426</v>
      </c>
      <c r="W36" s="647">
        <v>518.03240673416894</v>
      </c>
      <c r="X36" s="647">
        <v>514.98868582135242</v>
      </c>
      <c r="Y36" s="647">
        <v>517.8850830239993</v>
      </c>
      <c r="Z36" s="647">
        <v>523.34128087403337</v>
      </c>
      <c r="AA36" s="647">
        <v>529.25652999231261</v>
      </c>
      <c r="AB36" s="647">
        <v>530.84531718944015</v>
      </c>
      <c r="AC36" s="647">
        <v>532.24906180949802</v>
      </c>
      <c r="AD36" s="647">
        <v>535.36706421879535</v>
      </c>
      <c r="AE36" s="647">
        <v>537.32432255880667</v>
      </c>
      <c r="AF36" s="647">
        <v>538.74975984573553</v>
      </c>
      <c r="AG36" s="647">
        <v>538.67089424610629</v>
      </c>
      <c r="AH36" s="647">
        <v>537.29192067936526</v>
      </c>
      <c r="AI36" s="655">
        <v>537.27495011706628</v>
      </c>
      <c r="AJ36" s="650">
        <v>538.90360806203046</v>
      </c>
      <c r="AK36" s="8"/>
    </row>
    <row r="37" spans="1:37" ht="12.75" customHeight="1">
      <c r="A37" s="379"/>
      <c r="B37" s="107" t="s">
        <v>312</v>
      </c>
      <c r="C37" s="637"/>
      <c r="D37" s="637"/>
      <c r="E37" s="639"/>
      <c r="F37" s="639"/>
      <c r="G37" s="639"/>
      <c r="H37" s="639"/>
      <c r="I37" s="639"/>
      <c r="J37" s="639"/>
      <c r="K37" s="639"/>
      <c r="L37" s="639"/>
      <c r="M37" s="639"/>
      <c r="N37" s="639"/>
      <c r="O37" s="481"/>
      <c r="P37" s="481"/>
      <c r="Q37" s="481"/>
      <c r="R37" s="481"/>
      <c r="S37" s="481"/>
      <c r="T37" s="481"/>
      <c r="U37" s="481"/>
      <c r="V37" s="481"/>
      <c r="W37" s="481"/>
      <c r="X37" s="481"/>
      <c r="Y37" s="481"/>
      <c r="Z37" s="481"/>
      <c r="AA37" s="481"/>
      <c r="AB37" s="481">
        <v>217.37754643708828</v>
      </c>
      <c r="AC37" s="481">
        <v>227.34941509350446</v>
      </c>
      <c r="AD37" s="481">
        <v>238.07335048173132</v>
      </c>
      <c r="AE37" s="481">
        <v>240.79258680237103</v>
      </c>
      <c r="AF37" s="481">
        <v>260.15748226023186</v>
      </c>
      <c r="AG37" s="481">
        <v>274.00184068192715</v>
      </c>
      <c r="AH37" s="481">
        <v>283.05238025353731</v>
      </c>
      <c r="AI37" s="653">
        <v>286.2834968386793</v>
      </c>
      <c r="AJ37" s="649">
        <v>284.7022878656241</v>
      </c>
      <c r="AK37" s="7"/>
    </row>
    <row r="38" spans="1:37" ht="12.75" customHeight="1">
      <c r="A38" s="379"/>
      <c r="B38" s="7" t="s">
        <v>139</v>
      </c>
      <c r="C38" s="632"/>
      <c r="D38" s="632"/>
      <c r="E38" s="634"/>
      <c r="F38" s="634"/>
      <c r="G38" s="634"/>
      <c r="H38" s="634"/>
      <c r="I38" s="634"/>
      <c r="J38" s="634"/>
      <c r="K38" s="634"/>
      <c r="L38" s="634"/>
      <c r="M38" s="634"/>
      <c r="N38" s="634"/>
      <c r="O38" s="628"/>
      <c r="P38" s="628"/>
      <c r="Q38" s="628"/>
      <c r="R38" s="628"/>
      <c r="S38" s="628"/>
      <c r="T38" s="628"/>
      <c r="U38" s="628"/>
      <c r="V38" s="628"/>
      <c r="W38" s="628"/>
      <c r="X38" s="628"/>
      <c r="Y38" s="628">
        <v>265.63362103734772</v>
      </c>
      <c r="Z38" s="628">
        <v>277.238081727142</v>
      </c>
      <c r="AA38" s="628">
        <v>280.02409432865244</v>
      </c>
      <c r="AB38" s="628">
        <v>287.45931352279331</v>
      </c>
      <c r="AC38" s="628">
        <v>279.81559205206889</v>
      </c>
      <c r="AD38" s="628">
        <v>282.71763272679351</v>
      </c>
      <c r="AE38" s="628">
        <v>296.81532551290434</v>
      </c>
      <c r="AF38" s="628">
        <v>310.49924561225913</v>
      </c>
      <c r="AG38" s="628">
        <v>331.82091413766392</v>
      </c>
      <c r="AH38" s="628">
        <v>350.487961368318</v>
      </c>
      <c r="AI38" s="133">
        <v>338.48847905480403</v>
      </c>
      <c r="AJ38" s="648">
        <v>358.44438004607542</v>
      </c>
      <c r="AK38" s="7"/>
    </row>
    <row r="39" spans="1:37" ht="12.75" customHeight="1">
      <c r="A39" s="379"/>
      <c r="B39" s="107" t="s">
        <v>314</v>
      </c>
      <c r="C39" s="637"/>
      <c r="D39" s="637"/>
      <c r="E39" s="639"/>
      <c r="F39" s="639"/>
      <c r="G39" s="639"/>
      <c r="H39" s="639"/>
      <c r="I39" s="639"/>
      <c r="J39" s="639"/>
      <c r="K39" s="639"/>
      <c r="L39" s="639"/>
      <c r="M39" s="639"/>
      <c r="N39" s="639"/>
      <c r="O39" s="481"/>
      <c r="P39" s="481"/>
      <c r="Q39" s="481"/>
      <c r="R39" s="481"/>
      <c r="S39" s="481">
        <v>74.866210647821546</v>
      </c>
      <c r="T39" s="481">
        <v>81.615382558352024</v>
      </c>
      <c r="U39" s="481">
        <v>89.165370513611705</v>
      </c>
      <c r="V39" s="481">
        <v>94.870466422761709</v>
      </c>
      <c r="W39" s="481">
        <v>102.69089494303032</v>
      </c>
      <c r="X39" s="481">
        <v>108.41696609838945</v>
      </c>
      <c r="Y39" s="481">
        <v>113.55089132492424</v>
      </c>
      <c r="Z39" s="481">
        <v>119.95170163793591</v>
      </c>
      <c r="AA39" s="481">
        <v>128.21446400994299</v>
      </c>
      <c r="AB39" s="481">
        <v>169.89125130707563</v>
      </c>
      <c r="AC39" s="481">
        <v>180.09873506676038</v>
      </c>
      <c r="AD39" s="481">
        <v>187.54442477876105</v>
      </c>
      <c r="AE39" s="481">
        <v>196.68381294964027</v>
      </c>
      <c r="AF39" s="481">
        <v>215.50714547453282</v>
      </c>
      <c r="AG39" s="481">
        <v>229.80625931445601</v>
      </c>
      <c r="AH39" s="481">
        <v>245.47105561861522</v>
      </c>
      <c r="AI39" s="481">
        <v>258.06169078446305</v>
      </c>
      <c r="AJ39" s="649">
        <v>275.41529004994231</v>
      </c>
      <c r="AK39" s="7"/>
    </row>
    <row r="40" spans="1:37" ht="12.75" customHeight="1">
      <c r="A40" s="379"/>
      <c r="B40" s="7" t="s">
        <v>0</v>
      </c>
      <c r="C40" s="632"/>
      <c r="D40" s="632"/>
      <c r="E40" s="634"/>
      <c r="F40" s="634"/>
      <c r="G40" s="634"/>
      <c r="H40" s="634">
        <v>149.72523429823605</v>
      </c>
      <c r="I40" s="634">
        <v>134.46365208594645</v>
      </c>
      <c r="J40" s="634">
        <v>145.00628142296418</v>
      </c>
      <c r="K40" s="634">
        <v>142.6244276633802</v>
      </c>
      <c r="L40" s="634">
        <v>144.43301337435202</v>
      </c>
      <c r="M40" s="634">
        <v>143.42787442769804</v>
      </c>
      <c r="N40" s="634">
        <v>143.45229320857271</v>
      </c>
      <c r="O40" s="628">
        <v>147.70234236221341</v>
      </c>
      <c r="P40" s="628">
        <v>152.06133860086891</v>
      </c>
      <c r="Q40" s="628">
        <v>152.19993141119974</v>
      </c>
      <c r="R40" s="628">
        <v>147.69702033408674</v>
      </c>
      <c r="S40" s="628">
        <v>122.54495390124588</v>
      </c>
      <c r="T40" s="628">
        <v>124.2248029692217</v>
      </c>
      <c r="U40" s="628">
        <v>118.6552402836321</v>
      </c>
      <c r="V40" s="628">
        <v>121.63934955263041</v>
      </c>
      <c r="W40" s="628">
        <v>128.43383762427274</v>
      </c>
      <c r="X40" s="628">
        <v>137.47404665609858</v>
      </c>
      <c r="Y40" s="628">
        <v>150.79638980325515</v>
      </c>
      <c r="Z40" s="628">
        <v>151.99578210248208</v>
      </c>
      <c r="AA40" s="628">
        <v>146.3229781980649</v>
      </c>
      <c r="AB40" s="628">
        <v>167.87840266748123</v>
      </c>
      <c r="AC40" s="628">
        <v>179.51576765972092</v>
      </c>
      <c r="AD40" s="628">
        <v>185.31215993217714</v>
      </c>
      <c r="AE40" s="628">
        <v>190.44877229225801</v>
      </c>
      <c r="AF40" s="628">
        <v>194.34096547922445</v>
      </c>
      <c r="AG40" s="628">
        <v>199.82456579552959</v>
      </c>
      <c r="AH40" s="628">
        <v>205.19878338643377</v>
      </c>
      <c r="AI40" s="133">
        <v>207.46052799486466</v>
      </c>
      <c r="AJ40" s="648">
        <v>260.09273240528353</v>
      </c>
      <c r="AK40" s="7"/>
    </row>
    <row r="41" spans="1:37" ht="12.75" customHeight="1">
      <c r="A41" s="379"/>
      <c r="B41" s="107" t="s">
        <v>144</v>
      </c>
      <c r="C41" s="637"/>
      <c r="D41" s="637"/>
      <c r="E41" s="639"/>
      <c r="F41" s="639"/>
      <c r="G41" s="639"/>
      <c r="H41" s="639">
        <v>17.615695383363715</v>
      </c>
      <c r="I41" s="639">
        <v>20.918261186468015</v>
      </c>
      <c r="J41" s="639">
        <v>17.874505025890954</v>
      </c>
      <c r="K41" s="639">
        <v>20.238142150703439</v>
      </c>
      <c r="L41" s="639">
        <v>22.902263067469885</v>
      </c>
      <c r="M41" s="639">
        <v>26.906026332132289</v>
      </c>
      <c r="N41" s="639">
        <v>30.162527542122813</v>
      </c>
      <c r="O41" s="481">
        <v>37.388217612405896</v>
      </c>
      <c r="P41" s="481">
        <v>43.680802664557412</v>
      </c>
      <c r="Q41" s="481">
        <v>48.778765665471155</v>
      </c>
      <c r="R41" s="481">
        <v>57.603392754210212</v>
      </c>
      <c r="S41" s="481">
        <v>62.922857538363921</v>
      </c>
      <c r="T41" s="481">
        <v>64.969572098161734</v>
      </c>
      <c r="U41" s="481">
        <v>75.497148491408581</v>
      </c>
      <c r="V41" s="481">
        <v>80.429548931705256</v>
      </c>
      <c r="W41" s="481">
        <v>90.189367430028042</v>
      </c>
      <c r="X41" s="481">
        <v>96.357455474643629</v>
      </c>
      <c r="Y41" s="481">
        <v>101.37337606165866</v>
      </c>
      <c r="Z41" s="481">
        <v>103.676600271167</v>
      </c>
      <c r="AA41" s="481">
        <v>102.61028307974753</v>
      </c>
      <c r="AB41" s="481">
        <v>118.13432056628521</v>
      </c>
      <c r="AC41" s="481">
        <v>131.00475570691762</v>
      </c>
      <c r="AD41" s="481">
        <v>140.3815283948488</v>
      </c>
      <c r="AE41" s="481">
        <v>151.5728165735066</v>
      </c>
      <c r="AF41" s="481">
        <v>147.02172995104385</v>
      </c>
      <c r="AG41" s="481">
        <v>160.71222078327236</v>
      </c>
      <c r="AH41" s="481">
        <v>175.61416115152909</v>
      </c>
      <c r="AI41" s="653">
        <v>190.65243073482696</v>
      </c>
      <c r="AJ41" s="649">
        <v>212.64516129032256</v>
      </c>
      <c r="AK41" s="7"/>
    </row>
    <row r="42" spans="1:37" ht="12.75" customHeight="1">
      <c r="A42" s="379"/>
      <c r="B42" s="7" t="s">
        <v>138</v>
      </c>
      <c r="C42" s="632"/>
      <c r="D42" s="632"/>
      <c r="E42" s="634"/>
      <c r="F42" s="634"/>
      <c r="G42" s="634"/>
      <c r="H42" s="634"/>
      <c r="I42" s="634"/>
      <c r="J42" s="634"/>
      <c r="K42" s="634"/>
      <c r="L42" s="634"/>
      <c r="M42" s="634"/>
      <c r="N42" s="634"/>
      <c r="O42" s="628"/>
      <c r="P42" s="628">
        <v>184.26723304833854</v>
      </c>
      <c r="Q42" s="628">
        <v>179.37160705804015</v>
      </c>
      <c r="R42" s="628">
        <v>185.81795580691067</v>
      </c>
      <c r="S42" s="628">
        <v>194.45188806405537</v>
      </c>
      <c r="T42" s="628">
        <v>199.51526411668354</v>
      </c>
      <c r="U42" s="628">
        <v>204.36717006520041</v>
      </c>
      <c r="V42" s="628">
        <v>200.48070010659143</v>
      </c>
      <c r="W42" s="628">
        <v>202.67495140040057</v>
      </c>
      <c r="X42" s="628">
        <v>224.04192767793074</v>
      </c>
      <c r="Y42" s="628">
        <v>215.891804633741</v>
      </c>
      <c r="Z42" s="628">
        <v>232.44999167896347</v>
      </c>
      <c r="AA42" s="628">
        <v>240.36605140565939</v>
      </c>
      <c r="AB42" s="628">
        <v>247.69353492960934</v>
      </c>
      <c r="AC42" s="628">
        <v>252.64657153463406</v>
      </c>
      <c r="AD42" s="628">
        <v>259.29812621495876</v>
      </c>
      <c r="AE42" s="628">
        <v>268.21335880204629</v>
      </c>
      <c r="AF42" s="628">
        <v>281.2277010285307</v>
      </c>
      <c r="AG42" s="628">
        <v>287.16553289284354</v>
      </c>
      <c r="AH42" s="628">
        <v>300.82889339159095</v>
      </c>
      <c r="AI42" s="133">
        <v>315.04084888017212</v>
      </c>
      <c r="AJ42" s="648">
        <v>328.93327379818317</v>
      </c>
      <c r="AK42" s="7"/>
    </row>
    <row r="43" spans="1:37" ht="12.75" customHeight="1">
      <c r="A43" s="379"/>
      <c r="B43" s="107" t="s">
        <v>40</v>
      </c>
      <c r="C43" s="637"/>
      <c r="D43" s="637"/>
      <c r="E43" s="639"/>
      <c r="F43" s="639"/>
      <c r="G43" s="639"/>
      <c r="H43" s="639">
        <v>43.606740851138483</v>
      </c>
      <c r="I43" s="639">
        <v>46.756085395260513</v>
      </c>
      <c r="J43" s="639">
        <v>49.063649641916861</v>
      </c>
      <c r="K43" s="639">
        <v>51.57396997047838</v>
      </c>
      <c r="L43" s="639">
        <v>55.229153638113488</v>
      </c>
      <c r="M43" s="639">
        <v>58.344558903312823</v>
      </c>
      <c r="N43" s="639">
        <v>60.881462204227347</v>
      </c>
      <c r="O43" s="481">
        <v>68.317844749027188</v>
      </c>
      <c r="P43" s="481">
        <v>69.124764721699378</v>
      </c>
      <c r="Q43" s="481">
        <v>69.277285658798888</v>
      </c>
      <c r="R43" s="481">
        <v>69.958852759134317</v>
      </c>
      <c r="S43" s="481">
        <v>79.406299826609882</v>
      </c>
      <c r="T43" s="481">
        <v>83.832410896464225</v>
      </c>
      <c r="U43" s="481">
        <v>88.06819025168906</v>
      </c>
      <c r="V43" s="481">
        <v>91.691447694860031</v>
      </c>
      <c r="W43" s="481">
        <v>95.035019596711834</v>
      </c>
      <c r="X43" s="481">
        <v>97.765101049992026</v>
      </c>
      <c r="Y43" s="481">
        <v>102.34081939272455</v>
      </c>
      <c r="Z43" s="481">
        <v>108.57397614689279</v>
      </c>
      <c r="AA43" s="481">
        <v>114.36168412224862</v>
      </c>
      <c r="AB43" s="481">
        <v>121.09275667312188</v>
      </c>
      <c r="AC43" s="481">
        <v>126.87818137748937</v>
      </c>
      <c r="AD43" s="481">
        <v>134.48305041081937</v>
      </c>
      <c r="AE43" s="481">
        <v>141.8031233803535</v>
      </c>
      <c r="AF43" s="481">
        <v>148.9407227585763</v>
      </c>
      <c r="AG43" s="481">
        <v>151.19028145521207</v>
      </c>
      <c r="AH43" s="481">
        <v>150.35777104291159</v>
      </c>
      <c r="AI43" s="653">
        <v>156.66017998199877</v>
      </c>
      <c r="AJ43" s="649">
        <v>161.85664635256904</v>
      </c>
      <c r="AK43" s="7"/>
    </row>
    <row r="44" spans="1:37" ht="12.75" customHeight="1">
      <c r="A44" s="379"/>
      <c r="B44" s="7" t="s">
        <v>313</v>
      </c>
      <c r="C44" s="632"/>
      <c r="D44" s="632"/>
      <c r="E44" s="634"/>
      <c r="F44" s="634"/>
      <c r="G44" s="634"/>
      <c r="H44" s="634"/>
      <c r="I44" s="634"/>
      <c r="J44" s="634"/>
      <c r="K44" s="634"/>
      <c r="L44" s="634"/>
      <c r="M44" s="634"/>
      <c r="N44" s="634"/>
      <c r="O44" s="628"/>
      <c r="P44" s="628"/>
      <c r="Q44" s="628"/>
      <c r="R44" s="628"/>
      <c r="S44" s="628"/>
      <c r="T44" s="628"/>
      <c r="U44" s="628"/>
      <c r="V44" s="628"/>
      <c r="W44" s="628"/>
      <c r="X44" s="628"/>
      <c r="Y44" s="628"/>
      <c r="Z44" s="628"/>
      <c r="AA44" s="628"/>
      <c r="AB44" s="628"/>
      <c r="AC44" s="628"/>
      <c r="AD44" s="628"/>
      <c r="AE44" s="628"/>
      <c r="AF44" s="628"/>
      <c r="AG44" s="628"/>
      <c r="AH44" s="628"/>
      <c r="AI44" s="133"/>
      <c r="AJ44" s="648"/>
      <c r="AK44" s="7"/>
    </row>
    <row r="45" spans="1:37" ht="12.75" customHeight="1">
      <c r="A45" s="379"/>
      <c r="B45" s="344" t="s">
        <v>44</v>
      </c>
      <c r="C45" s="656">
        <v>213.33773155659458</v>
      </c>
      <c r="D45" s="656">
        <v>277.20998646713343</v>
      </c>
      <c r="E45" s="657">
        <v>361.39956192206176</v>
      </c>
      <c r="F45" s="657">
        <v>360.97069401345402</v>
      </c>
      <c r="G45" s="657">
        <v>363.7517322440325</v>
      </c>
      <c r="H45" s="657">
        <v>368.42752365079423</v>
      </c>
      <c r="I45" s="657">
        <v>375.2054933815495</v>
      </c>
      <c r="J45" s="657">
        <v>377.84604613851548</v>
      </c>
      <c r="K45" s="657">
        <v>391.80953923356788</v>
      </c>
      <c r="L45" s="657">
        <v>401.57825563173691</v>
      </c>
      <c r="M45" s="657">
        <v>408.37073466680471</v>
      </c>
      <c r="N45" s="657">
        <v>418.94767268644244</v>
      </c>
      <c r="O45" s="646">
        <v>424.86367873128211</v>
      </c>
      <c r="P45" s="646">
        <v>435.78480759919165</v>
      </c>
      <c r="Q45" s="646">
        <v>445.24323245267163</v>
      </c>
      <c r="R45" s="646">
        <v>451.42416953582057</v>
      </c>
      <c r="S45" s="646">
        <v>462.03550726504</v>
      </c>
      <c r="T45" s="646">
        <v>467.27364424636141</v>
      </c>
      <c r="U45" s="646">
        <v>465.77916669579832</v>
      </c>
      <c r="V45" s="646">
        <v>468.93855218782761</v>
      </c>
      <c r="W45" s="646">
        <v>468.22722346253107</v>
      </c>
      <c r="X45" s="646">
        <v>466.36077630662408</v>
      </c>
      <c r="Y45" s="646">
        <v>465.44585038252671</v>
      </c>
      <c r="Z45" s="646">
        <v>462.74782704451087</v>
      </c>
      <c r="AA45" s="646">
        <v>463.87636889573332</v>
      </c>
      <c r="AB45" s="646">
        <v>467.36400561151913</v>
      </c>
      <c r="AC45" s="646">
        <v>470.49658604600683</v>
      </c>
      <c r="AD45" s="646">
        <v>476.76897814535192</v>
      </c>
      <c r="AE45" s="646">
        <v>482.84173860143852</v>
      </c>
      <c r="AF45" s="646">
        <v>485.25976627547612</v>
      </c>
      <c r="AG45" s="646">
        <v>487.5425059678505</v>
      </c>
      <c r="AH45" s="646">
        <v>490.62341040076939</v>
      </c>
      <c r="AI45" s="646">
        <v>487.43899821109125</v>
      </c>
      <c r="AJ45" s="646">
        <v>490.74100268576552</v>
      </c>
      <c r="AK45" s="607"/>
    </row>
    <row r="46" spans="1:37" ht="12.75" customHeight="1">
      <c r="A46" s="5"/>
      <c r="B46" s="1061" t="s">
        <v>124</v>
      </c>
      <c r="C46" s="1061"/>
      <c r="D46" s="1061"/>
      <c r="E46" s="1061"/>
      <c r="F46" s="1061"/>
      <c r="G46" s="1061"/>
      <c r="H46" s="1061"/>
      <c r="I46" s="1061"/>
      <c r="J46" s="1061"/>
      <c r="K46" s="1061"/>
      <c r="L46" s="1061"/>
      <c r="M46" s="1061"/>
      <c r="N46" s="1061"/>
      <c r="O46" s="1061"/>
      <c r="P46" s="1061"/>
      <c r="Q46" s="1061"/>
      <c r="R46" s="1061"/>
      <c r="S46" s="1061"/>
      <c r="T46" s="100"/>
      <c r="U46" s="100"/>
      <c r="V46" s="100"/>
      <c r="W46" s="100"/>
      <c r="X46" s="100"/>
      <c r="Y46" s="100"/>
      <c r="Z46" s="100"/>
      <c r="AA46" s="100"/>
      <c r="AB46" s="100"/>
      <c r="AC46" s="100"/>
      <c r="AD46" s="100"/>
      <c r="AE46" s="100"/>
      <c r="AF46" s="100"/>
      <c r="AG46" s="100"/>
      <c r="AH46" s="100"/>
      <c r="AI46" s="100"/>
      <c r="AJ46" s="100"/>
      <c r="AK46" s="100"/>
    </row>
    <row r="47" spans="1:37" ht="12.75" customHeight="1">
      <c r="A47" s="5"/>
      <c r="B47" s="1060" t="s">
        <v>290</v>
      </c>
      <c r="C47" s="1060"/>
      <c r="D47" s="1060"/>
      <c r="E47" s="1060"/>
      <c r="F47" s="1060"/>
      <c r="G47" s="1060"/>
      <c r="H47" s="1060"/>
      <c r="I47" s="1060"/>
      <c r="J47" s="1060"/>
      <c r="K47" s="1060"/>
      <c r="L47" s="1060"/>
      <c r="M47" s="1060"/>
      <c r="N47" s="1060"/>
      <c r="O47" s="1060"/>
      <c r="P47" s="1060"/>
      <c r="Q47" s="1060"/>
      <c r="R47" s="1060"/>
      <c r="S47" s="1060"/>
      <c r="T47" s="1060"/>
      <c r="U47" s="1060"/>
      <c r="V47" s="1060"/>
      <c r="W47" s="1060"/>
      <c r="X47" s="1060"/>
      <c r="Y47" s="1060"/>
      <c r="Z47" s="1060"/>
      <c r="AA47" s="1060"/>
      <c r="AB47" s="1060"/>
      <c r="AC47" s="1060"/>
      <c r="AD47" s="1060"/>
      <c r="AE47" s="1060"/>
      <c r="AF47" s="1060"/>
      <c r="AG47" s="1060"/>
      <c r="AH47" s="1060"/>
      <c r="AI47" s="1060"/>
      <c r="AJ47" s="1060"/>
      <c r="AK47" s="1060"/>
    </row>
    <row r="48" spans="1:37" ht="15" customHeight="1"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</row>
    <row r="49" ht="27" customHeight="1"/>
    <row r="50" ht="12.75" customHeight="1"/>
  </sheetData>
  <mergeCells count="5">
    <mergeCell ref="B47:AK47"/>
    <mergeCell ref="B46:S46"/>
    <mergeCell ref="B1:C1"/>
    <mergeCell ref="B2:AJ2"/>
    <mergeCell ref="B3:AJ3"/>
  </mergeCells>
  <phoneticPr fontId="7" type="noConversion"/>
  <printOptions horizontalCentered="1"/>
  <pageMargins left="0.6692913385826772" right="0.48" top="0.47" bottom="0.39" header="0.31" footer="0"/>
  <pageSetup paperSize="9" scale="95" orientation="landscape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341"/>
  <dimension ref="A1:AB51"/>
  <sheetViews>
    <sheetView topLeftCell="A19" zoomScaleNormal="100" workbookViewId="0">
      <selection activeCell="AF51" sqref="AF51"/>
    </sheetView>
  </sheetViews>
  <sheetFormatPr defaultColWidth="9.1328125" defaultRowHeight="10.15"/>
  <cols>
    <col min="1" max="1" width="3.73046875" style="1" customWidth="1"/>
    <col min="2" max="2" width="4" style="1" customWidth="1"/>
    <col min="3" max="10" width="7.73046875" style="1" customWidth="1"/>
    <col min="11" max="26" width="8.265625" style="1" customWidth="1"/>
    <col min="27" max="27" width="7.1328125" style="1" customWidth="1"/>
    <col min="28" max="28" width="5.1328125" style="1" customWidth="1"/>
    <col min="29" max="16384" width="9.1328125" style="1"/>
  </cols>
  <sheetData>
    <row r="1" spans="1:28" ht="14.25" customHeight="1">
      <c r="B1" s="21"/>
      <c r="C1" s="13"/>
      <c r="D1" s="13"/>
      <c r="E1" s="13"/>
      <c r="F1" s="13"/>
      <c r="G1" s="13"/>
      <c r="H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AA1" s="22" t="s">
        <v>120</v>
      </c>
    </row>
    <row r="2" spans="1:28" s="39" customFormat="1" ht="30" customHeight="1">
      <c r="B2" s="1063" t="s">
        <v>270</v>
      </c>
      <c r="C2" s="1063"/>
      <c r="D2" s="1063"/>
      <c r="E2" s="1063"/>
      <c r="F2" s="1063"/>
      <c r="G2" s="1063"/>
      <c r="H2" s="1063"/>
      <c r="I2" s="1063"/>
      <c r="J2" s="1063"/>
      <c r="K2" s="1063"/>
      <c r="L2" s="1063"/>
      <c r="M2" s="1063"/>
      <c r="N2" s="1063"/>
      <c r="O2" s="1063"/>
      <c r="P2" s="1063"/>
      <c r="Q2" s="1063"/>
      <c r="R2" s="1063"/>
      <c r="S2" s="1063"/>
      <c r="T2" s="1063"/>
      <c r="U2" s="1063"/>
      <c r="V2" s="1063"/>
      <c r="W2" s="1063"/>
      <c r="X2" s="1063"/>
      <c r="Y2" s="1063"/>
      <c r="Z2" s="1063"/>
      <c r="AA2" s="1063"/>
      <c r="AB2" s="1063"/>
    </row>
    <row r="3" spans="1:28" ht="18" customHeight="1">
      <c r="B3" s="1178" t="s">
        <v>3</v>
      </c>
      <c r="C3" s="1178"/>
      <c r="D3" s="1178"/>
      <c r="E3" s="1178"/>
      <c r="F3" s="1178"/>
      <c r="G3" s="1178"/>
      <c r="H3" s="1178"/>
      <c r="I3" s="1178"/>
      <c r="J3" s="1178"/>
      <c r="K3" s="1178"/>
      <c r="L3" s="1178"/>
      <c r="M3" s="1178"/>
      <c r="N3" s="1178"/>
      <c r="O3" s="1178"/>
      <c r="P3" s="1178"/>
      <c r="Q3" s="1178"/>
      <c r="R3" s="1178"/>
      <c r="S3" s="1178"/>
      <c r="T3" s="1178"/>
      <c r="U3" s="1178"/>
      <c r="V3" s="1178"/>
      <c r="W3" s="1178"/>
      <c r="X3" s="1178"/>
      <c r="Y3" s="1178"/>
      <c r="Z3" s="1178"/>
      <c r="AA3" s="1178"/>
      <c r="AB3" s="1178"/>
    </row>
    <row r="4" spans="1:28" ht="24.95" customHeight="1">
      <c r="B4" s="72"/>
      <c r="C4" s="29">
        <v>1970</v>
      </c>
      <c r="D4" s="30">
        <v>1980</v>
      </c>
      <c r="E4" s="30">
        <v>1990</v>
      </c>
      <c r="F4" s="30">
        <v>2000</v>
      </c>
      <c r="G4" s="30">
        <v>2001</v>
      </c>
      <c r="H4" s="30">
        <v>2002</v>
      </c>
      <c r="I4" s="30">
        <v>2003</v>
      </c>
      <c r="J4" s="30">
        <v>2004</v>
      </c>
      <c r="K4" s="31">
        <v>2005</v>
      </c>
      <c r="L4" s="30">
        <v>2006</v>
      </c>
      <c r="M4" s="30" t="s">
        <v>87</v>
      </c>
      <c r="N4" s="30" t="s">
        <v>97</v>
      </c>
      <c r="O4" s="30" t="s">
        <v>123</v>
      </c>
      <c r="P4" s="30" t="s">
        <v>133</v>
      </c>
      <c r="Q4" s="30" t="s">
        <v>136</v>
      </c>
      <c r="R4" s="30" t="s">
        <v>143</v>
      </c>
      <c r="S4" s="30" t="s">
        <v>149</v>
      </c>
      <c r="T4" s="61" t="s">
        <v>160</v>
      </c>
      <c r="U4" s="61" t="s">
        <v>162</v>
      </c>
      <c r="V4" s="30" t="s">
        <v>166</v>
      </c>
      <c r="W4" s="30" t="s">
        <v>171</v>
      </c>
      <c r="X4" s="30" t="s">
        <v>238</v>
      </c>
      <c r="Y4" s="30" t="s">
        <v>297</v>
      </c>
      <c r="Z4" s="61">
        <v>2020</v>
      </c>
      <c r="AA4" s="61">
        <v>2021</v>
      </c>
      <c r="AB4" s="480"/>
    </row>
    <row r="5" spans="1:28" ht="12.75" customHeight="1">
      <c r="B5" s="106" t="s">
        <v>237</v>
      </c>
      <c r="C5" s="46"/>
      <c r="D5" s="47"/>
      <c r="E5" s="273"/>
      <c r="F5" s="273"/>
      <c r="G5" s="272">
        <v>867967</v>
      </c>
      <c r="H5" s="272">
        <v>834634</v>
      </c>
      <c r="I5" s="272"/>
      <c r="J5" s="272"/>
      <c r="K5" s="298"/>
      <c r="L5" s="272"/>
      <c r="M5" s="272"/>
      <c r="N5" s="272"/>
      <c r="O5" s="272"/>
      <c r="P5" s="272"/>
      <c r="Q5" s="272"/>
      <c r="R5" s="272"/>
      <c r="S5" s="272"/>
      <c r="T5" s="272"/>
      <c r="U5" s="272"/>
      <c r="V5" s="272"/>
      <c r="W5" s="272"/>
      <c r="X5" s="272"/>
      <c r="Y5" s="272"/>
      <c r="Z5" s="272"/>
      <c r="AA5" s="298"/>
      <c r="AB5" s="41" t="s">
        <v>237</v>
      </c>
    </row>
    <row r="6" spans="1:28" ht="12.75" customHeight="1">
      <c r="A6" s="5"/>
      <c r="B6" s="6" t="s">
        <v>45</v>
      </c>
      <c r="C6" s="48">
        <v>44651</v>
      </c>
      <c r="D6" s="49">
        <v>42968</v>
      </c>
      <c r="E6" s="306">
        <v>30332</v>
      </c>
      <c r="F6" s="306">
        <v>18790</v>
      </c>
      <c r="G6" s="306">
        <v>19719</v>
      </c>
      <c r="H6" s="306">
        <v>20312</v>
      </c>
      <c r="I6" s="306">
        <v>20101</v>
      </c>
      <c r="J6" s="306">
        <v>18782</v>
      </c>
      <c r="K6" s="308">
        <v>17375</v>
      </c>
      <c r="L6" s="306">
        <v>15544</v>
      </c>
      <c r="M6" s="306">
        <v>10616</v>
      </c>
      <c r="N6" s="306">
        <v>9573</v>
      </c>
      <c r="O6" s="306">
        <v>11612</v>
      </c>
      <c r="P6" s="306">
        <v>11612</v>
      </c>
      <c r="Q6" s="307">
        <v>11612</v>
      </c>
      <c r="R6" s="307">
        <v>11612</v>
      </c>
      <c r="S6" s="307">
        <v>11612</v>
      </c>
      <c r="T6" s="307">
        <v>11612</v>
      </c>
      <c r="U6" s="307">
        <v>11612</v>
      </c>
      <c r="V6" s="306">
        <v>6934</v>
      </c>
      <c r="W6" s="306">
        <v>6934</v>
      </c>
      <c r="X6" s="306">
        <v>7046</v>
      </c>
      <c r="Y6" s="306">
        <v>7123</v>
      </c>
      <c r="Z6" s="307">
        <v>7123</v>
      </c>
      <c r="AA6" s="308">
        <f>5225</f>
        <v>5225</v>
      </c>
      <c r="AB6" s="43" t="s">
        <v>45</v>
      </c>
    </row>
    <row r="7" spans="1:28" ht="12.75" customHeight="1">
      <c r="A7" s="5"/>
      <c r="B7" s="34" t="s">
        <v>28</v>
      </c>
      <c r="C7" s="50">
        <v>33850</v>
      </c>
      <c r="D7" s="51">
        <v>37272</v>
      </c>
      <c r="E7" s="319">
        <v>42459</v>
      </c>
      <c r="F7" s="279">
        <v>29720</v>
      </c>
      <c r="G7" s="279">
        <v>16609</v>
      </c>
      <c r="H7" s="279">
        <v>17508</v>
      </c>
      <c r="I7" s="279">
        <v>17259</v>
      </c>
      <c r="J7" s="279">
        <v>16382</v>
      </c>
      <c r="K7" s="300">
        <v>16511</v>
      </c>
      <c r="L7" s="279">
        <v>17111</v>
      </c>
      <c r="M7" s="279">
        <v>12417</v>
      </c>
      <c r="N7" s="279">
        <v>12825</v>
      </c>
      <c r="O7" s="279">
        <v>12743</v>
      </c>
      <c r="P7" s="279">
        <v>11751</v>
      </c>
      <c r="Q7" s="279">
        <v>16458</v>
      </c>
      <c r="R7" s="279">
        <v>16576</v>
      </c>
      <c r="S7" s="335">
        <v>5483</v>
      </c>
      <c r="T7" s="279">
        <v>5325</v>
      </c>
      <c r="U7" s="279">
        <v>4572</v>
      </c>
      <c r="V7" s="279">
        <v>4586</v>
      </c>
      <c r="W7" s="279">
        <v>4510</v>
      </c>
      <c r="X7" s="487">
        <v>4629</v>
      </c>
      <c r="Y7" s="487">
        <v>4877</v>
      </c>
      <c r="Z7" s="487">
        <v>4838</v>
      </c>
      <c r="AA7" s="300">
        <v>4873</v>
      </c>
      <c r="AB7" s="42" t="s">
        <v>28</v>
      </c>
    </row>
    <row r="8" spans="1:28" ht="12.75" customHeight="1">
      <c r="A8" s="5"/>
      <c r="B8" s="7" t="s">
        <v>30</v>
      </c>
      <c r="C8" s="52"/>
      <c r="D8" s="53"/>
      <c r="E8" s="286"/>
      <c r="F8" s="277">
        <v>58524</v>
      </c>
      <c r="G8" s="277">
        <v>50180</v>
      </c>
      <c r="H8" s="277">
        <v>46789</v>
      </c>
      <c r="I8" s="277">
        <v>45506</v>
      </c>
      <c r="J8" s="277">
        <v>44805</v>
      </c>
      <c r="K8" s="301">
        <v>44545</v>
      </c>
      <c r="L8" s="277">
        <v>42762</v>
      </c>
      <c r="M8" s="277">
        <v>32809</v>
      </c>
      <c r="N8" s="277">
        <v>31656</v>
      </c>
      <c r="O8" s="277">
        <v>29194</v>
      </c>
      <c r="P8" s="277">
        <v>27416</v>
      </c>
      <c r="Q8" s="277">
        <v>27314</v>
      </c>
      <c r="R8" s="277">
        <v>27066</v>
      </c>
      <c r="S8" s="277">
        <v>26281</v>
      </c>
      <c r="T8" s="277">
        <v>25965</v>
      </c>
      <c r="U8" s="277">
        <v>25863</v>
      </c>
      <c r="V8" s="277">
        <v>25322</v>
      </c>
      <c r="W8" s="277">
        <v>23560</v>
      </c>
      <c r="X8" s="277">
        <v>22578</v>
      </c>
      <c r="Y8" s="277">
        <v>21835</v>
      </c>
      <c r="Z8" s="277">
        <v>21611</v>
      </c>
      <c r="AA8" s="301">
        <v>20600</v>
      </c>
      <c r="AB8" s="44" t="s">
        <v>30</v>
      </c>
    </row>
    <row r="9" spans="1:28" ht="12.75" customHeight="1">
      <c r="A9" s="5"/>
      <c r="B9" s="34" t="s">
        <v>41</v>
      </c>
      <c r="C9" s="50">
        <v>10995</v>
      </c>
      <c r="D9" s="51">
        <v>6883</v>
      </c>
      <c r="E9" s="279">
        <v>4632</v>
      </c>
      <c r="F9" s="279">
        <v>2236</v>
      </c>
      <c r="G9" s="279">
        <v>2236</v>
      </c>
      <c r="H9" s="290">
        <v>2200</v>
      </c>
      <c r="I9" s="229"/>
      <c r="J9" s="229"/>
      <c r="K9" s="320"/>
      <c r="L9" s="229"/>
      <c r="M9" s="229"/>
      <c r="N9" s="229"/>
      <c r="O9" s="229"/>
      <c r="P9" s="229"/>
      <c r="Q9" s="229"/>
      <c r="R9" s="229"/>
      <c r="S9" s="229"/>
      <c r="T9" s="229"/>
      <c r="U9" s="229"/>
      <c r="V9" s="229"/>
      <c r="W9" s="229"/>
      <c r="X9" s="497"/>
      <c r="Y9" s="497"/>
      <c r="Z9" s="497"/>
      <c r="AA9" s="320"/>
      <c r="AB9" s="42" t="s">
        <v>41</v>
      </c>
    </row>
    <row r="10" spans="1:28" ht="12.75" customHeight="1">
      <c r="A10" s="5"/>
      <c r="B10" s="7" t="s">
        <v>46</v>
      </c>
      <c r="C10" s="55">
        <v>459030</v>
      </c>
      <c r="D10" s="54">
        <v>476437</v>
      </c>
      <c r="E10" s="277">
        <v>366724</v>
      </c>
      <c r="F10" s="277">
        <v>189558</v>
      </c>
      <c r="G10" s="277">
        <v>182836</v>
      </c>
      <c r="H10" s="227">
        <v>179000</v>
      </c>
      <c r="I10" s="277">
        <v>176837</v>
      </c>
      <c r="J10" s="277">
        <v>237313</v>
      </c>
      <c r="K10" s="301">
        <v>158247</v>
      </c>
      <c r="L10" s="277">
        <v>155468</v>
      </c>
      <c r="M10" s="277">
        <v>95595</v>
      </c>
      <c r="N10" s="277">
        <v>119916</v>
      </c>
      <c r="O10" s="277">
        <v>113657</v>
      </c>
      <c r="P10" s="277">
        <v>108840</v>
      </c>
      <c r="Q10" s="277">
        <v>106727</v>
      </c>
      <c r="R10" s="277">
        <v>104460</v>
      </c>
      <c r="S10" s="277">
        <v>96868</v>
      </c>
      <c r="T10" s="277">
        <v>91787</v>
      </c>
      <c r="U10" s="277">
        <v>88066</v>
      </c>
      <c r="V10" s="277">
        <v>86468</v>
      </c>
      <c r="W10" s="277">
        <v>82864</v>
      </c>
      <c r="X10" s="277">
        <v>80608</v>
      </c>
      <c r="Y10" s="277">
        <v>79531</v>
      </c>
      <c r="Z10" s="277">
        <v>78101</v>
      </c>
      <c r="AA10" s="301">
        <v>76873</v>
      </c>
      <c r="AB10" s="44" t="s">
        <v>46</v>
      </c>
    </row>
    <row r="11" spans="1:28" ht="12.75" customHeight="1">
      <c r="A11" s="5"/>
      <c r="B11" s="34" t="s">
        <v>31</v>
      </c>
      <c r="C11" s="50"/>
      <c r="D11" s="51"/>
      <c r="E11" s="279"/>
      <c r="F11" s="279">
        <v>5857</v>
      </c>
      <c r="G11" s="279">
        <v>6122</v>
      </c>
      <c r="H11" s="279">
        <v>7531</v>
      </c>
      <c r="I11" s="279">
        <v>17436</v>
      </c>
      <c r="J11" s="279">
        <v>20352</v>
      </c>
      <c r="K11" s="300">
        <v>18971</v>
      </c>
      <c r="L11" s="279">
        <v>18376</v>
      </c>
      <c r="M11" s="279">
        <v>16781</v>
      </c>
      <c r="N11" s="279">
        <v>19643</v>
      </c>
      <c r="O11" s="279">
        <v>18284</v>
      </c>
      <c r="P11" s="279">
        <v>17575</v>
      </c>
      <c r="Q11" s="279">
        <v>18995</v>
      </c>
      <c r="R11" s="279">
        <v>21667</v>
      </c>
      <c r="S11" s="279">
        <v>22285</v>
      </c>
      <c r="T11" s="279">
        <v>21188</v>
      </c>
      <c r="U11" s="279">
        <v>21501</v>
      </c>
      <c r="V11" s="279">
        <v>21586</v>
      </c>
      <c r="W11" s="279">
        <v>21835</v>
      </c>
      <c r="X11" s="487">
        <v>22522</v>
      </c>
      <c r="Y11" s="487">
        <v>22752</v>
      </c>
      <c r="Z11" s="487">
        <v>22852</v>
      </c>
      <c r="AA11" s="300">
        <v>22678</v>
      </c>
      <c r="AB11" s="42" t="s">
        <v>31</v>
      </c>
    </row>
    <row r="12" spans="1:28" ht="12.75" customHeight="1">
      <c r="A12" s="5"/>
      <c r="B12" s="7" t="s">
        <v>49</v>
      </c>
      <c r="C12" s="55">
        <v>9727</v>
      </c>
      <c r="D12" s="54">
        <v>4417</v>
      </c>
      <c r="E12" s="277">
        <v>1830</v>
      </c>
      <c r="F12" s="277">
        <v>1856</v>
      </c>
      <c r="G12" s="277">
        <v>1856</v>
      </c>
      <c r="H12" s="277">
        <v>1856</v>
      </c>
      <c r="I12" s="277">
        <v>1611</v>
      </c>
      <c r="J12" s="277">
        <v>833</v>
      </c>
      <c r="K12" s="301">
        <v>926</v>
      </c>
      <c r="L12" s="277">
        <v>1095</v>
      </c>
      <c r="M12" s="277">
        <v>891</v>
      </c>
      <c r="N12" s="277">
        <v>891</v>
      </c>
      <c r="O12" s="277"/>
      <c r="P12" s="277">
        <v>502</v>
      </c>
      <c r="Q12" s="284">
        <v>502</v>
      </c>
      <c r="R12" s="277">
        <v>254</v>
      </c>
      <c r="S12" s="284">
        <v>254</v>
      </c>
      <c r="T12" s="277">
        <v>254</v>
      </c>
      <c r="U12" s="277">
        <v>254</v>
      </c>
      <c r="V12" s="284">
        <v>254</v>
      </c>
      <c r="W12" s="277">
        <v>254</v>
      </c>
      <c r="X12" s="277">
        <v>254</v>
      </c>
      <c r="Y12" s="277">
        <v>254</v>
      </c>
      <c r="Z12" s="277">
        <v>254</v>
      </c>
      <c r="AA12" s="284">
        <f>Z12</f>
        <v>254</v>
      </c>
      <c r="AB12" s="44" t="s">
        <v>49</v>
      </c>
    </row>
    <row r="13" spans="1:28" ht="12.75" customHeight="1">
      <c r="A13" s="5"/>
      <c r="B13" s="34" t="s">
        <v>42</v>
      </c>
      <c r="C13" s="50">
        <v>9025</v>
      </c>
      <c r="D13" s="51">
        <v>10871</v>
      </c>
      <c r="E13" s="279">
        <v>10967</v>
      </c>
      <c r="F13" s="279">
        <v>3453</v>
      </c>
      <c r="G13" s="279">
        <v>3539</v>
      </c>
      <c r="H13" s="279">
        <v>3539</v>
      </c>
      <c r="I13" s="279">
        <v>3473</v>
      </c>
      <c r="J13" s="279">
        <v>3497</v>
      </c>
      <c r="K13" s="300">
        <v>3491</v>
      </c>
      <c r="L13" s="279">
        <v>3166</v>
      </c>
      <c r="M13" s="279">
        <v>3568</v>
      </c>
      <c r="N13" s="279">
        <v>4763</v>
      </c>
      <c r="O13" s="279"/>
      <c r="P13" s="279">
        <v>3158</v>
      </c>
      <c r="Q13" s="279">
        <v>3158</v>
      </c>
      <c r="R13" s="279">
        <v>3158</v>
      </c>
      <c r="S13" s="279">
        <v>3184</v>
      </c>
      <c r="T13" s="279">
        <v>3522</v>
      </c>
      <c r="U13" s="279">
        <v>3522</v>
      </c>
      <c r="V13" s="279">
        <v>3522</v>
      </c>
      <c r="W13" s="279">
        <v>3522</v>
      </c>
      <c r="X13" s="290"/>
      <c r="Y13" s="487">
        <v>715</v>
      </c>
      <c r="Z13" s="487">
        <v>715</v>
      </c>
      <c r="AA13" s="300">
        <f>715</f>
        <v>715</v>
      </c>
      <c r="AB13" s="42" t="s">
        <v>42</v>
      </c>
    </row>
    <row r="14" spans="1:28" ht="12.75" customHeight="1">
      <c r="A14" s="5"/>
      <c r="B14" s="7" t="s">
        <v>47</v>
      </c>
      <c r="C14" s="55">
        <v>53336</v>
      </c>
      <c r="D14" s="54">
        <v>40773</v>
      </c>
      <c r="E14" s="277">
        <v>37687</v>
      </c>
      <c r="F14" s="277">
        <v>26452</v>
      </c>
      <c r="G14" s="277">
        <v>25867</v>
      </c>
      <c r="H14" s="277">
        <v>26228</v>
      </c>
      <c r="I14" s="277">
        <v>25426</v>
      </c>
      <c r="J14" s="277">
        <v>25542</v>
      </c>
      <c r="K14" s="301">
        <v>23842</v>
      </c>
      <c r="L14" s="277">
        <v>15031</v>
      </c>
      <c r="M14" s="277">
        <v>15524</v>
      </c>
      <c r="N14" s="277">
        <v>14973</v>
      </c>
      <c r="O14" s="277">
        <v>12447</v>
      </c>
      <c r="P14" s="277">
        <v>14337</v>
      </c>
      <c r="Q14" s="277">
        <v>13732</v>
      </c>
      <c r="R14" s="277">
        <v>14148</v>
      </c>
      <c r="S14" s="277">
        <v>14900</v>
      </c>
      <c r="T14" s="277">
        <v>13702</v>
      </c>
      <c r="U14" s="277">
        <v>11353</v>
      </c>
      <c r="V14" s="277">
        <v>11346</v>
      </c>
      <c r="W14" s="277">
        <v>11292</v>
      </c>
      <c r="X14" s="277">
        <v>11382</v>
      </c>
      <c r="Y14" s="277">
        <v>10168</v>
      </c>
      <c r="Z14" s="277">
        <v>10162</v>
      </c>
      <c r="AA14" s="301">
        <v>9980</v>
      </c>
      <c r="AB14" s="44" t="s">
        <v>47</v>
      </c>
    </row>
    <row r="15" spans="1:28" ht="12.75" customHeight="1">
      <c r="A15" s="5"/>
      <c r="B15" s="34" t="s">
        <v>48</v>
      </c>
      <c r="C15" s="50">
        <v>291450</v>
      </c>
      <c r="D15" s="51">
        <v>239800</v>
      </c>
      <c r="E15" s="319">
        <v>148100</v>
      </c>
      <c r="F15" s="279">
        <v>94789</v>
      </c>
      <c r="G15" s="279">
        <v>109770</v>
      </c>
      <c r="H15" s="279">
        <v>107033</v>
      </c>
      <c r="I15" s="279">
        <v>103833</v>
      </c>
      <c r="J15" s="279">
        <v>99372</v>
      </c>
      <c r="K15" s="300">
        <v>95738</v>
      </c>
      <c r="L15" s="279">
        <v>91816</v>
      </c>
      <c r="M15" s="279">
        <v>31589</v>
      </c>
      <c r="N15" s="279">
        <v>31845</v>
      </c>
      <c r="O15" s="279">
        <v>29028</v>
      </c>
      <c r="P15" s="279">
        <v>25314</v>
      </c>
      <c r="Q15" s="279">
        <v>20322</v>
      </c>
      <c r="R15" s="279">
        <v>17830</v>
      </c>
      <c r="S15" s="279">
        <v>16333</v>
      </c>
      <c r="T15" s="279">
        <v>15017</v>
      </c>
      <c r="U15" s="279">
        <v>14052</v>
      </c>
      <c r="V15" s="279">
        <v>12347</v>
      </c>
      <c r="W15" s="279">
        <v>12347</v>
      </c>
      <c r="X15" s="487">
        <v>12347</v>
      </c>
      <c r="Y15" s="487">
        <v>12347</v>
      </c>
      <c r="Z15" s="487">
        <v>13976</v>
      </c>
      <c r="AA15" s="300">
        <v>11734</v>
      </c>
      <c r="AB15" s="42" t="s">
        <v>48</v>
      </c>
    </row>
    <row r="16" spans="1:28" ht="12.75" customHeight="1">
      <c r="A16" s="5"/>
      <c r="B16" s="7" t="s">
        <v>59</v>
      </c>
      <c r="C16" s="55">
        <v>0</v>
      </c>
      <c r="D16" s="54">
        <v>12852</v>
      </c>
      <c r="E16" s="277">
        <v>13720</v>
      </c>
      <c r="F16" s="277">
        <v>9986</v>
      </c>
      <c r="G16" s="277">
        <v>9456</v>
      </c>
      <c r="H16" s="277">
        <v>8774</v>
      </c>
      <c r="I16" s="277">
        <v>7920</v>
      </c>
      <c r="J16" s="277">
        <v>7376</v>
      </c>
      <c r="K16" s="301">
        <v>7330</v>
      </c>
      <c r="L16" s="277">
        <v>6813</v>
      </c>
      <c r="M16" s="277">
        <v>6781</v>
      </c>
      <c r="N16" s="277">
        <v>6632</v>
      </c>
      <c r="O16" s="277">
        <v>5857</v>
      </c>
      <c r="P16" s="277">
        <v>6674</v>
      </c>
      <c r="Q16" s="277">
        <v>6063</v>
      </c>
      <c r="R16" s="284">
        <v>6063</v>
      </c>
      <c r="S16" s="277">
        <v>5959</v>
      </c>
      <c r="T16" s="277">
        <v>5518</v>
      </c>
      <c r="U16" s="277">
        <v>5519</v>
      </c>
      <c r="V16" s="277">
        <v>5513</v>
      </c>
      <c r="W16" s="277">
        <v>5420</v>
      </c>
      <c r="X16" s="277">
        <v>5326</v>
      </c>
      <c r="Y16" s="277">
        <v>5252</v>
      </c>
      <c r="Z16" s="277">
        <v>5251</v>
      </c>
      <c r="AA16" s="301">
        <v>4969</v>
      </c>
      <c r="AB16" s="44" t="s">
        <v>59</v>
      </c>
    </row>
    <row r="17" spans="1:28" ht="12.75" customHeight="1">
      <c r="A17" s="5"/>
      <c r="B17" s="107" t="s">
        <v>50</v>
      </c>
      <c r="C17" s="211">
        <v>125200</v>
      </c>
      <c r="D17" s="212">
        <v>115228</v>
      </c>
      <c r="E17" s="321">
        <v>99728</v>
      </c>
      <c r="F17" s="279">
        <v>70115</v>
      </c>
      <c r="G17" s="279">
        <v>73146</v>
      </c>
      <c r="H17" s="279">
        <v>56900</v>
      </c>
      <c r="I17" s="279">
        <v>56175</v>
      </c>
      <c r="J17" s="279">
        <v>54598</v>
      </c>
      <c r="K17" s="302">
        <v>45730</v>
      </c>
      <c r="L17" s="279">
        <v>46450</v>
      </c>
      <c r="M17" s="279">
        <v>41477</v>
      </c>
      <c r="N17" s="279">
        <v>40819</v>
      </c>
      <c r="O17" s="279">
        <v>38500</v>
      </c>
      <c r="P17" s="279">
        <v>30331</v>
      </c>
      <c r="Q17" s="279">
        <v>28493</v>
      </c>
      <c r="R17" s="279">
        <v>22140</v>
      </c>
      <c r="S17" s="279">
        <v>20625</v>
      </c>
      <c r="T17" s="279">
        <v>20515</v>
      </c>
      <c r="U17" s="279">
        <v>20270</v>
      </c>
      <c r="V17" s="279">
        <v>19079</v>
      </c>
      <c r="W17" s="279">
        <v>17364</v>
      </c>
      <c r="X17" s="279">
        <v>15383</v>
      </c>
      <c r="Y17" s="279">
        <v>13697</v>
      </c>
      <c r="Z17" s="279">
        <v>13173</v>
      </c>
      <c r="AA17" s="302">
        <v>10168</v>
      </c>
      <c r="AB17" s="194" t="s">
        <v>50</v>
      </c>
    </row>
    <row r="18" spans="1:28" ht="12.75" customHeight="1">
      <c r="A18" s="5"/>
      <c r="B18" s="7" t="s">
        <v>29</v>
      </c>
      <c r="C18" s="52" t="s">
        <v>58</v>
      </c>
      <c r="D18" s="53" t="s">
        <v>58</v>
      </c>
      <c r="E18" s="286" t="s">
        <v>58</v>
      </c>
      <c r="F18" s="286" t="s">
        <v>58</v>
      </c>
      <c r="G18" s="286" t="s">
        <v>58</v>
      </c>
      <c r="H18" s="286" t="s">
        <v>58</v>
      </c>
      <c r="I18" s="286" t="s">
        <v>58</v>
      </c>
      <c r="J18" s="286" t="s">
        <v>58</v>
      </c>
      <c r="K18" s="309" t="s">
        <v>58</v>
      </c>
      <c r="L18" s="286" t="s">
        <v>58</v>
      </c>
      <c r="M18" s="286" t="s">
        <v>58</v>
      </c>
      <c r="N18" s="286" t="s">
        <v>58</v>
      </c>
      <c r="O18" s="286" t="s">
        <v>58</v>
      </c>
      <c r="P18" s="286" t="s">
        <v>58</v>
      </c>
      <c r="Q18" s="286" t="s">
        <v>58</v>
      </c>
      <c r="R18" s="286" t="s">
        <v>58</v>
      </c>
      <c r="S18" s="286" t="s">
        <v>58</v>
      </c>
      <c r="T18" s="286" t="s">
        <v>58</v>
      </c>
      <c r="U18" s="286" t="s">
        <v>58</v>
      </c>
      <c r="V18" s="286" t="s">
        <v>58</v>
      </c>
      <c r="W18" s="286" t="s">
        <v>58</v>
      </c>
      <c r="X18" s="286" t="s">
        <v>58</v>
      </c>
      <c r="Y18" s="286" t="s">
        <v>58</v>
      </c>
      <c r="Z18" s="286" t="s">
        <v>58</v>
      </c>
      <c r="AA18" s="309" t="s">
        <v>58</v>
      </c>
      <c r="AB18" s="44" t="s">
        <v>29</v>
      </c>
    </row>
    <row r="19" spans="1:28" ht="12.75" customHeight="1">
      <c r="A19" s="5"/>
      <c r="B19" s="107" t="s">
        <v>33</v>
      </c>
      <c r="C19" s="211"/>
      <c r="D19" s="212"/>
      <c r="E19" s="279">
        <v>11085</v>
      </c>
      <c r="F19" s="279">
        <v>9146</v>
      </c>
      <c r="G19" s="279">
        <v>8105</v>
      </c>
      <c r="H19" s="279">
        <v>7911</v>
      </c>
      <c r="I19" s="279">
        <v>7952</v>
      </c>
      <c r="J19" s="279">
        <v>8706</v>
      </c>
      <c r="K19" s="302">
        <v>8871</v>
      </c>
      <c r="L19" s="279">
        <v>8848</v>
      </c>
      <c r="M19" s="279">
        <v>8891</v>
      </c>
      <c r="N19" s="279">
        <v>8796</v>
      </c>
      <c r="O19" s="279">
        <v>9493</v>
      </c>
      <c r="P19" s="279">
        <v>9033</v>
      </c>
      <c r="Q19" s="279">
        <v>9221</v>
      </c>
      <c r="R19" s="279">
        <v>9602</v>
      </c>
      <c r="S19" s="279">
        <v>9992</v>
      </c>
      <c r="T19" s="279">
        <v>10239</v>
      </c>
      <c r="U19" s="279">
        <v>9807</v>
      </c>
      <c r="V19" s="279">
        <v>8896</v>
      </c>
      <c r="W19" s="279">
        <v>8769</v>
      </c>
      <c r="X19" s="279">
        <v>8012</v>
      </c>
      <c r="Y19" s="279">
        <v>7215</v>
      </c>
      <c r="Z19" s="279">
        <v>6107</v>
      </c>
      <c r="AA19" s="302">
        <v>5981</v>
      </c>
      <c r="AB19" s="194" t="s">
        <v>33</v>
      </c>
    </row>
    <row r="20" spans="1:28" ht="12.75" customHeight="1">
      <c r="A20" s="5"/>
      <c r="B20" s="7" t="s">
        <v>34</v>
      </c>
      <c r="C20" s="55"/>
      <c r="D20" s="54"/>
      <c r="E20" s="284">
        <v>12860</v>
      </c>
      <c r="F20" s="277">
        <v>13155</v>
      </c>
      <c r="G20" s="277">
        <v>12509</v>
      </c>
      <c r="H20" s="277">
        <v>12391</v>
      </c>
      <c r="I20" s="277">
        <v>12144</v>
      </c>
      <c r="J20" s="277">
        <v>13134</v>
      </c>
      <c r="K20" s="301">
        <v>13192</v>
      </c>
      <c r="L20" s="277">
        <v>13393</v>
      </c>
      <c r="M20" s="277">
        <v>9486</v>
      </c>
      <c r="N20" s="277">
        <v>9648</v>
      </c>
      <c r="O20" s="277">
        <v>9561</v>
      </c>
      <c r="P20" s="277">
        <v>9238</v>
      </c>
      <c r="Q20" s="277">
        <v>9212</v>
      </c>
      <c r="R20" s="277">
        <v>9112</v>
      </c>
      <c r="S20" s="277">
        <v>9202</v>
      </c>
      <c r="T20" s="277">
        <v>8784</v>
      </c>
      <c r="U20" s="277">
        <v>8574</v>
      </c>
      <c r="V20" s="277">
        <v>8333</v>
      </c>
      <c r="W20" s="277">
        <v>8131</v>
      </c>
      <c r="X20" s="277">
        <v>7772</v>
      </c>
      <c r="Y20" s="277">
        <v>7692</v>
      </c>
      <c r="Z20" s="277">
        <v>7514</v>
      </c>
      <c r="AA20" s="301">
        <v>7176</v>
      </c>
      <c r="AB20" s="44" t="s">
        <v>34</v>
      </c>
    </row>
    <row r="21" spans="1:28" ht="12.75" customHeight="1">
      <c r="A21" s="5"/>
      <c r="B21" s="107" t="s">
        <v>51</v>
      </c>
      <c r="C21" s="211">
        <v>4230</v>
      </c>
      <c r="D21" s="212">
        <v>3650</v>
      </c>
      <c r="E21" s="279">
        <v>2719</v>
      </c>
      <c r="F21" s="279">
        <v>2626</v>
      </c>
      <c r="G21" s="279">
        <v>2878</v>
      </c>
      <c r="H21" s="279">
        <v>3092</v>
      </c>
      <c r="I21" s="279">
        <v>3328</v>
      </c>
      <c r="J21" s="279">
        <v>3206</v>
      </c>
      <c r="K21" s="302">
        <v>3222</v>
      </c>
      <c r="L21" s="279">
        <v>3456</v>
      </c>
      <c r="M21" s="279">
        <v>3526</v>
      </c>
      <c r="N21" s="279">
        <v>3836</v>
      </c>
      <c r="O21" s="279">
        <v>3895</v>
      </c>
      <c r="P21" s="279">
        <v>4147</v>
      </c>
      <c r="Q21" s="279">
        <v>4005</v>
      </c>
      <c r="R21" s="279">
        <v>3603</v>
      </c>
      <c r="S21" s="279">
        <v>3255</v>
      </c>
      <c r="T21" s="279">
        <v>3184</v>
      </c>
      <c r="U21" s="279">
        <v>3006</v>
      </c>
      <c r="V21" s="279">
        <v>3043</v>
      </c>
      <c r="W21" s="279">
        <v>3117</v>
      </c>
      <c r="X21" s="279">
        <v>3161</v>
      </c>
      <c r="Y21" s="279">
        <v>3175</v>
      </c>
      <c r="Z21" s="279">
        <v>3154</v>
      </c>
      <c r="AA21" s="302">
        <v>3154</v>
      </c>
      <c r="AB21" s="194" t="s">
        <v>51</v>
      </c>
    </row>
    <row r="22" spans="1:28" ht="12.75" customHeight="1">
      <c r="A22" s="5"/>
      <c r="B22" s="7" t="s">
        <v>32</v>
      </c>
      <c r="C22" s="55"/>
      <c r="D22" s="54"/>
      <c r="E22" s="277"/>
      <c r="F22" s="277">
        <v>23528</v>
      </c>
      <c r="G22" s="277">
        <v>22789</v>
      </c>
      <c r="H22" s="277">
        <v>21819</v>
      </c>
      <c r="I22" s="277">
        <v>22178</v>
      </c>
      <c r="J22" s="277">
        <v>19783</v>
      </c>
      <c r="K22" s="301">
        <v>19130</v>
      </c>
      <c r="L22" s="277">
        <v>13824</v>
      </c>
      <c r="M22" s="277">
        <v>11719</v>
      </c>
      <c r="N22" s="277">
        <v>11766</v>
      </c>
      <c r="O22" s="277">
        <v>10683</v>
      </c>
      <c r="P22" s="277">
        <v>11357</v>
      </c>
      <c r="Q22" s="277">
        <v>12206</v>
      </c>
      <c r="R22" s="277">
        <v>11066</v>
      </c>
      <c r="S22" s="277">
        <v>10217</v>
      </c>
      <c r="T22" s="277">
        <v>9509</v>
      </c>
      <c r="U22" s="277">
        <v>8916</v>
      </c>
      <c r="V22" s="277">
        <v>9145</v>
      </c>
      <c r="W22" s="277">
        <v>8898</v>
      </c>
      <c r="X22" s="277">
        <v>8750</v>
      </c>
      <c r="Y22" s="277">
        <v>8679</v>
      </c>
      <c r="Z22" s="277">
        <v>8640</v>
      </c>
      <c r="AA22" s="301">
        <v>8806</v>
      </c>
      <c r="AB22" s="44" t="s">
        <v>32</v>
      </c>
    </row>
    <row r="23" spans="1:28" ht="12.75" customHeight="1">
      <c r="A23" s="5"/>
      <c r="B23" s="107" t="s">
        <v>35</v>
      </c>
      <c r="C23" s="213" t="s">
        <v>58</v>
      </c>
      <c r="D23" s="214" t="s">
        <v>58</v>
      </c>
      <c r="E23" s="296" t="s">
        <v>58</v>
      </c>
      <c r="F23" s="296" t="s">
        <v>58</v>
      </c>
      <c r="G23" s="296" t="s">
        <v>58</v>
      </c>
      <c r="H23" s="296" t="s">
        <v>58</v>
      </c>
      <c r="I23" s="296" t="s">
        <v>58</v>
      </c>
      <c r="J23" s="296" t="s">
        <v>58</v>
      </c>
      <c r="K23" s="311" t="s">
        <v>58</v>
      </c>
      <c r="L23" s="296" t="s">
        <v>58</v>
      </c>
      <c r="M23" s="296" t="s">
        <v>58</v>
      </c>
      <c r="N23" s="296" t="s">
        <v>58</v>
      </c>
      <c r="O23" s="296" t="s">
        <v>58</v>
      </c>
      <c r="P23" s="296" t="s">
        <v>58</v>
      </c>
      <c r="Q23" s="296" t="s">
        <v>58</v>
      </c>
      <c r="R23" s="296" t="s">
        <v>58</v>
      </c>
      <c r="S23" s="296" t="s">
        <v>58</v>
      </c>
      <c r="T23" s="296" t="s">
        <v>58</v>
      </c>
      <c r="U23" s="296" t="s">
        <v>58</v>
      </c>
      <c r="V23" s="296" t="s">
        <v>58</v>
      </c>
      <c r="W23" s="296" t="s">
        <v>58</v>
      </c>
      <c r="X23" s="224" t="s">
        <v>58</v>
      </c>
      <c r="Y23" s="224" t="s">
        <v>58</v>
      </c>
      <c r="Z23" s="224" t="s">
        <v>58</v>
      </c>
      <c r="AA23" s="311" t="s">
        <v>58</v>
      </c>
      <c r="AB23" s="194" t="s">
        <v>35</v>
      </c>
    </row>
    <row r="24" spans="1:28" ht="12.75" customHeight="1">
      <c r="A24" s="5"/>
      <c r="B24" s="7" t="s">
        <v>43</v>
      </c>
      <c r="C24" s="55">
        <v>18750</v>
      </c>
      <c r="D24" s="54">
        <v>11355</v>
      </c>
      <c r="E24" s="277">
        <v>6697</v>
      </c>
      <c r="F24" s="277">
        <v>4700</v>
      </c>
      <c r="G24" s="277">
        <v>3331</v>
      </c>
      <c r="H24" s="277">
        <v>2099</v>
      </c>
      <c r="I24" s="277">
        <v>1807</v>
      </c>
      <c r="J24" s="284"/>
      <c r="K24" s="299"/>
      <c r="L24" s="284"/>
      <c r="M24" s="284"/>
      <c r="N24" s="284"/>
      <c r="O24" s="284"/>
      <c r="P24" s="284"/>
      <c r="Q24" s="284"/>
      <c r="R24" s="284"/>
      <c r="S24" s="284"/>
      <c r="T24" s="284"/>
      <c r="U24" s="284"/>
      <c r="V24" s="284"/>
      <c r="W24" s="284"/>
      <c r="AA24" s="378"/>
      <c r="AB24" s="44" t="s">
        <v>43</v>
      </c>
    </row>
    <row r="25" spans="1:28" ht="12.75" customHeight="1">
      <c r="A25" s="5"/>
      <c r="B25" s="107" t="s">
        <v>52</v>
      </c>
      <c r="C25" s="211">
        <v>39109</v>
      </c>
      <c r="D25" s="212">
        <v>38689</v>
      </c>
      <c r="E25" s="279">
        <v>34330</v>
      </c>
      <c r="F25" s="279">
        <v>23970</v>
      </c>
      <c r="G25" s="279">
        <v>24988</v>
      </c>
      <c r="H25" s="279">
        <v>24089</v>
      </c>
      <c r="I25" s="279">
        <v>22655</v>
      </c>
      <c r="J25" s="279">
        <v>22262</v>
      </c>
      <c r="K25" s="302">
        <v>22655</v>
      </c>
      <c r="L25" s="279">
        <v>16891</v>
      </c>
      <c r="M25" s="279">
        <v>18473</v>
      </c>
      <c r="N25" s="279">
        <v>30526</v>
      </c>
      <c r="O25" s="279">
        <v>27147</v>
      </c>
      <c r="P25" s="341">
        <v>21015</v>
      </c>
      <c r="Q25" s="279">
        <v>20684</v>
      </c>
      <c r="R25" s="279">
        <v>19706</v>
      </c>
      <c r="S25" s="279">
        <v>20108</v>
      </c>
      <c r="T25" s="279">
        <v>19771</v>
      </c>
      <c r="U25" s="279">
        <v>19294</v>
      </c>
      <c r="V25" s="279">
        <v>18817</v>
      </c>
      <c r="W25" s="279">
        <v>18619</v>
      </c>
      <c r="X25" s="279">
        <v>18242</v>
      </c>
      <c r="Y25" s="279">
        <v>17895</v>
      </c>
      <c r="Z25" s="279">
        <v>17511</v>
      </c>
      <c r="AA25" s="302">
        <v>17510</v>
      </c>
      <c r="AB25" s="194" t="s">
        <v>52</v>
      </c>
    </row>
    <row r="26" spans="1:28" ht="12.75" customHeight="1">
      <c r="A26" s="5"/>
      <c r="B26" s="7" t="s">
        <v>36</v>
      </c>
      <c r="C26" s="55">
        <v>229222</v>
      </c>
      <c r="D26" s="54">
        <v>231364</v>
      </c>
      <c r="E26" s="312">
        <v>275582</v>
      </c>
      <c r="F26" s="277">
        <v>130116</v>
      </c>
      <c r="G26" s="277">
        <v>130660</v>
      </c>
      <c r="H26" s="277">
        <v>119308</v>
      </c>
      <c r="I26" s="277">
        <v>111532</v>
      </c>
      <c r="J26" s="277">
        <v>107315</v>
      </c>
      <c r="K26" s="301">
        <v>103234</v>
      </c>
      <c r="L26" s="277">
        <v>103527</v>
      </c>
      <c r="M26" s="277">
        <v>104982</v>
      </c>
      <c r="N26" s="277">
        <v>101528</v>
      </c>
      <c r="O26" s="277">
        <v>95462</v>
      </c>
      <c r="P26" s="277">
        <v>89270</v>
      </c>
      <c r="Q26" s="277">
        <v>88928</v>
      </c>
      <c r="R26" s="277">
        <v>91483</v>
      </c>
      <c r="S26" s="277">
        <v>87726</v>
      </c>
      <c r="T26" s="277">
        <v>87538</v>
      </c>
      <c r="U26" s="277">
        <v>86364</v>
      </c>
      <c r="V26" s="277">
        <v>87598</v>
      </c>
      <c r="W26" s="277">
        <v>87696</v>
      </c>
      <c r="X26" s="277">
        <v>87990</v>
      </c>
      <c r="Y26" s="277">
        <v>86796</v>
      </c>
      <c r="Z26" s="277">
        <v>83011</v>
      </c>
      <c r="AA26" s="301">
        <v>81776</v>
      </c>
      <c r="AB26" s="44" t="s">
        <v>36</v>
      </c>
    </row>
    <row r="27" spans="1:28" ht="12.75" customHeight="1">
      <c r="A27" s="5"/>
      <c r="B27" s="107" t="s">
        <v>53</v>
      </c>
      <c r="C27" s="211">
        <v>9045</v>
      </c>
      <c r="D27" s="212">
        <v>5860</v>
      </c>
      <c r="E27" s="279">
        <v>4579</v>
      </c>
      <c r="F27" s="279">
        <v>4162</v>
      </c>
      <c r="G27" s="279">
        <v>4179</v>
      </c>
      <c r="H27" s="279">
        <v>4345</v>
      </c>
      <c r="I27" s="279">
        <v>3979</v>
      </c>
      <c r="J27" s="279">
        <v>3544</v>
      </c>
      <c r="K27" s="302">
        <v>3495</v>
      </c>
      <c r="L27" s="279">
        <v>3197</v>
      </c>
      <c r="M27" s="279">
        <v>2953</v>
      </c>
      <c r="N27" s="279">
        <v>3043</v>
      </c>
      <c r="O27" s="279"/>
      <c r="P27" s="279">
        <v>3194</v>
      </c>
      <c r="Q27" s="279">
        <v>3170</v>
      </c>
      <c r="R27" s="294">
        <v>3170</v>
      </c>
      <c r="S27" s="294">
        <v>3170</v>
      </c>
      <c r="T27" s="279">
        <v>3283</v>
      </c>
      <c r="U27" s="279">
        <v>3283</v>
      </c>
      <c r="V27" s="279">
        <v>3283</v>
      </c>
      <c r="W27" s="279">
        <v>3203</v>
      </c>
      <c r="X27" s="279">
        <v>3072</v>
      </c>
      <c r="Y27" s="279">
        <v>2684</v>
      </c>
      <c r="Z27" s="279">
        <v>2719</v>
      </c>
      <c r="AA27" s="302">
        <v>2298</v>
      </c>
      <c r="AB27" s="194" t="s">
        <v>53</v>
      </c>
    </row>
    <row r="28" spans="1:28" ht="12.75" customHeight="1">
      <c r="A28" s="5"/>
      <c r="B28" s="7" t="s">
        <v>37</v>
      </c>
      <c r="C28" s="55"/>
      <c r="D28" s="54">
        <v>144520</v>
      </c>
      <c r="E28" s="277">
        <v>166086</v>
      </c>
      <c r="F28" s="277">
        <v>117982</v>
      </c>
      <c r="G28" s="277">
        <v>96765</v>
      </c>
      <c r="H28" s="277">
        <v>101824</v>
      </c>
      <c r="I28" s="277">
        <v>75478</v>
      </c>
      <c r="J28" s="277">
        <v>64299</v>
      </c>
      <c r="K28" s="301">
        <v>65175</v>
      </c>
      <c r="L28" s="277">
        <v>65916</v>
      </c>
      <c r="M28" s="277">
        <v>53616</v>
      </c>
      <c r="N28" s="277">
        <v>46863</v>
      </c>
      <c r="O28" s="277">
        <v>46878</v>
      </c>
      <c r="P28" s="277">
        <v>72605</v>
      </c>
      <c r="Q28" s="277">
        <v>69285</v>
      </c>
      <c r="R28" s="277">
        <v>72638</v>
      </c>
      <c r="S28" s="287">
        <v>42571</v>
      </c>
      <c r="T28" s="277">
        <v>35899</v>
      </c>
      <c r="U28" s="277">
        <v>36858</v>
      </c>
      <c r="V28" s="277">
        <v>35553</v>
      </c>
      <c r="W28" s="277">
        <v>34175</v>
      </c>
      <c r="X28" s="277">
        <v>34080</v>
      </c>
      <c r="Y28" s="277">
        <v>33201</v>
      </c>
      <c r="Z28" s="277">
        <v>32905</v>
      </c>
      <c r="AA28" s="299">
        <v>32840</v>
      </c>
      <c r="AB28" s="44" t="s">
        <v>37</v>
      </c>
    </row>
    <row r="29" spans="1:28" ht="12.75" customHeight="1">
      <c r="A29" s="5"/>
      <c r="B29" s="107" t="s">
        <v>39</v>
      </c>
      <c r="C29" s="211"/>
      <c r="D29" s="212"/>
      <c r="E29" s="279">
        <v>8692</v>
      </c>
      <c r="F29" s="279">
        <v>6258</v>
      </c>
      <c r="G29" s="279">
        <v>5981</v>
      </c>
      <c r="H29" s="279">
        <v>5774</v>
      </c>
      <c r="I29" s="279">
        <v>4770</v>
      </c>
      <c r="J29" s="279">
        <v>4627</v>
      </c>
      <c r="K29" s="302">
        <v>4465</v>
      </c>
      <c r="L29" s="279">
        <v>4508</v>
      </c>
      <c r="M29" s="279">
        <v>3979</v>
      </c>
      <c r="N29" s="279">
        <v>3921</v>
      </c>
      <c r="O29" s="279">
        <v>3905</v>
      </c>
      <c r="P29" s="279">
        <v>3211</v>
      </c>
      <c r="Q29" s="279">
        <v>3142</v>
      </c>
      <c r="R29" s="279">
        <v>3120</v>
      </c>
      <c r="S29" s="279">
        <v>3142</v>
      </c>
      <c r="T29" s="279">
        <v>3148</v>
      </c>
      <c r="U29" s="279">
        <v>3049</v>
      </c>
      <c r="V29" s="279">
        <v>2992</v>
      </c>
      <c r="W29" s="279">
        <v>2779</v>
      </c>
      <c r="X29" s="279">
        <v>2748</v>
      </c>
      <c r="Y29" s="279">
        <v>2692</v>
      </c>
      <c r="Z29" s="279">
        <v>2693</v>
      </c>
      <c r="AA29" s="302">
        <v>2581</v>
      </c>
      <c r="AB29" s="194" t="s">
        <v>39</v>
      </c>
    </row>
    <row r="30" spans="1:28" ht="12.75" customHeight="1">
      <c r="A30" s="5"/>
      <c r="B30" s="7" t="s">
        <v>38</v>
      </c>
      <c r="C30" s="52"/>
      <c r="D30" s="53"/>
      <c r="E30" s="286"/>
      <c r="F30" s="277">
        <v>26975</v>
      </c>
      <c r="G30" s="277">
        <v>24587</v>
      </c>
      <c r="H30" s="277">
        <v>24796</v>
      </c>
      <c r="I30" s="277">
        <v>23973</v>
      </c>
      <c r="J30" s="277">
        <v>24936</v>
      </c>
      <c r="K30" s="301">
        <v>25515</v>
      </c>
      <c r="L30" s="277">
        <v>25989</v>
      </c>
      <c r="M30" s="277">
        <v>27538</v>
      </c>
      <c r="N30" s="277">
        <v>20820</v>
      </c>
      <c r="O30" s="277">
        <v>14534</v>
      </c>
      <c r="P30" s="277">
        <v>15260</v>
      </c>
      <c r="Q30" s="277">
        <v>15964</v>
      </c>
      <c r="R30" s="277">
        <v>16384</v>
      </c>
      <c r="S30" s="277">
        <v>15982</v>
      </c>
      <c r="T30" s="277">
        <v>14970</v>
      </c>
      <c r="U30" s="277">
        <v>15533</v>
      </c>
      <c r="V30" s="277">
        <v>15786</v>
      </c>
      <c r="W30" s="277">
        <v>15509</v>
      </c>
      <c r="X30" s="277">
        <v>13836</v>
      </c>
      <c r="Y30" s="277">
        <v>13182</v>
      </c>
      <c r="Z30" s="277">
        <v>12968</v>
      </c>
      <c r="AA30" s="301">
        <v>11520</v>
      </c>
      <c r="AB30" s="44" t="s">
        <v>38</v>
      </c>
    </row>
    <row r="31" spans="1:28" ht="12.75" customHeight="1">
      <c r="A31" s="5"/>
      <c r="B31" s="107" t="s">
        <v>54</v>
      </c>
      <c r="C31" s="211">
        <v>22835</v>
      </c>
      <c r="D31" s="212">
        <v>21472</v>
      </c>
      <c r="E31" s="279">
        <v>15200</v>
      </c>
      <c r="F31" s="279">
        <v>12630</v>
      </c>
      <c r="G31" s="279">
        <v>12259</v>
      </c>
      <c r="H31" s="279">
        <v>11842</v>
      </c>
      <c r="I31" s="279">
        <v>11627</v>
      </c>
      <c r="J31" s="279">
        <v>11738</v>
      </c>
      <c r="K31" s="302">
        <v>11216</v>
      </c>
      <c r="L31" s="279">
        <v>11024</v>
      </c>
      <c r="M31" s="279">
        <v>10790</v>
      </c>
      <c r="N31" s="279">
        <v>10934</v>
      </c>
      <c r="O31" s="279">
        <v>10524</v>
      </c>
      <c r="P31" s="279">
        <v>10464</v>
      </c>
      <c r="Q31" s="279">
        <v>10364</v>
      </c>
      <c r="R31" s="279">
        <v>9817</v>
      </c>
      <c r="S31" s="279">
        <v>9457</v>
      </c>
      <c r="T31" s="279">
        <v>9078</v>
      </c>
      <c r="U31" s="279">
        <v>8854</v>
      </c>
      <c r="V31" s="279">
        <v>8876</v>
      </c>
      <c r="W31" s="279">
        <v>8821</v>
      </c>
      <c r="X31" s="279">
        <v>8741</v>
      </c>
      <c r="Y31" s="294">
        <v>8741</v>
      </c>
      <c r="Z31" s="294">
        <v>8741</v>
      </c>
      <c r="AA31" s="310">
        <f>Z31</f>
        <v>8741</v>
      </c>
      <c r="AB31" s="194" t="s">
        <v>54</v>
      </c>
    </row>
    <row r="32" spans="1:28" ht="12.75" customHeight="1">
      <c r="A32" s="5"/>
      <c r="B32" s="7" t="s">
        <v>55</v>
      </c>
      <c r="C32" s="55">
        <v>53394</v>
      </c>
      <c r="D32" s="54">
        <v>45890</v>
      </c>
      <c r="E32" s="277">
        <v>27470</v>
      </c>
      <c r="F32" s="277">
        <v>17596</v>
      </c>
      <c r="G32" s="277">
        <v>17600</v>
      </c>
      <c r="H32" s="277">
        <v>17674</v>
      </c>
      <c r="I32" s="277">
        <v>16909</v>
      </c>
      <c r="J32" s="277">
        <v>16832</v>
      </c>
      <c r="K32" s="301">
        <v>16637</v>
      </c>
      <c r="L32" s="277">
        <v>16407</v>
      </c>
      <c r="M32" s="277">
        <v>15896</v>
      </c>
      <c r="N32" s="277">
        <v>15735</v>
      </c>
      <c r="O32" s="277">
        <v>14797</v>
      </c>
      <c r="P32" s="277">
        <v>15166</v>
      </c>
      <c r="Q32" s="277">
        <v>14578</v>
      </c>
      <c r="R32" s="277"/>
      <c r="S32" s="277"/>
      <c r="T32" s="277"/>
      <c r="U32" s="277"/>
      <c r="V32" s="277"/>
      <c r="W32" s="281"/>
      <c r="X32" s="277"/>
      <c r="Y32" s="277"/>
      <c r="Z32" s="277"/>
      <c r="AA32" s="301"/>
      <c r="AB32" s="44" t="s">
        <v>55</v>
      </c>
    </row>
    <row r="33" spans="1:28" ht="12.75" customHeight="1">
      <c r="A33" s="5"/>
      <c r="B33" s="106" t="s">
        <v>26</v>
      </c>
      <c r="C33" s="317" t="s">
        <v>58</v>
      </c>
      <c r="D33" s="318" t="s">
        <v>58</v>
      </c>
      <c r="E33" s="322" t="s">
        <v>58</v>
      </c>
      <c r="F33" s="322" t="s">
        <v>58</v>
      </c>
      <c r="G33" s="322" t="s">
        <v>58</v>
      </c>
      <c r="H33" s="322" t="s">
        <v>58</v>
      </c>
      <c r="I33" s="322" t="s">
        <v>58</v>
      </c>
      <c r="J33" s="322" t="s">
        <v>58</v>
      </c>
      <c r="K33" s="323" t="s">
        <v>58</v>
      </c>
      <c r="L33" s="322" t="s">
        <v>58</v>
      </c>
      <c r="M33" s="322" t="s">
        <v>58</v>
      </c>
      <c r="N33" s="322" t="s">
        <v>58</v>
      </c>
      <c r="O33" s="322" t="s">
        <v>58</v>
      </c>
      <c r="P33" s="322" t="s">
        <v>58</v>
      </c>
      <c r="Q33" s="322" t="s">
        <v>58</v>
      </c>
      <c r="R33" s="322" t="s">
        <v>58</v>
      </c>
      <c r="S33" s="322" t="s">
        <v>58</v>
      </c>
      <c r="T33" s="322" t="s">
        <v>58</v>
      </c>
      <c r="U33" s="322" t="s">
        <v>58</v>
      </c>
      <c r="V33" s="322" t="s">
        <v>58</v>
      </c>
      <c r="W33" s="296" t="s">
        <v>58</v>
      </c>
      <c r="X33" s="236" t="s">
        <v>58</v>
      </c>
      <c r="Y33" s="236" t="s">
        <v>58</v>
      </c>
      <c r="Z33" s="236" t="s">
        <v>58</v>
      </c>
      <c r="AA33" s="598"/>
      <c r="AB33" s="221" t="s">
        <v>26</v>
      </c>
    </row>
    <row r="34" spans="1:28" ht="12.75" customHeight="1">
      <c r="A34" s="5"/>
      <c r="B34" s="7" t="s">
        <v>56</v>
      </c>
      <c r="C34" s="55"/>
      <c r="D34" s="54"/>
      <c r="E34" s="277"/>
      <c r="F34" s="277"/>
      <c r="G34" s="277">
        <v>2741</v>
      </c>
      <c r="H34" s="277"/>
      <c r="I34" s="277"/>
      <c r="J34" s="277"/>
      <c r="K34" s="301"/>
      <c r="L34" s="277"/>
      <c r="M34" s="277"/>
      <c r="N34" s="277"/>
      <c r="O34" s="277"/>
      <c r="P34" s="277"/>
      <c r="Q34" s="277"/>
      <c r="R34" s="277"/>
      <c r="S34" s="277"/>
      <c r="T34" s="277"/>
      <c r="U34" s="277"/>
      <c r="V34" s="277"/>
      <c r="W34" s="277"/>
      <c r="X34" s="277"/>
      <c r="Y34" s="277"/>
      <c r="Z34" s="277"/>
      <c r="AA34" s="301"/>
      <c r="AB34" s="44" t="s">
        <v>56</v>
      </c>
    </row>
    <row r="35" spans="1:28" ht="12.75" customHeight="1">
      <c r="A35" s="5"/>
      <c r="B35" s="108" t="s">
        <v>27</v>
      </c>
      <c r="C35" s="596">
        <v>32545</v>
      </c>
      <c r="D35" s="597">
        <v>31417</v>
      </c>
      <c r="E35" s="297">
        <v>27104</v>
      </c>
      <c r="F35" s="297">
        <v>19894</v>
      </c>
      <c r="G35" s="297">
        <v>20394</v>
      </c>
      <c r="H35" s="297">
        <v>19553</v>
      </c>
      <c r="I35" s="297">
        <v>19497</v>
      </c>
      <c r="J35" s="297">
        <v>18917</v>
      </c>
      <c r="K35" s="303">
        <v>18339</v>
      </c>
      <c r="L35" s="297">
        <v>10917</v>
      </c>
      <c r="M35" s="297">
        <v>10464</v>
      </c>
      <c r="N35" s="297">
        <v>11516</v>
      </c>
      <c r="O35" s="297">
        <v>9142</v>
      </c>
      <c r="P35" s="297">
        <v>8794</v>
      </c>
      <c r="Q35" s="297">
        <v>8289</v>
      </c>
      <c r="R35" s="297">
        <v>7869</v>
      </c>
      <c r="S35" s="297">
        <v>7360</v>
      </c>
      <c r="T35" s="498">
        <v>6825</v>
      </c>
      <c r="U35" s="313">
        <v>6467</v>
      </c>
      <c r="V35" s="313">
        <v>6386</v>
      </c>
      <c r="W35" s="313">
        <v>5716</v>
      </c>
      <c r="X35" s="313">
        <v>5763</v>
      </c>
      <c r="Y35" s="297">
        <v>5247</v>
      </c>
      <c r="Z35" s="297">
        <v>5344</v>
      </c>
      <c r="AA35" s="303">
        <v>5057</v>
      </c>
      <c r="AB35" s="195" t="s">
        <v>27</v>
      </c>
    </row>
    <row r="36" spans="1:28" ht="12.75" customHeight="1">
      <c r="A36" s="5"/>
      <c r="B36" s="7" t="s">
        <v>312</v>
      </c>
      <c r="C36" s="57"/>
      <c r="D36" s="56"/>
      <c r="E36" s="277"/>
      <c r="F36" s="277"/>
      <c r="G36" s="277"/>
      <c r="H36" s="277"/>
      <c r="I36" s="277"/>
      <c r="J36" s="277"/>
      <c r="K36" s="301"/>
      <c r="L36" s="277"/>
      <c r="M36" s="277"/>
      <c r="N36" s="277"/>
      <c r="O36" s="277"/>
      <c r="P36" s="277"/>
      <c r="Q36" s="277"/>
      <c r="R36" s="277"/>
      <c r="S36" s="277">
        <v>4634</v>
      </c>
      <c r="T36" s="277">
        <v>4644</v>
      </c>
      <c r="U36" s="277">
        <v>4792</v>
      </c>
      <c r="V36" s="277" t="s">
        <v>315</v>
      </c>
      <c r="W36" s="277">
        <v>4281</v>
      </c>
      <c r="X36" s="277">
        <v>4284</v>
      </c>
      <c r="Y36" s="277">
        <v>4383</v>
      </c>
      <c r="Z36" s="277">
        <v>4243</v>
      </c>
      <c r="AA36" s="301">
        <v>4243</v>
      </c>
      <c r="AB36" s="44" t="s">
        <v>312</v>
      </c>
    </row>
    <row r="37" spans="1:28" ht="12.75" customHeight="1">
      <c r="A37" s="379"/>
      <c r="B37" s="107" t="s">
        <v>139</v>
      </c>
      <c r="C37" s="211">
        <v>0</v>
      </c>
      <c r="D37" s="212">
        <v>12852</v>
      </c>
      <c r="E37" s="224" t="s">
        <v>58</v>
      </c>
      <c r="F37" s="224" t="s">
        <v>58</v>
      </c>
      <c r="G37" s="224" t="s">
        <v>58</v>
      </c>
      <c r="H37" s="224" t="s">
        <v>58</v>
      </c>
      <c r="I37" s="224" t="s">
        <v>58</v>
      </c>
      <c r="J37" s="224" t="s">
        <v>58</v>
      </c>
      <c r="K37" s="230" t="s">
        <v>58</v>
      </c>
      <c r="L37" s="224" t="s">
        <v>58</v>
      </c>
      <c r="M37" s="224" t="s">
        <v>58</v>
      </c>
      <c r="N37" s="224"/>
      <c r="O37" s="224" t="s">
        <v>58</v>
      </c>
      <c r="P37" s="224" t="s">
        <v>58</v>
      </c>
      <c r="Q37" s="224" t="s">
        <v>58</v>
      </c>
      <c r="R37" s="224" t="s">
        <v>58</v>
      </c>
      <c r="S37" s="224" t="s">
        <v>58</v>
      </c>
      <c r="T37" s="224" t="s">
        <v>58</v>
      </c>
      <c r="U37" s="224" t="s">
        <v>58</v>
      </c>
      <c r="V37" s="224">
        <v>563</v>
      </c>
      <c r="W37" s="224">
        <v>562</v>
      </c>
      <c r="X37" s="224">
        <v>561</v>
      </c>
      <c r="Y37" s="224">
        <v>561</v>
      </c>
      <c r="Z37" s="229">
        <f>Y37</f>
        <v>561</v>
      </c>
      <c r="AA37" s="803">
        <f>Z37</f>
        <v>561</v>
      </c>
      <c r="AB37" s="194" t="s">
        <v>139</v>
      </c>
    </row>
    <row r="38" spans="1:28" ht="12.75" customHeight="1">
      <c r="A38" s="379"/>
      <c r="B38" s="7" t="s">
        <v>314</v>
      </c>
      <c r="C38" s="55"/>
      <c r="D38" s="54"/>
      <c r="E38" s="223"/>
      <c r="F38" s="223">
        <v>10577</v>
      </c>
      <c r="G38" s="223">
        <v>10033</v>
      </c>
      <c r="H38" s="223">
        <v>9303</v>
      </c>
      <c r="I38" s="223">
        <v>8723</v>
      </c>
      <c r="J38" s="223">
        <v>8492</v>
      </c>
      <c r="K38" s="231"/>
      <c r="L38" s="223">
        <v>8177</v>
      </c>
      <c r="M38" s="223">
        <v>7940</v>
      </c>
      <c r="N38" s="223">
        <v>7921</v>
      </c>
      <c r="O38" s="223">
        <v>7919</v>
      </c>
      <c r="P38" s="223">
        <v>7835</v>
      </c>
      <c r="Q38" s="223">
        <v>7606</v>
      </c>
      <c r="R38" s="223">
        <v>7677</v>
      </c>
      <c r="S38" s="223">
        <v>7300</v>
      </c>
      <c r="T38" s="223">
        <v>6975</v>
      </c>
      <c r="U38" s="223">
        <v>6866</v>
      </c>
      <c r="V38" s="223">
        <v>6836</v>
      </c>
      <c r="W38" s="223">
        <v>5815</v>
      </c>
      <c r="X38" s="223">
        <f>W38</f>
        <v>5815</v>
      </c>
      <c r="Y38" s="328">
        <v>4586</v>
      </c>
      <c r="Z38" s="223">
        <v>4586</v>
      </c>
      <c r="AA38" s="494">
        <f>Z38</f>
        <v>4586</v>
      </c>
      <c r="AB38" s="44" t="s">
        <v>314</v>
      </c>
    </row>
    <row r="39" spans="1:28" ht="12.75" customHeight="1">
      <c r="A39" s="379"/>
      <c r="B39" s="107" t="s">
        <v>0</v>
      </c>
      <c r="C39" s="211"/>
      <c r="D39" s="212"/>
      <c r="E39" s="279"/>
      <c r="F39" s="279"/>
      <c r="G39" s="279"/>
      <c r="H39" s="279"/>
      <c r="I39" s="279"/>
      <c r="J39" s="279">
        <v>1501</v>
      </c>
      <c r="K39" s="302">
        <v>1525</v>
      </c>
      <c r="L39" s="279">
        <v>1553</v>
      </c>
      <c r="M39" s="279">
        <v>1498</v>
      </c>
      <c r="N39" s="279">
        <v>1498</v>
      </c>
      <c r="O39" s="279">
        <v>1323</v>
      </c>
      <c r="P39" s="279">
        <v>1144</v>
      </c>
      <c r="Q39" s="279">
        <v>1007</v>
      </c>
      <c r="R39" s="279">
        <v>1011</v>
      </c>
      <c r="S39" s="294">
        <v>1011</v>
      </c>
      <c r="T39" s="294">
        <v>1011</v>
      </c>
      <c r="U39" s="279">
        <v>1161</v>
      </c>
      <c r="V39" s="279">
        <v>1281</v>
      </c>
      <c r="W39" s="279">
        <v>1289</v>
      </c>
      <c r="X39" s="279">
        <v>1242</v>
      </c>
      <c r="Y39" s="279">
        <v>1242</v>
      </c>
      <c r="Z39" s="279">
        <v>1204</v>
      </c>
      <c r="AA39" s="302">
        <v>1204</v>
      </c>
      <c r="AB39" s="194" t="s">
        <v>0</v>
      </c>
    </row>
    <row r="40" spans="1:28" ht="12.75" customHeight="1">
      <c r="A40" s="379"/>
      <c r="B40" s="7" t="s">
        <v>144</v>
      </c>
      <c r="C40" s="55"/>
      <c r="D40" s="54"/>
      <c r="E40" s="277"/>
      <c r="F40" s="277"/>
      <c r="G40" s="284"/>
      <c r="H40" s="284"/>
      <c r="I40" s="223"/>
      <c r="J40" s="223"/>
      <c r="K40" s="231"/>
      <c r="L40" s="223"/>
      <c r="M40" s="223"/>
      <c r="N40" s="223"/>
      <c r="O40" s="223"/>
      <c r="P40" s="223"/>
      <c r="Q40" s="223"/>
      <c r="R40" s="223"/>
      <c r="S40" s="223">
        <v>390</v>
      </c>
      <c r="T40" s="223">
        <v>390</v>
      </c>
      <c r="U40" s="223">
        <v>360</v>
      </c>
      <c r="V40" s="223">
        <v>360</v>
      </c>
      <c r="W40" s="223">
        <v>236</v>
      </c>
      <c r="X40" s="223">
        <v>236</v>
      </c>
      <c r="Y40" s="223">
        <v>236</v>
      </c>
      <c r="Z40" s="223">
        <v>165</v>
      </c>
      <c r="AA40" s="231">
        <v>165</v>
      </c>
      <c r="AB40" s="44" t="s">
        <v>144</v>
      </c>
    </row>
    <row r="41" spans="1:28" ht="12.75" customHeight="1">
      <c r="A41" s="379"/>
      <c r="B41" s="107" t="s">
        <v>138</v>
      </c>
      <c r="C41" s="211"/>
      <c r="D41" s="212"/>
      <c r="E41" s="279"/>
      <c r="F41" s="279"/>
      <c r="G41" s="279"/>
      <c r="H41" s="279"/>
      <c r="I41" s="279"/>
      <c r="J41" s="279"/>
      <c r="K41" s="302"/>
      <c r="L41" s="279"/>
      <c r="M41" s="279"/>
      <c r="N41" s="279"/>
      <c r="O41" s="279"/>
      <c r="P41" s="279"/>
      <c r="Q41" s="279">
        <v>8447</v>
      </c>
      <c r="R41" s="279">
        <v>8449</v>
      </c>
      <c r="S41" s="279">
        <v>8452</v>
      </c>
      <c r="T41" s="279">
        <v>8486</v>
      </c>
      <c r="U41" s="279">
        <v>8486</v>
      </c>
      <c r="V41" s="341">
        <v>7277</v>
      </c>
      <c r="W41" s="279">
        <v>6781</v>
      </c>
      <c r="X41" s="279">
        <v>6843</v>
      </c>
      <c r="Y41" s="279">
        <v>5661</v>
      </c>
      <c r="Z41" s="279">
        <v>4727</v>
      </c>
      <c r="AA41" s="310">
        <f>Z41</f>
        <v>4727</v>
      </c>
      <c r="AB41" s="194" t="s">
        <v>138</v>
      </c>
    </row>
    <row r="42" spans="1:28" ht="12.75" customHeight="1">
      <c r="A42" s="379"/>
      <c r="B42" s="7" t="s">
        <v>40</v>
      </c>
      <c r="C42" s="57">
        <v>17374</v>
      </c>
      <c r="D42" s="56">
        <v>23228</v>
      </c>
      <c r="E42" s="223">
        <v>21941</v>
      </c>
      <c r="F42" s="277">
        <v>17872</v>
      </c>
      <c r="G42" s="277">
        <v>17571</v>
      </c>
      <c r="H42" s="277">
        <v>17030</v>
      </c>
      <c r="I42" s="277">
        <v>16841</v>
      </c>
      <c r="J42" s="277">
        <v>16004</v>
      </c>
      <c r="K42" s="301">
        <v>17499</v>
      </c>
      <c r="L42" s="277">
        <v>18229</v>
      </c>
      <c r="M42" s="277">
        <v>17041</v>
      </c>
      <c r="N42" s="277">
        <v>17079</v>
      </c>
      <c r="O42" s="277">
        <v>17607</v>
      </c>
      <c r="P42" s="277">
        <v>17773</v>
      </c>
      <c r="Q42" s="277">
        <v>18200</v>
      </c>
      <c r="R42" s="277">
        <v>18167</v>
      </c>
      <c r="S42" s="277">
        <v>18607</v>
      </c>
      <c r="T42" s="277">
        <v>18967</v>
      </c>
      <c r="U42" s="277">
        <v>19077</v>
      </c>
      <c r="V42" s="277">
        <v>19570</v>
      </c>
      <c r="W42" s="277">
        <v>15979</v>
      </c>
      <c r="X42" s="277">
        <v>16902</v>
      </c>
      <c r="Y42" s="277">
        <v>17025</v>
      </c>
      <c r="Z42" s="277">
        <v>16951</v>
      </c>
      <c r="AA42" s="301">
        <f>16476</f>
        <v>16476</v>
      </c>
      <c r="AB42" s="44" t="s">
        <v>40</v>
      </c>
    </row>
    <row r="43" spans="1:28" ht="12.75" customHeight="1">
      <c r="A43" s="379"/>
      <c r="B43" s="107" t="s">
        <v>313</v>
      </c>
      <c r="C43" s="796"/>
      <c r="D43" s="797"/>
      <c r="E43" s="224"/>
      <c r="F43" s="279">
        <v>185741</v>
      </c>
      <c r="G43" s="279">
        <v>178826</v>
      </c>
      <c r="H43" s="279">
        <v>171584</v>
      </c>
      <c r="I43" s="279"/>
      <c r="J43" s="279">
        <v>149777</v>
      </c>
      <c r="K43" s="302">
        <v>150254</v>
      </c>
      <c r="L43" s="279">
        <v>197824</v>
      </c>
      <c r="M43" s="294">
        <f>L43</f>
        <v>197824</v>
      </c>
      <c r="N43" s="294">
        <f>M43</f>
        <v>197824</v>
      </c>
      <c r="O43" s="279">
        <v>186186</v>
      </c>
      <c r="P43" s="279">
        <v>184107</v>
      </c>
      <c r="Q43" s="279">
        <v>111890</v>
      </c>
      <c r="R43" s="279">
        <v>187189</v>
      </c>
      <c r="S43" s="279">
        <v>187189</v>
      </c>
      <c r="T43" s="279">
        <v>175634</v>
      </c>
      <c r="U43" s="279">
        <v>173370</v>
      </c>
      <c r="V43" s="279"/>
      <c r="W43" s="297">
        <v>104135</v>
      </c>
      <c r="X43" s="297">
        <v>105965</v>
      </c>
      <c r="Y43" s="279">
        <v>105777</v>
      </c>
      <c r="Z43" s="279">
        <v>105859</v>
      </c>
      <c r="AA43" s="310">
        <f>Z43</f>
        <v>105859</v>
      </c>
      <c r="AB43" s="194" t="s">
        <v>313</v>
      </c>
    </row>
    <row r="44" spans="1:28" ht="12.75" customHeight="1">
      <c r="A44" s="379"/>
      <c r="B44" s="607" t="s">
        <v>44</v>
      </c>
      <c r="C44" s="804">
        <v>389807</v>
      </c>
      <c r="D44" s="805">
        <v>141170</v>
      </c>
      <c r="E44" s="806">
        <v>34403</v>
      </c>
      <c r="F44" s="806"/>
      <c r="G44" s="801">
        <v>19050</v>
      </c>
      <c r="H44" s="801">
        <v>19106</v>
      </c>
      <c r="I44" s="807"/>
      <c r="J44" s="807"/>
      <c r="K44" s="808"/>
      <c r="L44" s="807"/>
      <c r="M44" s="807"/>
      <c r="N44" s="807">
        <v>8284</v>
      </c>
      <c r="O44" s="807"/>
      <c r="P44" s="807"/>
      <c r="Q44" s="807"/>
      <c r="R44" s="807"/>
      <c r="S44" s="807"/>
      <c r="T44" s="807"/>
      <c r="U44" s="807"/>
      <c r="V44" s="807"/>
      <c r="W44" s="807"/>
      <c r="X44" s="807"/>
      <c r="Y44" s="807"/>
      <c r="Z44" s="807"/>
      <c r="AA44" s="808"/>
      <c r="AB44" s="609" t="s">
        <v>44</v>
      </c>
    </row>
    <row r="45" spans="1:28" ht="12.75" customHeight="1">
      <c r="A45" s="5"/>
      <c r="B45" s="1095" t="s">
        <v>163</v>
      </c>
      <c r="C45" s="1095"/>
      <c r="D45" s="1095"/>
      <c r="E45" s="1095"/>
      <c r="F45" s="1095"/>
      <c r="G45" s="1095"/>
      <c r="H45" s="1095"/>
      <c r="I45" s="1095"/>
      <c r="J45" s="1095"/>
      <c r="K45" s="1095"/>
      <c r="L45" s="1095"/>
      <c r="M45" s="1095"/>
      <c r="N45" s="1095"/>
      <c r="O45" s="1095"/>
      <c r="P45" s="1095"/>
      <c r="Q45" s="1095"/>
      <c r="R45" s="1095"/>
      <c r="S45" s="1095"/>
      <c r="T45" s="1095"/>
      <c r="U45" s="1095"/>
      <c r="V45" s="1095"/>
      <c r="W45" s="1095"/>
      <c r="X45" s="1095"/>
      <c r="Y45" s="1095"/>
      <c r="Z45" s="1095"/>
      <c r="AA45" s="1095"/>
      <c r="AB45" s="1095"/>
    </row>
    <row r="46" spans="1:28" ht="15.75" customHeight="1">
      <c r="B46" s="168" t="s">
        <v>289</v>
      </c>
      <c r="C46" s="178"/>
      <c r="D46" s="178"/>
      <c r="E46" s="178"/>
      <c r="F46" s="178"/>
      <c r="G46" s="178"/>
      <c r="H46" s="178"/>
      <c r="I46" s="178"/>
    </row>
    <row r="47" spans="1:28">
      <c r="B47" s="179" t="s">
        <v>82</v>
      </c>
      <c r="C47" s="181"/>
      <c r="D47" s="181"/>
      <c r="E47" s="181"/>
      <c r="F47" s="181"/>
      <c r="G47" s="181"/>
      <c r="H47" s="181"/>
      <c r="I47" s="181"/>
    </row>
    <row r="48" spans="1:28">
      <c r="B48" s="1" t="s">
        <v>309</v>
      </c>
    </row>
    <row r="49" spans="2:5">
      <c r="B49" s="1" t="s">
        <v>239</v>
      </c>
    </row>
    <row r="50" spans="2:5">
      <c r="B50" s="181" t="s">
        <v>271</v>
      </c>
      <c r="C50" s="181"/>
      <c r="D50" s="181"/>
      <c r="E50" s="181"/>
    </row>
    <row r="51" spans="2:5">
      <c r="B51" s="169" t="s">
        <v>272</v>
      </c>
      <c r="D51" s="176"/>
      <c r="E51" s="176"/>
    </row>
  </sheetData>
  <mergeCells count="3">
    <mergeCell ref="B2:AB2"/>
    <mergeCell ref="B3:AB3"/>
    <mergeCell ref="B45:AB45"/>
  </mergeCells>
  <phoneticPr fontId="7" type="noConversion"/>
  <printOptions horizontalCentered="1"/>
  <pageMargins left="0.6692913385826772" right="0.6692913385826772" top="0.51181102362204722" bottom="0.27559055118110237" header="0" footer="0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66">
    <pageSetUpPr fitToPage="1"/>
  </sheetPr>
  <dimension ref="A1:AJ48"/>
  <sheetViews>
    <sheetView zoomScale="85" zoomScaleNormal="85" workbookViewId="0">
      <selection activeCell="T5" sqref="T5"/>
    </sheetView>
  </sheetViews>
  <sheetFormatPr defaultColWidth="9.1328125" defaultRowHeight="10.15"/>
  <cols>
    <col min="1" max="1" width="2.73046875" style="1" customWidth="1"/>
    <col min="2" max="2" width="4" style="1" customWidth="1"/>
    <col min="3" max="4" width="6.73046875" style="1" hidden="1" customWidth="1"/>
    <col min="5" max="5" width="8.86328125" style="1" hidden="1" customWidth="1"/>
    <col min="6" max="6" width="8" style="1" hidden="1" customWidth="1"/>
    <col min="7" max="7" width="8.265625" style="1" hidden="1" customWidth="1"/>
    <col min="8" max="8" width="8.3984375" style="1" hidden="1" customWidth="1"/>
    <col min="9" max="9" width="9.265625" style="1" hidden="1" customWidth="1"/>
    <col min="10" max="10" width="7.59765625" style="1" hidden="1" customWidth="1"/>
    <col min="11" max="11" width="8.3984375" style="1" hidden="1" customWidth="1"/>
    <col min="12" max="13" width="8" style="1" hidden="1" customWidth="1"/>
    <col min="14" max="14" width="8.59765625" style="1" hidden="1" customWidth="1"/>
    <col min="15" max="15" width="9.73046875" style="1" hidden="1" customWidth="1"/>
    <col min="16" max="16" width="7.59765625" style="15" hidden="1" customWidth="1"/>
    <col min="17" max="17" width="7.86328125" style="18" hidden="1" customWidth="1"/>
    <col min="18" max="18" width="9" style="17" hidden="1" customWidth="1"/>
    <col min="19" max="19" width="8.265625" style="17" hidden="1" customWidth="1"/>
    <col min="20" max="20" width="7.3984375" style="17" customWidth="1"/>
    <col min="21" max="21" width="8.59765625" style="17" customWidth="1"/>
    <col min="22" max="22" width="8.86328125" style="17" customWidth="1"/>
    <col min="23" max="23" width="8.265625" style="17" customWidth="1"/>
    <col min="24" max="24" width="9" style="17" customWidth="1"/>
    <col min="25" max="25" width="9.1328125" style="17" customWidth="1"/>
    <col min="26" max="26" width="9.86328125" style="1" customWidth="1"/>
    <col min="27" max="27" width="8.86328125" style="1" customWidth="1"/>
    <col min="28" max="28" width="9.1328125" style="1" customWidth="1"/>
    <col min="29" max="29" width="8.3984375" style="1" customWidth="1"/>
    <col min="30" max="30" width="7.59765625" style="1" customWidth="1"/>
    <col min="31" max="31" width="7.73046875" style="1" customWidth="1"/>
    <col min="32" max="33" width="8.1328125" style="1" customWidth="1"/>
    <col min="34" max="34" width="8.59765625" style="1" customWidth="1"/>
    <col min="35" max="35" width="8.3984375" style="1" customWidth="1"/>
    <col min="36" max="36" width="8.265625" style="1" customWidth="1"/>
    <col min="37" max="16384" width="9.1328125" style="1"/>
  </cols>
  <sheetData>
    <row r="1" spans="1:36" ht="14.25" customHeight="1"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01"/>
      <c r="Q1" s="102"/>
      <c r="R1" s="103"/>
      <c r="S1" s="103"/>
    </row>
    <row r="2" spans="1:36" s="39" customFormat="1" ht="30" customHeight="1">
      <c r="B2" s="1063" t="s">
        <v>260</v>
      </c>
      <c r="C2" s="1063"/>
      <c r="D2" s="1063"/>
      <c r="E2" s="1063"/>
      <c r="F2" s="1063"/>
      <c r="G2" s="1063"/>
      <c r="H2" s="1063"/>
      <c r="I2" s="1063"/>
      <c r="J2" s="1063"/>
      <c r="K2" s="1063"/>
      <c r="L2" s="1063"/>
      <c r="M2" s="1063"/>
      <c r="N2" s="1063"/>
      <c r="O2" s="1063"/>
      <c r="P2" s="1063"/>
      <c r="Q2" s="1063"/>
      <c r="R2" s="1063"/>
      <c r="S2" s="1063"/>
      <c r="T2" s="1063"/>
      <c r="U2" s="1063"/>
      <c r="V2" s="1063"/>
      <c r="W2" s="1063"/>
      <c r="X2" s="1063"/>
      <c r="Y2" s="1063"/>
      <c r="Z2" s="1063"/>
      <c r="AA2" s="1063"/>
      <c r="AB2" s="1063"/>
      <c r="AC2" s="1063"/>
      <c r="AD2" s="1063"/>
      <c r="AE2" s="1063"/>
      <c r="AF2" s="1063"/>
      <c r="AG2" s="1063"/>
      <c r="AH2" s="1063"/>
      <c r="AI2" s="1063"/>
      <c r="AJ2" s="1063"/>
    </row>
    <row r="3" spans="1:36" ht="20.100000000000001" customHeight="1">
      <c r="B3" s="1067" t="s">
        <v>88</v>
      </c>
      <c r="C3" s="1067"/>
      <c r="D3" s="1067"/>
      <c r="E3" s="1067"/>
      <c r="F3" s="1067"/>
      <c r="G3" s="1067"/>
      <c r="H3" s="1067"/>
      <c r="I3" s="1067"/>
      <c r="J3" s="1067"/>
      <c r="K3" s="1067"/>
      <c r="L3" s="1067"/>
      <c r="M3" s="1067"/>
      <c r="N3" s="1067"/>
      <c r="O3" s="1067"/>
      <c r="P3" s="1067"/>
      <c r="Q3" s="1067"/>
      <c r="R3" s="1067"/>
      <c r="S3" s="1067"/>
      <c r="T3" s="1067"/>
      <c r="U3" s="1067"/>
      <c r="V3" s="1067"/>
      <c r="W3" s="1067"/>
      <c r="X3" s="1067"/>
      <c r="Y3" s="1067"/>
      <c r="Z3" s="1067"/>
      <c r="AA3" s="1067"/>
      <c r="AB3" s="1067"/>
      <c r="AC3" s="1067"/>
      <c r="AD3" s="1067"/>
      <c r="AE3" s="1067"/>
      <c r="AF3" s="1067"/>
      <c r="AG3" s="1067"/>
      <c r="AH3" s="1067"/>
      <c r="AI3" s="1067"/>
      <c r="AJ3" s="1067"/>
    </row>
    <row r="4" spans="1:36" ht="12.75" customHeight="1">
      <c r="W4" s="26"/>
      <c r="Y4" s="26"/>
      <c r="AF4" s="291"/>
      <c r="AG4" s="291"/>
      <c r="AH4" s="1070" t="s">
        <v>1</v>
      </c>
      <c r="AI4" s="1070"/>
      <c r="AJ4" s="1070"/>
    </row>
    <row r="5" spans="1:36" ht="20.100000000000001" customHeight="1">
      <c r="B5" s="71"/>
      <c r="C5" s="73">
        <v>1970</v>
      </c>
      <c r="D5" s="73">
        <v>1980</v>
      </c>
      <c r="E5" s="62">
        <v>1990</v>
      </c>
      <c r="F5" s="63">
        <v>1991</v>
      </c>
      <c r="G5" s="63">
        <v>1992</v>
      </c>
      <c r="H5" s="63">
        <v>1993</v>
      </c>
      <c r="I5" s="63">
        <v>1994</v>
      </c>
      <c r="J5" s="63">
        <v>1995</v>
      </c>
      <c r="K5" s="63">
        <v>1996</v>
      </c>
      <c r="L5" s="63">
        <v>1997</v>
      </c>
      <c r="M5" s="63">
        <v>1998</v>
      </c>
      <c r="N5" s="63">
        <v>1999</v>
      </c>
      <c r="O5" s="63">
        <v>2000</v>
      </c>
      <c r="P5" s="63">
        <v>2001</v>
      </c>
      <c r="Q5" s="63">
        <v>2002</v>
      </c>
      <c r="R5" s="63">
        <v>2003</v>
      </c>
      <c r="S5" s="63">
        <v>2004</v>
      </c>
      <c r="T5" s="63">
        <v>2005</v>
      </c>
      <c r="U5" s="63">
        <v>2006</v>
      </c>
      <c r="V5" s="63">
        <v>2007</v>
      </c>
      <c r="W5" s="63">
        <v>2008</v>
      </c>
      <c r="X5" s="63">
        <v>2009</v>
      </c>
      <c r="Y5" s="63">
        <v>2010</v>
      </c>
      <c r="Z5" s="63">
        <v>2011</v>
      </c>
      <c r="AA5" s="63">
        <v>2012</v>
      </c>
      <c r="AB5" s="63">
        <v>2013</v>
      </c>
      <c r="AC5" s="63">
        <v>2014</v>
      </c>
      <c r="AD5" s="63">
        <v>2015</v>
      </c>
      <c r="AE5" s="63">
        <v>2016</v>
      </c>
      <c r="AF5" s="63">
        <v>2017</v>
      </c>
      <c r="AG5" s="63">
        <v>2018</v>
      </c>
      <c r="AH5" s="63">
        <v>2019</v>
      </c>
      <c r="AI5" s="63">
        <v>2020</v>
      </c>
      <c r="AJ5" s="342">
        <v>2021</v>
      </c>
    </row>
    <row r="6" spans="1:36" ht="9.9499999999999993" customHeight="1">
      <c r="B6" s="71"/>
      <c r="C6" s="74"/>
      <c r="D6" s="74"/>
      <c r="E6" s="95"/>
      <c r="F6" s="61"/>
      <c r="G6" s="61"/>
      <c r="H6" s="61"/>
      <c r="I6" s="61"/>
      <c r="J6" s="61"/>
      <c r="K6" s="61"/>
      <c r="L6" s="61"/>
      <c r="M6" s="61"/>
      <c r="N6" s="61"/>
      <c r="O6" s="61"/>
      <c r="P6" s="61"/>
      <c r="Q6" s="61"/>
      <c r="R6" s="61"/>
      <c r="S6" s="61"/>
      <c r="T6" s="61"/>
      <c r="U6" s="61"/>
      <c r="V6" s="61"/>
      <c r="W6" s="61"/>
      <c r="X6" s="61"/>
      <c r="Y6" s="182"/>
      <c r="Z6" s="184"/>
      <c r="AA6" s="184"/>
      <c r="AB6" s="184"/>
      <c r="AC6" s="184"/>
      <c r="AD6" s="184"/>
      <c r="AE6" s="184"/>
      <c r="AF6" s="184"/>
      <c r="AG6" s="184"/>
      <c r="AH6" s="184"/>
      <c r="AI6" s="184"/>
      <c r="AJ6" s="183"/>
    </row>
    <row r="7" spans="1:36" ht="9.9499999999999993" customHeight="1">
      <c r="B7" s="344" t="s">
        <v>237</v>
      </c>
      <c r="C7" s="345"/>
      <c r="D7" s="345"/>
      <c r="E7" s="380">
        <f>SUM(E8:E34)</f>
        <v>142905.84</v>
      </c>
      <c r="F7" s="380">
        <f t="shared" ref="F7:AJ7" si="0">SUM(F8:F34)</f>
        <v>147715.546</v>
      </c>
      <c r="G7" s="380">
        <f t="shared" si="0"/>
        <v>151935.88999999998</v>
      </c>
      <c r="H7" s="380">
        <f t="shared" si="0"/>
        <v>154504.25600000002</v>
      </c>
      <c r="I7" s="380">
        <f t="shared" si="0"/>
        <v>157225.75399999999</v>
      </c>
      <c r="J7" s="380">
        <f t="shared" si="0"/>
        <v>160510.82700000002</v>
      </c>
      <c r="K7" s="380">
        <f t="shared" si="0"/>
        <v>163940.296</v>
      </c>
      <c r="L7" s="380">
        <f t="shared" si="0"/>
        <v>162964.19499999998</v>
      </c>
      <c r="M7" s="380">
        <f t="shared" si="0"/>
        <v>167368.82200000001</v>
      </c>
      <c r="N7" s="380">
        <f t="shared" si="0"/>
        <v>172409.592</v>
      </c>
      <c r="O7" s="380">
        <f t="shared" si="0"/>
        <v>176925.68</v>
      </c>
      <c r="P7" s="380">
        <f t="shared" si="0"/>
        <v>180942.44099999999</v>
      </c>
      <c r="Q7" s="380">
        <f t="shared" si="0"/>
        <v>184398.49799999999</v>
      </c>
      <c r="R7" s="380">
        <f t="shared" si="0"/>
        <v>186788.36999999997</v>
      </c>
      <c r="S7" s="380">
        <f t="shared" si="0"/>
        <v>189431.42999999991</v>
      </c>
      <c r="T7" s="380">
        <f t="shared" si="0"/>
        <v>193282.03199999998</v>
      </c>
      <c r="U7" s="380">
        <f t="shared" si="0"/>
        <v>197443.94699999999</v>
      </c>
      <c r="V7" s="380">
        <f t="shared" si="0"/>
        <v>202154.45699999997</v>
      </c>
      <c r="W7" s="380">
        <f t="shared" si="0"/>
        <v>206337.81099999999</v>
      </c>
      <c r="X7" s="380">
        <f t="shared" si="0"/>
        <v>208421.37599999996</v>
      </c>
      <c r="Y7" s="380">
        <f t="shared" si="0"/>
        <v>211305.391</v>
      </c>
      <c r="Z7" s="380">
        <f t="shared" si="0"/>
        <v>214258.79799999998</v>
      </c>
      <c r="AA7" s="380">
        <f t="shared" si="0"/>
        <v>216028.24600000001</v>
      </c>
      <c r="AB7" s="380">
        <f t="shared" si="0"/>
        <v>221664.37699999998</v>
      </c>
      <c r="AC7" s="380">
        <f t="shared" si="0"/>
        <v>224270.02200000003</v>
      </c>
      <c r="AD7" s="380">
        <f t="shared" si="0"/>
        <v>228294.77000000002</v>
      </c>
      <c r="AE7" s="380">
        <f t="shared" si="0"/>
        <v>233156.82800000001</v>
      </c>
      <c r="AF7" s="380">
        <f t="shared" si="0"/>
        <v>238084.40599999999</v>
      </c>
      <c r="AG7" s="380">
        <f t="shared" si="0"/>
        <v>242689.59399999992</v>
      </c>
      <c r="AH7" s="380">
        <f t="shared" si="0"/>
        <v>247471.71099999998</v>
      </c>
      <c r="AI7" s="380">
        <f t="shared" si="0"/>
        <v>250545.56</v>
      </c>
      <c r="AJ7" s="1045">
        <f t="shared" si="0"/>
        <v>253271.75960299995</v>
      </c>
    </row>
    <row r="8" spans="1:36" ht="12.75" customHeight="1">
      <c r="B8" s="7" t="s">
        <v>45</v>
      </c>
      <c r="C8" s="109">
        <v>2059.616</v>
      </c>
      <c r="D8" s="109">
        <v>3158.7370000000001</v>
      </c>
      <c r="E8" s="223">
        <v>3864</v>
      </c>
      <c r="F8" s="223">
        <v>3970</v>
      </c>
      <c r="G8" s="223">
        <v>4021</v>
      </c>
      <c r="H8" s="223">
        <v>4110</v>
      </c>
      <c r="I8" s="223">
        <v>4210</v>
      </c>
      <c r="J8" s="223">
        <v>4273</v>
      </c>
      <c r="K8" s="223">
        <v>4339</v>
      </c>
      <c r="L8" s="223">
        <v>4415</v>
      </c>
      <c r="M8" s="223">
        <v>4492</v>
      </c>
      <c r="N8" s="223">
        <v>4584</v>
      </c>
      <c r="O8" s="223">
        <v>4678</v>
      </c>
      <c r="P8" s="223">
        <v>4740</v>
      </c>
      <c r="Q8" s="223">
        <v>4787</v>
      </c>
      <c r="R8" s="223">
        <v>4821</v>
      </c>
      <c r="S8" s="223">
        <v>4874</v>
      </c>
      <c r="T8" s="223">
        <v>4919</v>
      </c>
      <c r="U8" s="223">
        <v>4976</v>
      </c>
      <c r="V8" s="223">
        <v>5049</v>
      </c>
      <c r="W8" s="223">
        <v>5131</v>
      </c>
      <c r="X8" s="223">
        <v>5193</v>
      </c>
      <c r="Y8" s="223">
        <v>5276</v>
      </c>
      <c r="Z8" s="223">
        <v>5407</v>
      </c>
      <c r="AA8" s="223">
        <v>5444</v>
      </c>
      <c r="AB8" s="223">
        <v>5493.4719999999998</v>
      </c>
      <c r="AC8" s="223">
        <v>5555.4989999999998</v>
      </c>
      <c r="AD8" s="223">
        <v>5623.5789999999997</v>
      </c>
      <c r="AE8" s="223">
        <v>5712.0609999999997</v>
      </c>
      <c r="AF8" s="234">
        <v>5785.4470000000001</v>
      </c>
      <c r="AG8" s="223">
        <v>5853.7820000000002</v>
      </c>
      <c r="AH8" s="423">
        <v>5889.21</v>
      </c>
      <c r="AI8" s="423">
        <v>5888.5889999999999</v>
      </c>
      <c r="AJ8" s="507">
        <v>5927.9120000000003</v>
      </c>
    </row>
    <row r="9" spans="1:36" ht="12.75" customHeight="1">
      <c r="B9" s="107" t="s">
        <v>28</v>
      </c>
      <c r="C9" s="110">
        <v>160</v>
      </c>
      <c r="D9" s="110">
        <v>820</v>
      </c>
      <c r="E9" s="224">
        <v>1317.4</v>
      </c>
      <c r="F9" s="224">
        <v>1359</v>
      </c>
      <c r="G9" s="224">
        <v>1411.3</v>
      </c>
      <c r="H9" s="224">
        <v>1505.451</v>
      </c>
      <c r="I9" s="224">
        <v>1587.873</v>
      </c>
      <c r="J9" s="224">
        <v>1647.5709999999999</v>
      </c>
      <c r="K9" s="224">
        <v>1707.0229999999999</v>
      </c>
      <c r="L9" s="224">
        <v>1730.5060000000001</v>
      </c>
      <c r="M9" s="224">
        <v>1809.35</v>
      </c>
      <c r="N9" s="224">
        <v>1908.4</v>
      </c>
      <c r="O9" s="224">
        <v>1992.7</v>
      </c>
      <c r="P9" s="224">
        <v>2085.6999999999998</v>
      </c>
      <c r="Q9" s="224">
        <v>2174.1</v>
      </c>
      <c r="R9" s="224">
        <v>2309.3000000000002</v>
      </c>
      <c r="S9" s="224">
        <v>2438.4</v>
      </c>
      <c r="T9" s="225">
        <v>2538.0920000000001</v>
      </c>
      <c r="U9" s="224">
        <v>1767.742</v>
      </c>
      <c r="V9" s="224">
        <v>2081.5169999999998</v>
      </c>
      <c r="W9" s="224">
        <v>2366.1959999999999</v>
      </c>
      <c r="X9" s="224">
        <v>2502</v>
      </c>
      <c r="Y9" s="224">
        <v>2602.4</v>
      </c>
      <c r="Z9" s="224">
        <v>2695</v>
      </c>
      <c r="AA9" s="224">
        <v>2807</v>
      </c>
      <c r="AB9" s="224">
        <v>2910.2</v>
      </c>
      <c r="AC9" s="224">
        <v>3013.9</v>
      </c>
      <c r="AD9" s="224">
        <v>3162</v>
      </c>
      <c r="AE9" s="224">
        <v>3143.5</v>
      </c>
      <c r="AF9" s="224">
        <v>2770.6</v>
      </c>
      <c r="AG9" s="224">
        <v>2773.3249999999998</v>
      </c>
      <c r="AH9" s="400">
        <v>2829.9459999999999</v>
      </c>
      <c r="AI9" s="400">
        <v>2866.7629999999999</v>
      </c>
      <c r="AJ9" s="520">
        <v>2830.4639999999999</v>
      </c>
    </row>
    <row r="10" spans="1:36" ht="12.75" customHeight="1">
      <c r="A10" s="5"/>
      <c r="B10" s="7" t="s">
        <v>30</v>
      </c>
      <c r="C10" s="109">
        <v>685</v>
      </c>
      <c r="D10" s="109">
        <v>1780</v>
      </c>
      <c r="E10" s="223">
        <v>2410</v>
      </c>
      <c r="F10" s="223">
        <v>2480</v>
      </c>
      <c r="G10" s="223">
        <v>2580</v>
      </c>
      <c r="H10" s="223">
        <v>2833.143</v>
      </c>
      <c r="I10" s="223">
        <v>2923.9160000000002</v>
      </c>
      <c r="J10" s="223">
        <v>3043.3159999999998</v>
      </c>
      <c r="K10" s="223">
        <v>3192.5320000000002</v>
      </c>
      <c r="L10" s="223">
        <v>3391.5410000000002</v>
      </c>
      <c r="M10" s="223">
        <v>3492.9609999999998</v>
      </c>
      <c r="N10" s="223">
        <v>3439.7449999999999</v>
      </c>
      <c r="O10" s="223">
        <v>3438.87</v>
      </c>
      <c r="P10" s="223">
        <v>3529.7910000000002</v>
      </c>
      <c r="Q10" s="223">
        <v>3647.067</v>
      </c>
      <c r="R10" s="223">
        <v>3706.0120000000002</v>
      </c>
      <c r="S10" s="223">
        <v>3815.547</v>
      </c>
      <c r="T10" s="223">
        <v>3958.7080000000001</v>
      </c>
      <c r="U10" s="223">
        <v>4108.6099999999997</v>
      </c>
      <c r="V10" s="223">
        <v>4280.0810000000001</v>
      </c>
      <c r="W10" s="223">
        <v>4423.37</v>
      </c>
      <c r="X10" s="223">
        <v>4435.0519999999997</v>
      </c>
      <c r="Y10" s="223">
        <v>4496.232</v>
      </c>
      <c r="Z10" s="223">
        <v>4581.6419999999998</v>
      </c>
      <c r="AA10" s="223">
        <v>4706</v>
      </c>
      <c r="AB10" s="223">
        <v>4729.1850000000004</v>
      </c>
      <c r="AC10" s="223">
        <v>4833.3860000000004</v>
      </c>
      <c r="AD10" s="223">
        <v>5115.3159999999998</v>
      </c>
      <c r="AE10" s="223">
        <v>5307.808</v>
      </c>
      <c r="AF10" s="223">
        <v>5538</v>
      </c>
      <c r="AG10" s="223">
        <v>5748</v>
      </c>
      <c r="AH10" s="401">
        <v>5924.9949999999999</v>
      </c>
      <c r="AI10" s="401">
        <v>6049.2550000000001</v>
      </c>
      <c r="AJ10" s="507">
        <v>6088.73</v>
      </c>
    </row>
    <row r="11" spans="1:36" ht="12.75" customHeight="1">
      <c r="A11" s="5"/>
      <c r="B11" s="107" t="s">
        <v>41</v>
      </c>
      <c r="C11" s="110">
        <v>1076.875</v>
      </c>
      <c r="D11" s="110">
        <v>1390</v>
      </c>
      <c r="E11" s="224">
        <v>1590</v>
      </c>
      <c r="F11" s="224">
        <v>1594</v>
      </c>
      <c r="G11" s="224">
        <v>1604.0530000000001</v>
      </c>
      <c r="H11" s="224">
        <v>1617.7339999999999</v>
      </c>
      <c r="I11" s="224">
        <v>1611.191</v>
      </c>
      <c r="J11" s="224">
        <v>1679.0070000000001</v>
      </c>
      <c r="K11" s="224">
        <v>1738.854</v>
      </c>
      <c r="L11" s="224">
        <v>1783.098</v>
      </c>
      <c r="M11" s="224">
        <v>1817.1469999999999</v>
      </c>
      <c r="N11" s="224">
        <v>1843.2539999999999</v>
      </c>
      <c r="O11" s="224">
        <v>1854.06</v>
      </c>
      <c r="P11" s="224">
        <v>1872.6310000000001</v>
      </c>
      <c r="Q11" s="224">
        <v>1888.29</v>
      </c>
      <c r="R11" s="224">
        <v>1894.6489999999999</v>
      </c>
      <c r="S11" s="224">
        <v>1915.8209999999999</v>
      </c>
      <c r="T11" s="224">
        <v>1964.682</v>
      </c>
      <c r="U11" s="224">
        <v>2020.0129999999999</v>
      </c>
      <c r="V11" s="224">
        <v>2068.4929999999999</v>
      </c>
      <c r="W11" s="224">
        <v>2099.09</v>
      </c>
      <c r="X11" s="224">
        <v>2120.3220000000001</v>
      </c>
      <c r="Y11" s="224">
        <v>2163.6750000000002</v>
      </c>
      <c r="Z11" s="224">
        <v>2197.8310000000001</v>
      </c>
      <c r="AA11" s="224">
        <v>2237.1219999999998</v>
      </c>
      <c r="AB11" s="224">
        <v>2278.1210000000001</v>
      </c>
      <c r="AC11" s="224">
        <v>2329.578</v>
      </c>
      <c r="AD11" s="224">
        <v>2390.8229999999999</v>
      </c>
      <c r="AE11" s="224">
        <v>2465.538</v>
      </c>
      <c r="AF11" s="224">
        <v>2530</v>
      </c>
      <c r="AG11" s="224">
        <v>2594.4690000000001</v>
      </c>
      <c r="AH11" s="400">
        <v>2651.7260000000001</v>
      </c>
      <c r="AI11" s="400">
        <v>2723.6669999999999</v>
      </c>
      <c r="AJ11" s="520">
        <v>2787.5529999999999</v>
      </c>
    </row>
    <row r="12" spans="1:36" ht="12.75" customHeight="1">
      <c r="A12" s="5"/>
      <c r="B12" s="7" t="s">
        <v>46</v>
      </c>
      <c r="C12" s="109">
        <v>15107.079</v>
      </c>
      <c r="D12" s="109">
        <v>25869.616000000005</v>
      </c>
      <c r="E12" s="223">
        <v>36772</v>
      </c>
      <c r="F12" s="223">
        <v>37947</v>
      </c>
      <c r="G12" s="223">
        <v>38892</v>
      </c>
      <c r="H12" s="223">
        <v>39202.065999999999</v>
      </c>
      <c r="I12" s="223">
        <v>39917.576999999997</v>
      </c>
      <c r="J12" s="223">
        <v>40499.442000000003</v>
      </c>
      <c r="K12" s="226">
        <v>41045.216999999997</v>
      </c>
      <c r="L12" s="223">
        <v>36924.646999999997</v>
      </c>
      <c r="M12" s="223">
        <v>37553.548999999999</v>
      </c>
      <c r="N12" s="223">
        <v>38426.775999999998</v>
      </c>
      <c r="O12" s="223">
        <v>39058.936999999998</v>
      </c>
      <c r="P12" s="223">
        <v>39388.319000000003</v>
      </c>
      <c r="Q12" s="223">
        <v>39720.951000000001</v>
      </c>
      <c r="R12" s="223">
        <v>40017.482000000004</v>
      </c>
      <c r="S12" s="223">
        <v>40179.476999999999</v>
      </c>
      <c r="T12" s="223">
        <v>40659.5</v>
      </c>
      <c r="U12" s="223">
        <v>41019.699999999997</v>
      </c>
      <c r="V12" s="223">
        <v>41183.593999999997</v>
      </c>
      <c r="W12" s="223">
        <v>41321.171000000002</v>
      </c>
      <c r="X12" s="223">
        <v>41737.627</v>
      </c>
      <c r="Y12" s="223">
        <v>42301.563000000002</v>
      </c>
      <c r="Z12" s="223">
        <v>42928</v>
      </c>
      <c r="AA12" s="223">
        <v>43431</v>
      </c>
      <c r="AB12" s="223">
        <v>43851.23</v>
      </c>
      <c r="AC12" s="223">
        <v>44403.124000000003</v>
      </c>
      <c r="AD12" s="223">
        <v>45071.209000000003</v>
      </c>
      <c r="AE12" s="223">
        <v>45803.56</v>
      </c>
      <c r="AF12" s="223">
        <v>46474.593999999997</v>
      </c>
      <c r="AG12" s="223">
        <v>47095.784</v>
      </c>
      <c r="AH12" s="401">
        <v>47715.976999999999</v>
      </c>
      <c r="AI12" s="401">
        <v>48248.584000000003</v>
      </c>
      <c r="AJ12" s="507">
        <v>48540.877999999997</v>
      </c>
    </row>
    <row r="13" spans="1:36" ht="12.75" customHeight="1">
      <c r="A13" s="5"/>
      <c r="B13" s="107" t="s">
        <v>31</v>
      </c>
      <c r="C13" s="110">
        <v>30</v>
      </c>
      <c r="D13" s="110">
        <v>127</v>
      </c>
      <c r="E13" s="224">
        <v>241</v>
      </c>
      <c r="F13" s="224">
        <v>261</v>
      </c>
      <c r="G13" s="224">
        <v>284</v>
      </c>
      <c r="H13" s="224">
        <v>317.42500000000001</v>
      </c>
      <c r="I13" s="224">
        <v>337.81200000000001</v>
      </c>
      <c r="J13" s="224">
        <v>383.44400000000002</v>
      </c>
      <c r="K13" s="224">
        <v>406.59800000000001</v>
      </c>
      <c r="L13" s="224">
        <v>427.678</v>
      </c>
      <c r="M13" s="224">
        <v>450.95400000000001</v>
      </c>
      <c r="N13" s="224">
        <v>458.7</v>
      </c>
      <c r="O13" s="224">
        <v>463.9</v>
      </c>
      <c r="P13" s="224">
        <v>407.3</v>
      </c>
      <c r="Q13" s="224">
        <v>400.7</v>
      </c>
      <c r="R13" s="224">
        <v>434</v>
      </c>
      <c r="S13" s="224">
        <v>471.2</v>
      </c>
      <c r="T13" s="224">
        <v>493.78</v>
      </c>
      <c r="U13" s="225">
        <v>554.01199999999994</v>
      </c>
      <c r="V13" s="224">
        <v>523.76599999999996</v>
      </c>
      <c r="W13" s="224">
        <v>551.83000000000004</v>
      </c>
      <c r="X13" s="224">
        <v>545.70000000000005</v>
      </c>
      <c r="Y13" s="224">
        <v>552.70000000000005</v>
      </c>
      <c r="Z13" s="224">
        <v>574</v>
      </c>
      <c r="AA13" s="224">
        <v>602.1</v>
      </c>
      <c r="AB13" s="224">
        <v>628.5</v>
      </c>
      <c r="AC13" s="224">
        <v>653</v>
      </c>
      <c r="AD13" s="224">
        <v>676.6</v>
      </c>
      <c r="AE13" s="224">
        <v>703.1</v>
      </c>
      <c r="AF13" s="224">
        <v>725.9</v>
      </c>
      <c r="AG13" s="224">
        <v>746.46400000000006</v>
      </c>
      <c r="AH13" s="400">
        <v>794.92600000000004</v>
      </c>
      <c r="AI13" s="400">
        <v>808.68899999999996</v>
      </c>
      <c r="AJ13" s="520">
        <v>825.93600000000004</v>
      </c>
    </row>
    <row r="14" spans="1:36" ht="12.75" customHeight="1">
      <c r="A14" s="5"/>
      <c r="B14" s="7" t="s">
        <v>49</v>
      </c>
      <c r="C14" s="109">
        <v>393.459</v>
      </c>
      <c r="D14" s="109">
        <v>738.11400000000003</v>
      </c>
      <c r="E14" s="223">
        <v>801.38499999999999</v>
      </c>
      <c r="F14" s="223">
        <v>841.94600000000003</v>
      </c>
      <c r="G14" s="223">
        <v>864.20900000000006</v>
      </c>
      <c r="H14" s="223">
        <v>897.17100000000005</v>
      </c>
      <c r="I14" s="223">
        <v>945.947</v>
      </c>
      <c r="J14" s="223">
        <v>998.47</v>
      </c>
      <c r="K14" s="223">
        <v>1066.6020000000001</v>
      </c>
      <c r="L14" s="223">
        <v>1144.769</v>
      </c>
      <c r="M14" s="223">
        <v>1208.1500000000001</v>
      </c>
      <c r="N14" s="223">
        <v>1282.3209999999999</v>
      </c>
      <c r="O14" s="223">
        <v>1332.8869999999999</v>
      </c>
      <c r="P14" s="223">
        <v>1401.251</v>
      </c>
      <c r="Q14" s="223">
        <v>1466.1599999999999</v>
      </c>
      <c r="R14" s="223">
        <v>1526.962</v>
      </c>
      <c r="S14" s="223">
        <v>1603.577</v>
      </c>
      <c r="T14" s="223">
        <v>1684.0449999999998</v>
      </c>
      <c r="U14" s="223">
        <v>1802.1450000000002</v>
      </c>
      <c r="V14" s="223">
        <v>1909.5550000000001</v>
      </c>
      <c r="W14" s="223">
        <v>1953.3340000000001</v>
      </c>
      <c r="X14" s="223">
        <v>1930.7130000000002</v>
      </c>
      <c r="Y14" s="223">
        <v>1899.395</v>
      </c>
      <c r="Z14" s="223">
        <v>1912.9389999999999</v>
      </c>
      <c r="AA14" s="223">
        <v>1906.73</v>
      </c>
      <c r="AB14" s="223">
        <v>1933.1289999999999</v>
      </c>
      <c r="AC14" s="223">
        <v>1966.241</v>
      </c>
      <c r="AD14" s="223">
        <v>2007.1070000000002</v>
      </c>
      <c r="AE14" s="223">
        <v>2048.652</v>
      </c>
      <c r="AF14" s="223">
        <v>2087.4</v>
      </c>
      <c r="AG14" s="223">
        <v>2127.83</v>
      </c>
      <c r="AH14" s="401">
        <v>2196.5479999999998</v>
      </c>
      <c r="AI14" s="401">
        <v>2234.3960000000002</v>
      </c>
      <c r="AJ14" s="507">
        <v>2250.2570000000001</v>
      </c>
    </row>
    <row r="15" spans="1:36" ht="12.75" customHeight="1">
      <c r="A15" s="5"/>
      <c r="B15" s="107" t="s">
        <v>42</v>
      </c>
      <c r="C15" s="110">
        <v>226.893</v>
      </c>
      <c r="D15" s="110">
        <v>862.60900000000004</v>
      </c>
      <c r="E15" s="224">
        <v>1735.5229999999999</v>
      </c>
      <c r="F15" s="224">
        <v>1777.4839999999999</v>
      </c>
      <c r="G15" s="224">
        <v>1829.1</v>
      </c>
      <c r="H15" s="224">
        <v>1958.5440000000001</v>
      </c>
      <c r="I15" s="224">
        <v>2074.0810000000001</v>
      </c>
      <c r="J15" s="224">
        <v>2204.761</v>
      </c>
      <c r="K15" s="224">
        <v>2339.4209999999998</v>
      </c>
      <c r="L15" s="224">
        <v>2500.0990000000002</v>
      </c>
      <c r="M15" s="224">
        <v>2675.6759999999999</v>
      </c>
      <c r="N15" s="224">
        <v>2928.8809999999999</v>
      </c>
      <c r="O15" s="224">
        <v>3195.0650000000001</v>
      </c>
      <c r="P15" s="224">
        <v>3423.7040000000002</v>
      </c>
      <c r="Q15" s="224">
        <v>3646.069</v>
      </c>
      <c r="R15" s="224">
        <v>3839.549</v>
      </c>
      <c r="S15" s="224">
        <v>4073.511</v>
      </c>
      <c r="T15" s="224">
        <v>4303.1289999999999</v>
      </c>
      <c r="U15" s="224">
        <v>4543.0159999999996</v>
      </c>
      <c r="V15" s="224">
        <v>4798.53</v>
      </c>
      <c r="W15" s="224">
        <v>5023.9440000000004</v>
      </c>
      <c r="X15" s="224">
        <v>5131.96</v>
      </c>
      <c r="Y15" s="224">
        <v>5216.8729999999996</v>
      </c>
      <c r="Z15" s="224">
        <v>5203.5910000000003</v>
      </c>
      <c r="AA15" s="224">
        <v>5167.5569999999998</v>
      </c>
      <c r="AB15" s="224">
        <v>5124.2079999999996</v>
      </c>
      <c r="AC15" s="224">
        <v>5110.8729999999996</v>
      </c>
      <c r="AD15" s="224">
        <v>5107.62</v>
      </c>
      <c r="AE15" s="224">
        <v>5160.0559999999996</v>
      </c>
      <c r="AF15" s="224">
        <v>5235.9279999999999</v>
      </c>
      <c r="AG15" s="224">
        <v>5282.6949999999997</v>
      </c>
      <c r="AH15" s="400">
        <v>5406.5510000000004</v>
      </c>
      <c r="AI15" s="400">
        <v>5492.1760000000004</v>
      </c>
      <c r="AJ15" s="520">
        <v>5604.192</v>
      </c>
    </row>
    <row r="16" spans="1:36" ht="12.75" customHeight="1">
      <c r="A16" s="5"/>
      <c r="B16" s="7" t="s">
        <v>47</v>
      </c>
      <c r="C16" s="109">
        <v>2378</v>
      </c>
      <c r="D16" s="109">
        <v>7556.5110000000004</v>
      </c>
      <c r="E16" s="223">
        <v>11995.64</v>
      </c>
      <c r="F16" s="223">
        <v>12537.099</v>
      </c>
      <c r="G16" s="223">
        <v>13102.285</v>
      </c>
      <c r="H16" s="223">
        <v>13440.694</v>
      </c>
      <c r="I16" s="223">
        <v>13733.794</v>
      </c>
      <c r="J16" s="223">
        <v>14212.259</v>
      </c>
      <c r="K16" s="223">
        <v>14753.808999999999</v>
      </c>
      <c r="L16" s="223">
        <v>15297.366</v>
      </c>
      <c r="M16" s="223">
        <v>16050.057000000001</v>
      </c>
      <c r="N16" s="223">
        <v>16847.397000000001</v>
      </c>
      <c r="O16" s="223">
        <v>17449.235000000001</v>
      </c>
      <c r="P16" s="223">
        <v>18150.88</v>
      </c>
      <c r="Q16" s="226">
        <v>18732.632000000001</v>
      </c>
      <c r="R16" s="223">
        <v>18688.32</v>
      </c>
      <c r="S16" s="223">
        <v>19541.918000000001</v>
      </c>
      <c r="T16" s="223">
        <v>20250.377</v>
      </c>
      <c r="U16" s="223">
        <v>20908.724999999999</v>
      </c>
      <c r="V16" s="223">
        <v>21760.173999999999</v>
      </c>
      <c r="W16" s="223">
        <v>22145.364000000001</v>
      </c>
      <c r="X16" s="223">
        <v>21983.485000000001</v>
      </c>
      <c r="Y16" s="223">
        <v>22147.455000000002</v>
      </c>
      <c r="Z16" s="223">
        <v>22277</v>
      </c>
      <c r="AA16" s="223">
        <v>22247.527999999998</v>
      </c>
      <c r="AB16" s="223">
        <v>22024.538</v>
      </c>
      <c r="AC16" s="223">
        <v>22029.511999999999</v>
      </c>
      <c r="AD16" s="223">
        <v>22355.548999999999</v>
      </c>
      <c r="AE16" s="223">
        <v>22876.83</v>
      </c>
      <c r="AF16" s="223">
        <v>23500.401000000002</v>
      </c>
      <c r="AG16" s="223">
        <v>24074.151000000002</v>
      </c>
      <c r="AH16" s="401">
        <v>24558.126</v>
      </c>
      <c r="AI16" s="401">
        <v>24716.898000000001</v>
      </c>
      <c r="AJ16" s="507">
        <v>24913.132000000001</v>
      </c>
    </row>
    <row r="17" spans="1:36" ht="12.75" customHeight="1">
      <c r="A17" s="5"/>
      <c r="B17" s="107" t="s">
        <v>48</v>
      </c>
      <c r="C17" s="110">
        <v>11900</v>
      </c>
      <c r="D17" s="110">
        <v>19130</v>
      </c>
      <c r="E17" s="224">
        <v>27071.642</v>
      </c>
      <c r="F17" s="224">
        <v>27309.644</v>
      </c>
      <c r="G17" s="224">
        <v>27596.041000000001</v>
      </c>
      <c r="H17" s="224">
        <v>27680.285</v>
      </c>
      <c r="I17" s="224">
        <v>27761.921999999999</v>
      </c>
      <c r="J17" s="224">
        <v>27872.066999999999</v>
      </c>
      <c r="K17" s="224">
        <v>28017.221000000001</v>
      </c>
      <c r="L17" s="224">
        <v>28201.321</v>
      </c>
      <c r="M17" s="224">
        <v>28627.360000000001</v>
      </c>
      <c r="N17" s="224">
        <v>29272.165000000001</v>
      </c>
      <c r="O17" s="224">
        <v>29807.798999999999</v>
      </c>
      <c r="P17" s="224">
        <v>30330.382000000001</v>
      </c>
      <c r="Q17" s="224">
        <v>30590.742999999999</v>
      </c>
      <c r="R17" s="224">
        <v>30582.717000000001</v>
      </c>
      <c r="S17" s="224">
        <v>30537.243999999999</v>
      </c>
      <c r="T17" s="224">
        <v>30497.012999999999</v>
      </c>
      <c r="U17" s="224">
        <v>31002.304</v>
      </c>
      <c r="V17" s="224">
        <v>31442.880000000001</v>
      </c>
      <c r="W17" s="224">
        <v>31109.080999999998</v>
      </c>
      <c r="X17" s="228">
        <v>31394</v>
      </c>
      <c r="Y17" s="224">
        <v>31657</v>
      </c>
      <c r="Z17" s="224">
        <v>31754</v>
      </c>
      <c r="AA17" s="224">
        <v>32132</v>
      </c>
      <c r="AB17" s="228">
        <v>36149.230000000003</v>
      </c>
      <c r="AC17" s="224">
        <v>36647.883000000002</v>
      </c>
      <c r="AD17" s="224">
        <v>37180.101000000002</v>
      </c>
      <c r="AE17" s="224">
        <v>37673.476000000002</v>
      </c>
      <c r="AF17" s="224">
        <v>38136.817999999999</v>
      </c>
      <c r="AG17" s="224">
        <v>38246.432000000001</v>
      </c>
      <c r="AH17" s="224">
        <v>38435.917999999998</v>
      </c>
      <c r="AI17" s="224">
        <v>38480.504999999997</v>
      </c>
      <c r="AJ17" s="617">
        <v>38738.589603</v>
      </c>
    </row>
    <row r="18" spans="1:36" ht="12.75" customHeight="1">
      <c r="A18" s="5"/>
      <c r="B18" s="7" t="s">
        <v>59</v>
      </c>
      <c r="C18" s="109" t="s">
        <v>57</v>
      </c>
      <c r="D18" s="109" t="s">
        <v>57</v>
      </c>
      <c r="E18" s="227">
        <v>580</v>
      </c>
      <c r="F18" s="227">
        <v>600</v>
      </c>
      <c r="G18" s="227">
        <v>620</v>
      </c>
      <c r="H18" s="223">
        <v>646.21</v>
      </c>
      <c r="I18" s="223">
        <v>698.39099999999996</v>
      </c>
      <c r="J18" s="223">
        <v>710.91</v>
      </c>
      <c r="K18" s="223">
        <v>835.71400000000006</v>
      </c>
      <c r="L18" s="223">
        <v>932.27800000000002</v>
      </c>
      <c r="M18" s="223">
        <v>1000.052</v>
      </c>
      <c r="N18" s="223">
        <v>1063.546</v>
      </c>
      <c r="O18" s="223">
        <v>1124.825</v>
      </c>
      <c r="P18" s="223">
        <v>1195.45</v>
      </c>
      <c r="Q18" s="223">
        <v>1244.252</v>
      </c>
      <c r="R18" s="223">
        <v>1293.421</v>
      </c>
      <c r="S18" s="223">
        <v>1337.538</v>
      </c>
      <c r="T18" s="223">
        <v>1384.6990000000001</v>
      </c>
      <c r="U18" s="223">
        <v>1435.7809999999999</v>
      </c>
      <c r="V18" s="223">
        <v>1491.127</v>
      </c>
      <c r="W18" s="226">
        <v>1535.28</v>
      </c>
      <c r="X18" s="223">
        <v>1532.549</v>
      </c>
      <c r="Y18" s="223">
        <v>1515.4490000000001</v>
      </c>
      <c r="Z18" s="223">
        <v>1518.278</v>
      </c>
      <c r="AA18" s="223">
        <v>1445.22</v>
      </c>
      <c r="AB18" s="223">
        <v>1448.299</v>
      </c>
      <c r="AC18" s="223">
        <v>1474.4949999999999</v>
      </c>
      <c r="AD18" s="223">
        <v>1499.8019999999999</v>
      </c>
      <c r="AE18" s="223">
        <v>1552.904</v>
      </c>
      <c r="AF18" s="223">
        <v>1596.087</v>
      </c>
      <c r="AG18" s="223">
        <v>1666.413</v>
      </c>
      <c r="AH18" s="401">
        <v>1724.9</v>
      </c>
      <c r="AI18" s="401">
        <v>1746.2850000000001</v>
      </c>
      <c r="AJ18" s="507">
        <v>1795.4649999999999</v>
      </c>
    </row>
    <row r="19" spans="1:36" ht="12.75" customHeight="1">
      <c r="A19" s="5"/>
      <c r="B19" s="107" t="s">
        <v>50</v>
      </c>
      <c r="C19" s="110">
        <v>10181.191999999999</v>
      </c>
      <c r="D19" s="110">
        <v>17686.236000000001</v>
      </c>
      <c r="E19" s="224">
        <v>27415.828000000001</v>
      </c>
      <c r="F19" s="224">
        <v>28434.922999999999</v>
      </c>
      <c r="G19" s="224">
        <v>29429.628000000001</v>
      </c>
      <c r="H19" s="224">
        <v>29652.024000000001</v>
      </c>
      <c r="I19" s="224">
        <v>29665.308000000001</v>
      </c>
      <c r="J19" s="224">
        <v>30301.423999999999</v>
      </c>
      <c r="K19" s="224">
        <v>30467.172999999999</v>
      </c>
      <c r="L19" s="224">
        <v>30741.953000000001</v>
      </c>
      <c r="M19" s="224">
        <v>31370.764999999999</v>
      </c>
      <c r="N19" s="224">
        <v>32038.291000000001</v>
      </c>
      <c r="O19" s="224">
        <v>32583.814999999999</v>
      </c>
      <c r="P19" s="224">
        <v>33239.029000000002</v>
      </c>
      <c r="Q19" s="224">
        <v>33706.152999999998</v>
      </c>
      <c r="R19" s="224">
        <v>34310.446000000004</v>
      </c>
      <c r="S19" s="224">
        <v>33973.146999999997</v>
      </c>
      <c r="T19" s="224">
        <v>34667.485000000001</v>
      </c>
      <c r="U19" s="224">
        <v>35297.281999999999</v>
      </c>
      <c r="V19" s="224">
        <v>35680.097000000002</v>
      </c>
      <c r="W19" s="224">
        <v>36105.182999999997</v>
      </c>
      <c r="X19" s="224">
        <v>36372</v>
      </c>
      <c r="Y19" s="224">
        <v>36751.311000000002</v>
      </c>
      <c r="Z19" s="224">
        <v>37113.300000000003</v>
      </c>
      <c r="AA19" s="224">
        <v>37078</v>
      </c>
      <c r="AB19" s="224">
        <v>36962.934000000001</v>
      </c>
      <c r="AC19" s="224">
        <v>37080.752999999997</v>
      </c>
      <c r="AD19" s="224">
        <v>37351.233</v>
      </c>
      <c r="AE19" s="224">
        <v>37876.137999999999</v>
      </c>
      <c r="AF19" s="224">
        <v>38520.321000000004</v>
      </c>
      <c r="AG19" s="224">
        <v>39018.17</v>
      </c>
      <c r="AH19" s="400">
        <v>39545.232000000004</v>
      </c>
      <c r="AI19" s="400">
        <v>39717.874000000003</v>
      </c>
      <c r="AJ19" s="520">
        <v>39822.722999999998</v>
      </c>
    </row>
    <row r="20" spans="1:36" ht="12.75" customHeight="1">
      <c r="A20" s="5"/>
      <c r="B20" s="7" t="s">
        <v>29</v>
      </c>
      <c r="C20" s="109">
        <v>60</v>
      </c>
      <c r="D20" s="109">
        <v>90</v>
      </c>
      <c r="E20" s="223">
        <v>178.602</v>
      </c>
      <c r="F20" s="223">
        <v>190</v>
      </c>
      <c r="G20" s="223">
        <v>200</v>
      </c>
      <c r="H20" s="223">
        <v>203.61</v>
      </c>
      <c r="I20" s="223">
        <v>210.36500000000001</v>
      </c>
      <c r="J20" s="223">
        <v>219.749</v>
      </c>
      <c r="K20" s="223">
        <v>226.83199999999999</v>
      </c>
      <c r="L20" s="223">
        <v>234.976</v>
      </c>
      <c r="M20" s="223">
        <v>249.22499999999999</v>
      </c>
      <c r="N20" s="223">
        <v>256.98899999999998</v>
      </c>
      <c r="O20" s="223">
        <v>267.589</v>
      </c>
      <c r="P20" s="226">
        <v>280.06900000000002</v>
      </c>
      <c r="Q20" s="223">
        <v>287.62200000000001</v>
      </c>
      <c r="R20" s="223">
        <v>302.50099999999998</v>
      </c>
      <c r="S20" s="223">
        <v>335.63400000000001</v>
      </c>
      <c r="T20" s="223">
        <v>355.13400000000001</v>
      </c>
      <c r="U20" s="223">
        <v>372.94499999999999</v>
      </c>
      <c r="V20" s="223">
        <v>410.93599999999998</v>
      </c>
      <c r="W20" s="223">
        <v>443.517</v>
      </c>
      <c r="X20" s="223">
        <v>460.50400000000002</v>
      </c>
      <c r="Y20" s="223">
        <v>462.65199999999999</v>
      </c>
      <c r="Z20" s="223">
        <v>470</v>
      </c>
      <c r="AA20" s="223">
        <v>475.46199999999999</v>
      </c>
      <c r="AB20" s="223">
        <v>474.56099999999998</v>
      </c>
      <c r="AC20" s="223">
        <v>478.49200000000002</v>
      </c>
      <c r="AD20" s="223">
        <v>487.69200000000001</v>
      </c>
      <c r="AE20" s="223">
        <v>508.28399999999999</v>
      </c>
      <c r="AF20" s="223">
        <v>526.61699999999996</v>
      </c>
      <c r="AG20" s="223">
        <v>550.69500000000005</v>
      </c>
      <c r="AH20" s="401">
        <v>572.50099999999998</v>
      </c>
      <c r="AI20" s="401">
        <v>578.15800000000002</v>
      </c>
      <c r="AJ20" s="507">
        <v>592.15599999999995</v>
      </c>
    </row>
    <row r="21" spans="1:36" ht="12.75" customHeight="1">
      <c r="A21" s="5"/>
      <c r="B21" s="107" t="s">
        <v>33</v>
      </c>
      <c r="C21" s="110">
        <v>40</v>
      </c>
      <c r="D21" s="110">
        <v>166</v>
      </c>
      <c r="E21" s="224">
        <v>283</v>
      </c>
      <c r="F21" s="224">
        <v>329</v>
      </c>
      <c r="G21" s="224">
        <v>350</v>
      </c>
      <c r="H21" s="225">
        <v>367.47500000000002</v>
      </c>
      <c r="I21" s="224">
        <v>251.59299999999999</v>
      </c>
      <c r="J21" s="224">
        <v>332</v>
      </c>
      <c r="K21" s="224">
        <v>379.89499999999998</v>
      </c>
      <c r="L21" s="224">
        <v>431.81599999999997</v>
      </c>
      <c r="M21" s="224">
        <v>482.67</v>
      </c>
      <c r="N21" s="224">
        <v>525.572</v>
      </c>
      <c r="O21" s="224">
        <v>556.79999999999995</v>
      </c>
      <c r="P21" s="224">
        <v>586.20000000000005</v>
      </c>
      <c r="Q21" s="224">
        <v>619.1</v>
      </c>
      <c r="R21" s="224">
        <v>648.9</v>
      </c>
      <c r="S21" s="224">
        <v>686.12800000000004</v>
      </c>
      <c r="T21" s="224">
        <v>742.447</v>
      </c>
      <c r="U21" s="224">
        <v>822.01099999999997</v>
      </c>
      <c r="V21" s="224">
        <v>904.86900000000003</v>
      </c>
      <c r="W21" s="224">
        <v>932.82799999999997</v>
      </c>
      <c r="X21" s="224">
        <v>904.30799999999999</v>
      </c>
      <c r="Y21" s="228">
        <v>636.66399999999999</v>
      </c>
      <c r="Z21" s="224">
        <v>612.32000000000005</v>
      </c>
      <c r="AA21" s="224">
        <v>618.274</v>
      </c>
      <c r="AB21" s="224">
        <v>634.60299999999995</v>
      </c>
      <c r="AC21" s="224">
        <v>657.79899999999998</v>
      </c>
      <c r="AD21" s="224">
        <v>679.048</v>
      </c>
      <c r="AE21" s="224">
        <v>664.17700000000002</v>
      </c>
      <c r="AF21" s="224">
        <v>690</v>
      </c>
      <c r="AG21" s="224">
        <v>707.84100000000001</v>
      </c>
      <c r="AH21" s="400">
        <v>727.16399999999999</v>
      </c>
      <c r="AI21" s="400">
        <v>739.12400000000002</v>
      </c>
      <c r="AJ21" s="520">
        <v>758.68799999999999</v>
      </c>
    </row>
    <row r="22" spans="1:36" ht="12.75" customHeight="1">
      <c r="A22" s="5"/>
      <c r="B22" s="7" t="s">
        <v>34</v>
      </c>
      <c r="C22" s="109">
        <v>43.7</v>
      </c>
      <c r="D22" s="109">
        <v>247</v>
      </c>
      <c r="E22" s="223">
        <v>493</v>
      </c>
      <c r="F22" s="223">
        <v>531</v>
      </c>
      <c r="G22" s="223">
        <v>565</v>
      </c>
      <c r="H22" s="223">
        <v>597.73500000000001</v>
      </c>
      <c r="I22" s="223">
        <v>652.80999999999995</v>
      </c>
      <c r="J22" s="223">
        <v>718.46900000000005</v>
      </c>
      <c r="K22" s="223">
        <v>785.08799999999997</v>
      </c>
      <c r="L22" s="223">
        <v>882.101</v>
      </c>
      <c r="M22" s="223">
        <v>980.91</v>
      </c>
      <c r="N22" s="223">
        <v>1089.3340000000001</v>
      </c>
      <c r="O22" s="223">
        <v>1172.394</v>
      </c>
      <c r="P22" s="223">
        <v>1133.4770000000001</v>
      </c>
      <c r="Q22" s="223">
        <v>1180.9449999999999</v>
      </c>
      <c r="R22" s="223">
        <v>1256.8530000000001</v>
      </c>
      <c r="S22" s="223">
        <v>1315.914</v>
      </c>
      <c r="T22" s="223">
        <v>1455.2760000000001</v>
      </c>
      <c r="U22" s="223">
        <v>1592.2380000000001</v>
      </c>
      <c r="V22" s="223">
        <v>1587.903</v>
      </c>
      <c r="W22" s="223">
        <v>1671.0650000000001</v>
      </c>
      <c r="X22" s="223">
        <v>1695.2860000000001</v>
      </c>
      <c r="Y22" s="223">
        <v>1691.855</v>
      </c>
      <c r="Z22" s="223">
        <v>1713.3</v>
      </c>
      <c r="AA22" s="223">
        <v>1753.4069999999999</v>
      </c>
      <c r="AB22" s="223">
        <v>1808.982</v>
      </c>
      <c r="AC22" s="328">
        <v>1205.6679999999999</v>
      </c>
      <c r="AD22" s="223">
        <v>1244.0630000000001</v>
      </c>
      <c r="AE22" s="223">
        <v>1298.7370000000001</v>
      </c>
      <c r="AF22" s="223">
        <v>1357</v>
      </c>
      <c r="AG22" s="223">
        <v>1430.52</v>
      </c>
      <c r="AH22" s="401">
        <v>1498.6880000000001</v>
      </c>
      <c r="AI22" s="401">
        <v>1565.4649999999999</v>
      </c>
      <c r="AJ22" s="507">
        <v>1611.143</v>
      </c>
    </row>
    <row r="23" spans="1:36" ht="12.75" customHeight="1">
      <c r="A23" s="5"/>
      <c r="B23" s="107" t="s">
        <v>51</v>
      </c>
      <c r="C23" s="110">
        <v>72</v>
      </c>
      <c r="D23" s="110">
        <v>128.6</v>
      </c>
      <c r="E23" s="224">
        <v>183.404</v>
      </c>
      <c r="F23" s="224">
        <v>192</v>
      </c>
      <c r="G23" s="224">
        <v>201</v>
      </c>
      <c r="H23" s="224">
        <v>208</v>
      </c>
      <c r="I23" s="224">
        <v>217.75399999999999</v>
      </c>
      <c r="J23" s="224">
        <v>229.03700000000001</v>
      </c>
      <c r="K23" s="224">
        <v>231.666</v>
      </c>
      <c r="L23" s="224">
        <v>236.834</v>
      </c>
      <c r="M23" s="224">
        <v>253.40600000000001</v>
      </c>
      <c r="N23" s="224">
        <v>263.47500000000002</v>
      </c>
      <c r="O23" s="224">
        <v>273.08600000000001</v>
      </c>
      <c r="P23" s="224">
        <v>280.709</v>
      </c>
      <c r="Q23" s="224">
        <v>287.245</v>
      </c>
      <c r="R23" s="224">
        <v>293.39800000000002</v>
      </c>
      <c r="S23" s="224">
        <v>299.75900000000001</v>
      </c>
      <c r="T23" s="224">
        <v>307.26500000000004</v>
      </c>
      <c r="U23" s="224">
        <v>314.70400000000001</v>
      </c>
      <c r="V23" s="224">
        <v>321.52</v>
      </c>
      <c r="W23" s="224">
        <v>329.03800000000001</v>
      </c>
      <c r="X23" s="224">
        <v>331.50299999999999</v>
      </c>
      <c r="Y23" s="224">
        <v>337.23900000000003</v>
      </c>
      <c r="Z23" s="224">
        <v>345.57500000000005</v>
      </c>
      <c r="AA23" s="224">
        <v>355.84999999999997</v>
      </c>
      <c r="AB23" s="224">
        <v>363.24700000000001</v>
      </c>
      <c r="AC23" s="224">
        <v>372.827</v>
      </c>
      <c r="AD23" s="224">
        <v>381.10300000000001</v>
      </c>
      <c r="AE23" s="224">
        <v>390.935</v>
      </c>
      <c r="AF23" s="224">
        <v>403.28199999999998</v>
      </c>
      <c r="AG23" s="224">
        <v>415.14499999999998</v>
      </c>
      <c r="AH23" s="400">
        <v>426.346</v>
      </c>
      <c r="AI23" s="400">
        <v>433.18299999999999</v>
      </c>
      <c r="AJ23" s="520">
        <v>439.79</v>
      </c>
    </row>
    <row r="24" spans="1:36" ht="12.75" customHeight="1">
      <c r="A24" s="5"/>
      <c r="B24" s="7" t="s">
        <v>32</v>
      </c>
      <c r="C24" s="109">
        <v>240</v>
      </c>
      <c r="D24" s="109">
        <v>1010</v>
      </c>
      <c r="E24" s="223">
        <v>1944</v>
      </c>
      <c r="F24" s="223">
        <v>2020</v>
      </c>
      <c r="G24" s="223">
        <v>2058</v>
      </c>
      <c r="H24" s="223">
        <v>2093.529</v>
      </c>
      <c r="I24" s="223">
        <v>2178.8910000000001</v>
      </c>
      <c r="J24" s="223">
        <v>2244.9459999999999</v>
      </c>
      <c r="K24" s="223">
        <v>2265.1799999999998</v>
      </c>
      <c r="L24" s="223">
        <v>2297.9639999999999</v>
      </c>
      <c r="M24" s="223">
        <v>2218.1239999999998</v>
      </c>
      <c r="N24" s="223">
        <v>2255.5259999999998</v>
      </c>
      <c r="O24" s="223">
        <v>2364.7060000000001</v>
      </c>
      <c r="P24" s="223">
        <v>2482.8270000000002</v>
      </c>
      <c r="Q24" s="223">
        <v>2629.5259999999998</v>
      </c>
      <c r="R24" s="223">
        <v>2777.2190000000001</v>
      </c>
      <c r="S24" s="223">
        <v>2828.433</v>
      </c>
      <c r="T24" s="223">
        <v>2888.7350000000001</v>
      </c>
      <c r="U24" s="223">
        <v>2953.7370000000001</v>
      </c>
      <c r="V24" s="223">
        <v>3012.165</v>
      </c>
      <c r="W24" s="223">
        <v>3055.4270000000001</v>
      </c>
      <c r="X24" s="223">
        <v>3013.7190000000001</v>
      </c>
      <c r="Y24" s="223">
        <v>2984.0630000000001</v>
      </c>
      <c r="Z24" s="223">
        <v>2967.808</v>
      </c>
      <c r="AA24" s="223">
        <v>2986.0279999999998</v>
      </c>
      <c r="AB24" s="223">
        <v>3040.732</v>
      </c>
      <c r="AC24" s="223">
        <v>3107.6950000000002</v>
      </c>
      <c r="AD24" s="223">
        <v>3196.8560000000002</v>
      </c>
      <c r="AE24" s="223">
        <v>3313.2060000000001</v>
      </c>
      <c r="AF24" s="223">
        <v>3472</v>
      </c>
      <c r="AG24" s="223">
        <v>3641.8229999999999</v>
      </c>
      <c r="AH24" s="401">
        <v>3812.0129999999999</v>
      </c>
      <c r="AI24" s="401">
        <v>3920.799</v>
      </c>
      <c r="AJ24" s="507">
        <v>4020.1590000000001</v>
      </c>
    </row>
    <row r="25" spans="1:36" ht="12.75" customHeight="1">
      <c r="A25" s="5"/>
      <c r="B25" s="107" t="s">
        <v>35</v>
      </c>
      <c r="C25" s="110" t="s">
        <v>57</v>
      </c>
      <c r="D25" s="110" t="s">
        <v>57</v>
      </c>
      <c r="E25" s="229">
        <v>120</v>
      </c>
      <c r="F25" s="224">
        <v>122</v>
      </c>
      <c r="G25" s="224">
        <v>125</v>
      </c>
      <c r="H25" s="224">
        <v>152.613</v>
      </c>
      <c r="I25" s="224">
        <v>170.63499999999999</v>
      </c>
      <c r="J25" s="224">
        <v>180.851</v>
      </c>
      <c r="K25" s="224">
        <v>182</v>
      </c>
      <c r="L25" s="224">
        <v>183.774</v>
      </c>
      <c r="M25" s="224">
        <v>174.786</v>
      </c>
      <c r="N25" s="224">
        <v>182.25200000000001</v>
      </c>
      <c r="O25" s="224">
        <v>189.12299999999999</v>
      </c>
      <c r="P25" s="224">
        <v>195.37900000000002</v>
      </c>
      <c r="Q25" s="224">
        <v>201.92100000000002</v>
      </c>
      <c r="R25" s="224">
        <v>208.81200000000001</v>
      </c>
      <c r="S25" s="224">
        <v>211.38300000000001</v>
      </c>
      <c r="T25" s="224">
        <v>212.56100000000001</v>
      </c>
      <c r="U25" s="224">
        <v>218.15300000000002</v>
      </c>
      <c r="V25" s="224">
        <v>224.89599999999999</v>
      </c>
      <c r="W25" s="224">
        <v>229.38899999999998</v>
      </c>
      <c r="X25" s="224">
        <v>233.48600000000002</v>
      </c>
      <c r="Y25" s="228">
        <v>240.95999999999998</v>
      </c>
      <c r="Z25" s="224">
        <v>247.37499999999997</v>
      </c>
      <c r="AA25" s="228">
        <v>250.03499999999997</v>
      </c>
      <c r="AB25" s="224">
        <v>256.59800000000001</v>
      </c>
      <c r="AC25" s="224">
        <v>266.33500000000004</v>
      </c>
      <c r="AD25" s="224">
        <v>275.17700000000002</v>
      </c>
      <c r="AE25" s="224">
        <v>282.93299999999999</v>
      </c>
      <c r="AF25" s="224">
        <v>291.66400000000004</v>
      </c>
      <c r="AG25" s="224">
        <v>300.14200000000005</v>
      </c>
      <c r="AH25" s="400">
        <v>307.13</v>
      </c>
      <c r="AI25" s="400">
        <v>308.358</v>
      </c>
      <c r="AJ25" s="520">
        <v>313.17700000000002</v>
      </c>
    </row>
    <row r="26" spans="1:36" ht="12.75" customHeight="1">
      <c r="A26" s="5"/>
      <c r="B26" s="7" t="s">
        <v>43</v>
      </c>
      <c r="C26" s="109">
        <v>2564</v>
      </c>
      <c r="D26" s="109">
        <v>4550</v>
      </c>
      <c r="E26" s="223">
        <v>5509.1729999999998</v>
      </c>
      <c r="F26" s="223">
        <v>5554</v>
      </c>
      <c r="G26" s="223">
        <v>5658</v>
      </c>
      <c r="H26" s="223">
        <v>5755</v>
      </c>
      <c r="I26" s="223">
        <v>5884</v>
      </c>
      <c r="J26" s="223">
        <v>5633</v>
      </c>
      <c r="K26" s="223">
        <v>5740</v>
      </c>
      <c r="L26" s="223">
        <v>5931.3869999999997</v>
      </c>
      <c r="M26" s="223">
        <v>6119.5810000000001</v>
      </c>
      <c r="N26" s="223">
        <v>6343.1949999999997</v>
      </c>
      <c r="O26" s="223">
        <v>6539.2120000000004</v>
      </c>
      <c r="P26" s="223">
        <v>6710.6019999999999</v>
      </c>
      <c r="Q26" s="223">
        <v>6854.7430000000004</v>
      </c>
      <c r="R26" s="223">
        <v>6908.473</v>
      </c>
      <c r="S26" s="223">
        <v>6991.991</v>
      </c>
      <c r="T26" s="223">
        <v>7092.2929999999997</v>
      </c>
      <c r="U26" s="223">
        <v>7230.1779999999999</v>
      </c>
      <c r="V26" s="223">
        <v>7391.9030000000002</v>
      </c>
      <c r="W26" s="223">
        <v>7542.3310000000001</v>
      </c>
      <c r="X26" s="223">
        <v>7622</v>
      </c>
      <c r="Y26" s="223">
        <v>7736</v>
      </c>
      <c r="Z26" s="223">
        <v>7859</v>
      </c>
      <c r="AA26" s="223">
        <v>7915.6130000000003</v>
      </c>
      <c r="AB26" s="223">
        <v>7932.29</v>
      </c>
      <c r="AC26" s="223">
        <v>7979.0829999999996</v>
      </c>
      <c r="AD26" s="223">
        <v>8100.8639999999996</v>
      </c>
      <c r="AE26" s="223">
        <v>8222.9740000000002</v>
      </c>
      <c r="AF26" s="223">
        <v>8373</v>
      </c>
      <c r="AG26" s="223">
        <v>8442.982</v>
      </c>
      <c r="AH26" s="401">
        <v>8677.9110000000001</v>
      </c>
      <c r="AI26" s="401">
        <v>8793.5920000000006</v>
      </c>
      <c r="AJ26" s="507">
        <v>8827.7090000000007</v>
      </c>
    </row>
    <row r="27" spans="1:36" ht="12.75" customHeight="1">
      <c r="A27" s="5"/>
      <c r="B27" s="107" t="s">
        <v>52</v>
      </c>
      <c r="C27" s="110">
        <v>1197</v>
      </c>
      <c r="D27" s="110">
        <v>2247</v>
      </c>
      <c r="E27" s="224">
        <v>2991</v>
      </c>
      <c r="F27" s="224">
        <v>3100</v>
      </c>
      <c r="G27" s="224">
        <v>3245</v>
      </c>
      <c r="H27" s="224">
        <v>3367.6260000000002</v>
      </c>
      <c r="I27" s="224">
        <v>3479.5949999999998</v>
      </c>
      <c r="J27" s="224">
        <v>3593.5880000000002</v>
      </c>
      <c r="K27" s="224">
        <v>3690.692</v>
      </c>
      <c r="L27" s="224">
        <v>3782.5430000000001</v>
      </c>
      <c r="M27" s="224">
        <v>3887.174</v>
      </c>
      <c r="N27" s="224">
        <v>4009.6039999999998</v>
      </c>
      <c r="O27" s="224">
        <v>4097.1450000000004</v>
      </c>
      <c r="P27" s="225">
        <v>4182.027</v>
      </c>
      <c r="Q27" s="224">
        <v>3987.0929999999998</v>
      </c>
      <c r="R27" s="224">
        <v>4054.308</v>
      </c>
      <c r="S27" s="224">
        <v>4109.1289999999999</v>
      </c>
      <c r="T27" s="224">
        <v>4156.7430000000004</v>
      </c>
      <c r="U27" s="224">
        <v>4204.9690000000001</v>
      </c>
      <c r="V27" s="224">
        <v>4245.5829999999996</v>
      </c>
      <c r="W27" s="224">
        <v>4284.9189999999999</v>
      </c>
      <c r="X27" s="224">
        <v>4359.9440000000004</v>
      </c>
      <c r="Y27" s="224">
        <v>4441.027</v>
      </c>
      <c r="Z27" s="224">
        <v>4513.4210000000003</v>
      </c>
      <c r="AA27" s="224">
        <v>4584.2020000000002</v>
      </c>
      <c r="AB27" s="224">
        <v>4641.308</v>
      </c>
      <c r="AC27" s="224">
        <v>4694.9210000000003</v>
      </c>
      <c r="AD27" s="224">
        <v>4748.0479999999998</v>
      </c>
      <c r="AE27" s="224">
        <v>4821.5569999999998</v>
      </c>
      <c r="AF27" s="224">
        <v>4899</v>
      </c>
      <c r="AG27" s="224">
        <v>4978.8519999999999</v>
      </c>
      <c r="AH27" s="400">
        <v>5040</v>
      </c>
      <c r="AI27" s="400">
        <v>5091.8270000000002</v>
      </c>
      <c r="AJ27" s="520">
        <v>5133.8360000000002</v>
      </c>
    </row>
    <row r="28" spans="1:36" ht="12.75" customHeight="1">
      <c r="A28" s="5"/>
      <c r="B28" s="7" t="s">
        <v>36</v>
      </c>
      <c r="C28" s="109">
        <v>479</v>
      </c>
      <c r="D28" s="109">
        <v>2380</v>
      </c>
      <c r="E28" s="223">
        <v>5261</v>
      </c>
      <c r="F28" s="223">
        <v>6110</v>
      </c>
      <c r="G28" s="223">
        <v>6505</v>
      </c>
      <c r="H28" s="223">
        <v>6770.5569999999998</v>
      </c>
      <c r="I28" s="223">
        <v>7153.1409999999996</v>
      </c>
      <c r="J28" s="223">
        <v>7517.2659999999996</v>
      </c>
      <c r="K28" s="223">
        <v>8054.4480000000003</v>
      </c>
      <c r="L28" s="223">
        <v>8533.4490000000005</v>
      </c>
      <c r="M28" s="223">
        <v>8890.7630000000008</v>
      </c>
      <c r="N28" s="223">
        <v>9282.9</v>
      </c>
      <c r="O28" s="223">
        <v>9991.2999999999993</v>
      </c>
      <c r="P28" s="223">
        <v>10503.1</v>
      </c>
      <c r="Q28" s="223">
        <v>11028.9</v>
      </c>
      <c r="R28" s="223">
        <v>11243.8</v>
      </c>
      <c r="S28" s="223">
        <v>11975.191000000001</v>
      </c>
      <c r="T28" s="223">
        <v>12339.352999999999</v>
      </c>
      <c r="U28" s="223">
        <v>13384.228999999999</v>
      </c>
      <c r="V28" s="223">
        <v>14588.739</v>
      </c>
      <c r="W28" s="223">
        <v>16079.532999999999</v>
      </c>
      <c r="X28" s="223">
        <v>16495</v>
      </c>
      <c r="Y28" s="223">
        <v>17239.8</v>
      </c>
      <c r="Z28" s="223">
        <v>18125</v>
      </c>
      <c r="AA28" s="223">
        <v>18744</v>
      </c>
      <c r="AB28" s="223">
        <v>19389.446</v>
      </c>
      <c r="AC28" s="223">
        <v>20003.863000000001</v>
      </c>
      <c r="AD28" s="223">
        <v>20723</v>
      </c>
      <c r="AE28" s="223">
        <v>21675.387999999999</v>
      </c>
      <c r="AF28" s="223">
        <v>22504</v>
      </c>
      <c r="AG28" s="223">
        <v>23429</v>
      </c>
      <c r="AH28" s="401">
        <v>24360.166000000001</v>
      </c>
      <c r="AI28" s="401">
        <v>25113.862000000001</v>
      </c>
      <c r="AJ28" s="507">
        <v>25869.804</v>
      </c>
    </row>
    <row r="29" spans="1:36" ht="12.75" customHeight="1">
      <c r="A29" s="5"/>
      <c r="B29" s="107" t="s">
        <v>53</v>
      </c>
      <c r="C29" s="110">
        <v>421</v>
      </c>
      <c r="D29" s="110">
        <v>1269</v>
      </c>
      <c r="E29" s="224">
        <v>1849</v>
      </c>
      <c r="F29" s="229">
        <v>1950</v>
      </c>
      <c r="G29" s="229">
        <v>2100</v>
      </c>
      <c r="H29" s="229">
        <v>2250</v>
      </c>
      <c r="I29" s="229">
        <v>2410</v>
      </c>
      <c r="J29" s="224">
        <v>2560</v>
      </c>
      <c r="K29" s="224">
        <v>2750</v>
      </c>
      <c r="L29" s="224">
        <v>2950</v>
      </c>
      <c r="M29" s="224">
        <v>3150</v>
      </c>
      <c r="N29" s="224">
        <v>3350</v>
      </c>
      <c r="O29" s="224">
        <v>3443</v>
      </c>
      <c r="P29" s="224">
        <v>3589</v>
      </c>
      <c r="Q29" s="224">
        <v>3885</v>
      </c>
      <c r="R29" s="224">
        <v>3966</v>
      </c>
      <c r="S29" s="224">
        <v>4100</v>
      </c>
      <c r="T29" s="224">
        <v>4200</v>
      </c>
      <c r="U29" s="224">
        <v>4290</v>
      </c>
      <c r="V29" s="224">
        <v>4379</v>
      </c>
      <c r="W29" s="224">
        <v>4408</v>
      </c>
      <c r="X29" s="224">
        <v>4457</v>
      </c>
      <c r="Y29" s="228">
        <v>4692</v>
      </c>
      <c r="Z29" s="224">
        <v>4712</v>
      </c>
      <c r="AA29" s="224">
        <v>4259</v>
      </c>
      <c r="AB29" s="224">
        <v>4327.4780000000001</v>
      </c>
      <c r="AC29" s="224">
        <v>4699.6450000000004</v>
      </c>
      <c r="AD29" s="224">
        <v>4722.9629999999997</v>
      </c>
      <c r="AE29" s="224">
        <v>4850.2290000000003</v>
      </c>
      <c r="AF29" s="224">
        <v>5059.4719999999998</v>
      </c>
      <c r="AG29" s="224">
        <v>5282.97</v>
      </c>
      <c r="AH29" s="400">
        <v>5452.1189999999997</v>
      </c>
      <c r="AI29" s="400">
        <v>5565.9629999999997</v>
      </c>
      <c r="AJ29" s="520">
        <v>5632.6440000000002</v>
      </c>
    </row>
    <row r="30" spans="1:36" ht="12.75" customHeight="1">
      <c r="A30" s="5"/>
      <c r="B30" s="7" t="s">
        <v>37</v>
      </c>
      <c r="C30" s="109">
        <v>40</v>
      </c>
      <c r="D30" s="109">
        <v>240</v>
      </c>
      <c r="E30" s="223">
        <v>1292.2829999999999</v>
      </c>
      <c r="F30" s="223">
        <v>1431.566</v>
      </c>
      <c r="G30" s="223">
        <v>1593.029</v>
      </c>
      <c r="H30" s="223">
        <v>1793.0540000000001</v>
      </c>
      <c r="I30" s="223">
        <v>2020.0170000000001</v>
      </c>
      <c r="J30" s="223">
        <v>2197.4769999999999</v>
      </c>
      <c r="K30" s="223">
        <v>2326.1770000000001</v>
      </c>
      <c r="L30" s="223">
        <v>2447.087</v>
      </c>
      <c r="M30" s="223">
        <v>2594.5709999999999</v>
      </c>
      <c r="N30" s="223">
        <v>2702.0210000000002</v>
      </c>
      <c r="O30" s="223">
        <v>2777.5940000000001</v>
      </c>
      <c r="P30" s="223">
        <v>2881.1909999999998</v>
      </c>
      <c r="Q30" s="223">
        <v>2973.39</v>
      </c>
      <c r="R30" s="223">
        <v>3087.6280000000002</v>
      </c>
      <c r="S30" s="223">
        <v>3225.3670000000002</v>
      </c>
      <c r="T30" s="223">
        <v>3363.779</v>
      </c>
      <c r="U30" s="226">
        <v>3603.4369999999999</v>
      </c>
      <c r="V30" s="223">
        <v>3541.2620000000002</v>
      </c>
      <c r="W30" s="223">
        <v>4027.3629999999998</v>
      </c>
      <c r="X30" s="223">
        <v>4244.8999999999996</v>
      </c>
      <c r="Y30" s="223">
        <v>4319.701</v>
      </c>
      <c r="Z30" s="223">
        <v>4334.5469999999996</v>
      </c>
      <c r="AA30" s="223">
        <v>4487.2510000000002</v>
      </c>
      <c r="AB30" s="223">
        <v>4695.66</v>
      </c>
      <c r="AC30" s="223">
        <v>4907.5640000000003</v>
      </c>
      <c r="AD30" s="223">
        <v>5155.0590000000002</v>
      </c>
      <c r="AE30" s="223">
        <v>5472.4229999999998</v>
      </c>
      <c r="AF30" s="223">
        <v>5998</v>
      </c>
      <c r="AG30" s="223">
        <v>6452.5360000000001</v>
      </c>
      <c r="AH30" s="401">
        <v>6902.9840000000004</v>
      </c>
      <c r="AI30" s="401">
        <v>7274.7280000000001</v>
      </c>
      <c r="AJ30" s="507">
        <v>7611.0389999999998</v>
      </c>
    </row>
    <row r="31" spans="1:36" ht="12.75" customHeight="1">
      <c r="A31" s="5"/>
      <c r="B31" s="107" t="s">
        <v>39</v>
      </c>
      <c r="C31" s="110">
        <v>150.80699999999999</v>
      </c>
      <c r="D31" s="110">
        <v>416.44799999999998</v>
      </c>
      <c r="E31" s="224">
        <v>587.10400000000004</v>
      </c>
      <c r="F31" s="224">
        <v>602.88400000000001</v>
      </c>
      <c r="G31" s="224">
        <v>606.245</v>
      </c>
      <c r="H31" s="224">
        <v>650.34400000000005</v>
      </c>
      <c r="I31" s="224">
        <v>668.30700000000002</v>
      </c>
      <c r="J31" s="224">
        <v>711.36400000000003</v>
      </c>
      <c r="K31" s="224">
        <v>743.05700000000002</v>
      </c>
      <c r="L31" s="224">
        <v>776.798</v>
      </c>
      <c r="M31" s="224">
        <v>811.67100000000005</v>
      </c>
      <c r="N31" s="224">
        <v>846.10900000000004</v>
      </c>
      <c r="O31" s="224">
        <v>866.096</v>
      </c>
      <c r="P31" s="224">
        <v>881.48699999999997</v>
      </c>
      <c r="Q31" s="224">
        <v>894.52099999999996</v>
      </c>
      <c r="R31" s="224">
        <v>910.42899999999997</v>
      </c>
      <c r="S31" s="224">
        <v>933.94100000000003</v>
      </c>
      <c r="T31" s="224">
        <v>960.21299999999997</v>
      </c>
      <c r="U31" s="224">
        <v>980.26099999999997</v>
      </c>
      <c r="V31" s="224">
        <v>1014.122</v>
      </c>
      <c r="W31" s="224">
        <v>1045.183</v>
      </c>
      <c r="X31" s="224">
        <v>1058.8579999999999</v>
      </c>
      <c r="Y31" s="224">
        <v>1061.646</v>
      </c>
      <c r="Z31" s="224">
        <v>1066.49</v>
      </c>
      <c r="AA31" s="224">
        <v>1066.028</v>
      </c>
      <c r="AB31" s="224">
        <v>1063.7950000000001</v>
      </c>
      <c r="AC31" s="224">
        <v>1068.3620000000001</v>
      </c>
      <c r="AD31" s="224">
        <v>1078.74</v>
      </c>
      <c r="AE31" s="224">
        <v>1096.5229999999999</v>
      </c>
      <c r="AF31" s="224">
        <v>1117.9349999999999</v>
      </c>
      <c r="AG31" s="224">
        <v>1143.1500000000001</v>
      </c>
      <c r="AH31" s="400">
        <v>1165.3710000000001</v>
      </c>
      <c r="AI31" s="400">
        <v>1170.69</v>
      </c>
      <c r="AJ31" s="520">
        <v>1189.4570000000001</v>
      </c>
    </row>
    <row r="32" spans="1:36" ht="12.75" customHeight="1">
      <c r="A32" s="5"/>
      <c r="B32" s="7" t="s">
        <v>38</v>
      </c>
      <c r="C32" s="109">
        <v>164</v>
      </c>
      <c r="D32" s="109">
        <v>552</v>
      </c>
      <c r="E32" s="223">
        <v>880</v>
      </c>
      <c r="F32" s="223">
        <v>929</v>
      </c>
      <c r="G32" s="223">
        <v>971</v>
      </c>
      <c r="H32" s="223">
        <v>994.93299999999999</v>
      </c>
      <c r="I32" s="223">
        <v>994.04600000000005</v>
      </c>
      <c r="J32" s="223">
        <v>1015.794</v>
      </c>
      <c r="K32" s="223">
        <v>1058.425</v>
      </c>
      <c r="L32" s="223">
        <v>1135.914</v>
      </c>
      <c r="M32" s="223">
        <v>1196.1089999999999</v>
      </c>
      <c r="N32" s="223">
        <v>1236.4000000000001</v>
      </c>
      <c r="O32" s="223">
        <v>1274.2</v>
      </c>
      <c r="P32" s="223">
        <v>1292.8</v>
      </c>
      <c r="Q32" s="223">
        <v>1326.9</v>
      </c>
      <c r="R32" s="226">
        <v>1356.2</v>
      </c>
      <c r="S32" s="223">
        <v>1197.03</v>
      </c>
      <c r="T32" s="223">
        <v>1303.704</v>
      </c>
      <c r="U32" s="223">
        <v>1333.749</v>
      </c>
      <c r="V32" s="223">
        <v>1433.9259999999999</v>
      </c>
      <c r="W32" s="223">
        <v>1544.8879999999999</v>
      </c>
      <c r="X32" s="232">
        <v>1589.0440000000001</v>
      </c>
      <c r="Y32" s="232">
        <v>1669.0650000000001</v>
      </c>
      <c r="Z32" s="232">
        <v>1749.3</v>
      </c>
      <c r="AA32" s="232">
        <v>1824.19</v>
      </c>
      <c r="AB32" s="232">
        <v>1879.759</v>
      </c>
      <c r="AC32" s="232">
        <v>1949.0550000000001</v>
      </c>
      <c r="AD32" s="232">
        <v>2034.5740000000001</v>
      </c>
      <c r="AE32" s="232">
        <v>2121.7739999999999</v>
      </c>
      <c r="AF32" s="232">
        <v>2223.1170000000002</v>
      </c>
      <c r="AG32" s="232">
        <v>2321.6080000000002</v>
      </c>
      <c r="AH32" s="399">
        <v>2393.5770000000002</v>
      </c>
      <c r="AI32" s="399">
        <v>2439.9859999999999</v>
      </c>
      <c r="AJ32" s="618">
        <v>2493.183</v>
      </c>
    </row>
    <row r="33" spans="1:36" s="39" customFormat="1" ht="12.75" customHeight="1">
      <c r="A33" s="5"/>
      <c r="B33" s="107" t="s">
        <v>54</v>
      </c>
      <c r="C33" s="110">
        <v>712</v>
      </c>
      <c r="D33" s="110">
        <v>1226</v>
      </c>
      <c r="E33" s="224">
        <v>1938.856</v>
      </c>
      <c r="F33" s="224">
        <v>1923</v>
      </c>
      <c r="G33" s="224">
        <v>1936</v>
      </c>
      <c r="H33" s="224">
        <v>1872.933</v>
      </c>
      <c r="I33" s="224">
        <v>1872.588</v>
      </c>
      <c r="J33" s="224">
        <v>1900.855</v>
      </c>
      <c r="K33" s="224">
        <v>1942.752</v>
      </c>
      <c r="L33" s="224">
        <v>1948.126</v>
      </c>
      <c r="M33" s="224">
        <v>2021.116</v>
      </c>
      <c r="N33" s="224">
        <v>2082.58</v>
      </c>
      <c r="O33" s="224">
        <v>2134.7280000000001</v>
      </c>
      <c r="P33" s="224">
        <v>2160.6030000000001</v>
      </c>
      <c r="Q33" s="224">
        <v>2194.683</v>
      </c>
      <c r="R33" s="224">
        <v>2274.5770000000002</v>
      </c>
      <c r="S33" s="224">
        <v>2346.7260000000001</v>
      </c>
      <c r="T33" s="224">
        <v>2430.3449999999998</v>
      </c>
      <c r="U33" s="224">
        <v>2505.5430000000001</v>
      </c>
      <c r="V33" s="224">
        <v>2570.3560000000002</v>
      </c>
      <c r="W33" s="224">
        <v>2700.4920000000002</v>
      </c>
      <c r="X33" s="224">
        <v>2776.6640000000002</v>
      </c>
      <c r="Y33" s="224">
        <v>2877.4839999999999</v>
      </c>
      <c r="Z33" s="224">
        <v>2978.7289999999998</v>
      </c>
      <c r="AA33" s="224">
        <v>3057.4839999999999</v>
      </c>
      <c r="AB33" s="224">
        <v>3127.3989999999999</v>
      </c>
      <c r="AC33" s="224">
        <v>3194.95</v>
      </c>
      <c r="AD33" s="224">
        <v>3257.5810000000001</v>
      </c>
      <c r="AE33" s="224">
        <v>3346.0050000000001</v>
      </c>
      <c r="AF33" s="224">
        <v>3423</v>
      </c>
      <c r="AG33" s="224">
        <v>3494.8359999999998</v>
      </c>
      <c r="AH33" s="400">
        <v>3574.57</v>
      </c>
      <c r="AI33" s="400">
        <v>3632.8510000000001</v>
      </c>
      <c r="AJ33" s="520">
        <v>3667.1640000000002</v>
      </c>
    </row>
    <row r="34" spans="1:36" ht="12.75" customHeight="1">
      <c r="A34" s="5"/>
      <c r="B34" s="8" t="s">
        <v>55</v>
      </c>
      <c r="C34" s="215">
        <v>2288</v>
      </c>
      <c r="D34" s="215">
        <v>2883</v>
      </c>
      <c r="E34" s="235">
        <v>3601</v>
      </c>
      <c r="F34" s="235">
        <v>3619</v>
      </c>
      <c r="G34" s="235">
        <v>3589</v>
      </c>
      <c r="H34" s="235">
        <v>3566.1</v>
      </c>
      <c r="I34" s="235">
        <v>3594.2</v>
      </c>
      <c r="J34" s="235">
        <v>3630.76</v>
      </c>
      <c r="K34" s="235">
        <v>3654.92</v>
      </c>
      <c r="L34" s="235">
        <v>3701.17</v>
      </c>
      <c r="M34" s="235">
        <v>3790.6950000000002</v>
      </c>
      <c r="N34" s="235">
        <v>3890.1590000000001</v>
      </c>
      <c r="O34" s="235">
        <v>3998.614</v>
      </c>
      <c r="P34" s="235">
        <v>4018.5329999999999</v>
      </c>
      <c r="Q34" s="235">
        <v>4042.7919999999999</v>
      </c>
      <c r="R34" s="235">
        <v>4075.4140000000002</v>
      </c>
      <c r="S34" s="235">
        <v>4113.424</v>
      </c>
      <c r="T34" s="235">
        <v>4153.674</v>
      </c>
      <c r="U34" s="235">
        <v>4202.4629999999997</v>
      </c>
      <c r="V34" s="235">
        <v>4258.4629999999997</v>
      </c>
      <c r="W34" s="235">
        <v>4278.9949999999999</v>
      </c>
      <c r="X34" s="235">
        <v>4300.7520000000004</v>
      </c>
      <c r="Y34" s="235">
        <v>4335.1819999999998</v>
      </c>
      <c r="Z34" s="235">
        <v>4401.3519999999999</v>
      </c>
      <c r="AA34" s="235">
        <v>4447.165</v>
      </c>
      <c r="AB34" s="235">
        <v>4495.473</v>
      </c>
      <c r="AC34" s="235">
        <v>4585.5190000000002</v>
      </c>
      <c r="AD34" s="235">
        <v>4669.0630000000001</v>
      </c>
      <c r="AE34" s="235">
        <v>4768.0600000000004</v>
      </c>
      <c r="AF34" s="235">
        <v>4844.8230000000003</v>
      </c>
      <c r="AG34" s="235">
        <v>4869.9790000000003</v>
      </c>
      <c r="AH34" s="402">
        <v>4887.116</v>
      </c>
      <c r="AI34" s="402">
        <v>4943.2929999999997</v>
      </c>
      <c r="AJ34" s="619">
        <v>4985.9790000000003</v>
      </c>
    </row>
    <row r="35" spans="1:36" ht="12.75" customHeight="1">
      <c r="A35" s="5"/>
      <c r="B35" s="106" t="s">
        <v>26</v>
      </c>
      <c r="C35" s="216">
        <v>40.786000000000001</v>
      </c>
      <c r="D35" s="216">
        <v>85.924000000000007</v>
      </c>
      <c r="E35" s="236">
        <v>119.73099999999999</v>
      </c>
      <c r="F35" s="236">
        <v>120.86199999999999</v>
      </c>
      <c r="G35" s="236">
        <v>120.146</v>
      </c>
      <c r="H35" s="236">
        <v>116.19499999999999</v>
      </c>
      <c r="I35" s="236">
        <v>116.24299999999999</v>
      </c>
      <c r="J35" s="236">
        <v>119.232</v>
      </c>
      <c r="K35" s="236">
        <v>124.90900000000001</v>
      </c>
      <c r="L35" s="236">
        <v>132.46799999999999</v>
      </c>
      <c r="M35" s="236">
        <v>140.37200000000001</v>
      </c>
      <c r="N35" s="236">
        <v>151.40899999999999</v>
      </c>
      <c r="O35" s="236">
        <v>158.93600000000001</v>
      </c>
      <c r="P35" s="236">
        <v>159.86500000000001</v>
      </c>
      <c r="Q35" s="236">
        <v>161.721</v>
      </c>
      <c r="R35" s="236">
        <v>166.869</v>
      </c>
      <c r="S35" s="236">
        <v>175.42699999999999</v>
      </c>
      <c r="T35" s="236">
        <v>187.44200000000001</v>
      </c>
      <c r="U35" s="236">
        <v>197.30500000000001</v>
      </c>
      <c r="V35" s="236">
        <v>207.51300000000001</v>
      </c>
      <c r="W35" s="236">
        <v>209.74</v>
      </c>
      <c r="X35" s="236">
        <v>205.33799999999999</v>
      </c>
      <c r="Y35" s="236">
        <v>204.73599999999999</v>
      </c>
      <c r="Z35" s="236">
        <v>206.11199999999999</v>
      </c>
      <c r="AA35" s="236">
        <v>210.07</v>
      </c>
      <c r="AB35" s="236">
        <v>213.113</v>
      </c>
      <c r="AC35" s="236">
        <v>217.45400000000001</v>
      </c>
      <c r="AD35" s="236">
        <v>226.321</v>
      </c>
      <c r="AE35" s="236">
        <v>240.49</v>
      </c>
      <c r="AF35" s="236">
        <v>257.10000000000002</v>
      </c>
      <c r="AG35" s="224">
        <v>267.38299999999998</v>
      </c>
      <c r="AH35" s="400">
        <v>269.82499999999999</v>
      </c>
      <c r="AI35" s="400">
        <v>269.61500000000001</v>
      </c>
      <c r="AJ35" s="520">
        <v>289.017</v>
      </c>
    </row>
    <row r="36" spans="1:36" ht="12.75" customHeight="1">
      <c r="A36" s="5"/>
      <c r="B36" s="7" t="s">
        <v>65</v>
      </c>
      <c r="C36" s="109"/>
      <c r="D36" s="109"/>
      <c r="E36" s="223">
        <v>16.890999999999998</v>
      </c>
      <c r="F36" s="223">
        <v>17.327999999999999</v>
      </c>
      <c r="G36" s="223">
        <v>17.678999999999998</v>
      </c>
      <c r="H36" s="223">
        <v>17.766999999999999</v>
      </c>
      <c r="I36" s="223">
        <v>18.256</v>
      </c>
      <c r="J36" s="223">
        <v>18.82</v>
      </c>
      <c r="K36" s="223">
        <v>19.309999999999999</v>
      </c>
      <c r="L36" s="223">
        <v>19.925999999999998</v>
      </c>
      <c r="M36" s="223">
        <v>20.469000000000001</v>
      </c>
      <c r="N36" s="223">
        <v>21.15</v>
      </c>
      <c r="O36" s="223">
        <v>21.783999999999999</v>
      </c>
      <c r="P36" s="223">
        <v>22.626000000000001</v>
      </c>
      <c r="Q36" s="223">
        <v>23.265000000000001</v>
      </c>
      <c r="R36" s="223">
        <v>23.524000000000001</v>
      </c>
      <c r="S36" s="223">
        <v>23.934999999999999</v>
      </c>
      <c r="T36" s="223">
        <v>24.393000000000001</v>
      </c>
      <c r="U36" s="223">
        <v>24.292999999999999</v>
      </c>
      <c r="V36" s="223">
        <v>24.367999999999999</v>
      </c>
      <c r="W36" s="223">
        <v>25.462</v>
      </c>
      <c r="X36" s="223">
        <v>25.908999999999999</v>
      </c>
      <c r="Y36" s="223">
        <v>26.89</v>
      </c>
      <c r="Z36" s="223">
        <v>27.327000000000002</v>
      </c>
      <c r="AA36" s="223">
        <v>28.004000000000001</v>
      </c>
      <c r="AB36" s="223">
        <v>28.102</v>
      </c>
      <c r="AC36" s="223">
        <v>28.474</v>
      </c>
      <c r="AD36" s="223">
        <v>28.802</v>
      </c>
      <c r="AE36" s="223">
        <v>29.241</v>
      </c>
      <c r="AF36" s="223">
        <v>29.675999999999998</v>
      </c>
      <c r="AG36" s="223">
        <v>29.949000000000002</v>
      </c>
      <c r="AH36" s="401">
        <v>30</v>
      </c>
      <c r="AI36" s="401">
        <v>30</v>
      </c>
      <c r="AJ36" s="507">
        <v>30.541</v>
      </c>
    </row>
    <row r="37" spans="1:36" ht="12.75" customHeight="1">
      <c r="A37" s="379"/>
      <c r="B37" s="107" t="s">
        <v>56</v>
      </c>
      <c r="C37" s="110">
        <v>690</v>
      </c>
      <c r="D37" s="110">
        <v>1230</v>
      </c>
      <c r="E37" s="224">
        <v>1613.037</v>
      </c>
      <c r="F37" s="224">
        <v>1614.623</v>
      </c>
      <c r="G37" s="224">
        <v>1619.4380000000001</v>
      </c>
      <c r="H37" s="224">
        <v>1633.088</v>
      </c>
      <c r="I37" s="224">
        <v>1653.6780000000001</v>
      </c>
      <c r="J37" s="224">
        <v>1684.664</v>
      </c>
      <c r="K37" s="224">
        <v>1661.2470000000001</v>
      </c>
      <c r="L37" s="224">
        <v>1758.001</v>
      </c>
      <c r="M37" s="224">
        <v>1786.404</v>
      </c>
      <c r="N37" s="224">
        <v>1813.6420000000001</v>
      </c>
      <c r="O37" s="224">
        <v>1851.9290000000001</v>
      </c>
      <c r="P37" s="224">
        <v>1872.8620000000001</v>
      </c>
      <c r="Q37" s="224">
        <v>1899.7670000000001</v>
      </c>
      <c r="R37" s="224">
        <v>1933.66</v>
      </c>
      <c r="S37" s="224">
        <v>1977.922</v>
      </c>
      <c r="T37" s="224">
        <v>2028.9090000000001</v>
      </c>
      <c r="U37" s="224">
        <v>2084.1930000000002</v>
      </c>
      <c r="V37" s="224">
        <v>2154.837</v>
      </c>
      <c r="W37" s="224">
        <v>2197.1930000000002</v>
      </c>
      <c r="X37" s="224">
        <v>2244</v>
      </c>
      <c r="Y37" s="224">
        <v>2308.5479999999998</v>
      </c>
      <c r="Z37" s="224">
        <v>2376</v>
      </c>
      <c r="AA37" s="224">
        <v>2443</v>
      </c>
      <c r="AB37" s="224">
        <v>2500.2649999999999</v>
      </c>
      <c r="AC37" s="224">
        <v>2555.4430000000002</v>
      </c>
      <c r="AD37" s="224">
        <v>2610.3519999999999</v>
      </c>
      <c r="AE37" s="224">
        <v>2662.91</v>
      </c>
      <c r="AF37" s="224">
        <v>2719.3960000000002</v>
      </c>
      <c r="AG37" s="224">
        <v>2751.9479999999999</v>
      </c>
      <c r="AH37" s="224">
        <v>2801</v>
      </c>
      <c r="AI37" s="224">
        <v>2934.8829999999998</v>
      </c>
      <c r="AJ37" s="230">
        <v>3003.0050000000001</v>
      </c>
    </row>
    <row r="38" spans="1:36" ht="12.75" customHeight="1">
      <c r="A38" s="5"/>
      <c r="B38" s="394" t="s">
        <v>27</v>
      </c>
      <c r="C38" s="554">
        <v>1383.204</v>
      </c>
      <c r="D38" s="554">
        <v>2246.752</v>
      </c>
      <c r="E38" s="555">
        <v>2985.3969999999999</v>
      </c>
      <c r="F38" s="555">
        <v>3057.7979999999998</v>
      </c>
      <c r="G38" s="555">
        <v>3091.2280000000001</v>
      </c>
      <c r="H38" s="555">
        <v>3109.5230000000001</v>
      </c>
      <c r="I38" s="555">
        <v>3165.0419999999999</v>
      </c>
      <c r="J38" s="555">
        <v>3229.1759999999999</v>
      </c>
      <c r="K38" s="555">
        <v>3268.0929999999998</v>
      </c>
      <c r="L38" s="555">
        <v>3323.4549999999999</v>
      </c>
      <c r="M38" s="555">
        <v>3383.3069999999998</v>
      </c>
      <c r="N38" s="555">
        <v>3467.3110000000001</v>
      </c>
      <c r="O38" s="555">
        <v>3545.2469999999998</v>
      </c>
      <c r="P38" s="555">
        <v>3629.7130000000002</v>
      </c>
      <c r="Q38" s="555">
        <v>3700.951</v>
      </c>
      <c r="R38" s="555">
        <v>3753.89</v>
      </c>
      <c r="S38" s="555">
        <v>3811.3510000000001</v>
      </c>
      <c r="T38" s="555">
        <v>3861.442</v>
      </c>
      <c r="U38" s="555">
        <v>3900.0140000000001</v>
      </c>
      <c r="V38" s="555">
        <v>3955.7869999999998</v>
      </c>
      <c r="W38" s="555">
        <v>3989.8110000000001</v>
      </c>
      <c r="X38" s="555">
        <v>4009.6019999999999</v>
      </c>
      <c r="Y38" s="555"/>
      <c r="Z38" s="555"/>
      <c r="AA38" s="555">
        <v>4254.7250000000004</v>
      </c>
      <c r="AB38" s="555">
        <v>4320.8850000000002</v>
      </c>
      <c r="AC38" s="555">
        <v>4384.49</v>
      </c>
      <c r="AD38" s="555">
        <v>4458.0690000000004</v>
      </c>
      <c r="AE38" s="555">
        <v>4524.0290000000005</v>
      </c>
      <c r="AF38" s="555">
        <v>4570.8230000000003</v>
      </c>
      <c r="AG38" s="555">
        <v>4602.6880000000001</v>
      </c>
      <c r="AH38" s="555">
        <v>4623.9520000000002</v>
      </c>
      <c r="AI38" s="555">
        <v>4658.335</v>
      </c>
      <c r="AJ38" s="620">
        <v>4709.366</v>
      </c>
    </row>
    <row r="39" spans="1:36" ht="12.75" customHeight="1">
      <c r="A39" s="5"/>
      <c r="B39" s="107" t="s">
        <v>312</v>
      </c>
      <c r="C39" s="110"/>
      <c r="D39" s="110"/>
      <c r="E39" s="224"/>
      <c r="F39" s="224"/>
      <c r="G39" s="224"/>
      <c r="H39" s="224"/>
      <c r="I39" s="224"/>
      <c r="J39" s="224"/>
      <c r="K39" s="224"/>
      <c r="L39" s="224"/>
      <c r="M39" s="224"/>
      <c r="N39" s="224"/>
      <c r="O39" s="224"/>
      <c r="P39" s="224"/>
      <c r="Q39" s="224"/>
      <c r="R39" s="224"/>
      <c r="S39" s="224"/>
      <c r="T39" s="224"/>
      <c r="U39" s="224"/>
      <c r="V39" s="224"/>
      <c r="W39" s="224"/>
      <c r="X39" s="224"/>
      <c r="Y39" s="224"/>
      <c r="Z39" s="224"/>
      <c r="AA39" s="224"/>
      <c r="AB39" s="224">
        <v>776.27</v>
      </c>
      <c r="AC39" s="224">
        <v>801.25300000000004</v>
      </c>
      <c r="AD39" s="224">
        <v>828.73</v>
      </c>
      <c r="AE39" s="224">
        <v>828.33299999999997</v>
      </c>
      <c r="AF39" s="224">
        <v>884.56899999999996</v>
      </c>
      <c r="AG39" s="224">
        <v>920.84100000000001</v>
      </c>
      <c r="AH39" s="400">
        <v>939.28300000000002</v>
      </c>
      <c r="AI39" s="400">
        <v>936.41700000000003</v>
      </c>
      <c r="AJ39" s="520">
        <v>983.077</v>
      </c>
    </row>
    <row r="40" spans="1:36" ht="12.75" customHeight="1">
      <c r="A40" s="5"/>
      <c r="B40" s="7" t="s">
        <v>139</v>
      </c>
      <c r="C40" s="109"/>
      <c r="D40" s="109"/>
      <c r="E40" s="223"/>
      <c r="F40" s="223"/>
      <c r="G40" s="223"/>
      <c r="H40" s="223"/>
      <c r="I40" s="223"/>
      <c r="J40" s="223"/>
      <c r="K40" s="223"/>
      <c r="L40" s="223"/>
      <c r="M40" s="223"/>
      <c r="N40" s="223"/>
      <c r="O40" s="223"/>
      <c r="P40" s="223"/>
      <c r="Q40" s="223"/>
      <c r="R40" s="223"/>
      <c r="S40" s="223"/>
      <c r="T40" s="223"/>
      <c r="U40" s="223"/>
      <c r="V40" s="223"/>
      <c r="W40" s="223"/>
      <c r="X40" s="223"/>
      <c r="Y40" s="223">
        <v>164.65299999999999</v>
      </c>
      <c r="Z40" s="223">
        <v>171.97300000000001</v>
      </c>
      <c r="AA40" s="223">
        <v>173.86500000000001</v>
      </c>
      <c r="AB40" s="223">
        <v>178.66200000000001</v>
      </c>
      <c r="AC40" s="223">
        <v>174.07300000000001</v>
      </c>
      <c r="AD40" s="223">
        <v>175.91200000000001</v>
      </c>
      <c r="AE40" s="223">
        <v>184.73400000000001</v>
      </c>
      <c r="AF40" s="223">
        <v>193.24199999999999</v>
      </c>
      <c r="AG40" s="223">
        <v>206.453</v>
      </c>
      <c r="AH40" s="401">
        <v>217.959</v>
      </c>
      <c r="AI40" s="401">
        <v>210.113</v>
      </c>
      <c r="AJ40" s="507">
        <v>221.405</v>
      </c>
    </row>
    <row r="41" spans="1:36" ht="12.75" customHeight="1">
      <c r="A41" s="5"/>
      <c r="B41" s="107" t="s">
        <v>314</v>
      </c>
      <c r="C41" s="110"/>
      <c r="D41" s="110"/>
      <c r="E41" s="224"/>
      <c r="F41" s="224"/>
      <c r="G41" s="224"/>
      <c r="H41" s="224"/>
      <c r="I41" s="224"/>
      <c r="J41" s="224"/>
      <c r="K41" s="224"/>
      <c r="L41" s="224"/>
      <c r="M41" s="224"/>
      <c r="N41" s="224"/>
      <c r="O41" s="224"/>
      <c r="P41" s="224"/>
      <c r="Q41" s="224"/>
      <c r="R41" s="224"/>
      <c r="S41" s="224" t="e">
        <f>#REF!/1000</f>
        <v>#REF!</v>
      </c>
      <c r="T41" s="224"/>
      <c r="U41" s="224"/>
      <c r="V41" s="224"/>
      <c r="W41" s="224"/>
      <c r="X41" s="224"/>
      <c r="Y41" s="224"/>
      <c r="Z41" s="224"/>
      <c r="AA41" s="224">
        <v>456.37900000000002</v>
      </c>
      <c r="AB41" s="224">
        <v>487.41800000000001</v>
      </c>
      <c r="AC41" s="224">
        <v>512.56100000000004</v>
      </c>
      <c r="AD41" s="224">
        <v>529.81299999999999</v>
      </c>
      <c r="AE41" s="224">
        <v>546.78099999999995</v>
      </c>
      <c r="AF41" s="224">
        <v>588.11900000000003</v>
      </c>
      <c r="AG41" s="224">
        <v>616.79999999999995</v>
      </c>
      <c r="AH41" s="224">
        <v>648.78</v>
      </c>
      <c r="AI41" s="224">
        <v>677.67</v>
      </c>
      <c r="AJ41" s="230">
        <v>716.90599999999995</v>
      </c>
    </row>
    <row r="42" spans="1:36" ht="12.75" customHeight="1">
      <c r="A42" s="5"/>
      <c r="B42" s="7" t="s">
        <v>0</v>
      </c>
      <c r="C42" s="109"/>
      <c r="D42" s="109"/>
      <c r="E42" s="223"/>
      <c r="F42" s="223"/>
      <c r="G42" s="223"/>
      <c r="H42" s="223">
        <v>289.97899999999998</v>
      </c>
      <c r="I42" s="223">
        <v>263.18099999999998</v>
      </c>
      <c r="J42" s="223">
        <v>285.90699999999998</v>
      </c>
      <c r="K42" s="223">
        <v>284.02199999999999</v>
      </c>
      <c r="L42" s="223">
        <v>289.20400000000001</v>
      </c>
      <c r="M42" s="223">
        <v>288.678</v>
      </c>
      <c r="N42" s="223">
        <v>290</v>
      </c>
      <c r="O42" s="223">
        <v>300</v>
      </c>
      <c r="P42" s="223">
        <v>310</v>
      </c>
      <c r="Q42" s="223">
        <v>308</v>
      </c>
      <c r="R42" s="226">
        <v>299.80900000000003</v>
      </c>
      <c r="S42" s="223">
        <v>249.40299999999999</v>
      </c>
      <c r="T42" s="223">
        <v>253.23400000000001</v>
      </c>
      <c r="U42" s="223">
        <v>242.28700000000001</v>
      </c>
      <c r="V42" s="223">
        <v>248.774</v>
      </c>
      <c r="W42" s="223">
        <v>263.11200000000002</v>
      </c>
      <c r="X42" s="232">
        <v>282.19600000000003</v>
      </c>
      <c r="Y42" s="232">
        <v>310.23099999999999</v>
      </c>
      <c r="Z42" s="232">
        <v>313.08</v>
      </c>
      <c r="AA42" s="232">
        <v>301.76100000000002</v>
      </c>
      <c r="AB42" s="232">
        <v>346.798</v>
      </c>
      <c r="AC42" s="232">
        <v>371.44900000000001</v>
      </c>
      <c r="AD42" s="232">
        <v>383.83300000000003</v>
      </c>
      <c r="AE42" s="232">
        <v>394.93400000000003</v>
      </c>
      <c r="AF42" s="232">
        <v>403.31599999999997</v>
      </c>
      <c r="AG42" s="232">
        <v>415.06200000000001</v>
      </c>
      <c r="AH42" s="399">
        <v>426.04500000000002</v>
      </c>
      <c r="AI42" s="399">
        <v>429.19600000000003</v>
      </c>
      <c r="AJ42" s="618">
        <v>477.82</v>
      </c>
    </row>
    <row r="43" spans="1:36" ht="12.75" customHeight="1">
      <c r="A43" s="5"/>
      <c r="B43" s="107" t="s">
        <v>144</v>
      </c>
      <c r="C43" s="110"/>
      <c r="D43" s="110"/>
      <c r="E43" s="224"/>
      <c r="F43" s="224"/>
      <c r="G43" s="224"/>
      <c r="H43" s="224">
        <v>56.728000000000002</v>
      </c>
      <c r="I43" s="224">
        <v>67.959999999999994</v>
      </c>
      <c r="J43" s="224">
        <v>58.682000000000002</v>
      </c>
      <c r="K43" s="224">
        <v>67.278000000000006</v>
      </c>
      <c r="L43" s="224">
        <v>76.822000000000003</v>
      </c>
      <c r="M43" s="224">
        <v>90.766000000000005</v>
      </c>
      <c r="N43" s="224">
        <v>92.251999999999995</v>
      </c>
      <c r="O43" s="224">
        <v>114.532</v>
      </c>
      <c r="P43" s="224">
        <v>133.53299999999999</v>
      </c>
      <c r="Q43" s="224">
        <v>148.53100000000001</v>
      </c>
      <c r="R43" s="224">
        <v>174.78200000000001</v>
      </c>
      <c r="S43" s="224">
        <v>190.00399999999999</v>
      </c>
      <c r="T43" s="224">
        <v>195.125</v>
      </c>
      <c r="U43" s="224">
        <v>225.114</v>
      </c>
      <c r="V43" s="224">
        <v>237.93199999999999</v>
      </c>
      <c r="W43" s="224">
        <v>264.82799999999997</v>
      </c>
      <c r="X43" s="224">
        <v>281.23599999999999</v>
      </c>
      <c r="Y43" s="224">
        <v>294.72899999999998</v>
      </c>
      <c r="Z43" s="224">
        <v>300.97399999999999</v>
      </c>
      <c r="AA43" s="224">
        <v>297.34100000000001</v>
      </c>
      <c r="AB43" s="224">
        <v>341.69099999999997</v>
      </c>
      <c r="AC43" s="224">
        <v>378.053</v>
      </c>
      <c r="AD43" s="224">
        <v>403.68</v>
      </c>
      <c r="AE43" s="224">
        <v>436.01299999999998</v>
      </c>
      <c r="AF43" s="224">
        <v>422</v>
      </c>
      <c r="AG43" s="224">
        <v>460.02699999999999</v>
      </c>
      <c r="AH43" s="400">
        <v>499.79</v>
      </c>
      <c r="AI43" s="400">
        <v>539.49699999999996</v>
      </c>
      <c r="AJ43" s="520">
        <v>593.28</v>
      </c>
    </row>
    <row r="44" spans="1:36" ht="12" customHeight="1">
      <c r="A44" s="5"/>
      <c r="B44" s="7" t="s">
        <v>138</v>
      </c>
      <c r="C44" s="109"/>
      <c r="D44" s="109"/>
      <c r="E44" s="223"/>
      <c r="F44" s="223"/>
      <c r="G44" s="223"/>
      <c r="H44" s="223"/>
      <c r="I44" s="223"/>
      <c r="J44" s="223"/>
      <c r="K44" s="223"/>
      <c r="L44" s="223"/>
      <c r="M44" s="223"/>
      <c r="N44" s="223"/>
      <c r="O44" s="223"/>
      <c r="P44" s="223">
        <v>1382.396</v>
      </c>
      <c r="Q44" s="223">
        <v>1343.6579999999999</v>
      </c>
      <c r="R44" s="226">
        <v>1388.1089999999999</v>
      </c>
      <c r="S44" s="223">
        <v>1449.8430000000001</v>
      </c>
      <c r="T44" s="223">
        <v>1481.498</v>
      </c>
      <c r="U44" s="223">
        <v>1511.837</v>
      </c>
      <c r="V44" s="223">
        <v>1476.6420000000001</v>
      </c>
      <c r="W44" s="223">
        <v>1486.6079999999999</v>
      </c>
      <c r="X44" s="232">
        <v>1637.002</v>
      </c>
      <c r="Y44" s="232">
        <v>1565.55</v>
      </c>
      <c r="Z44" s="232">
        <v>1677.51</v>
      </c>
      <c r="AA44" s="232">
        <v>1726.19</v>
      </c>
      <c r="AB44" s="232">
        <v>1770.2059999999999</v>
      </c>
      <c r="AC44" s="232">
        <v>1797.4269999999999</v>
      </c>
      <c r="AD44" s="232">
        <v>1834.89</v>
      </c>
      <c r="AE44" s="232">
        <v>1888.2950000000001</v>
      </c>
      <c r="AF44" s="232">
        <v>1969</v>
      </c>
      <c r="AG44" s="232">
        <v>1999.7529999999999</v>
      </c>
      <c r="AH44" s="399">
        <v>2083.7530000000002</v>
      </c>
      <c r="AI44" s="399">
        <v>2164.8180000000002</v>
      </c>
      <c r="AJ44" s="618">
        <v>2235.7939999999999</v>
      </c>
    </row>
    <row r="45" spans="1:36" ht="12.75" customHeight="1">
      <c r="A45" s="5"/>
      <c r="B45" s="107" t="s">
        <v>40</v>
      </c>
      <c r="C45" s="110" t="s">
        <v>57</v>
      </c>
      <c r="D45" s="110" t="s">
        <v>57</v>
      </c>
      <c r="E45" s="224"/>
      <c r="F45" s="224"/>
      <c r="G45" s="224"/>
      <c r="H45" s="224">
        <v>2619.8519999999999</v>
      </c>
      <c r="I45" s="224">
        <v>2861.64</v>
      </c>
      <c r="J45" s="224">
        <v>3058.5110000000004</v>
      </c>
      <c r="K45" s="224">
        <v>3274.1559999999999</v>
      </c>
      <c r="L45" s="224">
        <v>3570.105</v>
      </c>
      <c r="M45" s="224">
        <v>3838.288</v>
      </c>
      <c r="N45" s="224">
        <v>4072.326</v>
      </c>
      <c r="O45" s="224">
        <v>4422.18</v>
      </c>
      <c r="P45" s="224">
        <v>4534.8029999999999</v>
      </c>
      <c r="Q45" s="224">
        <v>4600.1400000000003</v>
      </c>
      <c r="R45" s="224">
        <v>4700.3429999999998</v>
      </c>
      <c r="S45" s="224">
        <v>5400.44</v>
      </c>
      <c r="T45" s="224">
        <v>5772.7449999999999</v>
      </c>
      <c r="U45" s="224">
        <v>6140.9920000000002</v>
      </c>
      <c r="V45" s="224">
        <v>6472.1559999999999</v>
      </c>
      <c r="W45" s="224">
        <v>6796.6289999999999</v>
      </c>
      <c r="X45" s="224">
        <v>7093.9639999999999</v>
      </c>
      <c r="Y45" s="224">
        <v>7544.8710000000001</v>
      </c>
      <c r="Z45" s="224">
        <v>8113.1109999999999</v>
      </c>
      <c r="AA45" s="224">
        <v>8648.875</v>
      </c>
      <c r="AB45" s="224">
        <v>9283.9230000000007</v>
      </c>
      <c r="AC45" s="224">
        <v>9857.9150000000009</v>
      </c>
      <c r="AD45" s="224">
        <v>10589.337</v>
      </c>
      <c r="AE45" s="224">
        <v>11317.998</v>
      </c>
      <c r="AF45" s="224">
        <v>12035.977999999999</v>
      </c>
      <c r="AG45" s="224">
        <v>12398.19</v>
      </c>
      <c r="AH45" s="400">
        <v>12503</v>
      </c>
      <c r="AI45" s="400">
        <v>13099.040999999999</v>
      </c>
      <c r="AJ45" s="520">
        <v>13706.065000000001</v>
      </c>
    </row>
    <row r="46" spans="1:36" ht="12.75" customHeight="1">
      <c r="A46" s="5"/>
      <c r="B46" s="8" t="s">
        <v>313</v>
      </c>
      <c r="C46" s="215"/>
      <c r="D46" s="215"/>
      <c r="E46" s="235"/>
      <c r="F46" s="235"/>
      <c r="G46" s="235"/>
      <c r="H46" s="235">
        <v>4235.7</v>
      </c>
      <c r="I46" s="235">
        <v>4384.1000000000004</v>
      </c>
      <c r="J46" s="235">
        <v>4603.1000000000004</v>
      </c>
      <c r="K46" s="235">
        <v>4872.2719999999999</v>
      </c>
      <c r="L46" s="235">
        <v>5024.0110000000004</v>
      </c>
      <c r="M46" s="235">
        <v>5127.3230000000003</v>
      </c>
      <c r="N46" s="235"/>
      <c r="O46" s="235"/>
      <c r="P46" s="235"/>
      <c r="Q46" s="235"/>
      <c r="R46" s="235"/>
      <c r="S46" s="235"/>
      <c r="T46" s="235">
        <v>5538.9719999999998</v>
      </c>
      <c r="U46" s="235"/>
      <c r="V46" s="235"/>
      <c r="W46" s="235">
        <v>6393.9030000000002</v>
      </c>
      <c r="X46" s="235">
        <v>6699.0569999999998</v>
      </c>
      <c r="Y46" s="235">
        <v>6769.2910000000002</v>
      </c>
      <c r="Z46" s="235">
        <v>6900.5410000000002</v>
      </c>
      <c r="AA46" s="235"/>
      <c r="AB46" s="235"/>
      <c r="AC46" s="235"/>
      <c r="AD46" s="235"/>
      <c r="AE46" s="235"/>
      <c r="AF46" s="235"/>
      <c r="AG46" s="235"/>
      <c r="AH46" s="402"/>
      <c r="AI46" s="402"/>
      <c r="AJ46" s="619"/>
    </row>
    <row r="47" spans="1:36" ht="12.75" customHeight="1">
      <c r="A47" s="5"/>
      <c r="B47" s="107" t="s">
        <v>44</v>
      </c>
      <c r="C47" s="110">
        <v>11900</v>
      </c>
      <c r="D47" s="110">
        <v>15619</v>
      </c>
      <c r="E47" s="224">
        <v>20722</v>
      </c>
      <c r="F47" s="224">
        <v>20760</v>
      </c>
      <c r="G47" s="224">
        <v>20970</v>
      </c>
      <c r="H47" s="224">
        <v>21290.696</v>
      </c>
      <c r="I47" s="224">
        <v>21740.708999999999</v>
      </c>
      <c r="J47" s="224">
        <v>21950.81</v>
      </c>
      <c r="K47" s="224">
        <v>22818.718000000001</v>
      </c>
      <c r="L47" s="224">
        <v>23450</v>
      </c>
      <c r="M47" s="224">
        <v>23922.228999999999</v>
      </c>
      <c r="N47" s="224">
        <v>24627.941999999999</v>
      </c>
      <c r="O47" s="224">
        <v>25066.864000000001</v>
      </c>
      <c r="P47" s="224">
        <v>25815.702000000001</v>
      </c>
      <c r="Q47" s="224">
        <v>26492.593000000001</v>
      </c>
      <c r="R47" s="225">
        <v>26992.347999999998</v>
      </c>
      <c r="S47" s="224">
        <v>27806.243999999999</v>
      </c>
      <c r="T47" s="224">
        <v>28326.297000000002</v>
      </c>
      <c r="U47" s="224">
        <v>28446.661</v>
      </c>
      <c r="V47" s="224">
        <v>28873.319</v>
      </c>
      <c r="W47" s="224">
        <v>29049.914000000001</v>
      </c>
      <c r="X47" s="819">
        <v>29152.304000000004</v>
      </c>
      <c r="Y47" s="819">
        <v>29333.576000000001</v>
      </c>
      <c r="Z47" s="819">
        <v>29382.213999999996</v>
      </c>
      <c r="AA47" s="819">
        <v>29644.178</v>
      </c>
      <c r="AB47" s="819">
        <v>30075.436000000005</v>
      </c>
      <c r="AC47" s="819">
        <v>30513.3</v>
      </c>
      <c r="AD47" s="819">
        <v>31170.7</v>
      </c>
      <c r="AE47" s="819">
        <v>31792.3</v>
      </c>
      <c r="AF47" s="819">
        <v>32159.9</v>
      </c>
      <c r="AG47" s="819">
        <v>32493.3</v>
      </c>
      <c r="AH47" s="820">
        <v>32884.300000000003</v>
      </c>
      <c r="AI47" s="820">
        <v>32697.407999999999</v>
      </c>
      <c r="AJ47" s="821">
        <v>32889.462</v>
      </c>
    </row>
    <row r="48" spans="1:36">
      <c r="P48" s="1"/>
      <c r="Q48" s="1"/>
      <c r="R48" s="1"/>
      <c r="S48" s="1"/>
    </row>
  </sheetData>
  <mergeCells count="3">
    <mergeCell ref="B2:AJ2"/>
    <mergeCell ref="B3:AJ3"/>
    <mergeCell ref="AH4:AJ4"/>
  </mergeCells>
  <phoneticPr fontId="7" type="noConversion"/>
  <printOptions horizontalCentered="1"/>
  <pageMargins left="0.6692913385826772" right="0.6692913385826772" top="0.51181102362204722" bottom="0.27559055118110237" header="0" footer="0"/>
  <pageSetup paperSize="9" scale="89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71">
    <tabColor rgb="FF92D050"/>
    <pageSetUpPr fitToPage="1"/>
  </sheetPr>
  <dimension ref="A1:AM53"/>
  <sheetViews>
    <sheetView topLeftCell="A19" zoomScaleNormal="100" workbookViewId="0">
      <selection activeCell="B51" sqref="B51:I52"/>
    </sheetView>
  </sheetViews>
  <sheetFormatPr defaultColWidth="9.1328125" defaultRowHeight="13.15"/>
  <cols>
    <col min="1" max="1" width="3.73046875" style="1" customWidth="1"/>
    <col min="2" max="2" width="4.3984375" style="1" customWidth="1"/>
    <col min="3" max="12" width="6.73046875" style="1" customWidth="1"/>
    <col min="13" max="13" width="6.59765625" style="1" customWidth="1"/>
    <col min="14" max="20" width="6.73046875" style="1" customWidth="1"/>
    <col min="21" max="25" width="7.265625" style="1" customWidth="1"/>
    <col min="26" max="33" width="7" style="1" customWidth="1"/>
    <col min="34" max="34" width="7" style="15" customWidth="1"/>
    <col min="35" max="35" width="4.73046875" style="1" customWidth="1"/>
    <col min="36" max="36" width="8.265625" style="10" customWidth="1"/>
    <col min="37" max="16384" width="9.1328125" style="1"/>
  </cols>
  <sheetData>
    <row r="1" spans="1:39" ht="14.25" customHeight="1">
      <c r="B1" s="1062"/>
      <c r="C1" s="1062"/>
      <c r="D1" s="19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T1" s="20"/>
      <c r="AI1" s="20" t="s">
        <v>105</v>
      </c>
    </row>
    <row r="2" spans="1:39" s="39" customFormat="1" ht="30" customHeight="1">
      <c r="B2" s="1063" t="s">
        <v>4</v>
      </c>
      <c r="C2" s="1063"/>
      <c r="D2" s="1063"/>
      <c r="E2" s="1063"/>
      <c r="F2" s="1063"/>
      <c r="G2" s="1063"/>
      <c r="H2" s="1063"/>
      <c r="I2" s="1063"/>
      <c r="J2" s="1063"/>
      <c r="K2" s="1063"/>
      <c r="L2" s="1063"/>
      <c r="M2" s="1063"/>
      <c r="N2" s="1063"/>
      <c r="O2" s="1063"/>
      <c r="P2" s="1063"/>
      <c r="Q2" s="1063"/>
      <c r="R2" s="1063"/>
      <c r="S2" s="1063"/>
      <c r="T2" s="1063"/>
      <c r="U2" s="1063"/>
      <c r="V2" s="1063"/>
      <c r="W2" s="1063"/>
      <c r="X2" s="1063"/>
      <c r="Y2" s="1063"/>
      <c r="Z2" s="1063"/>
      <c r="AA2" s="1063"/>
      <c r="AB2" s="1063"/>
      <c r="AC2" s="1063"/>
      <c r="AD2" s="1063"/>
      <c r="AE2" s="1063"/>
      <c r="AF2" s="1063"/>
      <c r="AG2" s="1063"/>
      <c r="AH2" s="1063"/>
      <c r="AI2" s="1063"/>
      <c r="AJ2" s="10"/>
    </row>
    <row r="3" spans="1:39" ht="15" customHeight="1">
      <c r="B3" s="1071" t="s">
        <v>88</v>
      </c>
      <c r="C3" s="1071"/>
      <c r="D3" s="1071"/>
      <c r="E3" s="1071"/>
      <c r="F3" s="1071"/>
      <c r="G3" s="1071"/>
      <c r="H3" s="1071"/>
      <c r="I3" s="1071"/>
      <c r="J3" s="1071"/>
      <c r="K3" s="1071"/>
      <c r="L3" s="1071"/>
      <c r="M3" s="1071"/>
      <c r="N3" s="1071"/>
      <c r="O3" s="1071"/>
      <c r="P3" s="1071"/>
      <c r="Q3" s="1071"/>
      <c r="R3" s="1071"/>
      <c r="S3" s="1071"/>
      <c r="T3" s="1071"/>
      <c r="U3" s="1071"/>
      <c r="V3" s="1071"/>
      <c r="W3" s="1071"/>
      <c r="X3" s="1071"/>
      <c r="Y3" s="1071"/>
      <c r="Z3" s="1071"/>
      <c r="AA3" s="1071"/>
      <c r="AB3" s="1071"/>
      <c r="AC3" s="1071"/>
      <c r="AD3" s="1071"/>
      <c r="AE3" s="1071"/>
      <c r="AF3" s="1071"/>
      <c r="AG3" s="1071"/>
      <c r="AH3" s="1071"/>
      <c r="AI3" s="1071"/>
    </row>
    <row r="4" spans="1:39" ht="12.75" customHeight="1">
      <c r="B4"/>
      <c r="C4"/>
      <c r="E4" s="100"/>
      <c r="F4" s="100"/>
      <c r="G4" s="100"/>
      <c r="H4" s="100"/>
      <c r="I4" s="100"/>
      <c r="W4" s="23"/>
      <c r="Y4" s="26"/>
      <c r="AF4" s="23" t="s">
        <v>1</v>
      </c>
      <c r="AG4" s="26"/>
      <c r="AI4" s="4"/>
    </row>
    <row r="5" spans="1:39" ht="20.100000000000001" customHeight="1">
      <c r="B5"/>
      <c r="C5" s="62">
        <v>1970</v>
      </c>
      <c r="D5" s="73">
        <v>1980</v>
      </c>
      <c r="E5" s="62">
        <v>1990</v>
      </c>
      <c r="F5" s="63">
        <v>1991</v>
      </c>
      <c r="G5" s="63">
        <v>1992</v>
      </c>
      <c r="H5" s="63">
        <v>1993</v>
      </c>
      <c r="I5" s="63">
        <v>1994</v>
      </c>
      <c r="J5" s="63">
        <v>1995</v>
      </c>
      <c r="K5" s="63">
        <v>1996</v>
      </c>
      <c r="L5" s="63">
        <v>1997</v>
      </c>
      <c r="M5" s="63">
        <v>1998</v>
      </c>
      <c r="N5" s="63">
        <v>1999</v>
      </c>
      <c r="O5" s="63">
        <v>2000</v>
      </c>
      <c r="P5" s="63">
        <v>2001</v>
      </c>
      <c r="Q5" s="63">
        <v>2002</v>
      </c>
      <c r="R5" s="63">
        <v>2003</v>
      </c>
      <c r="S5" s="63">
        <v>2004</v>
      </c>
      <c r="T5" s="63">
        <v>2005</v>
      </c>
      <c r="U5" s="63">
        <v>2006</v>
      </c>
      <c r="V5" s="63">
        <v>2007</v>
      </c>
      <c r="W5" s="63">
        <v>2008</v>
      </c>
      <c r="X5" s="63">
        <v>2009</v>
      </c>
      <c r="Y5" s="63">
        <v>2010</v>
      </c>
      <c r="Z5" s="63">
        <v>2011</v>
      </c>
      <c r="AA5" s="63">
        <v>2012</v>
      </c>
      <c r="AB5" s="63">
        <v>2013</v>
      </c>
      <c r="AC5" s="63">
        <v>2014</v>
      </c>
      <c r="AD5" s="63">
        <v>2015</v>
      </c>
      <c r="AE5" s="63">
        <v>2016</v>
      </c>
      <c r="AF5" s="63">
        <v>2017</v>
      </c>
      <c r="AG5" s="342">
        <v>2018</v>
      </c>
      <c r="AH5" s="104" t="s">
        <v>241</v>
      </c>
      <c r="AI5" s="3"/>
    </row>
    <row r="6" spans="1:39" ht="9.9499999999999993" customHeight="1">
      <c r="B6"/>
      <c r="C6" s="95"/>
      <c r="D6" s="74"/>
      <c r="E6" s="95"/>
      <c r="F6" s="61"/>
      <c r="G6" s="61"/>
      <c r="H6" s="61"/>
      <c r="I6" s="61"/>
      <c r="J6" s="61"/>
      <c r="K6" s="61"/>
      <c r="L6" s="61"/>
      <c r="M6" s="61"/>
      <c r="N6" s="61"/>
      <c r="O6" s="61"/>
      <c r="P6" s="61"/>
      <c r="Q6" s="61"/>
      <c r="R6" s="61"/>
      <c r="S6" s="61"/>
      <c r="T6" s="61"/>
      <c r="U6" s="61"/>
      <c r="V6" s="61"/>
      <c r="W6" s="61"/>
      <c r="X6" s="61"/>
      <c r="Y6" s="182"/>
      <c r="Z6" s="184"/>
      <c r="AA6" s="184"/>
      <c r="AB6" s="182"/>
      <c r="AC6" s="182"/>
      <c r="AD6" s="182"/>
      <c r="AE6" s="182"/>
      <c r="AF6" s="182"/>
      <c r="AG6" s="105"/>
      <c r="AH6" s="105" t="s">
        <v>81</v>
      </c>
      <c r="AI6" s="3"/>
    </row>
    <row r="7" spans="1:39" ht="9.9499999999999993" customHeight="1">
      <c r="B7" s="347" t="s">
        <v>237</v>
      </c>
      <c r="C7" s="348"/>
      <c r="D7" s="346"/>
      <c r="E7" s="349">
        <f>SUM(E9:E35)</f>
        <v>665.30600000000015</v>
      </c>
      <c r="F7" s="349">
        <f t="shared" ref="F7:AG7" si="0">SUM(F9:F35)</f>
        <v>661.3475333333331</v>
      </c>
      <c r="G7" s="349">
        <f t="shared" si="0"/>
        <v>665.92006666666657</v>
      </c>
      <c r="H7" s="349">
        <f t="shared" si="0"/>
        <v>671.50059999999985</v>
      </c>
      <c r="I7" s="349">
        <f t="shared" si="0"/>
        <v>675.68080000000009</v>
      </c>
      <c r="J7" s="349">
        <f t="shared" si="0"/>
        <v>678.12</v>
      </c>
      <c r="K7" s="349">
        <f t="shared" si="0"/>
        <v>682.42499999999995</v>
      </c>
      <c r="L7" s="349">
        <f t="shared" si="0"/>
        <v>678.80100000000004</v>
      </c>
      <c r="M7" s="349">
        <f t="shared" si="0"/>
        <v>679.91600000000017</v>
      </c>
      <c r="N7" s="349">
        <f t="shared" si="0"/>
        <v>684.13799999999992</v>
      </c>
      <c r="O7" s="349">
        <f t="shared" si="0"/>
        <v>692.90200000000004</v>
      </c>
      <c r="P7" s="349">
        <f t="shared" si="0"/>
        <v>697.99399999999991</v>
      </c>
      <c r="Q7" s="349">
        <f t="shared" si="0"/>
        <v>703.81999999999994</v>
      </c>
      <c r="R7" s="349">
        <f t="shared" si="0"/>
        <v>706.38499999999999</v>
      </c>
      <c r="S7" s="349">
        <f t="shared" si="0"/>
        <v>697.67200000000025</v>
      </c>
      <c r="T7" s="349">
        <f t="shared" si="0"/>
        <v>689.56900000000007</v>
      </c>
      <c r="U7" s="349">
        <f t="shared" si="0"/>
        <v>686.08800000000008</v>
      </c>
      <c r="V7" s="349">
        <f t="shared" si="0"/>
        <v>690.69800000000021</v>
      </c>
      <c r="W7" s="349">
        <f t="shared" si="0"/>
        <v>707.80099999999993</v>
      </c>
      <c r="X7" s="349">
        <f t="shared" si="0"/>
        <v>708.91200000000015</v>
      </c>
      <c r="Y7" s="349">
        <f t="shared" si="0"/>
        <v>707.57299999999987</v>
      </c>
      <c r="Z7" s="349">
        <f t="shared" si="0"/>
        <v>709.9140000000001</v>
      </c>
      <c r="AA7" s="349">
        <f t="shared" si="0"/>
        <v>705.63599999999985</v>
      </c>
      <c r="AB7" s="349">
        <f t="shared" si="0"/>
        <v>709.43200000000002</v>
      </c>
      <c r="AC7" s="349">
        <f t="shared" si="0"/>
        <v>713.56000000000006</v>
      </c>
      <c r="AD7" s="349">
        <f t="shared" si="0"/>
        <v>726.8610000000001</v>
      </c>
      <c r="AE7" s="349">
        <f t="shared" si="0"/>
        <v>735.68600000000004</v>
      </c>
      <c r="AF7" s="349">
        <f t="shared" si="0"/>
        <v>745.79899999999998</v>
      </c>
      <c r="AG7" s="349">
        <f t="shared" si="0"/>
        <v>756.01500000000021</v>
      </c>
      <c r="AH7" s="363">
        <f>AG7/AF7*100-100</f>
        <v>1.3698060737545035</v>
      </c>
      <c r="AI7" s="347" t="s">
        <v>237</v>
      </c>
    </row>
    <row r="8" spans="1:39" ht="12.75" customHeight="1">
      <c r="B8" s="347" t="s">
        <v>145</v>
      </c>
      <c r="C8" s="348"/>
      <c r="D8" s="346"/>
      <c r="E8" s="349">
        <f t="shared" ref="E8:AE8" si="1">SUM(E9:E36)</f>
        <v>740.30600000000015</v>
      </c>
      <c r="F8" s="349">
        <f t="shared" si="1"/>
        <v>736.8475333333331</v>
      </c>
      <c r="G8" s="349">
        <f t="shared" si="1"/>
        <v>741.92006666666657</v>
      </c>
      <c r="H8" s="349">
        <f t="shared" si="1"/>
        <v>748.00059999999985</v>
      </c>
      <c r="I8" s="349">
        <f t="shared" si="1"/>
        <v>752.18080000000009</v>
      </c>
      <c r="J8" s="349">
        <f t="shared" si="1"/>
        <v>754.02</v>
      </c>
      <c r="K8" s="349">
        <f t="shared" si="1"/>
        <v>761.125</v>
      </c>
      <c r="L8" s="349">
        <f t="shared" si="1"/>
        <v>759.50099999999998</v>
      </c>
      <c r="M8" s="349">
        <f t="shared" si="1"/>
        <v>762.21600000000012</v>
      </c>
      <c r="N8" s="349">
        <f t="shared" si="1"/>
        <v>769.93799999999987</v>
      </c>
      <c r="O8" s="349">
        <f t="shared" si="1"/>
        <v>781.50200000000007</v>
      </c>
      <c r="P8" s="349">
        <f t="shared" si="1"/>
        <v>788.79399999999987</v>
      </c>
      <c r="Q8" s="349">
        <f t="shared" si="1"/>
        <v>798.42</v>
      </c>
      <c r="R8" s="349">
        <f t="shared" si="1"/>
        <v>804.88499999999999</v>
      </c>
      <c r="S8" s="349">
        <f t="shared" si="1"/>
        <v>799.8720000000003</v>
      </c>
      <c r="T8" s="349">
        <f t="shared" si="1"/>
        <v>795.1690000000001</v>
      </c>
      <c r="U8" s="349">
        <f t="shared" si="1"/>
        <v>792.6880000000001</v>
      </c>
      <c r="V8" s="349">
        <f t="shared" si="1"/>
        <v>799.89800000000025</v>
      </c>
      <c r="W8" s="349">
        <f t="shared" si="1"/>
        <v>818.70099999999991</v>
      </c>
      <c r="X8" s="349">
        <f t="shared" si="1"/>
        <v>820.39900000000011</v>
      </c>
      <c r="Y8" s="349">
        <f t="shared" si="1"/>
        <v>819.10799999999983</v>
      </c>
      <c r="Z8" s="349">
        <f t="shared" si="1"/>
        <v>820.1350000000001</v>
      </c>
      <c r="AA8" s="349">
        <f t="shared" si="1"/>
        <v>816.72999999999979</v>
      </c>
      <c r="AB8" s="349">
        <f t="shared" si="1"/>
        <v>821.04700000000003</v>
      </c>
      <c r="AC8" s="349">
        <f t="shared" si="1"/>
        <v>825.73100000000011</v>
      </c>
      <c r="AD8" s="349">
        <f t="shared" si="1"/>
        <v>840.20100000000014</v>
      </c>
      <c r="AE8" s="349">
        <f t="shared" si="1"/>
        <v>849.59500000000003</v>
      </c>
      <c r="AF8" s="349">
        <f>SUM(AF9:AF36)</f>
        <v>858.99900000000002</v>
      </c>
      <c r="AG8" s="349">
        <f>SUM(AG9:AG36)</f>
        <v>868.11500000000024</v>
      </c>
      <c r="AH8" s="363">
        <f t="shared" ref="AH8:AH45" si="2">AG8/AF8*100-100</f>
        <v>1.061235228446165</v>
      </c>
      <c r="AI8" s="347" t="s">
        <v>145</v>
      </c>
      <c r="AJ8" s="10">
        <v>2020</v>
      </c>
      <c r="AK8" s="3" t="s">
        <v>172</v>
      </c>
      <c r="AL8" s="3" t="s">
        <v>173</v>
      </c>
      <c r="AM8" s="3" t="s">
        <v>174</v>
      </c>
    </row>
    <row r="9" spans="1:39" ht="12.75" customHeight="1">
      <c r="B9" s="7" t="s">
        <v>45</v>
      </c>
      <c r="C9" s="330">
        <v>16.169</v>
      </c>
      <c r="D9" s="330">
        <v>17.175999999999998</v>
      </c>
      <c r="E9" s="93">
        <v>15.644</v>
      </c>
      <c r="F9" s="93">
        <v>15.378</v>
      </c>
      <c r="G9" s="93">
        <v>15.004</v>
      </c>
      <c r="H9" s="93">
        <v>14.981999999999999</v>
      </c>
      <c r="I9" s="93">
        <v>14.85</v>
      </c>
      <c r="J9" s="93">
        <v>14.646000000000001</v>
      </c>
      <c r="K9" s="93">
        <v>14.683999999999999</v>
      </c>
      <c r="L9" s="93">
        <v>14.667</v>
      </c>
      <c r="M9" s="93">
        <v>14.587999999999999</v>
      </c>
      <c r="N9" s="93">
        <v>14.673</v>
      </c>
      <c r="O9" s="93">
        <v>14.722</v>
      </c>
      <c r="P9" s="93">
        <v>14.676</v>
      </c>
      <c r="Q9" s="93">
        <v>14.769</v>
      </c>
      <c r="R9" s="93">
        <v>15.06</v>
      </c>
      <c r="S9" s="93">
        <v>15.327999999999999</v>
      </c>
      <c r="T9" s="93">
        <v>15.391</v>
      </c>
      <c r="U9" s="93">
        <v>15.329000000000001</v>
      </c>
      <c r="V9" s="93">
        <v>15.465999999999999</v>
      </c>
      <c r="W9" s="93">
        <v>15.997</v>
      </c>
      <c r="X9" s="93">
        <v>16.059000000000001</v>
      </c>
      <c r="Y9" s="93">
        <v>16.170000000000002</v>
      </c>
      <c r="Z9" s="93">
        <v>16.013000000000002</v>
      </c>
      <c r="AA9" s="93">
        <v>16.053999999999998</v>
      </c>
      <c r="AB9" s="93">
        <v>16.260999999999999</v>
      </c>
      <c r="AC9" s="93">
        <v>16.77</v>
      </c>
      <c r="AD9" s="93">
        <v>17.067</v>
      </c>
      <c r="AE9" s="93">
        <v>15.97</v>
      </c>
      <c r="AF9" s="93">
        <v>15.987</v>
      </c>
      <c r="AG9" s="383">
        <v>16.167000000000002</v>
      </c>
      <c r="AH9" s="171">
        <f t="shared" si="2"/>
        <v>1.1259148057797006</v>
      </c>
      <c r="AI9" s="171" t="s">
        <v>45</v>
      </c>
      <c r="AJ9" s="10" t="s">
        <v>235</v>
      </c>
      <c r="AK9" s="1" t="s">
        <v>208</v>
      </c>
      <c r="AL9" s="1" t="s">
        <v>175</v>
      </c>
      <c r="AM9" s="1" t="s">
        <v>176</v>
      </c>
    </row>
    <row r="10" spans="1:39" ht="12.75" customHeight="1">
      <c r="B10" s="107" t="s">
        <v>28</v>
      </c>
      <c r="C10" s="329"/>
      <c r="D10" s="329">
        <v>21</v>
      </c>
      <c r="E10" s="114">
        <f>33.8+0.8</f>
        <v>34.599999999999994</v>
      </c>
      <c r="F10" s="114">
        <f>35.6+0.8</f>
        <v>36.4</v>
      </c>
      <c r="G10" s="114">
        <f>37.1+0.8</f>
        <v>37.9</v>
      </c>
      <c r="H10" s="114">
        <f>39.3+0.8</f>
        <v>40.099999999999994</v>
      </c>
      <c r="I10" s="114">
        <v>41.432000000000002</v>
      </c>
      <c r="J10" s="114">
        <v>41.838999999999999</v>
      </c>
      <c r="K10" s="114">
        <v>41.642000000000003</v>
      </c>
      <c r="L10" s="114">
        <v>41.201999999999998</v>
      </c>
      <c r="M10" s="114">
        <v>42.264000000000003</v>
      </c>
      <c r="N10" s="114">
        <v>42.720999999999997</v>
      </c>
      <c r="O10" s="114">
        <v>43.005000000000003</v>
      </c>
      <c r="P10" s="114">
        <v>43.566000000000003</v>
      </c>
      <c r="Q10" s="114">
        <v>43.86</v>
      </c>
      <c r="R10" s="172">
        <v>44.3</v>
      </c>
      <c r="S10" s="114">
        <v>36.6</v>
      </c>
      <c r="T10" s="172">
        <v>37.799999999999997</v>
      </c>
      <c r="U10" s="114">
        <v>22.8</v>
      </c>
      <c r="V10" s="114">
        <v>23.9</v>
      </c>
      <c r="W10" s="114">
        <v>25.2</v>
      </c>
      <c r="X10" s="114">
        <v>25.1</v>
      </c>
      <c r="Y10" s="114">
        <v>24.5</v>
      </c>
      <c r="Z10" s="114">
        <v>23.651</v>
      </c>
      <c r="AA10" s="114">
        <v>23.289000000000001</v>
      </c>
      <c r="AB10" s="114">
        <v>23.3</v>
      </c>
      <c r="AC10" s="114">
        <v>23.6</v>
      </c>
      <c r="AD10" s="114">
        <v>24.1</v>
      </c>
      <c r="AE10" s="114">
        <v>23.4</v>
      </c>
      <c r="AF10" s="114">
        <v>21</v>
      </c>
      <c r="AG10" s="116">
        <v>20.818000000000001</v>
      </c>
      <c r="AH10" s="170">
        <f t="shared" si="2"/>
        <v>-0.86666666666666003</v>
      </c>
      <c r="AI10" s="170" t="s">
        <v>28</v>
      </c>
      <c r="AJ10" s="10" t="s">
        <v>234</v>
      </c>
      <c r="AK10" s="26" t="s">
        <v>177</v>
      </c>
      <c r="AL10" s="3" t="s">
        <v>178</v>
      </c>
      <c r="AM10" s="3" t="s">
        <v>178</v>
      </c>
    </row>
    <row r="11" spans="1:39" ht="12.75" customHeight="1">
      <c r="A11" s="5"/>
      <c r="B11" s="7" t="s">
        <v>30</v>
      </c>
      <c r="C11" s="330"/>
      <c r="D11" s="330">
        <v>20.3</v>
      </c>
      <c r="E11" s="93">
        <v>20.474</v>
      </c>
      <c r="F11" s="190">
        <f>$E$11+($H$11-$E$11)/3</f>
        <v>20.050333333333334</v>
      </c>
      <c r="G11" s="190">
        <f>$E$11+($H$11-$E$11)/3*2</f>
        <v>19.626666666666665</v>
      </c>
      <c r="H11" s="93">
        <v>19.202999999999999</v>
      </c>
      <c r="I11" s="93">
        <f>19.071+0.685</f>
        <v>19.756</v>
      </c>
      <c r="J11" s="93">
        <f>19.756+0.718</f>
        <v>20.474</v>
      </c>
      <c r="K11" s="93">
        <f>20.489+0.711</f>
        <v>21.2</v>
      </c>
      <c r="L11" s="93">
        <f>20.755+0.721</f>
        <v>21.475999999999999</v>
      </c>
      <c r="M11" s="93">
        <f>19.96+0.708</f>
        <v>20.667999999999999</v>
      </c>
      <c r="N11" s="93">
        <f>18.981+0.721</f>
        <v>19.702000000000002</v>
      </c>
      <c r="O11" s="93">
        <f>18.259+0.727</f>
        <v>18.986000000000001</v>
      </c>
      <c r="P11" s="93">
        <f>18.384+0.739</f>
        <v>19.123000000000001</v>
      </c>
      <c r="Q11" s="93">
        <f>21.34+0.726</f>
        <v>22.065999999999999</v>
      </c>
      <c r="R11" s="93">
        <f>20.627+0.723</f>
        <v>21.349999999999998</v>
      </c>
      <c r="S11" s="93">
        <f>19.948+0.726</f>
        <v>20.673999999999999</v>
      </c>
      <c r="T11" s="93">
        <f>20.134+0.719</f>
        <v>20.853000000000002</v>
      </c>
      <c r="U11" s="93">
        <f>20.331+0.744</f>
        <v>21.074999999999999</v>
      </c>
      <c r="V11" s="93">
        <f>20.416+0.74</f>
        <v>21.155999999999999</v>
      </c>
      <c r="W11" s="93">
        <f>20.375+0.738</f>
        <v>21.113</v>
      </c>
      <c r="X11" s="93">
        <f>19.943+0.733</f>
        <v>20.676000000000002</v>
      </c>
      <c r="Y11" s="93">
        <f>19.653+0.735</f>
        <v>20.387999999999998</v>
      </c>
      <c r="Z11" s="93">
        <v>20.402000000000001</v>
      </c>
      <c r="AA11" s="93">
        <f>19.882+0.728</f>
        <v>20.610000000000003</v>
      </c>
      <c r="AB11" s="93">
        <f>19.619+0.699</f>
        <v>20.318000000000001</v>
      </c>
      <c r="AC11" s="93">
        <f>19.808+0.703</f>
        <v>20.510999999999999</v>
      </c>
      <c r="AD11" s="93">
        <f>19.95+0.717</f>
        <v>20.666999999999998</v>
      </c>
      <c r="AE11" s="93">
        <f>20.097+0.779</f>
        <v>20.876000000000001</v>
      </c>
      <c r="AF11" s="93">
        <v>21.4</v>
      </c>
      <c r="AG11" s="117">
        <f>21.271+0.756</f>
        <v>22.027000000000001</v>
      </c>
      <c r="AH11" s="171">
        <f t="shared" si="2"/>
        <v>2.9299065420560879</v>
      </c>
      <c r="AI11" s="171" t="s">
        <v>30</v>
      </c>
      <c r="AJ11" s="10" t="s">
        <v>232</v>
      </c>
      <c r="AK11" s="1" t="s">
        <v>209</v>
      </c>
      <c r="AL11" s="1" t="s">
        <v>210</v>
      </c>
      <c r="AM11" s="1" t="s">
        <v>211</v>
      </c>
    </row>
    <row r="12" spans="1:39" ht="12.75" customHeight="1">
      <c r="A12" s="5"/>
      <c r="B12" s="107" t="s">
        <v>41</v>
      </c>
      <c r="C12" s="329">
        <v>5.0389999999999997</v>
      </c>
      <c r="D12" s="329">
        <v>7.351</v>
      </c>
      <c r="E12" s="114">
        <v>8.109</v>
      </c>
      <c r="F12" s="114">
        <v>9.9890000000000008</v>
      </c>
      <c r="G12" s="114">
        <v>11.259</v>
      </c>
      <c r="H12" s="114">
        <v>12.976000000000001</v>
      </c>
      <c r="I12" s="114">
        <v>13.614000000000001</v>
      </c>
      <c r="J12" s="114">
        <v>13.669</v>
      </c>
      <c r="K12" s="114">
        <v>13.786</v>
      </c>
      <c r="L12" s="114">
        <v>13.779</v>
      </c>
      <c r="M12" s="114">
        <v>13.911</v>
      </c>
      <c r="N12" s="114">
        <v>13.909000000000001</v>
      </c>
      <c r="O12" s="114">
        <v>13.968</v>
      </c>
      <c r="P12" s="114">
        <v>13.954000000000001</v>
      </c>
      <c r="Q12" s="114">
        <v>13.986000000000001</v>
      </c>
      <c r="R12" s="114">
        <v>14.132</v>
      </c>
      <c r="S12" s="114">
        <v>14.191000000000001</v>
      </c>
      <c r="T12" s="114">
        <v>14.401999999999999</v>
      </c>
      <c r="U12" s="114">
        <v>14.552</v>
      </c>
      <c r="V12" s="114">
        <v>14.481999999999999</v>
      </c>
      <c r="W12" s="114">
        <v>14.452</v>
      </c>
      <c r="X12" s="114">
        <f>14.51</f>
        <v>14.51</v>
      </c>
      <c r="Y12" s="114">
        <f>14.496</f>
        <v>14.496</v>
      </c>
      <c r="Z12" s="114">
        <v>14.013999999999999</v>
      </c>
      <c r="AA12" s="114">
        <v>13.484999999999999</v>
      </c>
      <c r="AB12" s="114">
        <v>13.27</v>
      </c>
      <c r="AC12" s="114">
        <v>13.407999999999999</v>
      </c>
      <c r="AD12" s="114">
        <v>13.382999999999999</v>
      </c>
      <c r="AE12" s="114">
        <v>13.417</v>
      </c>
      <c r="AF12" s="114">
        <v>13.5</v>
      </c>
      <c r="AG12" s="116">
        <v>13.157999999999999</v>
      </c>
      <c r="AH12" s="170">
        <f t="shared" si="2"/>
        <v>-2.5333333333333314</v>
      </c>
      <c r="AI12" s="170" t="s">
        <v>41</v>
      </c>
      <c r="AJ12" s="10" t="s">
        <v>233</v>
      </c>
      <c r="AK12" s="1" t="s">
        <v>179</v>
      </c>
      <c r="AL12" s="3" t="s">
        <v>179</v>
      </c>
      <c r="AM12" s="3" t="s">
        <v>179</v>
      </c>
    </row>
    <row r="13" spans="1:39" ht="12.75" customHeight="1">
      <c r="A13" s="5"/>
      <c r="B13" s="7" t="s">
        <v>46</v>
      </c>
      <c r="C13" s="330">
        <v>63.939</v>
      </c>
      <c r="D13" s="330">
        <v>95.757999999999996</v>
      </c>
      <c r="E13" s="93">
        <v>100.37</v>
      </c>
      <c r="F13" s="93">
        <v>89.59</v>
      </c>
      <c r="G13" s="93">
        <v>88.433000000000007</v>
      </c>
      <c r="H13" s="93">
        <v>88.745999999999995</v>
      </c>
      <c r="I13" s="93">
        <v>87.421000000000006</v>
      </c>
      <c r="J13" s="93">
        <v>85.433999999999997</v>
      </c>
      <c r="K13" s="173">
        <v>84.653999999999996</v>
      </c>
      <c r="L13" s="93">
        <v>75.453000000000003</v>
      </c>
      <c r="M13" s="93">
        <v>75.593999999999994</v>
      </c>
      <c r="N13" s="93">
        <v>76.63</v>
      </c>
      <c r="O13" s="93">
        <v>77.183000000000007</v>
      </c>
      <c r="P13" s="93">
        <v>77.088999999999999</v>
      </c>
      <c r="Q13" s="93">
        <v>77.06</v>
      </c>
      <c r="R13" s="93">
        <v>76.664000000000001</v>
      </c>
      <c r="S13" s="93">
        <v>76.028000000000006</v>
      </c>
      <c r="T13" s="93">
        <v>75.203000000000003</v>
      </c>
      <c r="U13" s="93">
        <v>75.084999999999994</v>
      </c>
      <c r="V13" s="93">
        <v>75.067999999999998</v>
      </c>
      <c r="W13" s="93">
        <v>75.27</v>
      </c>
      <c r="X13" s="93">
        <v>76.433000000000007</v>
      </c>
      <c r="Y13" s="93">
        <f>76.463</f>
        <v>76.462999999999994</v>
      </c>
      <c r="Z13" s="93">
        <v>75.988</v>
      </c>
      <c r="AA13" s="93">
        <v>76.022999999999996</v>
      </c>
      <c r="AB13" s="93">
        <v>76.793999999999997</v>
      </c>
      <c r="AC13" s="93">
        <v>77.501000000000005</v>
      </c>
      <c r="AD13" s="93">
        <v>78.344999999999999</v>
      </c>
      <c r="AE13" s="93">
        <f>78.949</f>
        <v>78.948999999999998</v>
      </c>
      <c r="AF13" s="93">
        <v>79.400000000000006</v>
      </c>
      <c r="AG13" s="117">
        <v>80.519000000000005</v>
      </c>
      <c r="AH13" s="171">
        <f t="shared" si="2"/>
        <v>1.4093198992443376</v>
      </c>
      <c r="AI13" s="171" t="s">
        <v>46</v>
      </c>
      <c r="AJ13" s="1" t="s">
        <v>180</v>
      </c>
      <c r="AK13" s="1" t="s">
        <v>180</v>
      </c>
      <c r="AL13" s="1" t="s">
        <v>181</v>
      </c>
      <c r="AM13" s="1" t="s">
        <v>182</v>
      </c>
    </row>
    <row r="14" spans="1:39" ht="12.75" customHeight="1">
      <c r="A14" s="5"/>
      <c r="B14" s="107" t="s">
        <v>31</v>
      </c>
      <c r="C14" s="329"/>
      <c r="D14" s="329">
        <v>6.4</v>
      </c>
      <c r="E14" s="114">
        <v>7.9</v>
      </c>
      <c r="F14" s="114">
        <v>8.6</v>
      </c>
      <c r="G14" s="114">
        <v>8.4</v>
      </c>
      <c r="H14" s="114">
        <v>8.6999999999999993</v>
      </c>
      <c r="I14" s="114">
        <v>6.3</v>
      </c>
      <c r="J14" s="114">
        <v>7</v>
      </c>
      <c r="K14" s="114">
        <v>6.7</v>
      </c>
      <c r="L14" s="114">
        <v>6.5</v>
      </c>
      <c r="M14" s="114">
        <v>6.3</v>
      </c>
      <c r="N14" s="114">
        <v>6.2</v>
      </c>
      <c r="O14" s="114">
        <v>6.1</v>
      </c>
      <c r="P14" s="114">
        <v>5.5</v>
      </c>
      <c r="Q14" s="114">
        <v>5.3</v>
      </c>
      <c r="R14" s="114">
        <v>5.4</v>
      </c>
      <c r="S14" s="114">
        <v>5.3</v>
      </c>
      <c r="T14" s="114">
        <v>5.194</v>
      </c>
      <c r="U14" s="172">
        <v>5.3780000000000001</v>
      </c>
      <c r="V14" s="114">
        <v>4.3099999999999996</v>
      </c>
      <c r="W14" s="114">
        <v>4.2919999999999998</v>
      </c>
      <c r="X14" s="114">
        <v>4.117</v>
      </c>
      <c r="Y14" s="114">
        <v>4.1669999999999998</v>
      </c>
      <c r="Z14" s="114">
        <v>4.1559999999999997</v>
      </c>
      <c r="AA14" s="114">
        <v>4.3109999999999999</v>
      </c>
      <c r="AB14" s="114">
        <v>4.5</v>
      </c>
      <c r="AC14" s="114">
        <v>4.5999999999999996</v>
      </c>
      <c r="AD14" s="114">
        <v>4.8</v>
      </c>
      <c r="AE14" s="114">
        <v>4.8</v>
      </c>
      <c r="AF14" s="114">
        <v>4.9000000000000004</v>
      </c>
      <c r="AG14" s="116">
        <v>5</v>
      </c>
      <c r="AH14" s="170">
        <f t="shared" si="2"/>
        <v>2.0408163265306172</v>
      </c>
      <c r="AI14" s="170" t="s">
        <v>31</v>
      </c>
      <c r="AJ14" s="3" t="s">
        <v>183</v>
      </c>
      <c r="AK14" s="3" t="s">
        <v>183</v>
      </c>
      <c r="AL14" s="3" t="s">
        <v>183</v>
      </c>
      <c r="AM14" s="3" t="s">
        <v>183</v>
      </c>
    </row>
    <row r="15" spans="1:39" ht="12.75" customHeight="1">
      <c r="A15" s="5"/>
      <c r="B15" s="7" t="s">
        <v>49</v>
      </c>
      <c r="C15" s="330">
        <v>2.012</v>
      </c>
      <c r="D15" s="330">
        <v>2.722</v>
      </c>
      <c r="E15" s="93">
        <v>4.0469999999999997</v>
      </c>
      <c r="F15" s="93">
        <v>4.3879999999999999</v>
      </c>
      <c r="G15" s="93">
        <v>4.5570000000000004</v>
      </c>
      <c r="H15" s="93">
        <v>4.835</v>
      </c>
      <c r="I15" s="93">
        <v>4.9850000000000003</v>
      </c>
      <c r="J15" s="93">
        <v>5.282</v>
      </c>
      <c r="K15" s="93">
        <v>5.5350000000000001</v>
      </c>
      <c r="L15" s="93">
        <v>5.8449999999999998</v>
      </c>
      <c r="M15" s="93">
        <v>6.0960000000000001</v>
      </c>
      <c r="N15" s="93">
        <v>6.5640000000000001</v>
      </c>
      <c r="O15" s="93">
        <v>6.9569999999999999</v>
      </c>
      <c r="P15" s="93">
        <v>7.0839999999999996</v>
      </c>
      <c r="Q15" s="93">
        <v>7.09</v>
      </c>
      <c r="R15" s="93">
        <v>7.3920000000000003</v>
      </c>
      <c r="S15" s="93">
        <v>7.43</v>
      </c>
      <c r="T15" s="93">
        <v>7.625</v>
      </c>
      <c r="U15" s="93">
        <v>7.9969999999999999</v>
      </c>
      <c r="V15" s="93">
        <v>8.4510000000000005</v>
      </c>
      <c r="W15" s="93">
        <v>8.9109999999999996</v>
      </c>
      <c r="X15" s="93">
        <f>8.556</f>
        <v>8.5559999999999992</v>
      </c>
      <c r="Y15" s="93">
        <f>8.245</f>
        <v>8.2449999999999992</v>
      </c>
      <c r="Z15" s="93">
        <v>8.2759999999999998</v>
      </c>
      <c r="AA15" s="93">
        <v>8.266</v>
      </c>
      <c r="AB15" s="93">
        <v>8.4879999999999995</v>
      </c>
      <c r="AC15" s="93">
        <v>8.8019999999999996</v>
      </c>
      <c r="AD15" s="93">
        <v>9.2590000000000003</v>
      </c>
      <c r="AE15" s="93">
        <v>9.8409999999999993</v>
      </c>
      <c r="AF15" s="93">
        <v>10.3</v>
      </c>
      <c r="AG15" s="117">
        <v>10.944000000000001</v>
      </c>
      <c r="AH15" s="171">
        <f t="shared" si="2"/>
        <v>6.2524271844660149</v>
      </c>
      <c r="AI15" s="171" t="s">
        <v>49</v>
      </c>
      <c r="AJ15" s="1" t="s">
        <v>184</v>
      </c>
      <c r="AK15" s="1" t="s">
        <v>184</v>
      </c>
      <c r="AL15" s="1" t="s">
        <v>212</v>
      </c>
      <c r="AM15" s="1" t="s">
        <v>212</v>
      </c>
    </row>
    <row r="16" spans="1:39" ht="12.75" customHeight="1">
      <c r="A16" s="5"/>
      <c r="B16" s="107" t="s">
        <v>42</v>
      </c>
      <c r="C16" s="329">
        <v>10.545999999999999</v>
      </c>
      <c r="D16" s="329">
        <v>18.010999999999999</v>
      </c>
      <c r="E16" s="114">
        <v>21.43</v>
      </c>
      <c r="F16" s="114">
        <v>22.08</v>
      </c>
      <c r="G16" s="114">
        <v>22.673999999999999</v>
      </c>
      <c r="H16" s="114">
        <v>23.206</v>
      </c>
      <c r="I16" s="114">
        <v>23.54</v>
      </c>
      <c r="J16" s="114">
        <v>24.6</v>
      </c>
      <c r="K16" s="114">
        <v>25.096</v>
      </c>
      <c r="L16" s="114">
        <v>25.622</v>
      </c>
      <c r="M16" s="114">
        <v>26.32</v>
      </c>
      <c r="N16" s="114">
        <v>26.768999999999998</v>
      </c>
      <c r="O16" s="114">
        <v>27.036999999999999</v>
      </c>
      <c r="P16" s="114">
        <v>27.114999999999998</v>
      </c>
      <c r="Q16" s="114">
        <v>27.247</v>
      </c>
      <c r="R16" s="114">
        <v>27.138999999999999</v>
      </c>
      <c r="S16" s="114">
        <v>26.78</v>
      </c>
      <c r="T16" s="114">
        <v>26.829000000000001</v>
      </c>
      <c r="U16" s="114">
        <v>26.937999999999999</v>
      </c>
      <c r="V16" s="114">
        <v>27.102</v>
      </c>
      <c r="W16" s="114">
        <v>27.186</v>
      </c>
      <c r="X16" s="114">
        <v>27.324000000000002</v>
      </c>
      <c r="Y16" s="114">
        <v>27.311</v>
      </c>
      <c r="Z16" s="114">
        <v>27.120999999999999</v>
      </c>
      <c r="AA16" s="114">
        <v>26.962</v>
      </c>
      <c r="AB16" s="114">
        <v>26.783000000000001</v>
      </c>
      <c r="AC16" s="114">
        <v>26.585999999999999</v>
      </c>
      <c r="AD16" s="114">
        <v>26.541</v>
      </c>
      <c r="AE16" s="114">
        <v>26.481000000000002</v>
      </c>
      <c r="AF16" s="114">
        <v>26.388999999999999</v>
      </c>
      <c r="AG16" s="116">
        <v>26.478999999999999</v>
      </c>
      <c r="AH16" s="170">
        <f t="shared" si="2"/>
        <v>0.34105119557391106</v>
      </c>
      <c r="AI16" s="170" t="s">
        <v>42</v>
      </c>
      <c r="AJ16" s="1" t="s">
        <v>185</v>
      </c>
      <c r="AK16" s="1" t="s">
        <v>185</v>
      </c>
      <c r="AL16" s="1" t="s">
        <v>185</v>
      </c>
      <c r="AM16" s="1" t="s">
        <v>185</v>
      </c>
    </row>
    <row r="17" spans="1:39" ht="12.75" customHeight="1">
      <c r="A17" s="5"/>
      <c r="B17" s="7" t="s">
        <v>47</v>
      </c>
      <c r="C17" s="330">
        <v>30.728000000000002</v>
      </c>
      <c r="D17" s="330">
        <v>42.631</v>
      </c>
      <c r="E17" s="93">
        <v>45.767000000000003</v>
      </c>
      <c r="F17" s="93">
        <v>46.603999999999999</v>
      </c>
      <c r="G17" s="93">
        <v>47.18</v>
      </c>
      <c r="H17" s="93">
        <v>47.027999999999999</v>
      </c>
      <c r="I17" s="93">
        <v>47.088000000000001</v>
      </c>
      <c r="J17" s="93">
        <v>47.375</v>
      </c>
      <c r="K17" s="93">
        <v>48.405000000000001</v>
      </c>
      <c r="L17" s="93">
        <v>50.034999999999997</v>
      </c>
      <c r="M17" s="93">
        <v>51.805</v>
      </c>
      <c r="N17" s="93">
        <v>53.54</v>
      </c>
      <c r="O17" s="93">
        <v>54.731999999999999</v>
      </c>
      <c r="P17" s="93">
        <v>56.146000000000001</v>
      </c>
      <c r="Q17" s="93">
        <v>56.953000000000003</v>
      </c>
      <c r="R17" s="93">
        <v>55.993000000000002</v>
      </c>
      <c r="S17" s="93">
        <v>56.957000000000001</v>
      </c>
      <c r="T17" s="93">
        <v>58.247999999999998</v>
      </c>
      <c r="U17" s="93">
        <v>59.104999999999997</v>
      </c>
      <c r="V17" s="93">
        <v>61.039000000000001</v>
      </c>
      <c r="W17" s="93">
        <v>62.195999999999998</v>
      </c>
      <c r="X17" s="93">
        <v>62.662999999999997</v>
      </c>
      <c r="Y17" s="93">
        <v>62.445</v>
      </c>
      <c r="Z17" s="93">
        <v>62.357999999999997</v>
      </c>
      <c r="AA17" s="93">
        <v>61.127000000000002</v>
      </c>
      <c r="AB17" s="93">
        <v>59.892000000000003</v>
      </c>
      <c r="AC17" s="93">
        <v>59.798999999999999</v>
      </c>
      <c r="AD17" s="93">
        <v>60.252000000000002</v>
      </c>
      <c r="AE17" s="93">
        <v>61.838000000000001</v>
      </c>
      <c r="AF17" s="93">
        <v>63.588999999999999</v>
      </c>
      <c r="AG17" s="117">
        <v>64.905000000000001</v>
      </c>
      <c r="AH17" s="171">
        <f t="shared" si="2"/>
        <v>2.0695403293022423</v>
      </c>
      <c r="AI17" s="171" t="s">
        <v>47</v>
      </c>
      <c r="AJ17" s="3" t="s">
        <v>186</v>
      </c>
      <c r="AK17" s="3" t="s">
        <v>186</v>
      </c>
      <c r="AL17" s="3" t="s">
        <v>187</v>
      </c>
      <c r="AM17" s="3" t="s">
        <v>187</v>
      </c>
    </row>
    <row r="18" spans="1:39" ht="12.75" customHeight="1">
      <c r="A18" s="5"/>
      <c r="B18" s="107" t="s">
        <v>48</v>
      </c>
      <c r="C18" s="329">
        <v>41</v>
      </c>
      <c r="D18" s="329">
        <v>59</v>
      </c>
      <c r="E18" s="114">
        <v>70</v>
      </c>
      <c r="F18" s="114">
        <v>76</v>
      </c>
      <c r="G18" s="114">
        <v>76</v>
      </c>
      <c r="H18" s="114">
        <v>76</v>
      </c>
      <c r="I18" s="114">
        <v>78</v>
      </c>
      <c r="J18" s="114">
        <v>79</v>
      </c>
      <c r="K18" s="114">
        <v>82</v>
      </c>
      <c r="L18" s="114">
        <v>82</v>
      </c>
      <c r="M18" s="188">
        <v>84.960999999999999</v>
      </c>
      <c r="N18" s="114">
        <v>85.668000000000006</v>
      </c>
      <c r="O18" s="114">
        <v>85.748999999999995</v>
      </c>
      <c r="P18" s="114">
        <v>86.953999999999994</v>
      </c>
      <c r="Q18" s="114">
        <v>85.876000000000005</v>
      </c>
      <c r="R18" s="114">
        <v>87.100999999999999</v>
      </c>
      <c r="S18" s="114">
        <v>88.417000000000002</v>
      </c>
      <c r="T18" s="114">
        <v>90.055000000000007</v>
      </c>
      <c r="U18" s="114">
        <v>92.152000000000001</v>
      </c>
      <c r="V18" s="114">
        <v>94.391999999999996</v>
      </c>
      <c r="W18" s="114">
        <v>92.873999999999995</v>
      </c>
      <c r="X18" s="188">
        <v>90.65</v>
      </c>
      <c r="Y18" s="114">
        <v>91.450999999999993</v>
      </c>
      <c r="Z18" s="114">
        <v>93.028999999999996</v>
      </c>
      <c r="AA18" s="114">
        <v>94.099000000000004</v>
      </c>
      <c r="AB18" s="114">
        <v>96.040999999999997</v>
      </c>
      <c r="AC18" s="114">
        <v>96.745999999999995</v>
      </c>
      <c r="AD18" s="114">
        <v>99.001999999999995</v>
      </c>
      <c r="AE18" s="114">
        <v>100.303</v>
      </c>
      <c r="AF18" s="114">
        <v>100.85299999999999</v>
      </c>
      <c r="AG18" s="116">
        <v>100.712</v>
      </c>
      <c r="AH18" s="170">
        <f t="shared" si="2"/>
        <v>-0.13980744251533395</v>
      </c>
      <c r="AI18" s="170" t="s">
        <v>48</v>
      </c>
      <c r="AJ18" s="1" t="s">
        <v>188</v>
      </c>
      <c r="AK18" s="1" t="s">
        <v>188</v>
      </c>
      <c r="AL18" s="1" t="s">
        <v>189</v>
      </c>
      <c r="AM18" s="3" t="s">
        <v>213</v>
      </c>
    </row>
    <row r="19" spans="1:39" ht="12.75" customHeight="1">
      <c r="A19" s="5"/>
      <c r="B19" s="7" t="s">
        <v>59</v>
      </c>
      <c r="C19" s="330"/>
      <c r="D19" s="330"/>
      <c r="E19" s="93">
        <v>5.8360000000000003</v>
      </c>
      <c r="F19" s="93">
        <v>4.8760000000000003</v>
      </c>
      <c r="G19" s="93">
        <v>4.1040000000000001</v>
      </c>
      <c r="H19" s="93">
        <v>3.895</v>
      </c>
      <c r="I19" s="93">
        <v>4.0259999999999998</v>
      </c>
      <c r="J19" s="93">
        <v>3.8969999999999998</v>
      </c>
      <c r="K19" s="93">
        <v>4.5960000000000001</v>
      </c>
      <c r="L19" s="93">
        <v>4.7709999999999999</v>
      </c>
      <c r="M19" s="93">
        <v>4.8140000000000001</v>
      </c>
      <c r="N19" s="93">
        <v>4.7430000000000003</v>
      </c>
      <c r="O19" s="93">
        <v>4.66</v>
      </c>
      <c r="P19" s="93">
        <v>4.7699999999999996</v>
      </c>
      <c r="Q19" s="93">
        <v>4.7919999999999998</v>
      </c>
      <c r="R19" s="93">
        <v>4.8330000000000002</v>
      </c>
      <c r="S19" s="93">
        <v>4.8689999999999998</v>
      </c>
      <c r="T19" s="93">
        <v>4.851</v>
      </c>
      <c r="U19" s="93">
        <v>4.9139999999999997</v>
      </c>
      <c r="V19" s="93">
        <v>5.0430000000000001</v>
      </c>
      <c r="W19" s="93">
        <v>5.0990000000000002</v>
      </c>
      <c r="X19" s="93">
        <v>5.0709999999999997</v>
      </c>
      <c r="Y19" s="190">
        <v>4.8769999999999998</v>
      </c>
      <c r="Z19" s="93">
        <v>4.8410000000000002</v>
      </c>
      <c r="AA19" s="93">
        <v>4.6550000000000002</v>
      </c>
      <c r="AB19" s="93">
        <v>4.7889999999999997</v>
      </c>
      <c r="AC19" s="93">
        <v>5.04</v>
      </c>
      <c r="AD19" s="93">
        <v>5.2759999999999998</v>
      </c>
      <c r="AE19" s="93">
        <v>5.5129999999999999</v>
      </c>
      <c r="AF19" s="93">
        <v>5.6980000000000004</v>
      </c>
      <c r="AG19" s="117">
        <v>5.8769999999999998</v>
      </c>
      <c r="AH19" s="171">
        <f t="shared" si="2"/>
        <v>3.1414531414531268</v>
      </c>
      <c r="AI19" s="171" t="s">
        <v>59</v>
      </c>
      <c r="AJ19" s="10" t="s">
        <v>236</v>
      </c>
      <c r="AK19" s="1" t="s">
        <v>190</v>
      </c>
      <c r="AL19" s="1" t="s">
        <v>190</v>
      </c>
      <c r="AM19" s="1" t="s">
        <v>190</v>
      </c>
    </row>
    <row r="20" spans="1:39" ht="12.75" customHeight="1">
      <c r="A20" s="5"/>
      <c r="B20" s="107" t="s">
        <v>50</v>
      </c>
      <c r="C20" s="329">
        <v>32.899000000000001</v>
      </c>
      <c r="D20" s="329">
        <v>58.149000000000001</v>
      </c>
      <c r="E20" s="114">
        <v>77.730999999999995</v>
      </c>
      <c r="F20" s="114">
        <v>78</v>
      </c>
      <c r="G20" s="114">
        <v>78.179000000000002</v>
      </c>
      <c r="H20" s="114">
        <v>76.974000000000004</v>
      </c>
      <c r="I20" s="114">
        <v>76.075999999999993</v>
      </c>
      <c r="J20" s="114">
        <v>75.022999999999996</v>
      </c>
      <c r="K20" s="114">
        <v>78.183000000000007</v>
      </c>
      <c r="L20" s="114">
        <v>84.177000000000007</v>
      </c>
      <c r="M20" s="114">
        <v>84.822000000000003</v>
      </c>
      <c r="N20" s="114">
        <v>85.762</v>
      </c>
      <c r="O20" s="114">
        <v>87.956000000000003</v>
      </c>
      <c r="P20" s="114">
        <v>89.858000000000004</v>
      </c>
      <c r="Q20" s="114">
        <v>91.715999999999994</v>
      </c>
      <c r="R20" s="114">
        <v>92.700999999999993</v>
      </c>
      <c r="S20" s="114">
        <v>92.873999999999995</v>
      </c>
      <c r="T20" s="114">
        <v>94.436999999999998</v>
      </c>
      <c r="U20" s="114">
        <v>96.099000000000004</v>
      </c>
      <c r="V20" s="114">
        <v>96.418999999999997</v>
      </c>
      <c r="W20" s="114">
        <v>97.596999999999994</v>
      </c>
      <c r="X20" s="114">
        <v>98.724000000000004</v>
      </c>
      <c r="Y20" s="114">
        <v>99.894999999999996</v>
      </c>
      <c r="Z20" s="114">
        <v>100.438</v>
      </c>
      <c r="AA20" s="114">
        <v>99.537000000000006</v>
      </c>
      <c r="AB20" s="114">
        <v>98.551000000000002</v>
      </c>
      <c r="AC20" s="114">
        <v>97.914000000000001</v>
      </c>
      <c r="AD20" s="114">
        <v>97.991</v>
      </c>
      <c r="AE20" s="114">
        <v>97.816999999999993</v>
      </c>
      <c r="AF20" s="114">
        <v>99.1</v>
      </c>
      <c r="AG20" s="116">
        <v>100.042</v>
      </c>
      <c r="AH20" s="170">
        <f t="shared" si="2"/>
        <v>0.95055499495460083</v>
      </c>
      <c r="AI20" s="192" t="s">
        <v>50</v>
      </c>
      <c r="AJ20" s="10" t="s">
        <v>250</v>
      </c>
      <c r="AK20" s="1" t="s">
        <v>191</v>
      </c>
      <c r="AL20" s="1" t="s">
        <v>191</v>
      </c>
      <c r="AM20" s="1" t="s">
        <v>191</v>
      </c>
    </row>
    <row r="21" spans="1:39" ht="12.75" customHeight="1">
      <c r="A21" s="5"/>
      <c r="B21" s="7" t="s">
        <v>29</v>
      </c>
      <c r="C21" s="330"/>
      <c r="D21" s="330">
        <v>1.6</v>
      </c>
      <c r="E21" s="93">
        <v>2.3079999999999998</v>
      </c>
      <c r="F21" s="93">
        <v>2.1760000000000002</v>
      </c>
      <c r="G21" s="93">
        <v>2.371</v>
      </c>
      <c r="H21" s="93">
        <v>2.4380000000000002</v>
      </c>
      <c r="I21" s="93">
        <v>2.5459999999999998</v>
      </c>
      <c r="J21" s="93">
        <v>2.67</v>
      </c>
      <c r="K21" s="93">
        <v>2.8010000000000002</v>
      </c>
      <c r="L21" s="93">
        <v>2.8</v>
      </c>
      <c r="M21" s="93">
        <v>2.754</v>
      </c>
      <c r="N21" s="93">
        <v>2.835</v>
      </c>
      <c r="O21" s="93">
        <v>2.9489999999999998</v>
      </c>
      <c r="P21" s="93">
        <v>3.0030000000000001</v>
      </c>
      <c r="Q21" s="93">
        <v>2.9969999999999999</v>
      </c>
      <c r="R21" s="93">
        <v>3.2749999999999999</v>
      </c>
      <c r="S21" s="93">
        <v>3.1989999999999998</v>
      </c>
      <c r="T21" s="93">
        <v>3.2170000000000001</v>
      </c>
      <c r="U21" s="93">
        <v>3.2210000000000001</v>
      </c>
      <c r="V21" s="93">
        <v>3.2919999999999998</v>
      </c>
      <c r="W21" s="93">
        <v>3.4020000000000001</v>
      </c>
      <c r="X21" s="93">
        <f>3.449</f>
        <v>3.4489999999999998</v>
      </c>
      <c r="Y21" s="93">
        <v>3.403</v>
      </c>
      <c r="Z21" s="93">
        <v>3.4609999999999999</v>
      </c>
      <c r="AA21" s="93">
        <v>3.5569999999999999</v>
      </c>
      <c r="AB21" s="93">
        <v>3.4950000000000001</v>
      </c>
      <c r="AC21" s="339">
        <v>2.581</v>
      </c>
      <c r="AD21" s="93">
        <v>2.7120000000000002</v>
      </c>
      <c r="AE21" s="93">
        <v>2.8420000000000001</v>
      </c>
      <c r="AF21" s="93">
        <v>2.9910000000000001</v>
      </c>
      <c r="AG21" s="117">
        <v>3.0840000000000001</v>
      </c>
      <c r="AH21" s="171">
        <f t="shared" si="2"/>
        <v>3.1093279839518431</v>
      </c>
      <c r="AI21" s="171" t="s">
        <v>29</v>
      </c>
      <c r="AJ21" s="10" t="s">
        <v>135</v>
      </c>
      <c r="AK21" s="1" t="s">
        <v>192</v>
      </c>
      <c r="AL21" s="1" t="s">
        <v>214</v>
      </c>
      <c r="AM21" s="3" t="s">
        <v>215</v>
      </c>
    </row>
    <row r="22" spans="1:39" ht="12.75" customHeight="1">
      <c r="A22" s="5"/>
      <c r="B22" s="107" t="s">
        <v>33</v>
      </c>
      <c r="C22" s="329"/>
      <c r="D22" s="329"/>
      <c r="E22" s="114">
        <v>12.138</v>
      </c>
      <c r="F22" s="115">
        <f>$E$22+($J$22-$E$22)/5</f>
        <v>13.003399999999999</v>
      </c>
      <c r="G22" s="115">
        <f>$E$22+($J$22-$E$22)/5*2</f>
        <v>13.8688</v>
      </c>
      <c r="H22" s="115">
        <f>$E$22+($J$22-$E$22)/5*3</f>
        <v>14.7342</v>
      </c>
      <c r="I22" s="115">
        <f>$E$22+($J$22-$E$22)/5*4</f>
        <v>15.599599999999999</v>
      </c>
      <c r="J22" s="114">
        <v>16.465</v>
      </c>
      <c r="K22" s="114">
        <v>17.274999999999999</v>
      </c>
      <c r="L22" s="172">
        <v>18.558</v>
      </c>
      <c r="M22" s="114">
        <v>11.505000000000001</v>
      </c>
      <c r="N22" s="114">
        <v>11.555999999999999</v>
      </c>
      <c r="O22" s="114">
        <v>11.500999999999999</v>
      </c>
      <c r="P22" s="114">
        <v>11.294</v>
      </c>
      <c r="Q22" s="114">
        <v>11.164</v>
      </c>
      <c r="R22" s="114">
        <v>10.983000000000001</v>
      </c>
      <c r="S22" s="114">
        <v>10.74</v>
      </c>
      <c r="T22" s="114">
        <v>10.644</v>
      </c>
      <c r="U22" s="114">
        <v>10.628</v>
      </c>
      <c r="V22" s="114">
        <v>10.624000000000001</v>
      </c>
      <c r="W22" s="114">
        <v>10.542999999999999</v>
      </c>
      <c r="X22" s="114">
        <v>9.6869999999999994</v>
      </c>
      <c r="Y22" s="188">
        <v>5.3769999999999998</v>
      </c>
      <c r="Z22" s="114">
        <v>5.1859999999999999</v>
      </c>
      <c r="AA22" s="114">
        <v>5.0439999999999996</v>
      </c>
      <c r="AB22" s="114">
        <v>4.9889999999999999</v>
      </c>
      <c r="AC22" s="114">
        <v>4.8449999999999998</v>
      </c>
      <c r="AD22" s="114">
        <v>4.7969999999999997</v>
      </c>
      <c r="AE22" s="114">
        <v>4.6959999999999997</v>
      </c>
      <c r="AF22" s="114">
        <v>4.7</v>
      </c>
      <c r="AG22" s="116">
        <v>4.6319999999999997</v>
      </c>
      <c r="AH22" s="170">
        <f t="shared" si="2"/>
        <v>-1.4468085106383057</v>
      </c>
      <c r="AI22" s="192" t="s">
        <v>33</v>
      </c>
      <c r="AJ22" s="1" t="s">
        <v>193</v>
      </c>
      <c r="AK22" s="1" t="s">
        <v>193</v>
      </c>
      <c r="AL22" s="1" t="s">
        <v>216</v>
      </c>
      <c r="AM22" s="1" t="s">
        <v>194</v>
      </c>
    </row>
    <row r="23" spans="1:39" ht="12.75" customHeight="1">
      <c r="A23" s="5"/>
      <c r="B23" s="7" t="s">
        <v>34</v>
      </c>
      <c r="C23" s="330"/>
      <c r="D23" s="330">
        <v>10.5</v>
      </c>
      <c r="E23" s="93">
        <v>15.2</v>
      </c>
      <c r="F23" s="190">
        <f>$E$23+($J$23-$E$23)/5</f>
        <v>15.6768</v>
      </c>
      <c r="G23" s="190">
        <f>$E$23+($J$23-$E$23)/5*2</f>
        <v>16.153600000000001</v>
      </c>
      <c r="H23" s="190">
        <f>$E$23+($J$23-$E$23)/5*3</f>
        <v>16.630399999999998</v>
      </c>
      <c r="I23" s="190">
        <f>$E$23+($J$23-$E$23)/5*4</f>
        <v>17.107199999999999</v>
      </c>
      <c r="J23" s="93">
        <f>17.052+0.532</f>
        <v>17.584</v>
      </c>
      <c r="K23" s="93">
        <f>15.482+0.544</f>
        <v>16.026</v>
      </c>
      <c r="L23" s="93">
        <f>14.888+0.547</f>
        <v>15.435</v>
      </c>
      <c r="M23" s="93">
        <f>15.156+0.523</f>
        <v>15.679</v>
      </c>
      <c r="N23" s="93">
        <f>15.59+0.5</f>
        <v>16.09</v>
      </c>
      <c r="O23" s="93">
        <f>15.069+0.474</f>
        <v>15.543000000000001</v>
      </c>
      <c r="P23" s="93">
        <f>15.171+0.47</f>
        <v>15.641</v>
      </c>
      <c r="Q23" s="93">
        <f>15.376+0.466</f>
        <v>15.841999999999999</v>
      </c>
      <c r="R23" s="93">
        <f>15.543+0.463</f>
        <v>16.006</v>
      </c>
      <c r="S23" s="93">
        <f>14.377+0.476</f>
        <v>14.853000000000002</v>
      </c>
      <c r="T23" s="93">
        <f>14.839+0.472</f>
        <v>15.311</v>
      </c>
      <c r="U23" s="93">
        <f>15.134+0.485</f>
        <v>15.619</v>
      </c>
      <c r="V23" s="93">
        <f>13.997+0.491</f>
        <v>14.488</v>
      </c>
      <c r="W23" s="93">
        <f>13.824+0.488</f>
        <v>14.311999999999999</v>
      </c>
      <c r="X23" s="93">
        <f>13.36+0.477</f>
        <v>13.837</v>
      </c>
      <c r="Y23" s="93">
        <f>13.261+0.467</f>
        <v>13.728</v>
      </c>
      <c r="Z23" s="93">
        <v>13.545</v>
      </c>
      <c r="AA23" s="93">
        <f>12.649+0.458</f>
        <v>13.106999999999999</v>
      </c>
      <c r="AB23" s="93">
        <f>12.606+0.457</f>
        <v>13.063000000000001</v>
      </c>
      <c r="AC23" s="339">
        <v>6.9370000000000003</v>
      </c>
      <c r="AD23" s="93">
        <v>6.8559999999999999</v>
      </c>
      <c r="AE23" s="93">
        <v>6.9260000000000002</v>
      </c>
      <c r="AF23" s="93">
        <v>7.2</v>
      </c>
      <c r="AG23" s="117">
        <v>7.5170000000000003</v>
      </c>
      <c r="AH23" s="171">
        <f t="shared" si="2"/>
        <v>4.4027777777777715</v>
      </c>
      <c r="AI23" s="171" t="s">
        <v>34</v>
      </c>
      <c r="AJ23" s="3" t="s">
        <v>195</v>
      </c>
      <c r="AK23" s="3" t="s">
        <v>195</v>
      </c>
      <c r="AL23" s="3" t="s">
        <v>195</v>
      </c>
      <c r="AM23" s="3" t="s">
        <v>195</v>
      </c>
    </row>
    <row r="24" spans="1:39" ht="12.75" customHeight="1">
      <c r="A24" s="5"/>
      <c r="B24" s="107" t="s">
        <v>51</v>
      </c>
      <c r="C24" s="329">
        <v>0.56000000000000005</v>
      </c>
      <c r="D24" s="329">
        <v>0.64700000000000002</v>
      </c>
      <c r="E24" s="114">
        <v>0.76</v>
      </c>
      <c r="F24" s="114">
        <v>0.77700000000000002</v>
      </c>
      <c r="G24" s="114">
        <v>0.81399999999999995</v>
      </c>
      <c r="H24" s="114">
        <v>0.85</v>
      </c>
      <c r="I24" s="114">
        <v>0.84599999999999997</v>
      </c>
      <c r="J24" s="114">
        <v>0.871</v>
      </c>
      <c r="K24" s="114">
        <v>0.91400000000000003</v>
      </c>
      <c r="L24" s="114">
        <v>0.94399999999999995</v>
      </c>
      <c r="M24" s="114">
        <v>0.94499999999999995</v>
      </c>
      <c r="N24" s="114">
        <v>0.98399999999999999</v>
      </c>
      <c r="O24" s="114">
        <v>1.0509999999999999</v>
      </c>
      <c r="P24" s="114">
        <v>1.123</v>
      </c>
      <c r="Q24" s="114">
        <v>1.1759999999999999</v>
      </c>
      <c r="R24" s="114">
        <v>1.2270000000000001</v>
      </c>
      <c r="S24" s="114">
        <v>1.27</v>
      </c>
      <c r="T24" s="114">
        <v>1.34</v>
      </c>
      <c r="U24" s="114">
        <v>1.38</v>
      </c>
      <c r="V24" s="114">
        <v>1.456</v>
      </c>
      <c r="W24" s="114">
        <v>1.546</v>
      </c>
      <c r="X24" s="114">
        <f>1.624</f>
        <v>1.6240000000000001</v>
      </c>
      <c r="Y24" s="114">
        <v>1.637</v>
      </c>
      <c r="Z24" s="114">
        <v>1.7030000000000001</v>
      </c>
      <c r="AA24" s="114">
        <v>1.728</v>
      </c>
      <c r="AB24" s="114">
        <v>1.7589999999999999</v>
      </c>
      <c r="AC24" s="114">
        <v>1.778</v>
      </c>
      <c r="AD24" s="343">
        <v>1.857</v>
      </c>
      <c r="AE24" s="343">
        <v>1.9039999999999999</v>
      </c>
      <c r="AF24" s="343">
        <v>2</v>
      </c>
      <c r="AG24" s="340">
        <v>2.0419999999999998</v>
      </c>
      <c r="AH24" s="170">
        <f t="shared" si="2"/>
        <v>2.0999999999999943</v>
      </c>
      <c r="AI24" s="192" t="s">
        <v>51</v>
      </c>
      <c r="AJ24" s="3" t="s">
        <v>217</v>
      </c>
      <c r="AK24" s="3" t="s">
        <v>217</v>
      </c>
      <c r="AL24" s="3" t="s">
        <v>217</v>
      </c>
      <c r="AM24" s="3" t="s">
        <v>218</v>
      </c>
    </row>
    <row r="25" spans="1:39" ht="12.75" customHeight="1">
      <c r="A25" s="5"/>
      <c r="B25" s="7" t="s">
        <v>32</v>
      </c>
      <c r="C25" s="330"/>
      <c r="D25" s="330">
        <v>22.2</v>
      </c>
      <c r="E25" s="93">
        <v>26.437999999999999</v>
      </c>
      <c r="F25" s="93">
        <v>24.497</v>
      </c>
      <c r="G25" s="93">
        <v>23.187000000000001</v>
      </c>
      <c r="H25" s="93">
        <v>22.186</v>
      </c>
      <c r="I25" s="93">
        <v>21.785</v>
      </c>
      <c r="J25" s="93">
        <v>20.463999999999999</v>
      </c>
      <c r="K25" s="93">
        <v>19.381</v>
      </c>
      <c r="L25" s="93">
        <v>18.89</v>
      </c>
      <c r="M25" s="93">
        <v>18.795000000000002</v>
      </c>
      <c r="N25" s="93">
        <v>17.733000000000001</v>
      </c>
      <c r="O25" s="93">
        <v>17.855</v>
      </c>
      <c r="P25" s="93">
        <v>17.817</v>
      </c>
      <c r="Q25" s="93">
        <v>17.873000000000001</v>
      </c>
      <c r="R25" s="93">
        <v>17.876999999999999</v>
      </c>
      <c r="S25" s="93">
        <v>17.428000000000001</v>
      </c>
      <c r="T25" s="93">
        <v>17.45</v>
      </c>
      <c r="U25" s="93">
        <v>17.721</v>
      </c>
      <c r="V25" s="93">
        <v>17.899000000000001</v>
      </c>
      <c r="W25" s="93">
        <v>17.954999999999998</v>
      </c>
      <c r="X25" s="93">
        <v>17.72</v>
      </c>
      <c r="Y25" s="93">
        <f>17.641</f>
        <v>17.640999999999998</v>
      </c>
      <c r="Z25" s="93">
        <v>17.366</v>
      </c>
      <c r="AA25" s="93">
        <v>17.300999999999998</v>
      </c>
      <c r="AB25" s="93">
        <v>17.568999999999999</v>
      </c>
      <c r="AC25" s="93">
        <v>17.922999999999998</v>
      </c>
      <c r="AD25" s="93">
        <v>18.135000000000002</v>
      </c>
      <c r="AE25" s="93">
        <v>18.481999999999999</v>
      </c>
      <c r="AF25" s="93">
        <v>18.7</v>
      </c>
      <c r="AG25" s="117">
        <v>19.134</v>
      </c>
      <c r="AH25" s="171">
        <f t="shared" si="2"/>
        <v>2.3208556149732544</v>
      </c>
      <c r="AI25" s="171" t="s">
        <v>32</v>
      </c>
      <c r="AJ25" s="1" t="s">
        <v>219</v>
      </c>
      <c r="AK25" s="1" t="s">
        <v>219</v>
      </c>
      <c r="AL25" s="1" t="s">
        <v>219</v>
      </c>
      <c r="AM25" s="1" t="s">
        <v>219</v>
      </c>
    </row>
    <row r="26" spans="1:39" ht="12.75" customHeight="1">
      <c r="A26" s="5"/>
      <c r="B26" s="107" t="s">
        <v>35</v>
      </c>
      <c r="C26" s="329"/>
      <c r="D26" s="329"/>
      <c r="E26" s="114">
        <v>0.97799999999999998</v>
      </c>
      <c r="F26" s="115">
        <f>$E$26+($H$26-$E$26)/3</f>
        <v>0.96399999999999997</v>
      </c>
      <c r="G26" s="115">
        <f>$E$26+($H$26-$E$26)/3*2</f>
        <v>0.95000000000000007</v>
      </c>
      <c r="H26" s="114">
        <v>0.93600000000000005</v>
      </c>
      <c r="I26" s="114">
        <v>0.96399999999999997</v>
      </c>
      <c r="J26" s="114">
        <v>1.014</v>
      </c>
      <c r="K26" s="114">
        <v>0.96699999999999997</v>
      </c>
      <c r="L26" s="114">
        <v>1.077</v>
      </c>
      <c r="M26" s="114">
        <f>0.162+0.375+0.57</f>
        <v>1.107</v>
      </c>
      <c r="N26" s="114">
        <f>0.157+0.39+0.572</f>
        <v>1.119</v>
      </c>
      <c r="O26" s="114">
        <f>0.156+0.397+0.573</f>
        <v>1.1259999999999999</v>
      </c>
      <c r="P26" s="114">
        <f>0.156+0.398+0.571</f>
        <v>1.125</v>
      </c>
      <c r="Q26" s="114">
        <v>1.133</v>
      </c>
      <c r="R26" s="114">
        <v>1.1499999999999999</v>
      </c>
      <c r="S26" s="114">
        <v>1.1579999999999999</v>
      </c>
      <c r="T26" s="114">
        <f>0.144+0.422+0.577</f>
        <v>1.1429999999999998</v>
      </c>
      <c r="U26" s="114">
        <f>0.144+0.426+0.578</f>
        <v>1.1479999999999999</v>
      </c>
      <c r="V26" s="114">
        <f>0.15+0.433+0.582</f>
        <v>1.165</v>
      </c>
      <c r="W26" s="114">
        <f>0.161+0.433+0.582</f>
        <v>1.1759999999999999</v>
      </c>
      <c r="X26" s="114">
        <f>0.159+0.451+0.576</f>
        <v>1.1859999999999999</v>
      </c>
      <c r="Y26" s="188">
        <f>0.214+0.318+0.737+0.566</f>
        <v>1.835</v>
      </c>
      <c r="Z26" s="114">
        <v>1.7420000000000002</v>
      </c>
      <c r="AA26" s="114">
        <f>0.344+0.27+0.843+0.289</f>
        <v>1.7459999999999998</v>
      </c>
      <c r="AB26" s="114">
        <f>0.239+0.866+0.263+0.344</f>
        <v>1.7119999999999997</v>
      </c>
      <c r="AC26" s="114">
        <f>0.284+0.913+0.236+0.362</f>
        <v>1.7949999999999999</v>
      </c>
      <c r="AD26" s="114">
        <f>0.353+0.22+0.971+0.408</f>
        <v>1.952</v>
      </c>
      <c r="AE26" s="114">
        <f>0.405+1.029+0.199+0.363</f>
        <v>1.996</v>
      </c>
      <c r="AF26" s="114">
        <f>0.432+1.079+0.187+0.371</f>
        <v>2.069</v>
      </c>
      <c r="AG26" s="116">
        <f>0.388+0.165+1.123+0.436</f>
        <v>2.1120000000000001</v>
      </c>
      <c r="AH26" s="170">
        <f t="shared" si="2"/>
        <v>2.0782986950217577</v>
      </c>
      <c r="AI26" s="192" t="s">
        <v>35</v>
      </c>
      <c r="AJ26" s="1" t="s">
        <v>196</v>
      </c>
      <c r="AK26" s="1" t="s">
        <v>196</v>
      </c>
      <c r="AL26" s="1" t="s">
        <v>196</v>
      </c>
      <c r="AM26" s="1" t="s">
        <v>196</v>
      </c>
    </row>
    <row r="27" spans="1:39" ht="12.75" customHeight="1">
      <c r="A27" s="5"/>
      <c r="B27" s="7" t="s">
        <v>43</v>
      </c>
      <c r="C27" s="330">
        <v>9.5</v>
      </c>
      <c r="D27" s="330">
        <v>11.2</v>
      </c>
      <c r="E27" s="93">
        <v>12.1</v>
      </c>
      <c r="F27" s="93">
        <v>12.427</v>
      </c>
      <c r="G27" s="93">
        <v>12.340999999999999</v>
      </c>
      <c r="H27" s="93">
        <v>12.525</v>
      </c>
      <c r="I27" s="93">
        <v>12</v>
      </c>
      <c r="J27" s="93">
        <v>11.635999999999999</v>
      </c>
      <c r="K27" s="93">
        <v>11.334</v>
      </c>
      <c r="L27" s="93">
        <v>10.801</v>
      </c>
      <c r="M27" s="93">
        <v>11.006</v>
      </c>
      <c r="N27" s="93">
        <v>11.21</v>
      </c>
      <c r="O27" s="93">
        <v>11.374000000000001</v>
      </c>
      <c r="P27" s="93">
        <v>11.326000000000001</v>
      </c>
      <c r="Q27" s="93">
        <v>11.382</v>
      </c>
      <c r="R27" s="93">
        <v>11.343999999999999</v>
      </c>
      <c r="S27" s="93">
        <v>11.231</v>
      </c>
      <c r="T27" s="93">
        <v>10.994999999999999</v>
      </c>
      <c r="U27" s="93">
        <v>10.845000000000001</v>
      </c>
      <c r="V27" s="93">
        <v>11.090999999999999</v>
      </c>
      <c r="W27" s="93">
        <v>11.332000000000001</v>
      </c>
      <c r="X27" s="93">
        <v>11.634</v>
      </c>
      <c r="Y27" s="93">
        <f>11.277</f>
        <v>11.276999999999999</v>
      </c>
      <c r="Z27" s="93">
        <v>10.986000000000001</v>
      </c>
      <c r="AA27" s="93">
        <f>10.464</f>
        <v>10.464</v>
      </c>
      <c r="AB27" s="93">
        <f>9.922</f>
        <v>9.9220000000000006</v>
      </c>
      <c r="AC27" s="93">
        <v>9.5969999999999995</v>
      </c>
      <c r="AD27" s="93">
        <v>9.4109999999999996</v>
      </c>
      <c r="AE27" s="93">
        <v>9.8219999999999992</v>
      </c>
      <c r="AF27" s="93">
        <v>9.9</v>
      </c>
      <c r="AG27" s="117">
        <v>9.7170000000000005</v>
      </c>
      <c r="AH27" s="171">
        <f t="shared" si="2"/>
        <v>-1.8484848484848442</v>
      </c>
      <c r="AI27" s="171" t="s">
        <v>43</v>
      </c>
      <c r="AJ27" s="1" t="s">
        <v>197</v>
      </c>
      <c r="AK27" s="1" t="s">
        <v>197</v>
      </c>
      <c r="AL27" s="1" t="s">
        <v>197</v>
      </c>
      <c r="AM27" s="1" t="s">
        <v>197</v>
      </c>
    </row>
    <row r="28" spans="1:39" ht="12.75" customHeight="1">
      <c r="A28" s="5"/>
      <c r="B28" s="107" t="s">
        <v>52</v>
      </c>
      <c r="C28" s="329">
        <v>6.8040000000000003</v>
      </c>
      <c r="D28" s="329">
        <v>8.89</v>
      </c>
      <c r="E28" s="114">
        <v>9.4019999999999992</v>
      </c>
      <c r="F28" s="114">
        <v>9.2690000000000001</v>
      </c>
      <c r="G28" s="114">
        <v>9.375</v>
      </c>
      <c r="H28" s="114">
        <v>9.4830000000000005</v>
      </c>
      <c r="I28" s="114">
        <v>9.5980000000000008</v>
      </c>
      <c r="J28" s="114">
        <v>9.7520000000000007</v>
      </c>
      <c r="K28" s="114">
        <v>9.74</v>
      </c>
      <c r="L28" s="114">
        <v>9.6999999999999993</v>
      </c>
      <c r="M28" s="114">
        <v>9.6750000000000007</v>
      </c>
      <c r="N28" s="114">
        <v>9.8339999999999996</v>
      </c>
      <c r="O28" s="114">
        <v>9.9179999999999993</v>
      </c>
      <c r="P28" s="172">
        <v>9.9019999999999992</v>
      </c>
      <c r="Q28" s="114">
        <v>9.1790000000000003</v>
      </c>
      <c r="R28" s="114">
        <v>9.2309999999999999</v>
      </c>
      <c r="S28" s="114">
        <v>9.4079999999999995</v>
      </c>
      <c r="T28" s="114">
        <v>9.3010000000000002</v>
      </c>
      <c r="U28" s="114">
        <v>9.2970000000000006</v>
      </c>
      <c r="V28" s="114">
        <v>9.2989999999999995</v>
      </c>
      <c r="W28" s="114">
        <v>9.3680000000000003</v>
      </c>
      <c r="X28" s="114">
        <v>9.5990000000000002</v>
      </c>
      <c r="Y28" s="114">
        <f>9.648</f>
        <v>9.6479999999999997</v>
      </c>
      <c r="Z28" s="114">
        <v>9.6020000000000003</v>
      </c>
      <c r="AA28" s="114">
        <v>9.5459999999999994</v>
      </c>
      <c r="AB28" s="114">
        <v>9.5790000000000006</v>
      </c>
      <c r="AC28" s="114">
        <v>9.5850000000000009</v>
      </c>
      <c r="AD28" s="114">
        <v>9.6790000000000003</v>
      </c>
      <c r="AE28" s="114">
        <v>9.8249999999999993</v>
      </c>
      <c r="AF28" s="114">
        <v>10</v>
      </c>
      <c r="AG28" s="116">
        <v>10.037000000000001</v>
      </c>
      <c r="AH28" s="170">
        <f t="shared" si="2"/>
        <v>0.37000000000000455</v>
      </c>
      <c r="AI28" s="192" t="s">
        <v>52</v>
      </c>
      <c r="AJ28" s="1" t="s">
        <v>198</v>
      </c>
      <c r="AK28" s="1" t="s">
        <v>198</v>
      </c>
      <c r="AL28" s="1" t="s">
        <v>198</v>
      </c>
      <c r="AM28" s="1" t="s">
        <v>198</v>
      </c>
    </row>
    <row r="29" spans="1:39" ht="12.75" customHeight="1">
      <c r="A29" s="5"/>
      <c r="B29" s="7" t="s">
        <v>36</v>
      </c>
      <c r="C29" s="330"/>
      <c r="D29" s="330">
        <v>66.400000000000006</v>
      </c>
      <c r="E29" s="93">
        <v>92.403000000000006</v>
      </c>
      <c r="F29" s="93">
        <v>86.950999999999993</v>
      </c>
      <c r="G29" s="93">
        <v>86.578000000000003</v>
      </c>
      <c r="H29" s="93">
        <v>86.153999999999996</v>
      </c>
      <c r="I29" s="93">
        <v>86.852000000000004</v>
      </c>
      <c r="J29" s="93">
        <v>85.412999999999997</v>
      </c>
      <c r="K29" s="93">
        <v>85.596000000000004</v>
      </c>
      <c r="L29" s="93">
        <v>81.787999999999997</v>
      </c>
      <c r="M29" s="93">
        <v>80.826999999999998</v>
      </c>
      <c r="N29" s="93">
        <v>78.957999999999998</v>
      </c>
      <c r="O29" s="93">
        <v>82.59</v>
      </c>
      <c r="P29" s="93">
        <v>82.5</v>
      </c>
      <c r="Q29" s="93">
        <v>83.388999999999996</v>
      </c>
      <c r="R29" s="93">
        <v>82.769000000000005</v>
      </c>
      <c r="S29" s="93">
        <v>82.676000000000002</v>
      </c>
      <c r="T29" s="93">
        <v>79.566999999999993</v>
      </c>
      <c r="U29" s="93">
        <v>83.495999999999995</v>
      </c>
      <c r="V29" s="93">
        <v>87.585999999999999</v>
      </c>
      <c r="W29" s="93">
        <v>92.400999999999996</v>
      </c>
      <c r="X29" s="93">
        <v>95.415000000000006</v>
      </c>
      <c r="Y29" s="93">
        <v>97.043999999999997</v>
      </c>
      <c r="Z29" s="93">
        <v>100.29900000000001</v>
      </c>
      <c r="AA29" s="93">
        <v>99.858000000000004</v>
      </c>
      <c r="AB29" s="93">
        <v>102.602</v>
      </c>
      <c r="AC29" s="93">
        <v>106.057</v>
      </c>
      <c r="AD29" s="93">
        <v>109.84399999999999</v>
      </c>
      <c r="AE29" s="93">
        <v>113.139</v>
      </c>
      <c r="AF29" s="93">
        <v>116.1</v>
      </c>
      <c r="AG29" s="117">
        <v>119</v>
      </c>
      <c r="AH29" s="171">
        <f t="shared" si="2"/>
        <v>2.4978466838931865</v>
      </c>
      <c r="AI29" s="171" t="s">
        <v>36</v>
      </c>
      <c r="AJ29" s="1" t="s">
        <v>220</v>
      </c>
      <c r="AK29" s="1" t="s">
        <v>220</v>
      </c>
      <c r="AL29" s="1" t="s">
        <v>220</v>
      </c>
      <c r="AM29" s="1" t="s">
        <v>220</v>
      </c>
    </row>
    <row r="30" spans="1:39" ht="12.75" customHeight="1">
      <c r="A30" s="5"/>
      <c r="B30" s="107" t="s">
        <v>53</v>
      </c>
      <c r="C30" s="329">
        <v>5.8730000000000002</v>
      </c>
      <c r="D30" s="329">
        <v>8.4890000000000008</v>
      </c>
      <c r="E30" s="114">
        <v>12.099</v>
      </c>
      <c r="F30" s="114">
        <v>12.348000000000001</v>
      </c>
      <c r="G30" s="114">
        <v>12.961</v>
      </c>
      <c r="H30" s="114">
        <v>13.554</v>
      </c>
      <c r="I30" s="114">
        <v>14.353</v>
      </c>
      <c r="J30" s="114">
        <v>15.02</v>
      </c>
      <c r="K30" s="114">
        <v>15.680999999999999</v>
      </c>
      <c r="L30" s="114">
        <v>16.431000000000001</v>
      </c>
      <c r="M30" s="114">
        <v>17.513000000000002</v>
      </c>
      <c r="N30" s="114">
        <v>18.544</v>
      </c>
      <c r="O30" s="172">
        <v>19.78</v>
      </c>
      <c r="P30" s="114">
        <v>20.76</v>
      </c>
      <c r="Q30" s="114">
        <v>21.387</v>
      </c>
      <c r="R30" s="114">
        <v>21.652999999999999</v>
      </c>
      <c r="S30" s="193">
        <v>21.8</v>
      </c>
      <c r="T30" s="114">
        <v>14.673999999999999</v>
      </c>
      <c r="U30" s="114">
        <v>15</v>
      </c>
      <c r="V30" s="114">
        <v>15.1</v>
      </c>
      <c r="W30" s="114">
        <v>15.4</v>
      </c>
      <c r="X30" s="114">
        <f>15.5</f>
        <v>15.5</v>
      </c>
      <c r="Y30" s="188">
        <v>15.425000000000001</v>
      </c>
      <c r="Z30" s="114">
        <v>15.180999999999999</v>
      </c>
      <c r="AA30" s="114">
        <v>12.356999999999999</v>
      </c>
      <c r="AB30" s="114">
        <v>12.111000000000001</v>
      </c>
      <c r="AC30" s="114">
        <v>14.941000000000001</v>
      </c>
      <c r="AD30" s="114">
        <v>14.717000000000001</v>
      </c>
      <c r="AE30" s="114">
        <v>14.85</v>
      </c>
      <c r="AF30" s="114">
        <v>15.2</v>
      </c>
      <c r="AG30" s="116">
        <v>15.493</v>
      </c>
      <c r="AH30" s="170">
        <f t="shared" si="2"/>
        <v>1.9276315789473699</v>
      </c>
      <c r="AI30" s="192" t="s">
        <v>53</v>
      </c>
      <c r="AJ30" s="1" t="s">
        <v>221</v>
      </c>
      <c r="AK30" s="1" t="s">
        <v>221</v>
      </c>
      <c r="AL30" s="1" t="s">
        <v>199</v>
      </c>
      <c r="AM30" s="1" t="s">
        <v>199</v>
      </c>
    </row>
    <row r="31" spans="1:39" ht="12.75" customHeight="1">
      <c r="A31" s="5"/>
      <c r="B31" s="7" t="s">
        <v>37</v>
      </c>
      <c r="C31" s="330"/>
      <c r="D31" s="330">
        <v>25</v>
      </c>
      <c r="E31" s="93">
        <f>24.297+3.975</f>
        <v>28.272000000000002</v>
      </c>
      <c r="F31" s="93">
        <f>25.199+5.956</f>
        <v>31.155000000000001</v>
      </c>
      <c r="G31" s="93">
        <f>26.847+8.232</f>
        <v>35.079000000000001</v>
      </c>
      <c r="H31" s="93">
        <f>28.085+9.646</f>
        <v>37.731000000000002</v>
      </c>
      <c r="I31" s="93">
        <f>28.862+11.155</f>
        <v>40.016999999999996</v>
      </c>
      <c r="J31" s="93">
        <f>30.365+11.682</f>
        <v>42.046999999999997</v>
      </c>
      <c r="K31" s="93">
        <f>27.372+12.143</f>
        <v>39.515000000000001</v>
      </c>
      <c r="L31" s="93">
        <f>27.426+12.532</f>
        <v>39.957999999999998</v>
      </c>
      <c r="M31" s="93">
        <f>27.399+12.986</f>
        <v>40.385000000000005</v>
      </c>
      <c r="N31" s="93">
        <f>27.317+13.305</f>
        <v>40.622</v>
      </c>
      <c r="O31" s="93">
        <f>27.181+13.535</f>
        <v>40.716000000000001</v>
      </c>
      <c r="P31" s="93">
        <f>26.965+13.826</f>
        <v>40.790999999999997</v>
      </c>
      <c r="Q31" s="93">
        <f>26.672+14.108</f>
        <v>40.78</v>
      </c>
      <c r="R31" s="93">
        <f>25.829+16.118</f>
        <v>41.947000000000003</v>
      </c>
      <c r="S31" s="93">
        <f>25.421+17.771</f>
        <v>43.192</v>
      </c>
      <c r="T31" s="93">
        <f>21.976+17.297</f>
        <v>39.272999999999996</v>
      </c>
      <c r="U31" s="173">
        <f>22.663+17.755</f>
        <v>40.417999999999999</v>
      </c>
      <c r="V31" s="93">
        <f>17.151+17.051</f>
        <v>34.201999999999998</v>
      </c>
      <c r="W31" s="93">
        <v>41.514000000000003</v>
      </c>
      <c r="X31" s="93">
        <f>41.16</f>
        <v>41.16</v>
      </c>
      <c r="Y31" s="93">
        <v>40.877000000000002</v>
      </c>
      <c r="Z31" s="93">
        <v>40.887</v>
      </c>
      <c r="AA31" s="93">
        <v>42.01</v>
      </c>
      <c r="AB31" s="93">
        <v>42.835999999999999</v>
      </c>
      <c r="AC31" s="93">
        <v>44.283000000000001</v>
      </c>
      <c r="AD31" s="93">
        <v>47.347000000000001</v>
      </c>
      <c r="AE31" s="93">
        <v>48.802999999999997</v>
      </c>
      <c r="AF31" s="93">
        <v>50.3</v>
      </c>
      <c r="AG31" s="117">
        <v>51.802</v>
      </c>
      <c r="AH31" s="171">
        <f t="shared" si="2"/>
        <v>2.9860834990059715</v>
      </c>
      <c r="AI31" s="171" t="s">
        <v>37</v>
      </c>
      <c r="AJ31" s="1" t="s">
        <v>222</v>
      </c>
      <c r="AK31" s="1" t="s">
        <v>222</v>
      </c>
      <c r="AL31" s="133" t="s">
        <v>134</v>
      </c>
      <c r="AM31" s="3" t="s">
        <v>200</v>
      </c>
    </row>
    <row r="32" spans="1:39" ht="12.75" customHeight="1">
      <c r="A32" s="5"/>
      <c r="B32" s="107" t="s">
        <v>39</v>
      </c>
      <c r="C32" s="329">
        <v>1.6639999999999999</v>
      </c>
      <c r="D32" s="329">
        <v>2.5049999999999999</v>
      </c>
      <c r="E32" s="114">
        <v>3.077</v>
      </c>
      <c r="F32" s="114">
        <v>2.855</v>
      </c>
      <c r="G32" s="114">
        <v>2.67</v>
      </c>
      <c r="H32" s="114">
        <v>2.597</v>
      </c>
      <c r="I32" s="114">
        <v>2.512</v>
      </c>
      <c r="J32" s="114">
        <v>2.4729999999999999</v>
      </c>
      <c r="K32" s="114">
        <v>2.407</v>
      </c>
      <c r="L32" s="114">
        <v>2.3690000000000002</v>
      </c>
      <c r="M32" s="114">
        <v>2.3250000000000002</v>
      </c>
      <c r="N32" s="114">
        <v>2.3149999999999999</v>
      </c>
      <c r="O32" s="114">
        <v>2.2549999999999999</v>
      </c>
      <c r="P32" s="114">
        <v>2.2130000000000001</v>
      </c>
      <c r="Q32" s="114">
        <v>2.1960000000000002</v>
      </c>
      <c r="R32" s="114">
        <v>2.19</v>
      </c>
      <c r="S32" s="114">
        <v>2.2690000000000001</v>
      </c>
      <c r="T32" s="114">
        <v>2.2549999999999999</v>
      </c>
      <c r="U32" s="114">
        <v>2.2770000000000001</v>
      </c>
      <c r="V32" s="114">
        <v>2.33</v>
      </c>
      <c r="W32" s="114">
        <v>2.3780000000000001</v>
      </c>
      <c r="X32" s="114">
        <v>2.3940000000000001</v>
      </c>
      <c r="Y32" s="114">
        <f>2.4</f>
        <v>2.4</v>
      </c>
      <c r="Z32" s="114">
        <v>2.4220000000000002</v>
      </c>
      <c r="AA32" s="114">
        <v>2.41</v>
      </c>
      <c r="AB32" s="114">
        <f>2.465</f>
        <v>2.4649999999999999</v>
      </c>
      <c r="AC32" s="114">
        <v>2.5590000000000002</v>
      </c>
      <c r="AD32" s="114">
        <v>2.6309999999999998</v>
      </c>
      <c r="AE32" s="114">
        <v>2.6789999999999998</v>
      </c>
      <c r="AF32" s="114">
        <v>2.782</v>
      </c>
      <c r="AG32" s="116">
        <v>2.8340000000000001</v>
      </c>
      <c r="AH32" s="170">
        <f t="shared" si="2"/>
        <v>1.8691588785046775</v>
      </c>
      <c r="AI32" s="192" t="s">
        <v>39</v>
      </c>
      <c r="AJ32" s="133" t="s">
        <v>134</v>
      </c>
      <c r="AK32" s="133" t="s">
        <v>134</v>
      </c>
      <c r="AL32" s="133" t="s">
        <v>134</v>
      </c>
      <c r="AM32" s="1" t="s">
        <v>200</v>
      </c>
    </row>
    <row r="33" spans="1:39" ht="12.75" customHeight="1">
      <c r="A33" s="5"/>
      <c r="B33" s="7" t="s">
        <v>38</v>
      </c>
      <c r="C33" s="330"/>
      <c r="D33" s="330">
        <v>10</v>
      </c>
      <c r="E33" s="93">
        <v>14.301</v>
      </c>
      <c r="F33" s="93">
        <v>13.77</v>
      </c>
      <c r="G33" s="93">
        <v>13.337999999999999</v>
      </c>
      <c r="H33" s="93">
        <v>12.654999999999999</v>
      </c>
      <c r="I33" s="93">
        <v>12.066000000000001</v>
      </c>
      <c r="J33" s="93">
        <v>11.811999999999999</v>
      </c>
      <c r="K33" s="93">
        <v>11.321</v>
      </c>
      <c r="L33" s="93">
        <v>11.234999999999999</v>
      </c>
      <c r="M33" s="93">
        <v>11.292999999999999</v>
      </c>
      <c r="N33" s="93">
        <v>11.101000000000001</v>
      </c>
      <c r="O33" s="93">
        <v>10.92</v>
      </c>
      <c r="P33" s="93">
        <v>10.648999999999999</v>
      </c>
      <c r="Q33" s="93">
        <v>10.589</v>
      </c>
      <c r="R33" s="93">
        <v>10.568</v>
      </c>
      <c r="S33" s="93">
        <v>8.9209999999999994</v>
      </c>
      <c r="T33" s="93">
        <v>9.1129999999999995</v>
      </c>
      <c r="U33" s="93">
        <v>8.782</v>
      </c>
      <c r="V33" s="93">
        <v>10.48</v>
      </c>
      <c r="W33" s="93">
        <v>10.537000000000001</v>
      </c>
      <c r="X33" s="191">
        <f>9.4</f>
        <v>9.4</v>
      </c>
      <c r="Y33" s="191">
        <f>9.35</f>
        <v>9.35</v>
      </c>
      <c r="Z33" s="191">
        <v>9.0739999999999998</v>
      </c>
      <c r="AA33" s="191">
        <v>8.9570000000000007</v>
      </c>
      <c r="AB33" s="191">
        <f>8.821</f>
        <v>8.8209999999999997</v>
      </c>
      <c r="AC33" s="191">
        <v>9.1590000000000007</v>
      </c>
      <c r="AD33" s="191">
        <v>9.27</v>
      </c>
      <c r="AE33" s="191">
        <v>9.0909999999999993</v>
      </c>
      <c r="AF33" s="191">
        <v>9.2409999999999997</v>
      </c>
      <c r="AG33" s="217">
        <v>9.0660000000000007</v>
      </c>
      <c r="AH33" s="171">
        <f t="shared" si="2"/>
        <v>-1.8937344443241955</v>
      </c>
      <c r="AI33" s="171" t="s">
        <v>38</v>
      </c>
      <c r="AJ33" s="133" t="s">
        <v>134</v>
      </c>
      <c r="AK33" s="133" t="s">
        <v>134</v>
      </c>
      <c r="AL33" s="133" t="s">
        <v>134</v>
      </c>
      <c r="AM33" s="1" t="s">
        <v>200</v>
      </c>
    </row>
    <row r="34" spans="1:39" ht="12.75" customHeight="1">
      <c r="A34" s="5"/>
      <c r="B34" s="107" t="s">
        <v>54</v>
      </c>
      <c r="C34" s="329">
        <v>8.1159999999999997</v>
      </c>
      <c r="D34" s="329">
        <v>8.9629999999999992</v>
      </c>
      <c r="E34" s="114">
        <v>9.327</v>
      </c>
      <c r="F34" s="114">
        <v>8.968</v>
      </c>
      <c r="G34" s="114">
        <v>8.6649999999999991</v>
      </c>
      <c r="H34" s="114">
        <v>8.2550000000000008</v>
      </c>
      <c r="I34" s="114">
        <v>8.0540000000000003</v>
      </c>
      <c r="J34" s="114">
        <v>8.0830000000000002</v>
      </c>
      <c r="K34" s="114">
        <v>8.2330000000000005</v>
      </c>
      <c r="L34" s="114">
        <v>8.4499999999999993</v>
      </c>
      <c r="M34" s="114">
        <v>9.0399999999999991</v>
      </c>
      <c r="N34" s="114">
        <v>9.4870000000000001</v>
      </c>
      <c r="O34" s="114">
        <v>9.8520000000000003</v>
      </c>
      <c r="P34" s="114">
        <v>9.7690000000000001</v>
      </c>
      <c r="Q34" s="114">
        <v>10.005000000000001</v>
      </c>
      <c r="R34" s="114">
        <v>10.358000000000001</v>
      </c>
      <c r="S34" s="114">
        <v>10.715999999999999</v>
      </c>
      <c r="T34" s="114">
        <v>10.920999999999999</v>
      </c>
      <c r="U34" s="114">
        <v>11.189</v>
      </c>
      <c r="V34" s="114">
        <v>11.542999999999999</v>
      </c>
      <c r="W34" s="114">
        <v>12.276</v>
      </c>
      <c r="X34" s="114">
        <f>13.017</f>
        <v>13.016999999999999</v>
      </c>
      <c r="Y34" s="114">
        <f>13.65</f>
        <v>13.65</v>
      </c>
      <c r="Z34" s="114">
        <v>14.226000000000001</v>
      </c>
      <c r="AA34" s="114">
        <v>14.93</v>
      </c>
      <c r="AB34" s="114">
        <f>15.536</f>
        <v>15.536</v>
      </c>
      <c r="AC34" s="114">
        <v>16.251000000000001</v>
      </c>
      <c r="AD34" s="114">
        <v>16.856000000000002</v>
      </c>
      <c r="AE34" s="114">
        <v>17.536000000000001</v>
      </c>
      <c r="AF34" s="114">
        <v>18.100000000000001</v>
      </c>
      <c r="AG34" s="116">
        <v>18.518999999999998</v>
      </c>
      <c r="AH34" s="170">
        <f t="shared" si="2"/>
        <v>2.3149171270718085</v>
      </c>
      <c r="AI34" s="192" t="s">
        <v>54</v>
      </c>
      <c r="AJ34" s="1" t="s">
        <v>223</v>
      </c>
      <c r="AK34" s="1" t="s">
        <v>223</v>
      </c>
      <c r="AL34" s="3" t="s">
        <v>224</v>
      </c>
      <c r="AM34" s="3" t="s">
        <v>225</v>
      </c>
    </row>
    <row r="35" spans="1:39" ht="12.75" customHeight="1">
      <c r="A35" s="5"/>
      <c r="B35" s="7" t="s">
        <v>55</v>
      </c>
      <c r="C35" s="330">
        <v>14.253</v>
      </c>
      <c r="D35" s="330">
        <v>12.795999999999999</v>
      </c>
      <c r="E35" s="93">
        <v>14.595000000000001</v>
      </c>
      <c r="F35" s="93">
        <v>14.555</v>
      </c>
      <c r="G35" s="93">
        <v>14.252000000000001</v>
      </c>
      <c r="H35" s="93">
        <v>14.127000000000001</v>
      </c>
      <c r="I35" s="93">
        <v>14.292999999999999</v>
      </c>
      <c r="J35" s="93">
        <v>14.577</v>
      </c>
      <c r="K35" s="93">
        <v>14.753</v>
      </c>
      <c r="L35" s="93">
        <v>14.837999999999999</v>
      </c>
      <c r="M35" s="93">
        <v>14.923999999999999</v>
      </c>
      <c r="N35" s="93">
        <v>14.869</v>
      </c>
      <c r="O35" s="93">
        <v>14.417</v>
      </c>
      <c r="P35" s="93">
        <v>14.246</v>
      </c>
      <c r="Q35" s="93">
        <v>14.013</v>
      </c>
      <c r="R35" s="93">
        <v>13.742000000000001</v>
      </c>
      <c r="S35" s="93">
        <v>13.363</v>
      </c>
      <c r="T35" s="93">
        <v>13.477</v>
      </c>
      <c r="U35" s="93">
        <v>13.643000000000001</v>
      </c>
      <c r="V35" s="93">
        <v>13.315</v>
      </c>
      <c r="W35" s="93">
        <v>13.474</v>
      </c>
      <c r="X35" s="93">
        <f>13.407</f>
        <v>13.407</v>
      </c>
      <c r="Y35" s="93">
        <v>13.872999999999999</v>
      </c>
      <c r="Z35" s="93">
        <v>13.946999999999999</v>
      </c>
      <c r="AA35" s="93">
        <v>14.202999999999999</v>
      </c>
      <c r="AB35" s="93">
        <v>13.986000000000001</v>
      </c>
      <c r="AC35" s="93">
        <v>13.992000000000001</v>
      </c>
      <c r="AD35" s="93">
        <v>14.114000000000001</v>
      </c>
      <c r="AE35" s="93">
        <v>13.89</v>
      </c>
      <c r="AF35" s="93">
        <v>14.4</v>
      </c>
      <c r="AG35" s="117">
        <v>14.378</v>
      </c>
      <c r="AH35" s="174">
        <f t="shared" si="2"/>
        <v>-0.15277777777778567</v>
      </c>
      <c r="AI35" s="171" t="s">
        <v>55</v>
      </c>
      <c r="AJ35" s="1" t="s">
        <v>226</v>
      </c>
      <c r="AK35" s="1" t="s">
        <v>226</v>
      </c>
      <c r="AL35" s="1" t="s">
        <v>226</v>
      </c>
      <c r="AM35" s="1" t="s">
        <v>226</v>
      </c>
    </row>
    <row r="36" spans="1:39" ht="12.75" customHeight="1">
      <c r="A36" s="5"/>
      <c r="B36" s="344" t="s">
        <v>44</v>
      </c>
      <c r="C36" s="371">
        <v>84.2</v>
      </c>
      <c r="D36" s="371">
        <v>83.3</v>
      </c>
      <c r="E36" s="372">
        <v>75</v>
      </c>
      <c r="F36" s="372">
        <v>75.5</v>
      </c>
      <c r="G36" s="372">
        <v>76</v>
      </c>
      <c r="H36" s="373">
        <v>76.5</v>
      </c>
      <c r="I36" s="374">
        <f>74.5+2</f>
        <v>76.5</v>
      </c>
      <c r="J36" s="374">
        <f>73.8+2.1</f>
        <v>75.899999999999991</v>
      </c>
      <c r="K36" s="374">
        <f>76.6+2.1</f>
        <v>78.699999999999989</v>
      </c>
      <c r="L36" s="374">
        <f>78.6+2.1</f>
        <v>80.699999999999989</v>
      </c>
      <c r="M36" s="374">
        <f>80.1+2.2</f>
        <v>82.3</v>
      </c>
      <c r="N36" s="374">
        <f>83.6+2.2</f>
        <v>85.8</v>
      </c>
      <c r="O36" s="374">
        <f>86.3+2.3</f>
        <v>88.6</v>
      </c>
      <c r="P36" s="374">
        <f>88.5+2.3</f>
        <v>90.8</v>
      </c>
      <c r="Q36" s="374">
        <f>92.3+2.3</f>
        <v>94.6</v>
      </c>
      <c r="R36" s="374">
        <f>96.1+2.4</f>
        <v>98.5</v>
      </c>
      <c r="S36" s="374">
        <f>99.8+2.4</f>
        <v>102.2</v>
      </c>
      <c r="T36" s="374">
        <f>103+2.6</f>
        <v>105.6</v>
      </c>
      <c r="U36" s="374">
        <f>103.9+2.7</f>
        <v>106.60000000000001</v>
      </c>
      <c r="V36" s="374">
        <f>106.3+2.9</f>
        <v>109.2</v>
      </c>
      <c r="W36" s="374">
        <f>107.9+3</f>
        <v>110.9</v>
      </c>
      <c r="X36" s="374">
        <f>108.5+2.987</f>
        <v>111.48699999999999</v>
      </c>
      <c r="Y36" s="374">
        <f>108.5+3.035</f>
        <v>111.535</v>
      </c>
      <c r="Z36" s="374">
        <v>110.221</v>
      </c>
      <c r="AA36" s="374">
        <f>108+3.094</f>
        <v>111.09399999999999</v>
      </c>
      <c r="AB36" s="374">
        <f>108.3+3.315</f>
        <v>111.61499999999999</v>
      </c>
      <c r="AC36" s="374">
        <v>112.17100000000001</v>
      </c>
      <c r="AD36" s="374">
        <v>113.34</v>
      </c>
      <c r="AE36" s="374">
        <v>113.90900000000001</v>
      </c>
      <c r="AF36" s="374">
        <v>113.2</v>
      </c>
      <c r="AG36" s="375">
        <v>112.1</v>
      </c>
      <c r="AH36" s="347">
        <f t="shared" si="2"/>
        <v>-0.97173144876325068</v>
      </c>
      <c r="AI36" s="369" t="s">
        <v>44</v>
      </c>
      <c r="AJ36" s="10" t="s">
        <v>242</v>
      </c>
      <c r="AK36" s="58"/>
      <c r="AL36" s="58" t="s">
        <v>227</v>
      </c>
      <c r="AM36" s="58" t="s">
        <v>228</v>
      </c>
    </row>
    <row r="37" spans="1:39" ht="12.75" customHeight="1">
      <c r="A37" s="5"/>
      <c r="B37" s="7" t="s">
        <v>144</v>
      </c>
      <c r="C37" s="111"/>
      <c r="D37" s="111"/>
      <c r="E37" s="190"/>
      <c r="F37" s="190"/>
      <c r="G37" s="190"/>
      <c r="H37" s="190">
        <v>7.5819999999999999</v>
      </c>
      <c r="I37" s="93">
        <v>8.1489999999999991</v>
      </c>
      <c r="J37" s="93">
        <v>6.6509999999999998</v>
      </c>
      <c r="K37" s="93">
        <v>7.6120000000000001</v>
      </c>
      <c r="L37" s="93">
        <v>8.7469999999999999</v>
      </c>
      <c r="M37" s="93">
        <v>9.2270000000000003</v>
      </c>
      <c r="N37" s="93">
        <v>12.305999999999999</v>
      </c>
      <c r="O37" s="93">
        <v>16.806000000000001</v>
      </c>
      <c r="P37" s="93">
        <v>20.812999999999999</v>
      </c>
      <c r="Q37" s="93">
        <v>21.026</v>
      </c>
      <c r="R37" s="93">
        <v>21.693000000000001</v>
      </c>
      <c r="S37" s="93">
        <v>25.065999999999999</v>
      </c>
      <c r="T37" s="93">
        <v>29.452999999999999</v>
      </c>
      <c r="U37" s="93">
        <v>35.972999999999999</v>
      </c>
      <c r="V37" s="93">
        <v>29.506</v>
      </c>
      <c r="W37" s="222">
        <v>6.6449999999999996</v>
      </c>
      <c r="X37" s="93">
        <v>6.5940000000000003</v>
      </c>
      <c r="Y37" s="93">
        <v>7.032</v>
      </c>
      <c r="Z37" s="93">
        <v>6.6980000000000004</v>
      </c>
      <c r="AA37" s="93">
        <v>5.25</v>
      </c>
      <c r="AB37" s="93">
        <v>5.6760000000000002</v>
      </c>
      <c r="AC37" s="93">
        <v>6.048</v>
      </c>
      <c r="AD37" s="93">
        <v>6.423</v>
      </c>
      <c r="AE37" s="93">
        <v>7.05</v>
      </c>
      <c r="AF37" s="93">
        <v>6.7610000000000001</v>
      </c>
      <c r="AG37" s="117">
        <v>7.1459999999999999</v>
      </c>
      <c r="AH37" s="171">
        <f t="shared" si="2"/>
        <v>5.6944239017896621</v>
      </c>
      <c r="AI37" s="171" t="s">
        <v>144</v>
      </c>
      <c r="AJ37" s="10" t="s">
        <v>251</v>
      </c>
      <c r="AK37" s="1" t="s">
        <v>201</v>
      </c>
      <c r="AL37" s="1" t="s">
        <v>202</v>
      </c>
      <c r="AM37" s="1" t="s">
        <v>202</v>
      </c>
    </row>
    <row r="38" spans="1:39" ht="12.75" customHeight="1">
      <c r="A38" s="5"/>
      <c r="B38" s="107" t="s">
        <v>139</v>
      </c>
      <c r="C38" s="112"/>
      <c r="D38" s="112"/>
      <c r="E38" s="114"/>
      <c r="F38" s="114"/>
      <c r="G38" s="114"/>
      <c r="H38" s="114"/>
      <c r="I38" s="114"/>
      <c r="J38" s="114"/>
      <c r="K38" s="114"/>
      <c r="L38" s="114"/>
      <c r="M38" s="114"/>
      <c r="N38" s="114"/>
      <c r="O38" s="114"/>
      <c r="P38" s="114"/>
      <c r="Q38" s="114"/>
      <c r="R38" s="114"/>
      <c r="S38" s="114"/>
      <c r="T38" s="114"/>
      <c r="U38" s="114"/>
      <c r="V38" s="114"/>
      <c r="W38" s="114"/>
      <c r="X38" s="114"/>
      <c r="Y38" s="114"/>
      <c r="Z38" s="114">
        <v>1.2170000000000001</v>
      </c>
      <c r="AA38" s="114">
        <v>1.1990000000000001</v>
      </c>
      <c r="AB38" s="114">
        <v>1.246</v>
      </c>
      <c r="AC38" s="114">
        <v>1.2470000000000001</v>
      </c>
      <c r="AD38" s="114">
        <v>1.2609999999999999</v>
      </c>
      <c r="AE38" s="114">
        <v>1.3080000000000001</v>
      </c>
      <c r="AF38" s="114">
        <v>1.37</v>
      </c>
      <c r="AG38" s="116">
        <v>1.4590000000000001</v>
      </c>
      <c r="AH38" s="170">
        <f t="shared" si="2"/>
        <v>6.4963503649635044</v>
      </c>
      <c r="AI38" s="192" t="s">
        <v>139</v>
      </c>
      <c r="AJ38" s="10" t="s">
        <v>203</v>
      </c>
      <c r="AK38" s="1" t="s">
        <v>203</v>
      </c>
      <c r="AL38" s="3" t="s">
        <v>204</v>
      </c>
      <c r="AM38" s="3" t="s">
        <v>204</v>
      </c>
    </row>
    <row r="39" spans="1:39" ht="12.75" customHeight="1">
      <c r="A39" s="5"/>
      <c r="B39" s="7" t="s">
        <v>0</v>
      </c>
      <c r="C39" s="111"/>
      <c r="D39" s="111"/>
      <c r="E39" s="93">
        <v>2.3199999999999998</v>
      </c>
      <c r="F39" s="93">
        <v>2.5760000000000001</v>
      </c>
      <c r="G39" s="93">
        <v>2.8279999999999998</v>
      </c>
      <c r="H39" s="93">
        <v>2.9209999999999998</v>
      </c>
      <c r="I39" s="93">
        <v>2.4529999999999998</v>
      </c>
      <c r="J39" s="93">
        <v>2.5409999999999999</v>
      </c>
      <c r="K39" s="93">
        <v>2.4420000000000002</v>
      </c>
      <c r="L39" s="93">
        <v>2.4300000000000002</v>
      </c>
      <c r="M39" s="93">
        <v>2.4780000000000002</v>
      </c>
      <c r="N39" s="93">
        <v>2.4790000000000001</v>
      </c>
      <c r="O39" s="93">
        <v>2.4980000000000002</v>
      </c>
      <c r="P39" s="93">
        <v>2.62</v>
      </c>
      <c r="Q39" s="93">
        <v>2.4969999999999999</v>
      </c>
      <c r="R39" s="93">
        <v>2.4780000000000002</v>
      </c>
      <c r="S39" s="93">
        <v>2.1760000000000002</v>
      </c>
      <c r="T39" s="93">
        <v>2.2690000000000001</v>
      </c>
      <c r="U39" s="93">
        <v>2.2200000000000002</v>
      </c>
      <c r="V39" s="93">
        <f>2.284</f>
        <v>2.2839999999999998</v>
      </c>
      <c r="W39" s="93">
        <f>2.27</f>
        <v>2.27</v>
      </c>
      <c r="X39" s="93">
        <f>2.454</f>
        <v>2.4540000000000002</v>
      </c>
      <c r="Y39" s="93">
        <f>2.695</f>
        <v>2.6949999999999998</v>
      </c>
      <c r="Z39" s="93">
        <v>2.6360000000000001</v>
      </c>
      <c r="AA39" s="93">
        <v>2.7189999999999999</v>
      </c>
      <c r="AB39" s="93">
        <v>3.0219999999999998</v>
      </c>
      <c r="AC39" s="93">
        <v>3.1640000000000001</v>
      </c>
      <c r="AD39" s="93">
        <v>3.2429999999999999</v>
      </c>
      <c r="AE39" s="93">
        <v>3.23</v>
      </c>
      <c r="AF39" s="93">
        <v>3.1880000000000002</v>
      </c>
      <c r="AG39" s="117">
        <v>3.2010000000000001</v>
      </c>
      <c r="AH39" s="171">
        <f t="shared" si="2"/>
        <v>0.40777917189460311</v>
      </c>
      <c r="AI39" s="171" t="s">
        <v>0</v>
      </c>
      <c r="AJ39" s="10" t="s">
        <v>243</v>
      </c>
      <c r="AK39" s="133" t="s">
        <v>134</v>
      </c>
      <c r="AL39" s="1" t="s">
        <v>229</v>
      </c>
      <c r="AM39" s="1" t="s">
        <v>205</v>
      </c>
    </row>
    <row r="40" spans="1:39" ht="12.75" customHeight="1">
      <c r="A40" s="5"/>
      <c r="B40" s="107" t="s">
        <v>138</v>
      </c>
      <c r="C40" s="112"/>
      <c r="D40" s="112"/>
      <c r="E40" s="114"/>
      <c r="F40" s="114"/>
      <c r="G40" s="114"/>
      <c r="H40" s="114"/>
      <c r="I40" s="114"/>
      <c r="J40" s="114"/>
      <c r="K40" s="114"/>
      <c r="L40" s="114"/>
      <c r="M40" s="114"/>
      <c r="N40" s="114"/>
      <c r="O40" s="114"/>
      <c r="P40" s="114">
        <v>9.2870000000000008</v>
      </c>
      <c r="Q40" s="114">
        <v>8.9109999999999996</v>
      </c>
      <c r="R40" s="114">
        <v>9.1440000000000001</v>
      </c>
      <c r="S40" s="114">
        <v>9.125</v>
      </c>
      <c r="T40" s="114">
        <v>9.6959999999999997</v>
      </c>
      <c r="U40" s="114">
        <v>9.3119999999999994</v>
      </c>
      <c r="V40" s="114">
        <v>8.8870000000000005</v>
      </c>
      <c r="W40" s="114">
        <v>8.5570000000000004</v>
      </c>
      <c r="X40" s="114">
        <v>8.8529999999999998</v>
      </c>
      <c r="Y40" s="114">
        <v>8.0340000000000007</v>
      </c>
      <c r="Z40" s="114">
        <v>8.8049999999999997</v>
      </c>
      <c r="AA40" s="114">
        <v>8.8339999999999996</v>
      </c>
      <c r="AB40" s="114">
        <v>9.0190000000000001</v>
      </c>
      <c r="AC40" s="114">
        <v>9.0440000000000005</v>
      </c>
      <c r="AD40" s="114">
        <v>9.4819999999999993</v>
      </c>
      <c r="AE40" s="114">
        <v>9.6259999999999994</v>
      </c>
      <c r="AF40" s="114">
        <v>9.9</v>
      </c>
      <c r="AG40" s="116">
        <v>9.8800000000000008</v>
      </c>
      <c r="AH40" s="170">
        <f t="shared" si="2"/>
        <v>-0.20202020202019355</v>
      </c>
      <c r="AI40" s="192" t="s">
        <v>138</v>
      </c>
      <c r="AJ40" s="1" t="s">
        <v>206</v>
      </c>
      <c r="AK40" s="1" t="s">
        <v>206</v>
      </c>
      <c r="AL40" s="1" t="s">
        <v>206</v>
      </c>
      <c r="AM40" s="1" t="s">
        <v>206</v>
      </c>
    </row>
    <row r="41" spans="1:39" ht="12.75" customHeight="1">
      <c r="A41" s="5"/>
      <c r="B41" s="8" t="s">
        <v>40</v>
      </c>
      <c r="C41" s="113"/>
      <c r="D41" s="113"/>
      <c r="E41" s="94">
        <v>188.09899999999999</v>
      </c>
      <c r="F41" s="94">
        <v>202.60499999999999</v>
      </c>
      <c r="G41" s="94">
        <v>220.904</v>
      </c>
      <c r="H41" s="94">
        <v>244.154</v>
      </c>
      <c r="I41" s="94">
        <v>253.96899999999999</v>
      </c>
      <c r="J41" s="94">
        <v>263.24799999999999</v>
      </c>
      <c r="K41" s="94">
        <v>277.67200000000003</v>
      </c>
      <c r="L41" s="94">
        <v>298.95299999999997</v>
      </c>
      <c r="M41" s="94">
        <v>319.85599999999999</v>
      </c>
      <c r="N41" s="94">
        <v>333.86900000000003</v>
      </c>
      <c r="O41" s="94">
        <v>354.339</v>
      </c>
      <c r="P41" s="94">
        <v>358.68700000000001</v>
      </c>
      <c r="Q41" s="94">
        <v>361.79700000000003</v>
      </c>
      <c r="R41" s="94">
        <f>245.394+123.5</f>
        <v>368.89400000000001</v>
      </c>
      <c r="S41" s="94">
        <f>318.954+152.712</f>
        <v>471.666</v>
      </c>
      <c r="T41" s="94">
        <f>338.539+163.39</f>
        <v>501.92899999999997</v>
      </c>
      <c r="U41" s="94">
        <f>357.523+175.949</f>
        <v>533.47199999999998</v>
      </c>
      <c r="V41" s="94">
        <f>372.601+189.128</f>
        <v>561.72900000000004</v>
      </c>
      <c r="W41" s="94">
        <f>383.548+199.934</f>
        <v>583.48199999999997</v>
      </c>
      <c r="X41" s="94">
        <f>384.053+201.033</f>
        <v>585.08600000000001</v>
      </c>
      <c r="Y41" s="94">
        <f>386.973+208.51</f>
        <v>595.48299999999995</v>
      </c>
      <c r="Z41" s="94">
        <v>609.34100000000001</v>
      </c>
      <c r="AA41" s="94">
        <f>396.119+235.949</f>
        <v>632.06799999999998</v>
      </c>
      <c r="AB41" s="94">
        <f>421.848+219.885</f>
        <v>641.73299999999995</v>
      </c>
      <c r="AC41" s="94">
        <v>638.46400000000006</v>
      </c>
      <c r="AD41" s="94">
        <v>666.26900000000001</v>
      </c>
      <c r="AE41" s="94">
        <v>684.29399999999998</v>
      </c>
      <c r="AF41" s="94">
        <v>700.5</v>
      </c>
      <c r="AG41" s="125">
        <v>706.05</v>
      </c>
      <c r="AH41" s="174">
        <f t="shared" si="2"/>
        <v>0.79229122055673429</v>
      </c>
      <c r="AI41" s="174" t="s">
        <v>40</v>
      </c>
      <c r="AJ41" s="133" t="s">
        <v>134</v>
      </c>
      <c r="AK41" s="133" t="s">
        <v>134</v>
      </c>
      <c r="AL41" s="1" t="s">
        <v>134</v>
      </c>
      <c r="AM41" s="1" t="s">
        <v>200</v>
      </c>
    </row>
    <row r="42" spans="1:39" ht="12.75" customHeight="1">
      <c r="A42" s="5"/>
      <c r="B42" s="107" t="s">
        <v>26</v>
      </c>
      <c r="C42" s="218"/>
      <c r="D42" s="218"/>
      <c r="E42" s="219">
        <v>1.3280000000000001</v>
      </c>
      <c r="F42" s="219">
        <v>1.389</v>
      </c>
      <c r="G42" s="219">
        <v>1.157</v>
      </c>
      <c r="H42" s="219">
        <v>1.1930000000000001</v>
      </c>
      <c r="I42" s="219">
        <v>1.2490000000000001</v>
      </c>
      <c r="J42" s="219">
        <v>1.2949999999999999</v>
      </c>
      <c r="K42" s="219">
        <v>1.363</v>
      </c>
      <c r="L42" s="219">
        <v>1.4830000000000001</v>
      </c>
      <c r="M42" s="219">
        <v>1.544</v>
      </c>
      <c r="N42" s="219">
        <v>1.621</v>
      </c>
      <c r="O42" s="219">
        <v>1.673</v>
      </c>
      <c r="P42" s="219">
        <v>1.7110000000000001</v>
      </c>
      <c r="Q42" s="219">
        <v>1.6990000000000001</v>
      </c>
      <c r="R42" s="219">
        <v>1.7090000000000001</v>
      </c>
      <c r="S42" s="219">
        <v>1.762</v>
      </c>
      <c r="T42" s="219">
        <v>1.899</v>
      </c>
      <c r="U42" s="219">
        <v>1.929</v>
      </c>
      <c r="V42" s="219">
        <v>1.9430000000000001</v>
      </c>
      <c r="W42" s="219">
        <v>1.9550000000000001</v>
      </c>
      <c r="X42" s="219">
        <v>1.8879999999999999</v>
      </c>
      <c r="Y42" s="219">
        <v>1.9159999999999999</v>
      </c>
      <c r="Z42" s="219">
        <v>1.972</v>
      </c>
      <c r="AA42" s="219">
        <v>2.0840000000000001</v>
      </c>
      <c r="AB42" s="219">
        <v>2.1789999999999998</v>
      </c>
      <c r="AC42" s="219">
        <v>2.2999999999999998</v>
      </c>
      <c r="AD42" s="219">
        <v>2.4630000000000001</v>
      </c>
      <c r="AE42" s="219">
        <v>2.8620000000000001</v>
      </c>
      <c r="AF42" s="219">
        <v>3.13</v>
      </c>
      <c r="AG42" s="116">
        <v>3.198</v>
      </c>
      <c r="AH42" s="170">
        <f t="shared" si="2"/>
        <v>2.1725239616613408</v>
      </c>
      <c r="AI42" s="192" t="s">
        <v>26</v>
      </c>
      <c r="AJ42" s="1" t="s">
        <v>230</v>
      </c>
      <c r="AK42" s="1" t="s">
        <v>230</v>
      </c>
      <c r="AL42" s="1" t="s">
        <v>230</v>
      </c>
      <c r="AM42" s="1" t="s">
        <v>230</v>
      </c>
    </row>
    <row r="43" spans="1:39" ht="12.75" customHeight="1">
      <c r="A43" s="5"/>
      <c r="B43" s="7" t="s">
        <v>56</v>
      </c>
      <c r="C43" s="111"/>
      <c r="D43" s="111"/>
      <c r="E43" s="93">
        <v>21.222000000000001</v>
      </c>
      <c r="F43" s="93">
        <v>23.288</v>
      </c>
      <c r="G43" s="93">
        <v>26.76</v>
      </c>
      <c r="H43" s="93">
        <v>29.134</v>
      </c>
      <c r="I43" s="93">
        <v>30.547000000000001</v>
      </c>
      <c r="J43" s="93">
        <v>32.515000000000001</v>
      </c>
      <c r="K43" s="93">
        <v>33.959000000000003</v>
      </c>
      <c r="L43" s="93">
        <v>35.170999999999999</v>
      </c>
      <c r="M43" s="93">
        <v>36.218000000000004</v>
      </c>
      <c r="N43" s="93">
        <v>37.039000000000001</v>
      </c>
      <c r="O43" s="93">
        <v>36.686</v>
      </c>
      <c r="P43" s="93">
        <v>35.667000000000002</v>
      </c>
      <c r="Q43" s="93">
        <v>34.11</v>
      </c>
      <c r="R43" s="93">
        <v>32.374000000000002</v>
      </c>
      <c r="S43" s="93">
        <v>30.591999999999999</v>
      </c>
      <c r="T43" s="93">
        <v>28.783000000000001</v>
      </c>
      <c r="U43" s="93">
        <v>26.954000000000001</v>
      </c>
      <c r="V43" s="93">
        <v>25.204000000000001</v>
      </c>
      <c r="W43" s="93">
        <v>23.324000000000002</v>
      </c>
      <c r="X43" s="93">
        <v>21.474</v>
      </c>
      <c r="Y43" s="93">
        <v>20.347999999999999</v>
      </c>
      <c r="Z43" s="93">
        <v>19.239999999999998</v>
      </c>
      <c r="AA43" s="93">
        <v>18.22</v>
      </c>
      <c r="AB43" s="93">
        <f>17.584</f>
        <v>17.584</v>
      </c>
      <c r="AC43" s="93">
        <v>17.111000000000001</v>
      </c>
      <c r="AD43" s="93">
        <v>16.667999999999999</v>
      </c>
      <c r="AE43" s="93">
        <v>16.257999999999999</v>
      </c>
      <c r="AF43" s="93">
        <v>16.041</v>
      </c>
      <c r="AG43" s="117">
        <v>15.634</v>
      </c>
      <c r="AH43" s="171">
        <f t="shared" si="2"/>
        <v>-2.5372483012281037</v>
      </c>
      <c r="AI43" s="171" t="s">
        <v>56</v>
      </c>
      <c r="AJ43" s="133" t="s">
        <v>134</v>
      </c>
      <c r="AK43" s="133" t="s">
        <v>134</v>
      </c>
      <c r="AL43" s="1" t="s">
        <v>207</v>
      </c>
      <c r="AM43" s="1" t="s">
        <v>207</v>
      </c>
    </row>
    <row r="44" spans="1:39" ht="12.75" customHeight="1">
      <c r="A44" s="5"/>
      <c r="B44" s="107" t="s">
        <v>27</v>
      </c>
      <c r="C44" s="112"/>
      <c r="D44" s="112"/>
      <c r="E44" s="114">
        <v>31.18</v>
      </c>
      <c r="F44" s="114">
        <v>32.968000000000004</v>
      </c>
      <c r="G44" s="114">
        <v>34.136000000000003</v>
      </c>
      <c r="H44" s="114">
        <v>34.851999999999997</v>
      </c>
      <c r="I44" s="114">
        <v>35.676000000000002</v>
      </c>
      <c r="J44" s="114">
        <v>36.517000000000003</v>
      </c>
      <c r="K44" s="114">
        <v>37.661999999999999</v>
      </c>
      <c r="L44" s="114">
        <v>38.508000000000003</v>
      </c>
      <c r="M44" s="114">
        <v>39.012</v>
      </c>
      <c r="N44" s="114">
        <v>39.692</v>
      </c>
      <c r="O44" s="114">
        <v>40.26</v>
      </c>
      <c r="P44" s="114">
        <v>41.341999999999999</v>
      </c>
      <c r="Q44" s="114">
        <v>42.401000000000003</v>
      </c>
      <c r="R44" s="114">
        <v>43.628999999999998</v>
      </c>
      <c r="S44" s="114">
        <v>44.783999999999999</v>
      </c>
      <c r="T44" s="114">
        <v>45.784999999999997</v>
      </c>
      <c r="U44" s="114">
        <v>46.445</v>
      </c>
      <c r="V44" s="114">
        <v>48.026000000000003</v>
      </c>
      <c r="W44" s="114">
        <v>48.536000000000001</v>
      </c>
      <c r="X44" s="114">
        <f>50.675</f>
        <v>50.674999999999997</v>
      </c>
      <c r="Y44" s="114">
        <v>52.750999999999998</v>
      </c>
      <c r="Z44" s="114">
        <v>55.421999999999997</v>
      </c>
      <c r="AA44" s="114">
        <v>58.3</v>
      </c>
      <c r="AB44" s="114">
        <v>60.151000000000003</v>
      </c>
      <c r="AC44" s="114">
        <v>62.436</v>
      </c>
      <c r="AD44" s="114">
        <v>65.72</v>
      </c>
      <c r="AE44" s="114">
        <v>69.676000000000002</v>
      </c>
      <c r="AF44" s="114">
        <v>73.813999999999993</v>
      </c>
      <c r="AG44" s="116">
        <v>77.984999999999999</v>
      </c>
      <c r="AH44" s="170">
        <f t="shared" si="2"/>
        <v>5.6506895710840723</v>
      </c>
      <c r="AI44" s="192" t="s">
        <v>27</v>
      </c>
      <c r="AJ44" s="3" t="s">
        <v>231</v>
      </c>
      <c r="AK44" s="3" t="s">
        <v>231</v>
      </c>
      <c r="AL44" s="3" t="s">
        <v>231</v>
      </c>
      <c r="AM44" s="3" t="s">
        <v>231</v>
      </c>
    </row>
    <row r="45" spans="1:39" ht="12.75" customHeight="1">
      <c r="A45" s="5"/>
      <c r="B45" s="7" t="s">
        <v>65</v>
      </c>
      <c r="C45" s="113"/>
      <c r="D45" s="113"/>
      <c r="E45" s="94"/>
      <c r="F45" s="94"/>
      <c r="G45" s="94"/>
      <c r="H45" s="94"/>
      <c r="I45" s="94"/>
      <c r="J45" s="94"/>
      <c r="K45" s="94"/>
      <c r="L45" s="94"/>
      <c r="M45" s="94"/>
      <c r="N45" s="94"/>
      <c r="O45" s="94">
        <f>0.225-0.122</f>
        <v>0.10300000000000001</v>
      </c>
      <c r="P45" s="94">
        <f>0.224-0.111</f>
        <v>0.113</v>
      </c>
      <c r="Q45" s="94">
        <f>0.224-0.121</f>
        <v>0.10300000000000001</v>
      </c>
      <c r="R45" s="94">
        <f>0.226-0.127</f>
        <v>9.9000000000000005E-2</v>
      </c>
      <c r="S45" s="94">
        <f>0.237-0.135</f>
        <v>0.10199999999999998</v>
      </c>
      <c r="T45" s="94">
        <f>0.247-0.142</f>
        <v>0.10500000000000001</v>
      </c>
      <c r="U45" s="94">
        <f>0.239-0.133</f>
        <v>0.10599999999999998</v>
      </c>
      <c r="V45" s="94">
        <f>0.246-0.145</f>
        <v>0.10100000000000001</v>
      </c>
      <c r="W45" s="94">
        <f>0.266-0.167</f>
        <v>9.9000000000000005E-2</v>
      </c>
      <c r="X45" s="94">
        <f>0.27-0.142-0.025</f>
        <v>0.10300000000000004</v>
      </c>
      <c r="Y45" s="94">
        <f>0.277-0.147-0.025</f>
        <v>0.10500000000000004</v>
      </c>
      <c r="Z45" s="94">
        <v>0.10499999999999998</v>
      </c>
      <c r="AA45" s="94">
        <f>0.057+0.029+0.019</f>
        <v>0.10500000000000001</v>
      </c>
      <c r="AB45" s="94">
        <f>0.059+0.023+0.019</f>
        <v>0.10099999999999999</v>
      </c>
      <c r="AC45" s="94">
        <v>0.10100000000000001</v>
      </c>
      <c r="AD45" s="94">
        <v>0.10299999999999999</v>
      </c>
      <c r="AE45" s="94">
        <v>9.8000000000000004E-2</v>
      </c>
      <c r="AF45" s="94">
        <v>0.1</v>
      </c>
      <c r="AG45" s="117">
        <v>9.9000000000000005E-2</v>
      </c>
      <c r="AH45" s="170">
        <f t="shared" si="2"/>
        <v>-1</v>
      </c>
      <c r="AI45" s="174" t="s">
        <v>65</v>
      </c>
      <c r="AJ45" s="133" t="s">
        <v>134</v>
      </c>
      <c r="AK45" s="133" t="s">
        <v>134</v>
      </c>
      <c r="AL45" s="1" t="s">
        <v>134</v>
      </c>
      <c r="AM45" s="1" t="s">
        <v>200</v>
      </c>
    </row>
    <row r="46" spans="1:39" ht="12.75" customHeight="1">
      <c r="A46" s="5"/>
      <c r="B46" s="1068" t="s">
        <v>254</v>
      </c>
      <c r="C46" s="1068"/>
      <c r="D46" s="1068"/>
      <c r="E46" s="1068"/>
      <c r="F46" s="1068"/>
      <c r="G46" s="1068"/>
      <c r="H46" s="1068"/>
      <c r="I46" s="1068"/>
      <c r="J46" s="1068"/>
      <c r="K46" s="1068"/>
      <c r="L46" s="1068"/>
      <c r="M46" s="1068"/>
      <c r="N46" s="1068"/>
      <c r="O46" s="1068"/>
      <c r="P46" s="1068"/>
      <c r="Q46" s="1068"/>
      <c r="R46" s="1068"/>
      <c r="S46" s="1068"/>
      <c r="T46" s="1068"/>
      <c r="U46" s="1068"/>
      <c r="V46" s="1068"/>
      <c r="W46" s="1068"/>
      <c r="X46" s="1068"/>
      <c r="Y46" s="1068"/>
      <c r="Z46" s="1068"/>
      <c r="AA46" s="1068"/>
      <c r="AB46" s="1068"/>
      <c r="AC46" s="1068"/>
      <c r="AD46" s="1068"/>
      <c r="AE46" s="1068"/>
      <c r="AF46" s="1068"/>
      <c r="AG46" s="1068"/>
      <c r="AH46" s="1068"/>
      <c r="AI46" s="1068"/>
    </row>
    <row r="47" spans="1:39" ht="12.75" customHeight="1">
      <c r="A47" s="5"/>
      <c r="B47" s="1069" t="s">
        <v>125</v>
      </c>
      <c r="C47" s="1065"/>
      <c r="D47" s="1065"/>
      <c r="E47" s="1065"/>
      <c r="F47" s="1065"/>
      <c r="G47" s="1065"/>
      <c r="H47" s="1065"/>
      <c r="I47" s="1065"/>
      <c r="J47" s="1065"/>
      <c r="K47" s="1065"/>
      <c r="L47" s="1065"/>
      <c r="M47" s="1065"/>
      <c r="N47" s="1065"/>
      <c r="O47" s="1065"/>
      <c r="P47" s="1065"/>
      <c r="Q47" s="1065"/>
      <c r="R47" s="1065"/>
      <c r="S47" s="1065"/>
      <c r="T47" s="1065"/>
      <c r="U47" s="1065"/>
      <c r="V47" s="1065"/>
      <c r="W47" s="1065"/>
      <c r="X47" s="1065"/>
      <c r="Y47" s="1065"/>
      <c r="Z47" s="1065"/>
      <c r="AA47" s="1065"/>
      <c r="AB47" s="1065"/>
      <c r="AC47" s="1065"/>
      <c r="AD47" s="1065"/>
      <c r="AE47" s="1065"/>
      <c r="AF47" s="1065"/>
      <c r="AG47" s="1065"/>
      <c r="AH47" s="1065"/>
      <c r="AI47" s="1065"/>
    </row>
    <row r="48" spans="1:39" ht="15.75" customHeight="1">
      <c r="B48" s="1065" t="s">
        <v>126</v>
      </c>
      <c r="C48" s="1065"/>
      <c r="D48" s="1065"/>
      <c r="E48" s="1065"/>
      <c r="F48" s="1065"/>
      <c r="G48" s="1065"/>
      <c r="H48" s="1065"/>
      <c r="I48" s="1065"/>
      <c r="J48" s="1065"/>
      <c r="K48" s="1065"/>
      <c r="L48" s="1065"/>
      <c r="M48" s="1065"/>
      <c r="N48" s="1065"/>
      <c r="O48" s="1065"/>
      <c r="P48" s="1065"/>
      <c r="Q48" s="1065"/>
      <c r="R48" s="1065"/>
      <c r="S48" s="1065"/>
      <c r="T48" s="1065"/>
      <c r="U48" s="1065"/>
      <c r="V48" s="1065"/>
      <c r="W48" s="1065"/>
      <c r="X48" s="1065"/>
      <c r="Y48" s="1065"/>
      <c r="Z48" s="1065"/>
      <c r="AA48" s="1065"/>
      <c r="AB48" s="1065"/>
      <c r="AC48" s="1065"/>
      <c r="AD48" s="1065"/>
      <c r="AE48" s="1065"/>
      <c r="AF48" s="1065"/>
      <c r="AG48" s="1065"/>
      <c r="AH48" s="1065"/>
      <c r="AI48" s="1065"/>
    </row>
    <row r="49" spans="2:37" ht="12.75" customHeight="1">
      <c r="B49" s="1065" t="s">
        <v>252</v>
      </c>
      <c r="C49" s="1065"/>
      <c r="D49" s="1065"/>
      <c r="E49" s="1065"/>
      <c r="F49" s="1065"/>
      <c r="G49" s="1065"/>
      <c r="H49" s="1065"/>
      <c r="I49" s="1065"/>
      <c r="J49" s="1065"/>
      <c r="K49" s="1065"/>
      <c r="L49" s="1065"/>
      <c r="M49" s="1065"/>
      <c r="N49" s="1065"/>
      <c r="O49" s="1065"/>
      <c r="P49" s="1065"/>
      <c r="Q49" s="1065"/>
      <c r="R49" s="1065"/>
      <c r="S49" s="1065"/>
      <c r="T49" s="1065"/>
      <c r="U49" s="1065"/>
      <c r="V49" s="1065"/>
      <c r="W49" s="1065"/>
      <c r="X49" s="1065"/>
      <c r="Y49" s="1065"/>
      <c r="Z49" s="1065"/>
      <c r="AA49" s="1065"/>
      <c r="AB49" s="1065"/>
      <c r="AC49" s="1065"/>
      <c r="AD49" s="1065"/>
      <c r="AE49" s="1065"/>
      <c r="AF49" s="1065"/>
      <c r="AG49" s="1065"/>
      <c r="AH49" s="1065"/>
      <c r="AI49" s="1065"/>
    </row>
    <row r="50" spans="2:37" ht="12.75" customHeight="1">
      <c r="AC50" s="27"/>
      <c r="AD50" s="1" t="s">
        <v>240</v>
      </c>
    </row>
    <row r="51" spans="2:37">
      <c r="B51" s="1" t="s">
        <v>249</v>
      </c>
      <c r="AD51" s="1">
        <v>2014</v>
      </c>
      <c r="AE51" s="1">
        <v>2015</v>
      </c>
      <c r="AF51" s="1">
        <v>2016</v>
      </c>
      <c r="AG51" s="1">
        <v>2017</v>
      </c>
      <c r="AK51" s="1">
        <v>2018</v>
      </c>
    </row>
    <row r="52" spans="2:37">
      <c r="B52" s="1" t="s">
        <v>253</v>
      </c>
      <c r="AD52" s="93">
        <v>16.77</v>
      </c>
      <c r="AE52" s="93">
        <v>17.067</v>
      </c>
      <c r="AF52" s="93">
        <v>15.967000000000001</v>
      </c>
      <c r="AG52" s="117">
        <v>15.984</v>
      </c>
      <c r="AH52" s="15">
        <f>AE52/AD52*100-100</f>
        <v>1.7710196779964207</v>
      </c>
      <c r="AI52" s="15">
        <f>AF52/AE52*100-100</f>
        <v>-6.4451866174488686</v>
      </c>
      <c r="AJ52" s="10">
        <f>AG52/AF52*100-100</f>
        <v>0.10646959353665864</v>
      </c>
      <c r="AK52" s="370">
        <f>AG52+AG52*AJ52/100</f>
        <v>16.001018099830901</v>
      </c>
    </row>
    <row r="53" spans="2:37">
      <c r="AE53" s="1">
        <f>AD52+AD52*AH52/100</f>
        <v>17.067</v>
      </c>
    </row>
  </sheetData>
  <mergeCells count="7">
    <mergeCell ref="B47:AI47"/>
    <mergeCell ref="B48:AI48"/>
    <mergeCell ref="B49:AI49"/>
    <mergeCell ref="B1:C1"/>
    <mergeCell ref="B2:AI2"/>
    <mergeCell ref="B3:AI3"/>
    <mergeCell ref="B46:AI46"/>
  </mergeCells>
  <phoneticPr fontId="7" type="noConversion"/>
  <printOptions horizontalCentered="1"/>
  <pageMargins left="0.39" right="0.39" top="0.51181102362204722" bottom="0.27559055118110237" header="0" footer="0"/>
  <pageSetup paperSize="9" scale="83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J47"/>
  <sheetViews>
    <sheetView tabSelected="1" topLeftCell="C1" workbookViewId="0">
      <selection activeCell="AK4" sqref="AK1:AL1048576"/>
    </sheetView>
  </sheetViews>
  <sheetFormatPr defaultColWidth="9.1328125" defaultRowHeight="10.15"/>
  <cols>
    <col min="1" max="1" width="3.73046875" style="1" customWidth="1"/>
    <col min="2" max="2" width="4.3984375" style="1" customWidth="1"/>
    <col min="3" max="12" width="6.73046875" style="1" customWidth="1"/>
    <col min="13" max="13" width="6.59765625" style="1" customWidth="1"/>
    <col min="14" max="20" width="6.73046875" style="1" customWidth="1"/>
    <col min="21" max="25" width="7.265625" style="1" customWidth="1"/>
    <col min="26" max="33" width="7" style="1" customWidth="1"/>
    <col min="34" max="34" width="7.59765625" style="1" customWidth="1"/>
    <col min="35" max="35" width="7.3984375" style="1" customWidth="1"/>
    <col min="36" max="36" width="7.1328125" style="1" customWidth="1"/>
    <col min="37" max="16384" width="9.1328125" style="1"/>
  </cols>
  <sheetData>
    <row r="1" spans="1:36" ht="14.25" customHeight="1">
      <c r="B1" s="1062"/>
      <c r="C1" s="1062"/>
      <c r="D1" s="19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T1" s="20"/>
    </row>
    <row r="2" spans="1:36" s="39" customFormat="1" ht="30" customHeight="1">
      <c r="B2" s="1063" t="s">
        <v>257</v>
      </c>
      <c r="C2" s="1063"/>
      <c r="D2" s="1063"/>
      <c r="E2" s="1063"/>
      <c r="F2" s="1063"/>
      <c r="G2" s="1063"/>
      <c r="H2" s="1063"/>
      <c r="I2" s="1063"/>
      <c r="J2" s="1063"/>
      <c r="K2" s="1063"/>
      <c r="L2" s="1063"/>
      <c r="M2" s="1063"/>
      <c r="N2" s="1063"/>
      <c r="O2" s="1063"/>
      <c r="P2" s="1063"/>
      <c r="Q2" s="1063"/>
      <c r="R2" s="1063"/>
      <c r="S2" s="1063"/>
      <c r="T2" s="1063"/>
      <c r="U2" s="1063"/>
      <c r="V2" s="1063"/>
      <c r="W2" s="1063"/>
      <c r="X2" s="1063"/>
      <c r="Y2" s="1063"/>
      <c r="Z2" s="1063"/>
      <c r="AA2" s="1063"/>
      <c r="AB2" s="1063"/>
      <c r="AC2" s="1063"/>
      <c r="AD2" s="1063"/>
      <c r="AE2" s="1063"/>
      <c r="AF2" s="1063"/>
      <c r="AG2" s="1063"/>
      <c r="AH2" s="1063"/>
      <c r="AI2" s="1063"/>
      <c r="AJ2" s="1063"/>
    </row>
    <row r="3" spans="1:36" ht="15" customHeight="1">
      <c r="B3" s="1071" t="s">
        <v>88</v>
      </c>
      <c r="C3" s="1071"/>
      <c r="D3" s="1071"/>
      <c r="E3" s="1071"/>
      <c r="F3" s="1071"/>
      <c r="G3" s="1071"/>
      <c r="H3" s="1071"/>
      <c r="I3" s="1071"/>
      <c r="J3" s="1071"/>
      <c r="K3" s="1071"/>
      <c r="L3" s="1071"/>
      <c r="M3" s="1071"/>
      <c r="N3" s="1071"/>
      <c r="O3" s="1071"/>
      <c r="P3" s="1071"/>
      <c r="Q3" s="1071"/>
      <c r="R3" s="1071"/>
      <c r="S3" s="1071"/>
      <c r="T3" s="1071"/>
      <c r="U3" s="1071"/>
      <c r="V3" s="1071"/>
      <c r="W3" s="1071"/>
      <c r="X3" s="1071"/>
      <c r="Y3" s="1071"/>
      <c r="Z3" s="1071"/>
      <c r="AA3" s="1071"/>
      <c r="AB3" s="1071"/>
      <c r="AC3" s="1071"/>
      <c r="AD3" s="1071"/>
      <c r="AE3" s="1071"/>
      <c r="AF3" s="1071"/>
      <c r="AG3" s="1071"/>
      <c r="AH3" s="1071"/>
      <c r="AI3" s="1071"/>
      <c r="AJ3" s="1071"/>
    </row>
    <row r="4" spans="1:36" ht="12.75" customHeight="1">
      <c r="B4"/>
      <c r="C4"/>
      <c r="E4" s="100"/>
      <c r="F4" s="100"/>
      <c r="G4" s="100"/>
      <c r="H4" s="100"/>
      <c r="I4" s="100"/>
      <c r="W4" s="23"/>
      <c r="Y4" s="26"/>
      <c r="AG4" s="23"/>
      <c r="AH4" s="93"/>
      <c r="AJ4" s="26" t="s">
        <v>1</v>
      </c>
    </row>
    <row r="5" spans="1:36" ht="20.100000000000001" customHeight="1">
      <c r="B5"/>
      <c r="C5" s="62">
        <v>1970</v>
      </c>
      <c r="D5" s="73">
        <v>1980</v>
      </c>
      <c r="E5" s="62">
        <v>1990</v>
      </c>
      <c r="F5" s="63">
        <v>1991</v>
      </c>
      <c r="G5" s="63">
        <v>1992</v>
      </c>
      <c r="H5" s="63">
        <v>1993</v>
      </c>
      <c r="I5" s="63">
        <v>1994</v>
      </c>
      <c r="J5" s="63">
        <v>1995</v>
      </c>
      <c r="K5" s="63">
        <v>1996</v>
      </c>
      <c r="L5" s="63">
        <v>1997</v>
      </c>
      <c r="M5" s="63">
        <v>1998</v>
      </c>
      <c r="N5" s="63">
        <v>1999</v>
      </c>
      <c r="O5" s="63">
        <v>2000</v>
      </c>
      <c r="P5" s="63">
        <v>2001</v>
      </c>
      <c r="Q5" s="63">
        <v>2002</v>
      </c>
      <c r="R5" s="63">
        <v>2003</v>
      </c>
      <c r="S5" s="63">
        <v>2004</v>
      </c>
      <c r="T5" s="63">
        <v>2005</v>
      </c>
      <c r="U5" s="63">
        <v>2006</v>
      </c>
      <c r="V5" s="63">
        <v>2007</v>
      </c>
      <c r="W5" s="63">
        <v>2008</v>
      </c>
      <c r="X5" s="63">
        <v>2009</v>
      </c>
      <c r="Y5" s="63">
        <v>2010</v>
      </c>
      <c r="Z5" s="63">
        <v>2011</v>
      </c>
      <c r="AA5" s="63">
        <v>2012</v>
      </c>
      <c r="AB5" s="63">
        <v>2013</v>
      </c>
      <c r="AC5" s="63">
        <v>2014</v>
      </c>
      <c r="AD5" s="63">
        <v>2015</v>
      </c>
      <c r="AE5" s="63">
        <v>2016</v>
      </c>
      <c r="AF5" s="63">
        <v>2017</v>
      </c>
      <c r="AG5" s="63">
        <v>2018</v>
      </c>
      <c r="AH5" s="63">
        <v>2019</v>
      </c>
      <c r="AI5" s="63">
        <v>2020</v>
      </c>
      <c r="AJ5" s="342">
        <v>2021</v>
      </c>
    </row>
    <row r="6" spans="1:36" ht="9.9499999999999993" customHeight="1">
      <c r="B6"/>
      <c r="C6" s="95"/>
      <c r="D6" s="74"/>
      <c r="E6" s="95"/>
      <c r="F6" s="61"/>
      <c r="G6" s="61"/>
      <c r="H6" s="61"/>
      <c r="I6" s="61"/>
      <c r="J6" s="61"/>
      <c r="K6" s="61"/>
      <c r="L6" s="61"/>
      <c r="M6" s="61"/>
      <c r="N6" s="61"/>
      <c r="O6" s="61"/>
      <c r="P6" s="61"/>
      <c r="Q6" s="61"/>
      <c r="R6" s="61"/>
      <c r="S6" s="61"/>
      <c r="T6" s="61"/>
      <c r="U6" s="61"/>
      <c r="V6" s="61"/>
      <c r="W6" s="61"/>
      <c r="X6" s="61"/>
      <c r="Y6" s="182"/>
      <c r="Z6" s="184"/>
      <c r="AA6" s="184"/>
      <c r="AB6" s="182"/>
      <c r="AC6" s="182"/>
      <c r="AD6" s="182"/>
      <c r="AE6" s="182"/>
      <c r="AF6" s="182"/>
      <c r="AG6" s="184"/>
      <c r="AH6" s="182"/>
      <c r="AI6" s="182"/>
      <c r="AJ6" s="105"/>
    </row>
    <row r="7" spans="1:36" ht="9.9499999999999993" customHeight="1">
      <c r="B7" s="347" t="s">
        <v>237</v>
      </c>
      <c r="C7" s="348"/>
      <c r="D7" s="346"/>
      <c r="E7" s="505">
        <f>SUM(E8:E34)</f>
        <v>665.30600000000015</v>
      </c>
      <c r="F7" s="505">
        <f t="shared" ref="F7:AJ7" si="0">SUM(F8:F34)</f>
        <v>661.3475333333331</v>
      </c>
      <c r="G7" s="505">
        <f t="shared" si="0"/>
        <v>666.12606666666659</v>
      </c>
      <c r="H7" s="505">
        <f t="shared" si="0"/>
        <v>671.69259999999986</v>
      </c>
      <c r="I7" s="505">
        <f t="shared" si="0"/>
        <v>675.85780000000011</v>
      </c>
      <c r="J7" s="505">
        <f t="shared" si="0"/>
        <v>678.36099999999999</v>
      </c>
      <c r="K7" s="505">
        <f t="shared" si="0"/>
        <v>682.68599999999992</v>
      </c>
      <c r="L7" s="505">
        <f t="shared" si="0"/>
        <v>679.05100000000004</v>
      </c>
      <c r="M7" s="505">
        <f t="shared" si="0"/>
        <v>680.13800000000015</v>
      </c>
      <c r="N7" s="505">
        <f t="shared" si="0"/>
        <v>684.37199999999996</v>
      </c>
      <c r="O7" s="505">
        <f t="shared" si="0"/>
        <v>693.13100000000009</v>
      </c>
      <c r="P7" s="505">
        <f t="shared" si="0"/>
        <v>698.23399999999992</v>
      </c>
      <c r="Q7" s="505">
        <f t="shared" si="0"/>
        <v>704.06499999999983</v>
      </c>
      <c r="R7" s="505">
        <f t="shared" si="0"/>
        <v>706.66899999999998</v>
      </c>
      <c r="S7" s="505">
        <f t="shared" si="0"/>
        <v>697.9530000000002</v>
      </c>
      <c r="T7" s="505">
        <f t="shared" si="0"/>
        <v>689.84800000000007</v>
      </c>
      <c r="U7" s="505">
        <f t="shared" si="0"/>
        <v>686.37600000000009</v>
      </c>
      <c r="V7" s="505">
        <f t="shared" si="0"/>
        <v>690.9770000000002</v>
      </c>
      <c r="W7" s="505">
        <f t="shared" si="0"/>
        <v>708.06299999999987</v>
      </c>
      <c r="X7" s="505">
        <f t="shared" si="0"/>
        <v>708.98100000000011</v>
      </c>
      <c r="Y7" s="505">
        <f t="shared" si="0"/>
        <v>706.12299999999993</v>
      </c>
      <c r="Z7" s="505">
        <f t="shared" si="0"/>
        <v>708.73900000000015</v>
      </c>
      <c r="AA7" s="505">
        <f t="shared" si="0"/>
        <v>704.54999999999984</v>
      </c>
      <c r="AB7" s="505">
        <f t="shared" si="0"/>
        <v>708.94499999999994</v>
      </c>
      <c r="AC7" s="505">
        <f t="shared" si="0"/>
        <v>712.59199999999998</v>
      </c>
      <c r="AD7" s="505">
        <f t="shared" si="0"/>
        <v>713.505</v>
      </c>
      <c r="AE7" s="505">
        <f t="shared" si="0"/>
        <v>722.49699999999996</v>
      </c>
      <c r="AF7" s="505">
        <f t="shared" si="0"/>
        <v>732.46399999999994</v>
      </c>
      <c r="AG7" s="505">
        <f t="shared" si="0"/>
        <v>744.45400000000006</v>
      </c>
      <c r="AH7" s="505">
        <f t="shared" si="0"/>
        <v>757.69</v>
      </c>
      <c r="AI7" s="505">
        <f t="shared" si="0"/>
        <v>737.5329999999999</v>
      </c>
      <c r="AJ7" s="505">
        <f t="shared" si="0"/>
        <v>748.06500000000005</v>
      </c>
    </row>
    <row r="8" spans="1:36" ht="12.75" customHeight="1">
      <c r="B8" s="7" t="s">
        <v>45</v>
      </c>
      <c r="C8" s="330">
        <v>16.169</v>
      </c>
      <c r="D8" s="330">
        <v>17.175999999999998</v>
      </c>
      <c r="E8" s="93">
        <v>15.644</v>
      </c>
      <c r="F8" s="93">
        <v>15.378</v>
      </c>
      <c r="G8" s="93">
        <v>15.004</v>
      </c>
      <c r="H8" s="93">
        <v>14.981999999999999</v>
      </c>
      <c r="I8" s="93">
        <v>14.85</v>
      </c>
      <c r="J8" s="93">
        <v>14.646000000000001</v>
      </c>
      <c r="K8" s="93">
        <v>14.683999999999999</v>
      </c>
      <c r="L8" s="93">
        <v>14.667</v>
      </c>
      <c r="M8" s="93">
        <v>14.587999999999999</v>
      </c>
      <c r="N8" s="93">
        <v>14.673</v>
      </c>
      <c r="O8" s="93">
        <v>14.722</v>
      </c>
      <c r="P8" s="93">
        <v>14.676</v>
      </c>
      <c r="Q8" s="93">
        <v>14.769</v>
      </c>
      <c r="R8" s="93">
        <v>15.06</v>
      </c>
      <c r="S8" s="93">
        <v>15.327999999999999</v>
      </c>
      <c r="T8" s="93">
        <v>15.391</v>
      </c>
      <c r="U8" s="93">
        <v>15.329000000000001</v>
      </c>
      <c r="V8" s="403">
        <v>15.465999999999999</v>
      </c>
      <c r="W8" s="401">
        <v>15.992000000000001</v>
      </c>
      <c r="X8" s="93">
        <v>16.059000000000001</v>
      </c>
      <c r="Y8" s="93">
        <v>16.22</v>
      </c>
      <c r="Z8" s="93">
        <v>16.100000000000001</v>
      </c>
      <c r="AA8" s="93">
        <v>16.030999999999999</v>
      </c>
      <c r="AB8" s="93">
        <v>15.821999999999999</v>
      </c>
      <c r="AC8" s="93">
        <v>15.976000000000001</v>
      </c>
      <c r="AD8" s="93">
        <v>16.094000000000001</v>
      </c>
      <c r="AE8" s="93">
        <v>16.04</v>
      </c>
      <c r="AF8" s="93">
        <v>16.062000000000001</v>
      </c>
      <c r="AG8" s="91">
        <v>16.125</v>
      </c>
      <c r="AH8" s="93">
        <v>16.542000000000002</v>
      </c>
      <c r="AI8" s="93">
        <v>16.422000000000001</v>
      </c>
      <c r="AJ8" s="117">
        <v>16.628</v>
      </c>
    </row>
    <row r="9" spans="1:36" ht="12.75" customHeight="1">
      <c r="B9" s="107" t="s">
        <v>28</v>
      </c>
      <c r="C9" s="329"/>
      <c r="D9" s="329">
        <v>21</v>
      </c>
      <c r="E9" s="114">
        <v>34.599999999999994</v>
      </c>
      <c r="F9" s="114">
        <v>36.4</v>
      </c>
      <c r="G9" s="114">
        <v>37.9</v>
      </c>
      <c r="H9" s="114">
        <v>40.099999999999994</v>
      </c>
      <c r="I9" s="114">
        <v>41.432000000000002</v>
      </c>
      <c r="J9" s="114">
        <v>41.838999999999999</v>
      </c>
      <c r="K9" s="114">
        <v>41.642000000000003</v>
      </c>
      <c r="L9" s="114">
        <v>41.201999999999998</v>
      </c>
      <c r="M9" s="114">
        <v>42.264000000000003</v>
      </c>
      <c r="N9" s="114">
        <v>42.720999999999997</v>
      </c>
      <c r="O9" s="114">
        <v>43.005000000000003</v>
      </c>
      <c r="P9" s="114">
        <v>43.566000000000003</v>
      </c>
      <c r="Q9" s="114">
        <v>43.86</v>
      </c>
      <c r="R9" s="172">
        <v>44.3</v>
      </c>
      <c r="S9" s="114">
        <v>36.6</v>
      </c>
      <c r="T9" s="172">
        <v>37.799999999999997</v>
      </c>
      <c r="U9" s="114">
        <v>22.8</v>
      </c>
      <c r="V9" s="114">
        <v>23.9</v>
      </c>
      <c r="W9" s="114">
        <v>25.2</v>
      </c>
      <c r="X9" s="114">
        <v>25.1</v>
      </c>
      <c r="Y9" s="114">
        <v>24.5</v>
      </c>
      <c r="Z9" s="114">
        <v>23.651</v>
      </c>
      <c r="AA9" s="114">
        <v>23.289000000000001</v>
      </c>
      <c r="AB9" s="114">
        <v>23.3</v>
      </c>
      <c r="AC9" s="114">
        <v>23.6</v>
      </c>
      <c r="AD9" s="114">
        <v>24.1</v>
      </c>
      <c r="AE9" s="114">
        <v>23.4</v>
      </c>
      <c r="AF9" s="114">
        <v>21</v>
      </c>
      <c r="AG9" s="114">
        <v>20.818000000000001</v>
      </c>
      <c r="AH9" s="114">
        <v>20.687000000000001</v>
      </c>
      <c r="AI9" s="114">
        <v>19.45</v>
      </c>
      <c r="AJ9" s="116">
        <v>17.731000000000002</v>
      </c>
    </row>
    <row r="10" spans="1:36" ht="12.75" customHeight="1">
      <c r="A10" s="5"/>
      <c r="B10" s="7" t="s">
        <v>30</v>
      </c>
      <c r="C10" s="330"/>
      <c r="D10" s="330">
        <v>20.3</v>
      </c>
      <c r="E10" s="93">
        <v>20.474</v>
      </c>
      <c r="F10" s="190">
        <v>20.050333333333334</v>
      </c>
      <c r="G10" s="190">
        <v>19.626666666666665</v>
      </c>
      <c r="H10" s="93">
        <v>19.202999999999999</v>
      </c>
      <c r="I10" s="93">
        <v>19.756</v>
      </c>
      <c r="J10" s="93">
        <v>20.474</v>
      </c>
      <c r="K10" s="93">
        <v>21.2</v>
      </c>
      <c r="L10" s="93">
        <v>21.475999999999999</v>
      </c>
      <c r="M10" s="93">
        <v>20.667999999999999</v>
      </c>
      <c r="N10" s="93">
        <v>19.702000000000002</v>
      </c>
      <c r="O10" s="93">
        <v>18.986000000000001</v>
      </c>
      <c r="P10" s="93">
        <v>19.123000000000001</v>
      </c>
      <c r="Q10" s="93">
        <v>22.065999999999999</v>
      </c>
      <c r="R10" s="93">
        <v>21.349999999999998</v>
      </c>
      <c r="S10" s="93">
        <v>20.673999999999999</v>
      </c>
      <c r="T10" s="93">
        <v>20.853000000000002</v>
      </c>
      <c r="U10" s="93">
        <v>21.074999999999999</v>
      </c>
      <c r="V10" s="93">
        <v>21.155999999999999</v>
      </c>
      <c r="W10" s="93">
        <v>21.113</v>
      </c>
      <c r="X10" s="93">
        <v>20.676000000000002</v>
      </c>
      <c r="Y10" s="93">
        <v>20.387999999999998</v>
      </c>
      <c r="Z10" s="93">
        <v>20.402000000000001</v>
      </c>
      <c r="AA10" s="93">
        <v>20.610000000000003</v>
      </c>
      <c r="AB10" s="93">
        <v>20.318000000000001</v>
      </c>
      <c r="AC10" s="93">
        <v>20.510999999999999</v>
      </c>
      <c r="AD10" s="93">
        <v>20.666999999999998</v>
      </c>
      <c r="AE10" s="93">
        <v>20.876000000000001</v>
      </c>
      <c r="AF10" s="93">
        <v>21.4</v>
      </c>
      <c r="AG10" s="93">
        <v>22.027000000000001</v>
      </c>
      <c r="AH10" s="93">
        <v>22.206</v>
      </c>
      <c r="AI10" s="93">
        <v>19.968</v>
      </c>
      <c r="AJ10" s="117">
        <v>20.555</v>
      </c>
    </row>
    <row r="11" spans="1:36" ht="12.75" customHeight="1">
      <c r="A11" s="5"/>
      <c r="B11" s="107" t="s">
        <v>41</v>
      </c>
      <c r="C11" s="329">
        <v>5.0389999999999997</v>
      </c>
      <c r="D11" s="329">
        <v>7.351</v>
      </c>
      <c r="E11" s="114">
        <v>8.109</v>
      </c>
      <c r="F11" s="114">
        <v>9.9890000000000008</v>
      </c>
      <c r="G11" s="114">
        <v>11.259</v>
      </c>
      <c r="H11" s="114">
        <v>12.976000000000001</v>
      </c>
      <c r="I11" s="114">
        <v>13.614000000000001</v>
      </c>
      <c r="J11" s="114">
        <v>13.669</v>
      </c>
      <c r="K11" s="114">
        <v>13.786</v>
      </c>
      <c r="L11" s="114">
        <v>13.779</v>
      </c>
      <c r="M11" s="114">
        <v>13.911</v>
      </c>
      <c r="N11" s="114">
        <v>13.909000000000001</v>
      </c>
      <c r="O11" s="114">
        <v>13.968</v>
      </c>
      <c r="P11" s="114">
        <v>13.954000000000001</v>
      </c>
      <c r="Q11" s="114">
        <v>13.986000000000001</v>
      </c>
      <c r="R11" s="114">
        <v>14.132</v>
      </c>
      <c r="S11" s="114">
        <v>14.191000000000001</v>
      </c>
      <c r="T11" s="114">
        <v>14.401999999999999</v>
      </c>
      <c r="U11" s="114">
        <v>14.552</v>
      </c>
      <c r="V11" s="114">
        <v>14.481999999999999</v>
      </c>
      <c r="W11" s="114">
        <v>14.452</v>
      </c>
      <c r="X11" s="114">
        <v>14.51</v>
      </c>
      <c r="Y11" s="114">
        <v>14.496</v>
      </c>
      <c r="Z11" s="114">
        <v>14.013999999999999</v>
      </c>
      <c r="AA11" s="114">
        <v>13.484999999999999</v>
      </c>
      <c r="AB11" s="114">
        <v>13.27</v>
      </c>
      <c r="AC11" s="114">
        <v>13.407999999999999</v>
      </c>
      <c r="AD11" s="114">
        <v>13.382999999999999</v>
      </c>
      <c r="AE11" s="114">
        <v>13.417</v>
      </c>
      <c r="AF11" s="114">
        <v>13.5</v>
      </c>
      <c r="AG11" s="114">
        <v>13.157999999999999</v>
      </c>
      <c r="AH11" s="114">
        <v>13.003</v>
      </c>
      <c r="AI11" s="114">
        <v>12.298</v>
      </c>
      <c r="AJ11" s="116">
        <v>11.923</v>
      </c>
    </row>
    <row r="12" spans="1:36" ht="12.75" customHeight="1">
      <c r="A12" s="5"/>
      <c r="B12" s="7" t="s">
        <v>46</v>
      </c>
      <c r="C12" s="330">
        <v>63.939</v>
      </c>
      <c r="D12" s="330">
        <v>95.757999999999996</v>
      </c>
      <c r="E12" s="93">
        <v>100.37</v>
      </c>
      <c r="F12" s="93">
        <v>89.59</v>
      </c>
      <c r="G12" s="93">
        <v>88.433000000000007</v>
      </c>
      <c r="H12" s="93">
        <v>88.745999999999995</v>
      </c>
      <c r="I12" s="93">
        <v>87.421000000000006</v>
      </c>
      <c r="J12" s="93">
        <v>85.433999999999997</v>
      </c>
      <c r="K12" s="173">
        <v>84.653999999999996</v>
      </c>
      <c r="L12" s="93">
        <v>75.453000000000003</v>
      </c>
      <c r="M12" s="93">
        <v>75.593999999999994</v>
      </c>
      <c r="N12" s="93">
        <v>76.63</v>
      </c>
      <c r="O12" s="93">
        <v>77.183000000000007</v>
      </c>
      <c r="P12" s="93">
        <v>77.088999999999999</v>
      </c>
      <c r="Q12" s="93">
        <v>77.06</v>
      </c>
      <c r="R12" s="93">
        <v>76.664000000000001</v>
      </c>
      <c r="S12" s="93">
        <v>76.028000000000006</v>
      </c>
      <c r="T12" s="93">
        <v>75.203000000000003</v>
      </c>
      <c r="U12" s="93">
        <v>75.084999999999994</v>
      </c>
      <c r="V12" s="93">
        <v>75.067999999999998</v>
      </c>
      <c r="W12" s="93">
        <v>75.27</v>
      </c>
      <c r="X12" s="93">
        <v>76.433000000000007</v>
      </c>
      <c r="Y12" s="93">
        <v>76.462999999999994</v>
      </c>
      <c r="Z12" s="93">
        <v>75.988</v>
      </c>
      <c r="AA12" s="93">
        <v>76.022999999999996</v>
      </c>
      <c r="AB12" s="93">
        <v>76.793999999999997</v>
      </c>
      <c r="AC12" s="93">
        <v>77.501000000000005</v>
      </c>
      <c r="AD12" s="93">
        <v>78.344999999999999</v>
      </c>
      <c r="AE12" s="93">
        <v>78.948999999999998</v>
      </c>
      <c r="AF12" s="93">
        <v>79.400000000000006</v>
      </c>
      <c r="AG12" s="93">
        <v>80.519000000000005</v>
      </c>
      <c r="AH12" s="93">
        <v>81.364000000000004</v>
      </c>
      <c r="AI12" s="93">
        <v>75.548000000000002</v>
      </c>
      <c r="AJ12" s="117">
        <v>80.224999999999994</v>
      </c>
    </row>
    <row r="13" spans="1:36" ht="12.75" customHeight="1">
      <c r="A13" s="5"/>
      <c r="B13" s="107" t="s">
        <v>31</v>
      </c>
      <c r="C13" s="329"/>
      <c r="D13" s="329">
        <v>6.4</v>
      </c>
      <c r="E13" s="114">
        <v>7.9</v>
      </c>
      <c r="F13" s="114">
        <v>8.6</v>
      </c>
      <c r="G13" s="114">
        <v>8.4</v>
      </c>
      <c r="H13" s="114">
        <v>8.6999999999999993</v>
      </c>
      <c r="I13" s="114">
        <v>6.3</v>
      </c>
      <c r="J13" s="114">
        <v>7</v>
      </c>
      <c r="K13" s="114">
        <v>6.7</v>
      </c>
      <c r="L13" s="114">
        <v>6.5</v>
      </c>
      <c r="M13" s="114">
        <v>6.3</v>
      </c>
      <c r="N13" s="114">
        <v>6.2</v>
      </c>
      <c r="O13" s="114">
        <v>6.1</v>
      </c>
      <c r="P13" s="114">
        <v>5.5</v>
      </c>
      <c r="Q13" s="114">
        <v>5.3</v>
      </c>
      <c r="R13" s="114">
        <v>5.4</v>
      </c>
      <c r="S13" s="114">
        <v>5.3</v>
      </c>
      <c r="T13" s="114">
        <v>5.194</v>
      </c>
      <c r="U13" s="172">
        <v>5.3780000000000001</v>
      </c>
      <c r="V13" s="114">
        <v>4.3099999999999996</v>
      </c>
      <c r="W13" s="114">
        <v>4.2919999999999998</v>
      </c>
      <c r="X13" s="114">
        <v>4.117</v>
      </c>
      <c r="Y13" s="114">
        <v>4.1669999999999998</v>
      </c>
      <c r="Z13" s="114">
        <v>4.1559999999999997</v>
      </c>
      <c r="AA13" s="114">
        <v>4.3109999999999999</v>
      </c>
      <c r="AB13" s="114">
        <v>4.5</v>
      </c>
      <c r="AC13" s="114">
        <v>4.5999999999999996</v>
      </c>
      <c r="AD13" s="114">
        <v>4.8</v>
      </c>
      <c r="AE13" s="114">
        <v>4.8</v>
      </c>
      <c r="AF13" s="114">
        <v>4.9000000000000004</v>
      </c>
      <c r="AG13" s="114">
        <v>5</v>
      </c>
      <c r="AH13" s="114">
        <v>5.2210000000000001</v>
      </c>
      <c r="AI13" s="114">
        <v>5.2850000000000001</v>
      </c>
      <c r="AJ13" s="116">
        <v>5.3739999999999997</v>
      </c>
    </row>
    <row r="14" spans="1:36" ht="12.75" customHeight="1">
      <c r="A14" s="5"/>
      <c r="B14" s="7" t="s">
        <v>49</v>
      </c>
      <c r="C14" s="330">
        <v>2.012</v>
      </c>
      <c r="D14" s="330">
        <v>2.722</v>
      </c>
      <c r="E14" s="93">
        <v>4.0469999999999997</v>
      </c>
      <c r="F14" s="93">
        <v>4.3879999999999999</v>
      </c>
      <c r="G14" s="93">
        <v>4.5570000000000004</v>
      </c>
      <c r="H14" s="93">
        <v>4.835</v>
      </c>
      <c r="I14" s="93">
        <v>4.9850000000000003</v>
      </c>
      <c r="J14" s="93">
        <v>5.282</v>
      </c>
      <c r="K14" s="93">
        <v>5.5350000000000001</v>
      </c>
      <c r="L14" s="93">
        <v>5.8449999999999998</v>
      </c>
      <c r="M14" s="93">
        <v>6.0960000000000001</v>
      </c>
      <c r="N14" s="93">
        <v>6.5640000000000001</v>
      </c>
      <c r="O14" s="93">
        <v>6.9569999999999999</v>
      </c>
      <c r="P14" s="93">
        <v>7.0839999999999996</v>
      </c>
      <c r="Q14" s="93">
        <v>7.09</v>
      </c>
      <c r="R14" s="93">
        <v>7.3920000000000003</v>
      </c>
      <c r="S14" s="93">
        <v>7.43</v>
      </c>
      <c r="T14" s="93">
        <v>7.625</v>
      </c>
      <c r="U14" s="93">
        <v>7.9969999999999999</v>
      </c>
      <c r="V14" s="93">
        <v>8.4510000000000005</v>
      </c>
      <c r="W14" s="93">
        <v>8.9109999999999996</v>
      </c>
      <c r="X14" s="93">
        <v>8.5559999999999992</v>
      </c>
      <c r="Y14" s="93">
        <v>8.2449999999999992</v>
      </c>
      <c r="Z14" s="93">
        <v>8.2759999999999998</v>
      </c>
      <c r="AA14" s="93">
        <v>8.266</v>
      </c>
      <c r="AB14" s="93">
        <v>8.4879999999999995</v>
      </c>
      <c r="AC14" s="93">
        <v>8.8019999999999996</v>
      </c>
      <c r="AD14" s="93">
        <v>9.2590000000000003</v>
      </c>
      <c r="AE14" s="93">
        <v>9.8409999999999993</v>
      </c>
      <c r="AF14" s="93">
        <v>10.3</v>
      </c>
      <c r="AG14" s="93">
        <v>10.944000000000001</v>
      </c>
      <c r="AH14" s="93">
        <v>11.423999999999999</v>
      </c>
      <c r="AI14" s="93">
        <v>10.372</v>
      </c>
      <c r="AJ14" s="117">
        <v>11.09</v>
      </c>
    </row>
    <row r="15" spans="1:36" ht="12.75" customHeight="1">
      <c r="A15" s="5"/>
      <c r="B15" s="107" t="s">
        <v>42</v>
      </c>
      <c r="C15" s="329">
        <v>10.545999999999999</v>
      </c>
      <c r="D15" s="329">
        <v>18.010999999999999</v>
      </c>
      <c r="E15" s="114">
        <v>21.43</v>
      </c>
      <c r="F15" s="114">
        <v>22.08</v>
      </c>
      <c r="G15" s="114">
        <v>22.673999999999999</v>
      </c>
      <c r="H15" s="114">
        <v>23.206</v>
      </c>
      <c r="I15" s="114">
        <v>23.54</v>
      </c>
      <c r="J15" s="114">
        <v>24.6</v>
      </c>
      <c r="K15" s="114">
        <v>25.096</v>
      </c>
      <c r="L15" s="114">
        <v>25.622</v>
      </c>
      <c r="M15" s="114">
        <v>26.32</v>
      </c>
      <c r="N15" s="114">
        <v>26.768999999999998</v>
      </c>
      <c r="O15" s="114">
        <v>27.036999999999999</v>
      </c>
      <c r="P15" s="114">
        <v>27.114999999999998</v>
      </c>
      <c r="Q15" s="114">
        <v>27.247</v>
      </c>
      <c r="R15" s="114">
        <v>27.138999999999999</v>
      </c>
      <c r="S15" s="114">
        <v>26.78</v>
      </c>
      <c r="T15" s="114">
        <v>26.829000000000001</v>
      </c>
      <c r="U15" s="114">
        <v>26.937999999999999</v>
      </c>
      <c r="V15" s="114">
        <v>27.102</v>
      </c>
      <c r="W15" s="114">
        <v>27.186</v>
      </c>
      <c r="X15" s="114">
        <v>27.324000000000002</v>
      </c>
      <c r="Y15" s="114">
        <v>27.311</v>
      </c>
      <c r="Z15" s="114">
        <v>27.120999999999999</v>
      </c>
      <c r="AA15" s="114">
        <v>26.962</v>
      </c>
      <c r="AB15" s="114">
        <v>26.783000000000001</v>
      </c>
      <c r="AC15" s="114">
        <v>26.690999999999999</v>
      </c>
      <c r="AD15" s="114">
        <v>26.585999999999999</v>
      </c>
      <c r="AE15" s="114">
        <v>26.541</v>
      </c>
      <c r="AF15" s="114">
        <v>26.481000000000002</v>
      </c>
      <c r="AG15" s="114">
        <v>26.388999999999999</v>
      </c>
      <c r="AH15" s="114">
        <v>26.478999999999999</v>
      </c>
      <c r="AI15" s="114">
        <v>26.539000000000001</v>
      </c>
      <c r="AJ15" s="116">
        <v>26.584</v>
      </c>
    </row>
    <row r="16" spans="1:36" ht="12.75" customHeight="1">
      <c r="A16" s="5"/>
      <c r="B16" s="7" t="s">
        <v>47</v>
      </c>
      <c r="C16" s="330">
        <v>30.728000000000002</v>
      </c>
      <c r="D16" s="330">
        <v>42.631</v>
      </c>
      <c r="E16" s="93">
        <v>45.767000000000003</v>
      </c>
      <c r="F16" s="93">
        <v>46.603999999999999</v>
      </c>
      <c r="G16" s="93">
        <v>47.18</v>
      </c>
      <c r="H16" s="93">
        <v>47.027999999999999</v>
      </c>
      <c r="I16" s="93">
        <v>47.088000000000001</v>
      </c>
      <c r="J16" s="93">
        <v>47.375</v>
      </c>
      <c r="K16" s="93">
        <v>48.405000000000001</v>
      </c>
      <c r="L16" s="93">
        <v>50.034999999999997</v>
      </c>
      <c r="M16" s="93">
        <v>51.805</v>
      </c>
      <c r="N16" s="93">
        <v>53.54</v>
      </c>
      <c r="O16" s="93">
        <v>54.731999999999999</v>
      </c>
      <c r="P16" s="93">
        <v>56.146000000000001</v>
      </c>
      <c r="Q16" s="93">
        <v>56.953000000000003</v>
      </c>
      <c r="R16" s="93">
        <v>55.993000000000002</v>
      </c>
      <c r="S16" s="93">
        <v>56.957000000000001</v>
      </c>
      <c r="T16" s="93">
        <v>58.247999999999998</v>
      </c>
      <c r="U16" s="93">
        <v>59.104999999999997</v>
      </c>
      <c r="V16" s="93">
        <v>61.039000000000001</v>
      </c>
      <c r="W16" s="93">
        <v>62.195999999999998</v>
      </c>
      <c r="X16" s="93">
        <v>62.662999999999997</v>
      </c>
      <c r="Y16" s="93">
        <v>62.445</v>
      </c>
      <c r="Z16" s="93">
        <v>62.357999999999997</v>
      </c>
      <c r="AA16" s="93">
        <v>61.127000000000002</v>
      </c>
      <c r="AB16" s="93">
        <v>59.892000000000003</v>
      </c>
      <c r="AC16" s="93">
        <v>59.798999999999999</v>
      </c>
      <c r="AD16" s="93">
        <v>60.252000000000002</v>
      </c>
      <c r="AE16" s="93">
        <v>61.838000000000001</v>
      </c>
      <c r="AF16" s="93">
        <v>63.588999999999999</v>
      </c>
      <c r="AG16" s="93">
        <v>64.905000000000001</v>
      </c>
      <c r="AH16" s="93">
        <v>65.47</v>
      </c>
      <c r="AI16" s="93">
        <v>63.387</v>
      </c>
      <c r="AJ16" s="117">
        <v>64.3</v>
      </c>
    </row>
    <row r="17" spans="1:36" ht="12.75" customHeight="1">
      <c r="A17" s="5"/>
      <c r="B17" s="107" t="s">
        <v>48</v>
      </c>
      <c r="C17" s="329">
        <v>41</v>
      </c>
      <c r="D17" s="329">
        <v>59</v>
      </c>
      <c r="E17" s="114">
        <v>70</v>
      </c>
      <c r="F17" s="114">
        <v>76</v>
      </c>
      <c r="G17" s="114">
        <v>76</v>
      </c>
      <c r="H17" s="114">
        <v>76</v>
      </c>
      <c r="I17" s="114">
        <v>78</v>
      </c>
      <c r="J17" s="114">
        <v>79</v>
      </c>
      <c r="K17" s="114">
        <v>82</v>
      </c>
      <c r="L17" s="114">
        <v>82</v>
      </c>
      <c r="M17" s="188">
        <v>84.960999999999999</v>
      </c>
      <c r="N17" s="114">
        <v>85.668000000000006</v>
      </c>
      <c r="O17" s="114">
        <v>85.748999999999995</v>
      </c>
      <c r="P17" s="114">
        <v>86.953999999999994</v>
      </c>
      <c r="Q17" s="114">
        <v>85.876000000000005</v>
      </c>
      <c r="R17" s="114">
        <v>87.100999999999999</v>
      </c>
      <c r="S17" s="114">
        <v>88.417000000000002</v>
      </c>
      <c r="T17" s="114">
        <v>90.055000000000007</v>
      </c>
      <c r="U17" s="114">
        <v>92.152000000000001</v>
      </c>
      <c r="V17" s="114">
        <v>94.391999999999996</v>
      </c>
      <c r="W17" s="114">
        <v>92.873999999999995</v>
      </c>
      <c r="X17" s="114">
        <v>90.451999999999998</v>
      </c>
      <c r="Y17" s="114">
        <v>89.685000000000002</v>
      </c>
      <c r="Z17" s="114">
        <v>91.498999999999995</v>
      </c>
      <c r="AA17" s="114">
        <v>92.766999999999996</v>
      </c>
      <c r="AB17" s="114">
        <v>95.742999999999995</v>
      </c>
      <c r="AC17" s="172">
        <v>96.466999999999999</v>
      </c>
      <c r="AD17" s="114">
        <v>86.573999999999998</v>
      </c>
      <c r="AE17" s="114">
        <v>86.983999999999995</v>
      </c>
      <c r="AF17" s="114">
        <v>87.350999999999999</v>
      </c>
      <c r="AG17" s="114">
        <v>88.515000000000001</v>
      </c>
      <c r="AH17" s="114">
        <v>89.456999999999994</v>
      </c>
      <c r="AI17" s="114">
        <v>90.77</v>
      </c>
      <c r="AJ17" s="114">
        <v>92.296999999999997</v>
      </c>
    </row>
    <row r="18" spans="1:36" ht="12.75" customHeight="1">
      <c r="A18" s="5"/>
      <c r="B18" s="7" t="s">
        <v>59</v>
      </c>
      <c r="C18" s="330"/>
      <c r="D18" s="330"/>
      <c r="E18" s="93">
        <v>5.8360000000000003</v>
      </c>
      <c r="F18" s="93">
        <v>4.8760000000000003</v>
      </c>
      <c r="G18" s="93">
        <v>4.1040000000000001</v>
      </c>
      <c r="H18" s="93">
        <v>3.895</v>
      </c>
      <c r="I18" s="93">
        <v>4.0259999999999998</v>
      </c>
      <c r="J18" s="93">
        <v>3.8969999999999998</v>
      </c>
      <c r="K18" s="93">
        <v>4.5960000000000001</v>
      </c>
      <c r="L18" s="93">
        <v>4.7709999999999999</v>
      </c>
      <c r="M18" s="93">
        <v>4.8140000000000001</v>
      </c>
      <c r="N18" s="93">
        <v>4.7430000000000003</v>
      </c>
      <c r="O18" s="93">
        <v>4.66</v>
      </c>
      <c r="P18" s="93">
        <v>4.7699999999999996</v>
      </c>
      <c r="Q18" s="93">
        <v>4.7919999999999998</v>
      </c>
      <c r="R18" s="93">
        <v>4.8330000000000002</v>
      </c>
      <c r="S18" s="93">
        <v>4.8689999999999998</v>
      </c>
      <c r="T18" s="93">
        <v>4.851</v>
      </c>
      <c r="U18" s="93">
        <v>4.9139999999999997</v>
      </c>
      <c r="V18" s="93">
        <v>5.0430000000000001</v>
      </c>
      <c r="W18" s="93">
        <v>5.0990000000000002</v>
      </c>
      <c r="X18" s="93">
        <v>5.0709999999999997</v>
      </c>
      <c r="Y18" s="190">
        <v>4.8769999999999998</v>
      </c>
      <c r="Z18" s="93">
        <v>4.8410000000000002</v>
      </c>
      <c r="AA18" s="93">
        <v>4.6550000000000002</v>
      </c>
      <c r="AB18" s="93">
        <v>4.7889999999999997</v>
      </c>
      <c r="AC18" s="93">
        <v>5.04</v>
      </c>
      <c r="AD18" s="93">
        <v>5.2759999999999998</v>
      </c>
      <c r="AE18" s="93">
        <v>5.5129999999999999</v>
      </c>
      <c r="AF18" s="93">
        <v>5.6980000000000004</v>
      </c>
      <c r="AG18" s="93">
        <v>5.8769999999999998</v>
      </c>
      <c r="AH18" s="93">
        <v>6.0410000000000004</v>
      </c>
      <c r="AI18" s="93">
        <v>5.2370000000000001</v>
      </c>
      <c r="AJ18" s="117">
        <v>5.2060000000000004</v>
      </c>
    </row>
    <row r="19" spans="1:36" ht="12.75" customHeight="1">
      <c r="A19" s="5"/>
      <c r="B19" s="107" t="s">
        <v>50</v>
      </c>
      <c r="C19" s="329">
        <v>32.899000000000001</v>
      </c>
      <c r="D19" s="329">
        <v>58.149000000000001</v>
      </c>
      <c r="E19" s="114">
        <v>77.730999999999995</v>
      </c>
      <c r="F19" s="114">
        <v>78</v>
      </c>
      <c r="G19" s="114">
        <v>78.179000000000002</v>
      </c>
      <c r="H19" s="114">
        <v>76.974000000000004</v>
      </c>
      <c r="I19" s="114">
        <v>76.075999999999993</v>
      </c>
      <c r="J19" s="114">
        <v>75.022999999999996</v>
      </c>
      <c r="K19" s="114">
        <v>78.183000000000007</v>
      </c>
      <c r="L19" s="114">
        <v>84.177000000000007</v>
      </c>
      <c r="M19" s="114">
        <v>84.822000000000003</v>
      </c>
      <c r="N19" s="114">
        <v>85.762</v>
      </c>
      <c r="O19" s="114">
        <v>87.956000000000003</v>
      </c>
      <c r="P19" s="114">
        <v>89.858000000000004</v>
      </c>
      <c r="Q19" s="114">
        <v>91.715999999999994</v>
      </c>
      <c r="R19" s="114">
        <v>92.700999999999993</v>
      </c>
      <c r="S19" s="114">
        <v>92.873999999999995</v>
      </c>
      <c r="T19" s="114">
        <v>94.436999999999998</v>
      </c>
      <c r="U19" s="114">
        <v>96.099000000000004</v>
      </c>
      <c r="V19" s="114">
        <v>96.418999999999997</v>
      </c>
      <c r="W19" s="114">
        <v>97.596999999999994</v>
      </c>
      <c r="X19" s="114">
        <v>98.724000000000004</v>
      </c>
      <c r="Y19" s="114">
        <v>99.894999999999996</v>
      </c>
      <c r="Z19" s="114">
        <v>100.438</v>
      </c>
      <c r="AA19" s="114">
        <v>99.537000000000006</v>
      </c>
      <c r="AB19" s="114">
        <v>98.551000000000002</v>
      </c>
      <c r="AC19" s="114">
        <v>97.914000000000001</v>
      </c>
      <c r="AD19" s="114">
        <v>97.991</v>
      </c>
      <c r="AE19" s="114">
        <v>97.816999999999993</v>
      </c>
      <c r="AF19" s="114">
        <v>99.1</v>
      </c>
      <c r="AG19" s="114">
        <v>100.042</v>
      </c>
      <c r="AH19" s="114">
        <v>100.149</v>
      </c>
      <c r="AI19" s="114">
        <v>99.882999999999996</v>
      </c>
      <c r="AJ19" s="114">
        <v>100.199</v>
      </c>
    </row>
    <row r="20" spans="1:36" ht="12.75" customHeight="1">
      <c r="A20" s="5"/>
      <c r="B20" s="7" t="s">
        <v>29</v>
      </c>
      <c r="C20" s="330"/>
      <c r="D20" s="330">
        <v>1.6</v>
      </c>
      <c r="E20" s="93">
        <v>2.3079999999999998</v>
      </c>
      <c r="F20" s="93">
        <v>2.1760000000000002</v>
      </c>
      <c r="G20" s="93">
        <v>2.371</v>
      </c>
      <c r="H20" s="93">
        <v>2.4380000000000002</v>
      </c>
      <c r="I20" s="93">
        <v>2.5459999999999998</v>
      </c>
      <c r="J20" s="93">
        <v>2.67</v>
      </c>
      <c r="K20" s="93">
        <v>2.8010000000000002</v>
      </c>
      <c r="L20" s="93">
        <v>2.8</v>
      </c>
      <c r="M20" s="93">
        <v>2.754</v>
      </c>
      <c r="N20" s="93">
        <v>2.835</v>
      </c>
      <c r="O20" s="93">
        <v>2.9489999999999998</v>
      </c>
      <c r="P20" s="93">
        <v>3.0030000000000001</v>
      </c>
      <c r="Q20" s="93">
        <v>2.9969999999999999</v>
      </c>
      <c r="R20" s="93">
        <v>3.2749999999999999</v>
      </c>
      <c r="S20" s="93">
        <v>3.1989999999999998</v>
      </c>
      <c r="T20" s="93">
        <v>3.2170000000000001</v>
      </c>
      <c r="U20" s="93">
        <v>3.2210000000000001</v>
      </c>
      <c r="V20" s="93">
        <v>3.2919999999999998</v>
      </c>
      <c r="W20" s="93">
        <v>3.4020000000000001</v>
      </c>
      <c r="X20" s="93">
        <v>3.4489999999999998</v>
      </c>
      <c r="Y20" s="93">
        <v>3.403</v>
      </c>
      <c r="Z20" s="93">
        <v>3.4609999999999999</v>
      </c>
      <c r="AA20" s="93">
        <v>3.5569999999999999</v>
      </c>
      <c r="AB20" s="93">
        <v>3.4950000000000001</v>
      </c>
      <c r="AC20" s="339">
        <v>2.581</v>
      </c>
      <c r="AD20" s="93">
        <v>2.7120000000000002</v>
      </c>
      <c r="AE20" s="93">
        <v>2.8420000000000001</v>
      </c>
      <c r="AF20" s="93">
        <v>2.9910000000000001</v>
      </c>
      <c r="AG20" s="93">
        <v>3.0840000000000001</v>
      </c>
      <c r="AH20" s="93">
        <v>3.1509999999999998</v>
      </c>
      <c r="AI20" s="93">
        <v>2.6549999999999998</v>
      </c>
      <c r="AJ20" s="117">
        <v>2.774</v>
      </c>
    </row>
    <row r="21" spans="1:36" ht="12.75" customHeight="1">
      <c r="A21" s="5"/>
      <c r="B21" s="107" t="s">
        <v>33</v>
      </c>
      <c r="C21" s="329"/>
      <c r="D21" s="329"/>
      <c r="E21" s="114">
        <v>12.138</v>
      </c>
      <c r="F21" s="115">
        <v>13.003399999999999</v>
      </c>
      <c r="G21" s="115">
        <v>13.8688</v>
      </c>
      <c r="H21" s="115">
        <v>14.7342</v>
      </c>
      <c r="I21" s="115">
        <v>15.599599999999999</v>
      </c>
      <c r="J21" s="114">
        <v>16.465</v>
      </c>
      <c r="K21" s="114">
        <v>17.274999999999999</v>
      </c>
      <c r="L21" s="172">
        <v>18.558</v>
      </c>
      <c r="M21" s="114">
        <v>11.505000000000001</v>
      </c>
      <c r="N21" s="114">
        <v>11.555999999999999</v>
      </c>
      <c r="O21" s="114">
        <v>11.500999999999999</v>
      </c>
      <c r="P21" s="114">
        <v>11.294</v>
      </c>
      <c r="Q21" s="114">
        <v>11.164</v>
      </c>
      <c r="R21" s="114">
        <v>10.983000000000001</v>
      </c>
      <c r="S21" s="114">
        <v>10.74</v>
      </c>
      <c r="T21" s="114">
        <v>10.644</v>
      </c>
      <c r="U21" s="114">
        <v>10.628</v>
      </c>
      <c r="V21" s="114">
        <v>10.624000000000001</v>
      </c>
      <c r="W21" s="114">
        <v>10.542999999999999</v>
      </c>
      <c r="X21" s="114">
        <v>9.6869999999999994</v>
      </c>
      <c r="Y21" s="188">
        <v>5.3769999999999998</v>
      </c>
      <c r="Z21" s="114">
        <v>5.1859999999999999</v>
      </c>
      <c r="AA21" s="114">
        <v>5.0439999999999996</v>
      </c>
      <c r="AB21" s="114">
        <v>4.9889999999999999</v>
      </c>
      <c r="AC21" s="114">
        <v>4.8449999999999998</v>
      </c>
      <c r="AD21" s="114">
        <v>4.7969999999999997</v>
      </c>
      <c r="AE21" s="114">
        <v>4.6959999999999997</v>
      </c>
      <c r="AF21" s="114">
        <v>4.7</v>
      </c>
      <c r="AG21" s="114">
        <v>4.6319999999999997</v>
      </c>
      <c r="AH21" s="114">
        <v>4.5490000000000004</v>
      </c>
      <c r="AI21" s="114">
        <v>4.1050000000000004</v>
      </c>
      <c r="AJ21" s="116">
        <v>3.992</v>
      </c>
    </row>
    <row r="22" spans="1:36" ht="12.75" customHeight="1">
      <c r="A22" s="5"/>
      <c r="B22" s="7" t="s">
        <v>34</v>
      </c>
      <c r="C22" s="330"/>
      <c r="D22" s="330">
        <v>10.5</v>
      </c>
      <c r="E22" s="93">
        <v>15.2</v>
      </c>
      <c r="F22" s="190">
        <v>15.6768</v>
      </c>
      <c r="G22" s="190">
        <v>16.153600000000001</v>
      </c>
      <c r="H22" s="190">
        <v>16.630399999999998</v>
      </c>
      <c r="I22" s="190">
        <v>17.107199999999999</v>
      </c>
      <c r="J22" s="93">
        <v>17.584</v>
      </c>
      <c r="K22" s="93">
        <v>16.026</v>
      </c>
      <c r="L22" s="93">
        <v>15.435</v>
      </c>
      <c r="M22" s="93">
        <v>15.679</v>
      </c>
      <c r="N22" s="93">
        <v>16.09</v>
      </c>
      <c r="O22" s="93">
        <v>15.543000000000001</v>
      </c>
      <c r="P22" s="93">
        <v>15.641</v>
      </c>
      <c r="Q22" s="93">
        <v>15.841999999999999</v>
      </c>
      <c r="R22" s="93">
        <v>16.006</v>
      </c>
      <c r="S22" s="93">
        <v>14.853000000000002</v>
      </c>
      <c r="T22" s="93">
        <v>15.311</v>
      </c>
      <c r="U22" s="93">
        <v>15.619</v>
      </c>
      <c r="V22" s="93">
        <v>14.488</v>
      </c>
      <c r="W22" s="93">
        <v>14.311999999999999</v>
      </c>
      <c r="X22" s="93">
        <v>13.837</v>
      </c>
      <c r="Y22" s="93">
        <v>13.728</v>
      </c>
      <c r="Z22" s="93">
        <v>13.545</v>
      </c>
      <c r="AA22" s="93">
        <v>13.106999999999999</v>
      </c>
      <c r="AB22" s="93">
        <v>13.063000000000001</v>
      </c>
      <c r="AC22" s="339">
        <v>6.9370000000000003</v>
      </c>
      <c r="AD22" s="93">
        <v>6.8559999999999999</v>
      </c>
      <c r="AE22" s="93">
        <v>6.9260000000000002</v>
      </c>
      <c r="AF22" s="93">
        <v>7.2</v>
      </c>
      <c r="AG22" s="93">
        <v>7.5170000000000003</v>
      </c>
      <c r="AH22" s="93">
        <v>7.6459999999999999</v>
      </c>
      <c r="AI22" s="93">
        <v>7.6550000000000002</v>
      </c>
      <c r="AJ22" s="117">
        <v>7.59</v>
      </c>
    </row>
    <row r="23" spans="1:36" ht="12.75" customHeight="1">
      <c r="A23" s="5"/>
      <c r="B23" s="107" t="s">
        <v>51</v>
      </c>
      <c r="C23" s="329">
        <v>0.56000000000000005</v>
      </c>
      <c r="D23" s="329">
        <v>0.64700000000000002</v>
      </c>
      <c r="E23" s="114">
        <v>0.76</v>
      </c>
      <c r="F23" s="114">
        <v>0.77700000000000002</v>
      </c>
      <c r="G23" s="114">
        <v>0.81399999999999995</v>
      </c>
      <c r="H23" s="114">
        <v>0.85</v>
      </c>
      <c r="I23" s="114">
        <v>0.84599999999999997</v>
      </c>
      <c r="J23" s="114">
        <v>0.871</v>
      </c>
      <c r="K23" s="114">
        <v>0.91400000000000003</v>
      </c>
      <c r="L23" s="114">
        <v>0.94399999999999995</v>
      </c>
      <c r="M23" s="114">
        <v>0.94499999999999995</v>
      </c>
      <c r="N23" s="114">
        <v>0.98399999999999999</v>
      </c>
      <c r="O23" s="114">
        <v>1.0509999999999999</v>
      </c>
      <c r="P23" s="114">
        <v>1.123</v>
      </c>
      <c r="Q23" s="114">
        <v>1.1759999999999999</v>
      </c>
      <c r="R23" s="114">
        <v>1.2270000000000001</v>
      </c>
      <c r="S23" s="114">
        <v>1.27</v>
      </c>
      <c r="T23" s="114">
        <v>1.34</v>
      </c>
      <c r="U23" s="114">
        <v>1.38</v>
      </c>
      <c r="V23" s="114">
        <v>1.456</v>
      </c>
      <c r="W23" s="114">
        <v>1.546</v>
      </c>
      <c r="X23" s="114">
        <v>1.6240000000000001</v>
      </c>
      <c r="Y23" s="114">
        <v>1.637</v>
      </c>
      <c r="Z23" s="114">
        <v>1.7030000000000001</v>
      </c>
      <c r="AA23" s="114">
        <v>1.728</v>
      </c>
      <c r="AB23" s="114">
        <v>1.7589999999999999</v>
      </c>
      <c r="AC23" s="114">
        <v>1.778</v>
      </c>
      <c r="AD23" s="343">
        <v>1.857</v>
      </c>
      <c r="AE23" s="343">
        <v>1.9039999999999999</v>
      </c>
      <c r="AF23" s="343">
        <v>2</v>
      </c>
      <c r="AG23" s="343">
        <v>2.0419999999999998</v>
      </c>
      <c r="AH23" s="343">
        <v>2.1579999999999999</v>
      </c>
      <c r="AI23" s="343">
        <v>2.2509999999999999</v>
      </c>
      <c r="AJ23" s="340">
        <v>2.3450000000000002</v>
      </c>
    </row>
    <row r="24" spans="1:36" ht="12.75" customHeight="1">
      <c r="A24" s="5"/>
      <c r="B24" s="7" t="s">
        <v>32</v>
      </c>
      <c r="C24" s="330"/>
      <c r="D24" s="330">
        <v>22.2</v>
      </c>
      <c r="E24" s="93">
        <v>26.437999999999999</v>
      </c>
      <c r="F24" s="93">
        <v>24.497</v>
      </c>
      <c r="G24" s="93">
        <v>23.187000000000001</v>
      </c>
      <c r="H24" s="93">
        <v>22.186</v>
      </c>
      <c r="I24" s="93">
        <v>21.785</v>
      </c>
      <c r="J24" s="93">
        <v>20.463999999999999</v>
      </c>
      <c r="K24" s="93">
        <v>19.381</v>
      </c>
      <c r="L24" s="93">
        <v>18.89</v>
      </c>
      <c r="M24" s="93">
        <v>18.795000000000002</v>
      </c>
      <c r="N24" s="93">
        <v>17.733000000000001</v>
      </c>
      <c r="O24" s="93">
        <v>17.855</v>
      </c>
      <c r="P24" s="93">
        <v>17.817</v>
      </c>
      <c r="Q24" s="93">
        <v>17.873000000000001</v>
      </c>
      <c r="R24" s="93">
        <v>17.876999999999999</v>
      </c>
      <c r="S24" s="93">
        <v>17.428000000000001</v>
      </c>
      <c r="T24" s="93">
        <v>17.45</v>
      </c>
      <c r="U24" s="93">
        <v>17.721</v>
      </c>
      <c r="V24" s="93">
        <v>17.899000000000001</v>
      </c>
      <c r="W24" s="93">
        <v>17.954999999999998</v>
      </c>
      <c r="X24" s="93">
        <v>17.72</v>
      </c>
      <c r="Y24" s="93">
        <v>17.640999999999998</v>
      </c>
      <c r="Z24" s="93">
        <v>17.366</v>
      </c>
      <c r="AA24" s="93">
        <v>17.300999999999998</v>
      </c>
      <c r="AB24" s="93">
        <v>17.568999999999999</v>
      </c>
      <c r="AC24" s="93">
        <v>17.922999999999998</v>
      </c>
      <c r="AD24" s="93">
        <v>18.135000000000002</v>
      </c>
      <c r="AE24" s="93">
        <v>18.481999999999999</v>
      </c>
      <c r="AF24" s="93">
        <v>18.7</v>
      </c>
      <c r="AG24" s="93">
        <v>19.134</v>
      </c>
      <c r="AH24" s="93">
        <v>19.454000000000001</v>
      </c>
      <c r="AI24" s="93">
        <v>16.978999999999999</v>
      </c>
      <c r="AJ24" s="117">
        <v>17.759</v>
      </c>
    </row>
    <row r="25" spans="1:36" ht="12.75" customHeight="1">
      <c r="A25" s="5"/>
      <c r="B25" s="107" t="s">
        <v>35</v>
      </c>
      <c r="C25" s="329"/>
      <c r="D25" s="329"/>
      <c r="E25" s="114">
        <v>0.97799999999999998</v>
      </c>
      <c r="F25" s="115">
        <v>0.96399999999999997</v>
      </c>
      <c r="G25" s="115">
        <v>0.95000000000000007</v>
      </c>
      <c r="H25" s="114">
        <v>0.93600000000000005</v>
      </c>
      <c r="I25" s="114">
        <v>0.96399999999999997</v>
      </c>
      <c r="J25" s="114">
        <v>1.014</v>
      </c>
      <c r="K25" s="114">
        <v>0.96699999999999997</v>
      </c>
      <c r="L25" s="114">
        <v>1.077</v>
      </c>
      <c r="M25" s="114">
        <v>1.107</v>
      </c>
      <c r="N25" s="114">
        <v>1.119</v>
      </c>
      <c r="O25" s="114">
        <v>1.1259999999999999</v>
      </c>
      <c r="P25" s="114">
        <v>1.125</v>
      </c>
      <c r="Q25" s="114">
        <v>1.133</v>
      </c>
      <c r="R25" s="114">
        <v>1.1499999999999999</v>
      </c>
      <c r="S25" s="114">
        <v>1.1579999999999999</v>
      </c>
      <c r="T25" s="114">
        <v>1.1429999999999998</v>
      </c>
      <c r="U25" s="114">
        <v>1.1479999999999999</v>
      </c>
      <c r="V25" s="114">
        <v>1.165</v>
      </c>
      <c r="W25" s="114">
        <v>1.1759999999999999</v>
      </c>
      <c r="X25" s="114">
        <v>1.1859999999999999</v>
      </c>
      <c r="Y25" s="188">
        <v>1.835</v>
      </c>
      <c r="Z25" s="114">
        <v>1.7420000000000002</v>
      </c>
      <c r="AA25" s="114">
        <v>1.7459999999999998</v>
      </c>
      <c r="AB25" s="114">
        <v>1.7119999999999997</v>
      </c>
      <c r="AC25" s="114">
        <v>1.7949999999999999</v>
      </c>
      <c r="AD25" s="114">
        <v>1.952</v>
      </c>
      <c r="AE25" s="114">
        <v>1.996</v>
      </c>
      <c r="AF25" s="114">
        <v>2.069</v>
      </c>
      <c r="AG25" s="114">
        <v>2.1120000000000001</v>
      </c>
      <c r="AH25" s="114">
        <v>2.2749999999999999</v>
      </c>
      <c r="AI25" s="114">
        <v>2.222</v>
      </c>
      <c r="AJ25" s="114">
        <v>2.3250000000000002</v>
      </c>
    </row>
    <row r="26" spans="1:36" ht="12.75" customHeight="1">
      <c r="A26" s="5"/>
      <c r="B26" s="7" t="s">
        <v>43</v>
      </c>
      <c r="C26" s="330">
        <v>9.5</v>
      </c>
      <c r="D26" s="330">
        <v>11.2</v>
      </c>
      <c r="E26" s="93">
        <v>12.1</v>
      </c>
      <c r="F26" s="93">
        <v>12.427</v>
      </c>
      <c r="G26" s="93">
        <v>12.340999999999999</v>
      </c>
      <c r="H26" s="93">
        <v>12.525</v>
      </c>
      <c r="I26" s="93">
        <v>12</v>
      </c>
      <c r="J26" s="93">
        <v>11.635999999999999</v>
      </c>
      <c r="K26" s="93">
        <v>11.334</v>
      </c>
      <c r="L26" s="93">
        <v>10.801</v>
      </c>
      <c r="M26" s="93">
        <v>11.006</v>
      </c>
      <c r="N26" s="93">
        <v>11.21</v>
      </c>
      <c r="O26" s="93">
        <v>11.374000000000001</v>
      </c>
      <c r="P26" s="93">
        <v>11.326000000000001</v>
      </c>
      <c r="Q26" s="93">
        <v>11.382</v>
      </c>
      <c r="R26" s="93">
        <v>11.343999999999999</v>
      </c>
      <c r="S26" s="93">
        <v>11.231</v>
      </c>
      <c r="T26" s="93">
        <v>10.994999999999999</v>
      </c>
      <c r="U26" s="93">
        <v>10.845000000000001</v>
      </c>
      <c r="V26" s="93">
        <v>11.090999999999999</v>
      </c>
      <c r="W26" s="93">
        <v>11.332000000000001</v>
      </c>
      <c r="X26" s="93">
        <v>11.634</v>
      </c>
      <c r="Y26" s="93">
        <v>11.276999999999999</v>
      </c>
      <c r="Z26" s="93">
        <v>10.986000000000001</v>
      </c>
      <c r="AA26" s="93">
        <v>10.464</v>
      </c>
      <c r="AB26" s="93">
        <v>9.9220000000000006</v>
      </c>
      <c r="AC26" s="93">
        <v>9.5969999999999995</v>
      </c>
      <c r="AD26" s="93">
        <v>9.4109999999999996</v>
      </c>
      <c r="AE26" s="93">
        <v>9.8219999999999992</v>
      </c>
      <c r="AF26" s="93">
        <v>9.9</v>
      </c>
      <c r="AG26" s="93">
        <v>9.7170000000000005</v>
      </c>
      <c r="AH26" s="93">
        <v>9.8759999999999994</v>
      </c>
      <c r="AI26" s="93">
        <v>9.2769999999999992</v>
      </c>
      <c r="AJ26" s="117">
        <v>8.532</v>
      </c>
    </row>
    <row r="27" spans="1:36" ht="12.75" customHeight="1">
      <c r="A27" s="5"/>
      <c r="B27" s="107" t="s">
        <v>52</v>
      </c>
      <c r="C27" s="329">
        <v>6.8040000000000003</v>
      </c>
      <c r="D27" s="329">
        <v>8.89</v>
      </c>
      <c r="E27" s="114">
        <v>9.4019999999999992</v>
      </c>
      <c r="F27" s="114">
        <v>9.2690000000000001</v>
      </c>
      <c r="G27" s="114">
        <v>9.375</v>
      </c>
      <c r="H27" s="114">
        <v>9.4830000000000005</v>
      </c>
      <c r="I27" s="114">
        <v>9.5980000000000008</v>
      </c>
      <c r="J27" s="114">
        <v>9.7520000000000007</v>
      </c>
      <c r="K27" s="114">
        <v>9.74</v>
      </c>
      <c r="L27" s="114">
        <v>9.6999999999999993</v>
      </c>
      <c r="M27" s="114">
        <v>9.6750000000000007</v>
      </c>
      <c r="N27" s="114">
        <v>9.8339999999999996</v>
      </c>
      <c r="O27" s="114">
        <v>9.9179999999999993</v>
      </c>
      <c r="P27" s="172">
        <v>9.9019999999999992</v>
      </c>
      <c r="Q27" s="114">
        <v>9.1790000000000003</v>
      </c>
      <c r="R27" s="114">
        <v>9.2309999999999999</v>
      </c>
      <c r="S27" s="114">
        <v>9.4079999999999995</v>
      </c>
      <c r="T27" s="114">
        <v>9.3010000000000002</v>
      </c>
      <c r="U27" s="114">
        <v>9.2970000000000006</v>
      </c>
      <c r="V27" s="114">
        <v>9.2989999999999995</v>
      </c>
      <c r="W27" s="114">
        <v>9.3680000000000003</v>
      </c>
      <c r="X27" s="114">
        <v>9.5990000000000002</v>
      </c>
      <c r="Y27" s="114">
        <v>9.6479999999999997</v>
      </c>
      <c r="Z27" s="114">
        <v>9.6020000000000003</v>
      </c>
      <c r="AA27" s="114">
        <v>9.5459999999999994</v>
      </c>
      <c r="AB27" s="114">
        <v>9.5790000000000006</v>
      </c>
      <c r="AC27" s="114">
        <v>9.5850000000000009</v>
      </c>
      <c r="AD27" s="114">
        <v>9.6790000000000003</v>
      </c>
      <c r="AE27" s="114">
        <v>9.8249999999999993</v>
      </c>
      <c r="AF27" s="114">
        <v>10</v>
      </c>
      <c r="AG27" s="114">
        <v>10.037000000000001</v>
      </c>
      <c r="AH27" s="114">
        <v>10.148</v>
      </c>
      <c r="AI27" s="114">
        <v>10.064</v>
      </c>
      <c r="AJ27" s="114">
        <v>10.135999999999999</v>
      </c>
    </row>
    <row r="28" spans="1:36" ht="12.75" customHeight="1">
      <c r="A28" s="5"/>
      <c r="B28" s="7" t="s">
        <v>36</v>
      </c>
      <c r="C28" s="330"/>
      <c r="D28" s="330">
        <v>66.400000000000006</v>
      </c>
      <c r="E28" s="93">
        <v>92.403000000000006</v>
      </c>
      <c r="F28" s="93">
        <v>86.950999999999993</v>
      </c>
      <c r="G28" s="93">
        <v>86.578000000000003</v>
      </c>
      <c r="H28" s="93">
        <v>86.153999999999996</v>
      </c>
      <c r="I28" s="93">
        <v>86.852000000000004</v>
      </c>
      <c r="J28" s="93">
        <v>85.412999999999997</v>
      </c>
      <c r="K28" s="93">
        <v>85.596000000000004</v>
      </c>
      <c r="L28" s="93">
        <v>81.787999999999997</v>
      </c>
      <c r="M28" s="93">
        <v>80.826999999999998</v>
      </c>
      <c r="N28" s="93">
        <v>78.957999999999998</v>
      </c>
      <c r="O28" s="93">
        <v>82.59</v>
      </c>
      <c r="P28" s="93">
        <v>82.5</v>
      </c>
      <c r="Q28" s="93">
        <v>83.388999999999996</v>
      </c>
      <c r="R28" s="93">
        <v>82.769000000000005</v>
      </c>
      <c r="S28" s="93">
        <v>82.676000000000002</v>
      </c>
      <c r="T28" s="93">
        <v>79.566999999999993</v>
      </c>
      <c r="U28" s="93">
        <v>83.495999999999995</v>
      </c>
      <c r="V28" s="93">
        <v>87.585999999999999</v>
      </c>
      <c r="W28" s="93">
        <v>92.400999999999996</v>
      </c>
      <c r="X28" s="93">
        <v>95.415000000000006</v>
      </c>
      <c r="Y28" s="93">
        <v>97.043999999999997</v>
      </c>
      <c r="Z28" s="93">
        <v>100.29900000000001</v>
      </c>
      <c r="AA28" s="93">
        <v>99.858000000000004</v>
      </c>
      <c r="AB28" s="93">
        <v>102.602</v>
      </c>
      <c r="AC28" s="93">
        <v>106.057</v>
      </c>
      <c r="AD28" s="93">
        <v>109.84399999999999</v>
      </c>
      <c r="AE28" s="93">
        <v>113.139</v>
      </c>
      <c r="AF28" s="93">
        <v>116.1</v>
      </c>
      <c r="AG28" s="93">
        <v>119.471</v>
      </c>
      <c r="AH28" s="93">
        <v>122.604</v>
      </c>
      <c r="AI28" s="93">
        <v>124.526</v>
      </c>
      <c r="AJ28" s="117">
        <v>126.547</v>
      </c>
    </row>
    <row r="29" spans="1:36" ht="12.75" customHeight="1">
      <c r="A29" s="5"/>
      <c r="B29" s="107" t="s">
        <v>53</v>
      </c>
      <c r="C29" s="329">
        <v>5.8730000000000002</v>
      </c>
      <c r="D29" s="329">
        <v>8.4890000000000008</v>
      </c>
      <c r="E29" s="114">
        <v>12.099</v>
      </c>
      <c r="F29" s="114">
        <v>12.348000000000001</v>
      </c>
      <c r="G29" s="114">
        <v>12.961</v>
      </c>
      <c r="H29" s="114">
        <v>13.554</v>
      </c>
      <c r="I29" s="114">
        <v>14.353</v>
      </c>
      <c r="J29" s="114">
        <v>15.02</v>
      </c>
      <c r="K29" s="114">
        <v>15.680999999999999</v>
      </c>
      <c r="L29" s="114">
        <v>16.431000000000001</v>
      </c>
      <c r="M29" s="114">
        <v>17.513000000000002</v>
      </c>
      <c r="N29" s="114">
        <v>18.544</v>
      </c>
      <c r="O29" s="172">
        <v>19.78</v>
      </c>
      <c r="P29" s="114">
        <v>20.76</v>
      </c>
      <c r="Q29" s="114">
        <v>21.387</v>
      </c>
      <c r="R29" s="114">
        <v>21.652999999999999</v>
      </c>
      <c r="S29" s="193">
        <v>21.8</v>
      </c>
      <c r="T29" s="114">
        <v>14.673999999999999</v>
      </c>
      <c r="U29" s="114">
        <v>15</v>
      </c>
      <c r="V29" s="114">
        <v>15.1</v>
      </c>
      <c r="W29" s="114">
        <v>15.4</v>
      </c>
      <c r="X29" s="114">
        <v>15.5</v>
      </c>
      <c r="Y29" s="188">
        <v>15.425000000000001</v>
      </c>
      <c r="Z29" s="114">
        <v>15.180999999999999</v>
      </c>
      <c r="AA29" s="114">
        <v>12.356999999999999</v>
      </c>
      <c r="AB29" s="114">
        <v>12.111000000000001</v>
      </c>
      <c r="AC29" s="114">
        <v>14.941000000000001</v>
      </c>
      <c r="AD29" s="114">
        <v>14.717000000000001</v>
      </c>
      <c r="AE29" s="114">
        <v>14.85</v>
      </c>
      <c r="AF29" s="114">
        <v>15.2</v>
      </c>
      <c r="AG29" s="114">
        <v>15.493</v>
      </c>
      <c r="AH29" s="114">
        <v>17.818999999999999</v>
      </c>
      <c r="AI29" s="114">
        <v>15.196999999999999</v>
      </c>
      <c r="AJ29" s="116">
        <v>15.477</v>
      </c>
    </row>
    <row r="30" spans="1:36" ht="12.75" customHeight="1">
      <c r="A30" s="5"/>
      <c r="B30" s="7" t="s">
        <v>37</v>
      </c>
      <c r="C30" s="330"/>
      <c r="D30" s="330">
        <v>25</v>
      </c>
      <c r="E30" s="93">
        <v>28.272000000000002</v>
      </c>
      <c r="F30" s="93">
        <v>31.155000000000001</v>
      </c>
      <c r="G30" s="93">
        <v>35.079000000000001</v>
      </c>
      <c r="H30" s="93">
        <v>37.731000000000002</v>
      </c>
      <c r="I30" s="93">
        <v>40.016999999999996</v>
      </c>
      <c r="J30" s="93">
        <v>42.046999999999997</v>
      </c>
      <c r="K30" s="93">
        <v>39.515000000000001</v>
      </c>
      <c r="L30" s="93">
        <v>39.957999999999998</v>
      </c>
      <c r="M30" s="93">
        <v>40.385000000000005</v>
      </c>
      <c r="N30" s="93">
        <v>40.622</v>
      </c>
      <c r="O30" s="93">
        <v>40.716000000000001</v>
      </c>
      <c r="P30" s="93">
        <v>40.790999999999997</v>
      </c>
      <c r="Q30" s="93">
        <v>40.78</v>
      </c>
      <c r="R30" s="93">
        <v>41.947000000000003</v>
      </c>
      <c r="S30" s="93">
        <v>43.192</v>
      </c>
      <c r="T30" s="93">
        <v>39.272999999999996</v>
      </c>
      <c r="U30" s="173">
        <v>40.417999999999999</v>
      </c>
      <c r="V30" s="93">
        <v>34.201999999999998</v>
      </c>
      <c r="W30" s="93">
        <v>41.514000000000003</v>
      </c>
      <c r="X30" s="93">
        <v>41.16</v>
      </c>
      <c r="Y30" s="93">
        <v>40.877000000000002</v>
      </c>
      <c r="Z30" s="93">
        <v>40.887</v>
      </c>
      <c r="AA30" s="93">
        <v>42.01</v>
      </c>
      <c r="AB30" s="93">
        <v>42.835999999999999</v>
      </c>
      <c r="AC30" s="93">
        <v>44.283000000000001</v>
      </c>
      <c r="AD30" s="93">
        <v>47.347000000000001</v>
      </c>
      <c r="AE30" s="93">
        <v>48.802999999999997</v>
      </c>
      <c r="AF30" s="93">
        <v>50.3</v>
      </c>
      <c r="AG30" s="93">
        <v>51.802</v>
      </c>
      <c r="AH30" s="93">
        <v>53.771000000000001</v>
      </c>
      <c r="AI30" s="93">
        <v>54.17</v>
      </c>
      <c r="AJ30" s="117">
        <v>54.350999999999999</v>
      </c>
    </row>
    <row r="31" spans="1:36" ht="12.75" customHeight="1">
      <c r="A31" s="5"/>
      <c r="B31" s="107" t="s">
        <v>39</v>
      </c>
      <c r="C31" s="329">
        <v>1.6639999999999999</v>
      </c>
      <c r="D31" s="329">
        <v>2.5049999999999999</v>
      </c>
      <c r="E31" s="114">
        <v>3.077</v>
      </c>
      <c r="F31" s="114">
        <v>2.855</v>
      </c>
      <c r="G31" s="114">
        <v>2.67</v>
      </c>
      <c r="H31" s="114">
        <v>2.597</v>
      </c>
      <c r="I31" s="114">
        <v>2.512</v>
      </c>
      <c r="J31" s="114">
        <v>2.4729999999999999</v>
      </c>
      <c r="K31" s="114">
        <v>2.407</v>
      </c>
      <c r="L31" s="114">
        <v>2.3690000000000002</v>
      </c>
      <c r="M31" s="114">
        <v>2.3250000000000002</v>
      </c>
      <c r="N31" s="114">
        <v>2.3149999999999999</v>
      </c>
      <c r="O31" s="114">
        <v>2.2549999999999999</v>
      </c>
      <c r="P31" s="114">
        <v>2.2130000000000001</v>
      </c>
      <c r="Q31" s="114">
        <v>2.1960000000000002</v>
      </c>
      <c r="R31" s="114">
        <v>2.19</v>
      </c>
      <c r="S31" s="114">
        <v>2.2690000000000001</v>
      </c>
      <c r="T31" s="114">
        <v>2.2549999999999999</v>
      </c>
      <c r="U31" s="114">
        <v>2.2770000000000001</v>
      </c>
      <c r="V31" s="114">
        <v>2.33</v>
      </c>
      <c r="W31" s="114">
        <v>2.3780000000000001</v>
      </c>
      <c r="X31" s="114">
        <v>2.3940000000000001</v>
      </c>
      <c r="Y31" s="114">
        <v>2.4</v>
      </c>
      <c r="Z31" s="114">
        <v>2.4220000000000002</v>
      </c>
      <c r="AA31" s="114">
        <v>2.41</v>
      </c>
      <c r="AB31" s="114">
        <v>2.4649999999999999</v>
      </c>
      <c r="AC31" s="114">
        <v>2.5590000000000002</v>
      </c>
      <c r="AD31" s="114">
        <v>2.6309999999999998</v>
      </c>
      <c r="AE31" s="114">
        <v>2.6789999999999998</v>
      </c>
      <c r="AF31" s="114">
        <v>2.782</v>
      </c>
      <c r="AG31" s="114">
        <v>2.8340000000000001</v>
      </c>
      <c r="AH31" s="114">
        <v>2.8839999999999999</v>
      </c>
      <c r="AI31" s="114">
        <v>2.339</v>
      </c>
      <c r="AJ31" s="116">
        <v>2.6379999999999999</v>
      </c>
    </row>
    <row r="32" spans="1:36" ht="12.75" customHeight="1">
      <c r="A32" s="5"/>
      <c r="B32" s="7" t="s">
        <v>38</v>
      </c>
      <c r="C32" s="330"/>
      <c r="D32" s="330">
        <v>10</v>
      </c>
      <c r="E32" s="93">
        <v>14.301</v>
      </c>
      <c r="F32" s="173">
        <v>13.77</v>
      </c>
      <c r="G32" s="93">
        <v>13.544</v>
      </c>
      <c r="H32" s="93">
        <v>12.847</v>
      </c>
      <c r="I32" s="93">
        <v>12.243</v>
      </c>
      <c r="J32" s="93">
        <v>12.053000000000001</v>
      </c>
      <c r="K32" s="93">
        <v>11.582000000000001</v>
      </c>
      <c r="L32" s="93">
        <v>11.484999999999999</v>
      </c>
      <c r="M32" s="93">
        <v>11.515000000000001</v>
      </c>
      <c r="N32" s="93">
        <v>11.335000000000001</v>
      </c>
      <c r="O32" s="93">
        <v>11.148999999999999</v>
      </c>
      <c r="P32" s="93">
        <v>10.888999999999999</v>
      </c>
      <c r="Q32" s="93">
        <v>10.834</v>
      </c>
      <c r="R32" s="93">
        <v>10.852</v>
      </c>
      <c r="S32" s="93">
        <v>9.202</v>
      </c>
      <c r="T32" s="93">
        <v>9.3919999999999995</v>
      </c>
      <c r="U32" s="93">
        <v>9.07</v>
      </c>
      <c r="V32" s="93">
        <v>10.759</v>
      </c>
      <c r="W32" s="93">
        <v>10.804</v>
      </c>
      <c r="X32" s="191">
        <v>9.6669999999999998</v>
      </c>
      <c r="Y32" s="191">
        <v>9.6159999999999997</v>
      </c>
      <c r="Z32" s="191">
        <v>9.3420000000000005</v>
      </c>
      <c r="AA32" s="191">
        <v>9.2260000000000009</v>
      </c>
      <c r="AB32" s="191">
        <v>9.0709999999999997</v>
      </c>
      <c r="AC32" s="191">
        <v>9.1590000000000007</v>
      </c>
      <c r="AD32" s="191">
        <v>9.27</v>
      </c>
      <c r="AE32" s="191">
        <v>9.0909999999999993</v>
      </c>
      <c r="AF32" s="191">
        <v>9.2409999999999997</v>
      </c>
      <c r="AG32" s="191">
        <v>9.3629999999999995</v>
      </c>
      <c r="AH32" s="191">
        <v>9.2620000000000005</v>
      </c>
      <c r="AI32" s="191">
        <v>8.1639999999999997</v>
      </c>
      <c r="AJ32" s="117">
        <v>8.3699999999999992</v>
      </c>
    </row>
    <row r="33" spans="1:36" ht="12.75" customHeight="1">
      <c r="A33" s="5"/>
      <c r="B33" s="107" t="s">
        <v>54</v>
      </c>
      <c r="C33" s="329">
        <v>8.1159999999999997</v>
      </c>
      <c r="D33" s="329">
        <v>8.9629999999999992</v>
      </c>
      <c r="E33" s="114">
        <v>9.327</v>
      </c>
      <c r="F33" s="114">
        <v>8.968</v>
      </c>
      <c r="G33" s="114">
        <v>8.6649999999999991</v>
      </c>
      <c r="H33" s="114">
        <v>8.2550000000000008</v>
      </c>
      <c r="I33" s="114">
        <v>8.0540000000000003</v>
      </c>
      <c r="J33" s="114">
        <v>8.0830000000000002</v>
      </c>
      <c r="K33" s="114">
        <v>8.2330000000000005</v>
      </c>
      <c r="L33" s="114">
        <v>8.4499999999999993</v>
      </c>
      <c r="M33" s="114">
        <v>9.0399999999999991</v>
      </c>
      <c r="N33" s="114">
        <v>9.4870000000000001</v>
      </c>
      <c r="O33" s="114">
        <v>9.8520000000000003</v>
      </c>
      <c r="P33" s="114">
        <v>9.7690000000000001</v>
      </c>
      <c r="Q33" s="114">
        <v>10.005000000000001</v>
      </c>
      <c r="R33" s="114">
        <v>10.358000000000001</v>
      </c>
      <c r="S33" s="114">
        <v>10.715999999999999</v>
      </c>
      <c r="T33" s="114">
        <v>10.920999999999999</v>
      </c>
      <c r="U33" s="114">
        <v>11.189</v>
      </c>
      <c r="V33" s="114">
        <v>11.542999999999999</v>
      </c>
      <c r="W33" s="114">
        <v>12.276</v>
      </c>
      <c r="X33" s="114">
        <v>13.016999999999999</v>
      </c>
      <c r="Y33" s="114">
        <v>13.65</v>
      </c>
      <c r="Z33" s="114">
        <v>14.226000000000001</v>
      </c>
      <c r="AA33" s="114">
        <v>14.93</v>
      </c>
      <c r="AB33" s="114">
        <v>15.536</v>
      </c>
      <c r="AC33" s="114">
        <v>16.251000000000001</v>
      </c>
      <c r="AD33" s="114">
        <v>16.856000000000002</v>
      </c>
      <c r="AE33" s="114">
        <v>17.536000000000001</v>
      </c>
      <c r="AF33" s="114">
        <v>18.100000000000001</v>
      </c>
      <c r="AG33" s="114">
        <v>18.518999999999998</v>
      </c>
      <c r="AH33" s="114">
        <v>19.137</v>
      </c>
      <c r="AI33" s="114">
        <v>19.282</v>
      </c>
      <c r="AJ33" s="116">
        <v>19.524000000000001</v>
      </c>
    </row>
    <row r="34" spans="1:36" ht="12.75" customHeight="1">
      <c r="A34" s="5"/>
      <c r="B34" s="8" t="s">
        <v>55</v>
      </c>
      <c r="C34" s="584">
        <v>14.253</v>
      </c>
      <c r="D34" s="584">
        <v>12.795999999999999</v>
      </c>
      <c r="E34" s="94">
        <v>14.595000000000001</v>
      </c>
      <c r="F34" s="585">
        <v>14.555</v>
      </c>
      <c r="G34" s="94">
        <v>14.252000000000001</v>
      </c>
      <c r="H34" s="94">
        <v>14.127000000000001</v>
      </c>
      <c r="I34" s="94">
        <v>14.292999999999999</v>
      </c>
      <c r="J34" s="94">
        <v>14.577</v>
      </c>
      <c r="K34" s="94">
        <v>14.753</v>
      </c>
      <c r="L34" s="94">
        <v>14.837999999999999</v>
      </c>
      <c r="M34" s="94">
        <v>14.923999999999999</v>
      </c>
      <c r="N34" s="94">
        <v>14.869</v>
      </c>
      <c r="O34" s="94">
        <v>14.417</v>
      </c>
      <c r="P34" s="94">
        <v>14.246</v>
      </c>
      <c r="Q34" s="94">
        <v>14.013</v>
      </c>
      <c r="R34" s="94">
        <v>13.742000000000001</v>
      </c>
      <c r="S34" s="94">
        <v>13.363</v>
      </c>
      <c r="T34" s="94">
        <v>13.477</v>
      </c>
      <c r="U34" s="94">
        <v>13.643000000000001</v>
      </c>
      <c r="V34" s="94">
        <v>13.315</v>
      </c>
      <c r="W34" s="94">
        <v>13.474</v>
      </c>
      <c r="X34" s="586">
        <v>13.407</v>
      </c>
      <c r="Y34" s="586">
        <v>13.872999999999999</v>
      </c>
      <c r="Z34" s="586">
        <v>13.946999999999999</v>
      </c>
      <c r="AA34" s="586">
        <v>14.202999999999999</v>
      </c>
      <c r="AB34" s="586">
        <v>13.986000000000001</v>
      </c>
      <c r="AC34" s="586">
        <v>13.992000000000001</v>
      </c>
      <c r="AD34" s="586">
        <v>14.114000000000001</v>
      </c>
      <c r="AE34" s="586">
        <v>13.89</v>
      </c>
      <c r="AF34" s="586">
        <v>14.4</v>
      </c>
      <c r="AG34" s="586">
        <v>14.378</v>
      </c>
      <c r="AH34" s="586">
        <v>14.913</v>
      </c>
      <c r="AI34" s="586">
        <v>13.488</v>
      </c>
      <c r="AJ34" s="587">
        <v>13.593</v>
      </c>
    </row>
    <row r="35" spans="1:36" ht="12.75" customHeight="1">
      <c r="A35" s="5"/>
      <c r="B35" s="107" t="s">
        <v>26</v>
      </c>
      <c r="C35" s="329"/>
      <c r="D35" s="329"/>
      <c r="E35" s="114">
        <v>1.3280000000000001</v>
      </c>
      <c r="F35" s="114">
        <v>1.389</v>
      </c>
      <c r="G35" s="114">
        <v>1.157</v>
      </c>
      <c r="H35" s="114">
        <v>1.1930000000000001</v>
      </c>
      <c r="I35" s="114">
        <v>1.2490000000000001</v>
      </c>
      <c r="J35" s="114">
        <v>1.2949999999999999</v>
      </c>
      <c r="K35" s="114">
        <v>1.363</v>
      </c>
      <c r="L35" s="114">
        <v>1.4830000000000001</v>
      </c>
      <c r="M35" s="114">
        <v>1.544</v>
      </c>
      <c r="N35" s="114">
        <v>1.621</v>
      </c>
      <c r="O35" s="114">
        <v>1.673</v>
      </c>
      <c r="P35" s="114">
        <v>1.7110000000000001</v>
      </c>
      <c r="Q35" s="114">
        <v>1.6990000000000001</v>
      </c>
      <c r="R35" s="114">
        <v>1.7090000000000001</v>
      </c>
      <c r="S35" s="114">
        <v>1.762</v>
      </c>
      <c r="T35" s="114">
        <v>1.899</v>
      </c>
      <c r="U35" s="114">
        <v>1.929</v>
      </c>
      <c r="V35" s="114">
        <v>1.9430000000000001</v>
      </c>
      <c r="W35" s="114">
        <v>1.9550000000000001</v>
      </c>
      <c r="X35" s="114">
        <v>1.8879999999999999</v>
      </c>
      <c r="Y35" s="114">
        <v>1.9159999999999999</v>
      </c>
      <c r="Z35" s="114">
        <v>1.972</v>
      </c>
      <c r="AA35" s="114">
        <v>2.0840000000000001</v>
      </c>
      <c r="AB35" s="114">
        <v>2.1789999999999998</v>
      </c>
      <c r="AC35" s="114">
        <v>2.2999999999999998</v>
      </c>
      <c r="AD35" s="114">
        <v>2.4630000000000001</v>
      </c>
      <c r="AE35" s="114">
        <v>2.8620000000000001</v>
      </c>
      <c r="AF35" s="114">
        <v>3.13</v>
      </c>
      <c r="AG35" s="114">
        <v>3.198</v>
      </c>
      <c r="AH35" s="114">
        <v>3.194</v>
      </c>
      <c r="AI35" s="114">
        <v>3.105</v>
      </c>
      <c r="AJ35" s="116">
        <v>3.625</v>
      </c>
    </row>
    <row r="36" spans="1:36" ht="12.75" customHeight="1">
      <c r="A36" s="5"/>
      <c r="B36" s="7" t="s">
        <v>65</v>
      </c>
      <c r="C36" s="330"/>
      <c r="D36" s="330"/>
      <c r="E36" s="93"/>
      <c r="F36" s="93"/>
      <c r="G36" s="93"/>
      <c r="H36" s="93"/>
      <c r="I36" s="93"/>
      <c r="J36" s="93"/>
      <c r="K36" s="93"/>
      <c r="L36" s="93"/>
      <c r="M36" s="93"/>
      <c r="N36" s="93"/>
      <c r="O36" s="93">
        <v>0.10300000000000001</v>
      </c>
      <c r="P36" s="93">
        <v>0.113</v>
      </c>
      <c r="Q36" s="93">
        <v>0.10300000000000001</v>
      </c>
      <c r="R36" s="93">
        <v>9.9000000000000005E-2</v>
      </c>
      <c r="S36" s="93">
        <v>0.10199999999999998</v>
      </c>
      <c r="T36" s="93">
        <v>0.10500000000000001</v>
      </c>
      <c r="U36" s="93">
        <v>0.10599999999999998</v>
      </c>
      <c r="V36" s="93">
        <v>0.10100000000000001</v>
      </c>
      <c r="W36" s="93">
        <v>9.9000000000000005E-2</v>
      </c>
      <c r="X36" s="191">
        <v>0.10300000000000004</v>
      </c>
      <c r="Y36" s="191">
        <v>0.10500000000000004</v>
      </c>
      <c r="Z36" s="191">
        <v>0.10499999999999998</v>
      </c>
      <c r="AA36" s="191">
        <v>0.10500000000000001</v>
      </c>
      <c r="AB36" s="191">
        <v>0.10099999999999999</v>
      </c>
      <c r="AC36" s="191">
        <v>0.10100000000000001</v>
      </c>
      <c r="AD36" s="191">
        <v>0.10299999999999999</v>
      </c>
      <c r="AE36" s="191">
        <v>9.8000000000000004E-2</v>
      </c>
      <c r="AF36" s="191">
        <v>0.1</v>
      </c>
      <c r="AG36" s="191">
        <v>9.9000000000000005E-2</v>
      </c>
      <c r="AH36" s="191">
        <v>0.10199999999999999</v>
      </c>
      <c r="AI36" s="191">
        <v>7.4999999999999997E-2</v>
      </c>
      <c r="AJ36" s="117">
        <v>8.6999999999999994E-2</v>
      </c>
    </row>
    <row r="37" spans="1:36" ht="12.75" customHeight="1">
      <c r="A37" s="5"/>
      <c r="B37" s="107" t="s">
        <v>56</v>
      </c>
      <c r="C37" s="329"/>
      <c r="D37" s="329"/>
      <c r="E37" s="114">
        <v>21.222000000000001</v>
      </c>
      <c r="F37" s="114">
        <v>23.288</v>
      </c>
      <c r="G37" s="114">
        <v>26.76</v>
      </c>
      <c r="H37" s="114">
        <v>29.134</v>
      </c>
      <c r="I37" s="114">
        <v>30.547000000000001</v>
      </c>
      <c r="J37" s="114">
        <v>32.515000000000001</v>
      </c>
      <c r="K37" s="114">
        <v>33.959000000000003</v>
      </c>
      <c r="L37" s="114">
        <v>35.170999999999999</v>
      </c>
      <c r="M37" s="114">
        <v>36.218000000000004</v>
      </c>
      <c r="N37" s="114">
        <v>37.039000000000001</v>
      </c>
      <c r="O37" s="114">
        <v>36.686</v>
      </c>
      <c r="P37" s="114">
        <v>35.667000000000002</v>
      </c>
      <c r="Q37" s="114">
        <v>34.11</v>
      </c>
      <c r="R37" s="114">
        <v>32.374000000000002</v>
      </c>
      <c r="S37" s="114">
        <v>30.591999999999999</v>
      </c>
      <c r="T37" s="114">
        <v>28.783000000000001</v>
      </c>
      <c r="U37" s="114">
        <v>26.954000000000001</v>
      </c>
      <c r="V37" s="114">
        <v>25.204000000000001</v>
      </c>
      <c r="W37" s="114">
        <v>23.324000000000002</v>
      </c>
      <c r="X37" s="114">
        <v>21.474</v>
      </c>
      <c r="Y37" s="114">
        <v>20.347999999999999</v>
      </c>
      <c r="Z37" s="114">
        <v>19.239999999999998</v>
      </c>
      <c r="AA37" s="114">
        <v>18.22</v>
      </c>
      <c r="AB37" s="114">
        <v>17.584</v>
      </c>
      <c r="AC37" s="114">
        <v>17.111000000000001</v>
      </c>
      <c r="AD37" s="114">
        <v>16.667999999999999</v>
      </c>
      <c r="AE37" s="114">
        <v>16.257999999999999</v>
      </c>
      <c r="AF37" s="114">
        <v>16.041</v>
      </c>
      <c r="AG37" s="114">
        <v>15.634</v>
      </c>
      <c r="AH37" s="114">
        <v>15.867000000000001</v>
      </c>
      <c r="AI37" s="114">
        <v>16.085999999999999</v>
      </c>
      <c r="AJ37" s="116">
        <v>15.590999999999999</v>
      </c>
    </row>
    <row r="38" spans="1:36" ht="12.75" customHeight="1">
      <c r="A38" s="5"/>
      <c r="B38" s="8" t="s">
        <v>27</v>
      </c>
      <c r="C38" s="584"/>
      <c r="D38" s="584"/>
      <c r="E38" s="94">
        <v>31.18</v>
      </c>
      <c r="F38" s="585">
        <v>32.968000000000004</v>
      </c>
      <c r="G38" s="94">
        <v>34.136000000000003</v>
      </c>
      <c r="H38" s="94">
        <v>34.851999999999997</v>
      </c>
      <c r="I38" s="94">
        <v>35.676000000000002</v>
      </c>
      <c r="J38" s="94">
        <v>36.517000000000003</v>
      </c>
      <c r="K38" s="94">
        <v>37.661999999999999</v>
      </c>
      <c r="L38" s="94">
        <v>38.508000000000003</v>
      </c>
      <c r="M38" s="94">
        <v>39.012</v>
      </c>
      <c r="N38" s="94">
        <v>39.692</v>
      </c>
      <c r="O38" s="94">
        <v>40.26</v>
      </c>
      <c r="P38" s="94">
        <v>41.341999999999999</v>
      </c>
      <c r="Q38" s="94">
        <v>42.401000000000003</v>
      </c>
      <c r="R38" s="94">
        <v>43.628999999999998</v>
      </c>
      <c r="S38" s="94">
        <v>44.783999999999999</v>
      </c>
      <c r="T38" s="94">
        <v>45.784999999999997</v>
      </c>
      <c r="U38" s="94">
        <v>46.445</v>
      </c>
      <c r="V38" s="94">
        <v>48.026000000000003</v>
      </c>
      <c r="W38" s="94">
        <v>48.536000000000001</v>
      </c>
      <c r="X38" s="586">
        <v>50.674999999999997</v>
      </c>
      <c r="Y38" s="586">
        <v>52.750999999999998</v>
      </c>
      <c r="Z38" s="586">
        <v>55.421999999999997</v>
      </c>
      <c r="AA38" s="586">
        <v>58.3</v>
      </c>
      <c r="AB38" s="586">
        <v>60.151000000000003</v>
      </c>
      <c r="AC38" s="586">
        <v>62.436</v>
      </c>
      <c r="AD38" s="586">
        <v>65.72</v>
      </c>
      <c r="AE38" s="586">
        <v>69.676000000000002</v>
      </c>
      <c r="AF38" s="586">
        <v>73.813999999999993</v>
      </c>
      <c r="AG38" s="586">
        <v>77.984999999999999</v>
      </c>
      <c r="AH38" s="586">
        <v>83.054000000000002</v>
      </c>
      <c r="AI38" s="586">
        <v>88.293000000000006</v>
      </c>
      <c r="AJ38" s="587">
        <v>97.805000000000007</v>
      </c>
    </row>
    <row r="39" spans="1:36" ht="12.75" customHeight="1">
      <c r="A39" s="5"/>
      <c r="B39" s="107" t="s">
        <v>312</v>
      </c>
      <c r="C39" s="329"/>
      <c r="D39" s="329"/>
      <c r="E39" s="114"/>
      <c r="F39" s="114"/>
      <c r="G39" s="114"/>
      <c r="H39" s="114"/>
      <c r="I39" s="114"/>
      <c r="J39" s="114"/>
      <c r="K39" s="114"/>
      <c r="L39" s="114"/>
      <c r="M39" s="114"/>
      <c r="N39" s="114"/>
      <c r="O39" s="114"/>
      <c r="P39" s="114"/>
      <c r="Q39" s="114"/>
      <c r="R39" s="114"/>
      <c r="S39" s="114"/>
      <c r="T39" s="114"/>
      <c r="U39" s="114"/>
      <c r="V39" s="114"/>
      <c r="W39" s="114"/>
      <c r="X39" s="343"/>
      <c r="Y39" s="343"/>
      <c r="Z39" s="343"/>
      <c r="AA39" s="343"/>
      <c r="AB39" s="343"/>
      <c r="AC39" s="343"/>
      <c r="AD39" s="343"/>
      <c r="AE39" s="343"/>
      <c r="AF39" s="343">
        <v>4.3940000000000001</v>
      </c>
      <c r="AG39" s="343">
        <v>4.46</v>
      </c>
      <c r="AH39" s="343">
        <v>4.4580000000000002</v>
      </c>
      <c r="AI39" s="343">
        <v>3.6150000000000002</v>
      </c>
      <c r="AJ39" s="343">
        <v>3.944</v>
      </c>
    </row>
    <row r="40" spans="1:36" ht="12.75" customHeight="1">
      <c r="A40" s="5"/>
      <c r="B40" s="7" t="s">
        <v>139</v>
      </c>
      <c r="C40" s="330"/>
      <c r="D40" s="330"/>
      <c r="E40" s="93"/>
      <c r="F40" s="93"/>
      <c r="G40" s="93"/>
      <c r="H40" s="93"/>
      <c r="I40" s="93"/>
      <c r="J40" s="93"/>
      <c r="K40" s="93"/>
      <c r="L40" s="93"/>
      <c r="M40" s="93"/>
      <c r="N40" s="93"/>
      <c r="O40" s="93"/>
      <c r="P40" s="93"/>
      <c r="Q40" s="93"/>
      <c r="R40" s="93"/>
      <c r="S40" s="93"/>
      <c r="T40" s="93"/>
      <c r="U40" s="93"/>
      <c r="V40" s="93"/>
      <c r="W40" s="93"/>
      <c r="X40" s="93"/>
      <c r="Y40" s="93"/>
      <c r="Z40" s="93">
        <v>1.2170000000000001</v>
      </c>
      <c r="AA40" s="93">
        <v>1.1990000000000001</v>
      </c>
      <c r="AB40" s="93">
        <v>1.246</v>
      </c>
      <c r="AC40" s="93">
        <v>1.2470000000000001</v>
      </c>
      <c r="AD40" s="93">
        <v>1.2609999999999999</v>
      </c>
      <c r="AE40" s="93">
        <v>1.3080000000000001</v>
      </c>
      <c r="AF40" s="93">
        <v>1.37</v>
      </c>
      <c r="AG40" s="93">
        <v>1.4590000000000001</v>
      </c>
      <c r="AH40" s="93">
        <v>1.49</v>
      </c>
      <c r="AI40" s="93">
        <v>0.97899999999999998</v>
      </c>
      <c r="AJ40" s="117">
        <v>1.2250000000000001</v>
      </c>
    </row>
    <row r="41" spans="1:36" ht="12.75" customHeight="1">
      <c r="A41" s="5"/>
      <c r="B41" s="107" t="s">
        <v>314</v>
      </c>
      <c r="C41" s="329"/>
      <c r="D41" s="329"/>
      <c r="E41" s="114"/>
      <c r="F41" s="114"/>
      <c r="G41" s="114"/>
      <c r="H41" s="114"/>
      <c r="I41" s="114"/>
      <c r="J41" s="114"/>
      <c r="K41" s="114"/>
      <c r="L41" s="114"/>
      <c r="M41" s="114"/>
      <c r="N41" s="114"/>
      <c r="O41" s="114"/>
      <c r="P41" s="114"/>
      <c r="Q41" s="114"/>
      <c r="R41" s="114"/>
      <c r="S41" s="114">
        <v>19.741</v>
      </c>
      <c r="T41" s="114">
        <v>19.824999999999999</v>
      </c>
      <c r="U41" s="114">
        <v>21.056000000000001</v>
      </c>
      <c r="V41" s="114">
        <v>21.094999999999999</v>
      </c>
      <c r="W41" s="114">
        <v>21.491</v>
      </c>
      <c r="X41" s="114">
        <v>21.346</v>
      </c>
      <c r="Y41" s="114">
        <v>21.395</v>
      </c>
      <c r="Z41" s="114">
        <v>21.349</v>
      </c>
      <c r="AA41" s="114">
        <v>21.433</v>
      </c>
      <c r="AB41" s="114">
        <v>21.344000000000001</v>
      </c>
      <c r="AC41" s="114">
        <v>21.359000000000002</v>
      </c>
      <c r="AD41" s="114">
        <v>21.134</v>
      </c>
      <c r="AE41" s="114">
        <v>20.968</v>
      </c>
      <c r="AF41" s="114">
        <v>20.943999999999999</v>
      </c>
      <c r="AG41" s="114">
        <v>21.05</v>
      </c>
      <c r="AH41" s="114">
        <v>21.087</v>
      </c>
      <c r="AI41" s="114">
        <v>21.013999999999999</v>
      </c>
      <c r="AJ41" s="114">
        <v>21.076000000000001</v>
      </c>
    </row>
    <row r="42" spans="1:36" ht="12.75" customHeight="1">
      <c r="A42" s="5"/>
      <c r="B42" s="7" t="s">
        <v>0</v>
      </c>
      <c r="C42" s="330"/>
      <c r="D42" s="330"/>
      <c r="E42" s="93">
        <v>2.3199999999999998</v>
      </c>
      <c r="F42" s="173">
        <v>2.5760000000000001</v>
      </c>
      <c r="G42" s="93">
        <v>2.8279999999999998</v>
      </c>
      <c r="H42" s="93">
        <v>2.9209999999999998</v>
      </c>
      <c r="I42" s="93">
        <v>2.4529999999999998</v>
      </c>
      <c r="J42" s="93">
        <v>2.5409999999999999</v>
      </c>
      <c r="K42" s="93">
        <v>2.4420000000000002</v>
      </c>
      <c r="L42" s="93">
        <v>2.4300000000000002</v>
      </c>
      <c r="M42" s="93">
        <v>2.4780000000000002</v>
      </c>
      <c r="N42" s="93">
        <v>2.4790000000000001</v>
      </c>
      <c r="O42" s="93">
        <v>2.4980000000000002</v>
      </c>
      <c r="P42" s="93">
        <v>2.62</v>
      </c>
      <c r="Q42" s="93">
        <v>2.4969999999999999</v>
      </c>
      <c r="R42" s="93">
        <v>2.4780000000000002</v>
      </c>
      <c r="S42" s="93">
        <v>2.1760000000000002</v>
      </c>
      <c r="T42" s="93">
        <v>2.2690000000000001</v>
      </c>
      <c r="U42" s="93">
        <v>2.2200000000000002</v>
      </c>
      <c r="V42" s="93">
        <v>2.2839999999999998</v>
      </c>
      <c r="W42" s="93">
        <v>2.27</v>
      </c>
      <c r="X42" s="191">
        <v>2.4540000000000002</v>
      </c>
      <c r="Y42" s="191">
        <v>2.6949999999999998</v>
      </c>
      <c r="Z42" s="191">
        <v>2.6360000000000001</v>
      </c>
      <c r="AA42" s="191">
        <v>2.7189999999999999</v>
      </c>
      <c r="AB42" s="191">
        <v>3.0219999999999998</v>
      </c>
      <c r="AC42" s="191">
        <v>3.1640000000000001</v>
      </c>
      <c r="AD42" s="191">
        <v>3.2429999999999999</v>
      </c>
      <c r="AE42" s="191">
        <v>3.23</v>
      </c>
      <c r="AF42" s="191">
        <v>3.1880000000000002</v>
      </c>
      <c r="AG42" s="191">
        <v>3.2010000000000001</v>
      </c>
      <c r="AH42" s="191">
        <v>3.1440000000000001</v>
      </c>
      <c r="AI42" s="191">
        <v>2.6120000000000001</v>
      </c>
      <c r="AJ42" s="217">
        <v>2.9460000000000002</v>
      </c>
    </row>
    <row r="43" spans="1:36" ht="12.75" customHeight="1">
      <c r="A43" s="5"/>
      <c r="B43" s="107" t="s">
        <v>144</v>
      </c>
      <c r="C43" s="329"/>
      <c r="D43" s="329"/>
      <c r="E43" s="114"/>
      <c r="F43" s="114"/>
      <c r="G43" s="114"/>
      <c r="H43" s="114">
        <v>7.5819999999999999</v>
      </c>
      <c r="I43" s="114">
        <v>8.1489999999999991</v>
      </c>
      <c r="J43" s="114">
        <v>6.6509999999999998</v>
      </c>
      <c r="K43" s="114">
        <v>7.6120000000000001</v>
      </c>
      <c r="L43" s="114">
        <v>8.7469999999999999</v>
      </c>
      <c r="M43" s="114">
        <v>9.2270000000000003</v>
      </c>
      <c r="N43" s="114">
        <v>12.305999999999999</v>
      </c>
      <c r="O43" s="114">
        <v>16.806000000000001</v>
      </c>
      <c r="P43" s="114">
        <v>20.812999999999999</v>
      </c>
      <c r="Q43" s="114">
        <v>21.026</v>
      </c>
      <c r="R43" s="114">
        <v>21.693000000000001</v>
      </c>
      <c r="S43" s="114">
        <v>25.065999999999999</v>
      </c>
      <c r="T43" s="114">
        <v>29.452999999999999</v>
      </c>
      <c r="U43" s="114">
        <v>35.972999999999999</v>
      </c>
      <c r="V43" s="114">
        <v>29.506</v>
      </c>
      <c r="W43" s="114">
        <v>6.6449999999999996</v>
      </c>
      <c r="X43" s="114">
        <v>6.5940000000000003</v>
      </c>
      <c r="Y43" s="114">
        <v>7.032</v>
      </c>
      <c r="Z43" s="114">
        <v>6.6980000000000004</v>
      </c>
      <c r="AA43" s="114">
        <v>5.25</v>
      </c>
      <c r="AB43" s="114">
        <v>5.6760000000000002</v>
      </c>
      <c r="AC43" s="114">
        <v>6.048</v>
      </c>
      <c r="AD43" s="114">
        <v>6.423</v>
      </c>
      <c r="AE43" s="114">
        <v>7.05</v>
      </c>
      <c r="AF43" s="114">
        <v>6.7610000000000001</v>
      </c>
      <c r="AG43" s="114">
        <v>7.1459999999999999</v>
      </c>
      <c r="AH43" s="114">
        <v>7.5350000000000001</v>
      </c>
      <c r="AI43" s="114">
        <v>7.6269999999999998</v>
      </c>
      <c r="AJ43" s="116">
        <v>7.867</v>
      </c>
    </row>
    <row r="44" spans="1:36" ht="12.75" customHeight="1">
      <c r="A44" s="5"/>
      <c r="B44" s="7" t="s">
        <v>138</v>
      </c>
      <c r="C44" s="330"/>
      <c r="D44" s="330"/>
      <c r="E44" s="93"/>
      <c r="F44" s="93"/>
      <c r="G44" s="93"/>
      <c r="H44" s="93"/>
      <c r="I44" s="93"/>
      <c r="J44" s="93"/>
      <c r="K44" s="93"/>
      <c r="L44" s="93"/>
      <c r="M44" s="93"/>
      <c r="N44" s="93"/>
      <c r="O44" s="93"/>
      <c r="P44" s="93">
        <v>9.2870000000000008</v>
      </c>
      <c r="Q44" s="93">
        <v>8.9109999999999996</v>
      </c>
      <c r="R44" s="93">
        <v>9.1440000000000001</v>
      </c>
      <c r="S44" s="93">
        <v>9.125</v>
      </c>
      <c r="T44" s="93">
        <v>9.6959999999999997</v>
      </c>
      <c r="U44" s="93">
        <v>9.3119999999999994</v>
      </c>
      <c r="V44" s="93">
        <v>8.8870000000000005</v>
      </c>
      <c r="W44" s="93">
        <v>8.5570000000000004</v>
      </c>
      <c r="X44" s="191">
        <v>8.8529999999999998</v>
      </c>
      <c r="Y44" s="191">
        <v>8.0340000000000007</v>
      </c>
      <c r="Z44" s="191">
        <v>8.8049999999999997</v>
      </c>
      <c r="AA44" s="191">
        <v>8.8339999999999996</v>
      </c>
      <c r="AB44" s="191">
        <v>9.0190000000000001</v>
      </c>
      <c r="AC44" s="191">
        <v>9.0440000000000005</v>
      </c>
      <c r="AD44" s="191">
        <v>9.4819999999999993</v>
      </c>
      <c r="AE44" s="191">
        <v>9.6259999999999994</v>
      </c>
      <c r="AF44" s="191">
        <v>9.9</v>
      </c>
      <c r="AG44" s="191">
        <v>9.8800000000000008</v>
      </c>
      <c r="AH44" s="191">
        <v>10.441000000000001</v>
      </c>
      <c r="AI44" s="191">
        <v>9.9</v>
      </c>
      <c r="AJ44" s="217">
        <v>10.391999999999999</v>
      </c>
    </row>
    <row r="45" spans="1:36" ht="12.75" customHeight="1">
      <c r="A45" s="5"/>
      <c r="B45" s="107" t="s">
        <v>40</v>
      </c>
      <c r="C45" s="329"/>
      <c r="D45" s="329"/>
      <c r="E45" s="114">
        <v>188.09899999999999</v>
      </c>
      <c r="F45" s="114">
        <v>202.60499999999999</v>
      </c>
      <c r="G45" s="114">
        <v>220.904</v>
      </c>
      <c r="H45" s="114">
        <v>244.154</v>
      </c>
      <c r="I45" s="114">
        <v>253.96899999999999</v>
      </c>
      <c r="J45" s="114">
        <v>263.24799999999999</v>
      </c>
      <c r="K45" s="114">
        <v>277.67200000000003</v>
      </c>
      <c r="L45" s="114">
        <v>298.95299999999997</v>
      </c>
      <c r="M45" s="114">
        <v>319.85599999999999</v>
      </c>
      <c r="N45" s="114">
        <v>333.86900000000003</v>
      </c>
      <c r="O45" s="114">
        <v>354.339</v>
      </c>
      <c r="P45" s="114">
        <v>358.68700000000001</v>
      </c>
      <c r="Q45" s="114">
        <v>361.79700000000003</v>
      </c>
      <c r="R45" s="114">
        <v>368.89400000000001</v>
      </c>
      <c r="S45" s="114">
        <v>471.666</v>
      </c>
      <c r="T45" s="114">
        <v>501.92899999999997</v>
      </c>
      <c r="U45" s="114">
        <v>533.47199999999998</v>
      </c>
      <c r="V45" s="114">
        <v>561.72900000000004</v>
      </c>
      <c r="W45" s="114">
        <v>583.48199999999997</v>
      </c>
      <c r="X45" s="114">
        <v>585.08600000000001</v>
      </c>
      <c r="Y45" s="114">
        <v>595.48299999999995</v>
      </c>
      <c r="Z45" s="114">
        <v>609.34100000000001</v>
      </c>
      <c r="AA45" s="114">
        <v>632.06799999999998</v>
      </c>
      <c r="AB45" s="114">
        <v>641.73299999999995</v>
      </c>
      <c r="AC45" s="114">
        <v>638.46400000000006</v>
      </c>
      <c r="AD45" s="114">
        <v>666.26900000000001</v>
      </c>
      <c r="AE45" s="114">
        <v>684.29399999999998</v>
      </c>
      <c r="AF45" s="114">
        <v>700.5</v>
      </c>
      <c r="AG45" s="114">
        <v>706.05</v>
      </c>
      <c r="AH45" s="114">
        <v>706.73099999999999</v>
      </c>
      <c r="AI45" s="114">
        <v>705.80200000000002</v>
      </c>
      <c r="AJ45" s="116">
        <v>693.68799999999999</v>
      </c>
    </row>
    <row r="46" spans="1:36" ht="12.75" customHeight="1">
      <c r="A46" s="5"/>
      <c r="B46" s="8" t="s">
        <v>313</v>
      </c>
      <c r="C46" s="584"/>
      <c r="D46" s="584"/>
      <c r="E46" s="94"/>
      <c r="F46" s="94"/>
      <c r="G46" s="94"/>
      <c r="H46" s="94"/>
      <c r="I46" s="94"/>
      <c r="J46" s="94"/>
      <c r="K46" s="94"/>
      <c r="L46" s="94"/>
      <c r="M46" s="94"/>
      <c r="N46" s="94">
        <v>144.36000000000001</v>
      </c>
      <c r="O46" s="94">
        <v>145.548</v>
      </c>
      <c r="P46" s="94">
        <v>143.453</v>
      </c>
      <c r="Q46" s="94">
        <v>159.29300000000001</v>
      </c>
      <c r="R46" s="94">
        <v>174.11600000000001</v>
      </c>
      <c r="S46" s="94">
        <v>175.94499999999999</v>
      </c>
      <c r="T46" s="94">
        <v>167.88900000000001</v>
      </c>
      <c r="U46" s="94">
        <v>180.01</v>
      </c>
      <c r="V46" s="94">
        <v>185.50299999999999</v>
      </c>
      <c r="W46" s="94">
        <v>188.00800000000001</v>
      </c>
      <c r="X46" s="823">
        <v>181.5915</v>
      </c>
      <c r="Y46" s="94">
        <v>175.17500000000001</v>
      </c>
      <c r="Z46" s="823">
        <v>253.446</v>
      </c>
      <c r="AA46" s="823">
        <v>253.446</v>
      </c>
      <c r="AB46" s="823">
        <v>253.446</v>
      </c>
      <c r="AC46" s="823">
        <v>253.446</v>
      </c>
      <c r="AD46" s="823">
        <v>253.446</v>
      </c>
      <c r="AE46" s="823">
        <v>253.446</v>
      </c>
      <c r="AF46" s="823">
        <v>253.446</v>
      </c>
      <c r="AG46" s="823">
        <v>253.446</v>
      </c>
      <c r="AH46" s="823">
        <v>253.446</v>
      </c>
      <c r="AI46" s="823">
        <v>253.446</v>
      </c>
      <c r="AJ46" s="823">
        <v>253.446</v>
      </c>
    </row>
    <row r="47" spans="1:36" ht="12.75" customHeight="1">
      <c r="A47" s="5"/>
      <c r="B47" s="107" t="s">
        <v>44</v>
      </c>
      <c r="C47" s="329">
        <v>84.2</v>
      </c>
      <c r="D47" s="329">
        <v>83.3</v>
      </c>
      <c r="E47" s="114">
        <v>75</v>
      </c>
      <c r="F47" s="172">
        <v>75.5</v>
      </c>
      <c r="G47" s="114">
        <v>76</v>
      </c>
      <c r="H47" s="114">
        <v>76.5</v>
      </c>
      <c r="I47" s="114">
        <v>76.5</v>
      </c>
      <c r="J47" s="114">
        <v>75.899999999999991</v>
      </c>
      <c r="K47" s="114">
        <v>78.699999999999989</v>
      </c>
      <c r="L47" s="114">
        <v>80.699999999999989</v>
      </c>
      <c r="M47" s="114">
        <v>82.3</v>
      </c>
      <c r="N47" s="114">
        <v>85.8</v>
      </c>
      <c r="O47" s="114">
        <v>88.6</v>
      </c>
      <c r="P47" s="114">
        <v>90.8</v>
      </c>
      <c r="Q47" s="114">
        <v>94.6</v>
      </c>
      <c r="R47" s="114">
        <v>98.5</v>
      </c>
      <c r="S47" s="114">
        <v>102.2</v>
      </c>
      <c r="T47" s="114">
        <v>105.6</v>
      </c>
      <c r="U47" s="114">
        <v>106.60000000000001</v>
      </c>
      <c r="V47" s="114">
        <v>109.2</v>
      </c>
      <c r="W47" s="114">
        <v>110.9</v>
      </c>
      <c r="X47" s="343">
        <v>111.48699999999999</v>
      </c>
      <c r="Y47" s="343">
        <v>111.535</v>
      </c>
      <c r="Z47" s="343">
        <v>110.221</v>
      </c>
      <c r="AA47" s="343">
        <v>111.09399999999999</v>
      </c>
      <c r="AB47" s="343">
        <v>111.61499999999999</v>
      </c>
      <c r="AC47" s="343">
        <v>112.17100000000001</v>
      </c>
      <c r="AD47" s="343">
        <v>113.34</v>
      </c>
      <c r="AE47" s="343">
        <v>113.90900000000001</v>
      </c>
      <c r="AF47" s="343">
        <v>113.2</v>
      </c>
      <c r="AG47" s="343">
        <v>112.1</v>
      </c>
      <c r="AH47" s="343">
        <v>110.9</v>
      </c>
      <c r="AI47" s="822">
        <v>98.4</v>
      </c>
      <c r="AJ47" s="340">
        <v>102.6</v>
      </c>
    </row>
  </sheetData>
  <mergeCells count="3">
    <mergeCell ref="B1:C1"/>
    <mergeCell ref="B2:AJ2"/>
    <mergeCell ref="B3:AJ3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2">
    <pageSetUpPr fitToPage="1"/>
  </sheetPr>
  <dimension ref="A1:AL56"/>
  <sheetViews>
    <sheetView zoomScale="85" zoomScaleNormal="85" workbookViewId="0">
      <selection activeCell="K65" sqref="K65"/>
    </sheetView>
  </sheetViews>
  <sheetFormatPr defaultColWidth="9.1328125" defaultRowHeight="10.15"/>
  <cols>
    <col min="1" max="1" width="3.73046875" style="1" customWidth="1"/>
    <col min="2" max="2" width="4.86328125" style="1" customWidth="1"/>
    <col min="3" max="3" width="6.73046875" style="1" customWidth="1"/>
    <col min="4" max="9" width="7.59765625" style="1" customWidth="1"/>
    <col min="10" max="10" width="8.73046875" style="1" customWidth="1"/>
    <col min="11" max="18" width="7.59765625" style="1" customWidth="1"/>
    <col min="19" max="19" width="8.73046875" style="1" customWidth="1"/>
    <col min="20" max="20" width="8.59765625" style="1" customWidth="1"/>
    <col min="21" max="21" width="7.73046875" style="1" customWidth="1"/>
    <col min="22" max="22" width="8.59765625" style="1" customWidth="1"/>
    <col min="23" max="23" width="9" style="1" customWidth="1"/>
    <col min="24" max="24" width="7.73046875" style="1" customWidth="1"/>
    <col min="25" max="25" width="8.3984375" style="1" customWidth="1"/>
    <col min="26" max="26" width="7.73046875" style="1" customWidth="1"/>
    <col min="27" max="27" width="8.86328125" style="1" customWidth="1"/>
    <col min="28" max="28" width="8.59765625" style="1" customWidth="1"/>
    <col min="29" max="30" width="8" style="1" customWidth="1"/>
    <col min="31" max="32" width="8.265625" style="1" customWidth="1"/>
    <col min="33" max="33" width="7.73046875" style="1" customWidth="1"/>
    <col min="34" max="34" width="8.59765625" style="1" customWidth="1"/>
    <col min="35" max="35" width="9.1328125" style="1" customWidth="1"/>
    <col min="36" max="36" width="7" style="1" customWidth="1"/>
    <col min="37" max="37" width="7.1328125" style="15" customWidth="1"/>
    <col min="38" max="38" width="7" style="1" customWidth="1"/>
    <col min="39" max="16384" width="9.1328125" style="1"/>
  </cols>
  <sheetData>
    <row r="1" spans="1:38" ht="14.25" customHeight="1">
      <c r="B1" s="1075"/>
      <c r="C1" s="1075"/>
      <c r="D1" s="404"/>
      <c r="E1" s="405"/>
      <c r="F1" s="405"/>
      <c r="G1" s="405"/>
      <c r="H1" s="405"/>
      <c r="I1" s="405"/>
      <c r="J1" s="405"/>
      <c r="K1" s="405"/>
      <c r="L1" s="405"/>
      <c r="M1" s="405"/>
      <c r="N1" s="405"/>
      <c r="O1" s="405"/>
      <c r="P1" s="405"/>
      <c r="Q1" s="406"/>
      <c r="R1" s="406"/>
      <c r="S1" s="406"/>
      <c r="T1" s="406"/>
      <c r="U1" s="406"/>
      <c r="V1" s="406"/>
      <c r="W1" s="406"/>
      <c r="X1" s="406"/>
      <c r="Y1" s="406"/>
      <c r="Z1" s="406"/>
      <c r="AA1" s="406"/>
      <c r="AB1" s="406"/>
      <c r="AC1" s="406"/>
      <c r="AD1" s="406"/>
      <c r="AE1" s="406"/>
      <c r="AF1" s="406"/>
      <c r="AG1" s="406"/>
      <c r="AH1" s="406"/>
      <c r="AI1" s="406"/>
      <c r="AJ1" s="406"/>
      <c r="AK1" s="407"/>
      <c r="AL1" s="408" t="s">
        <v>106</v>
      </c>
    </row>
    <row r="2" spans="1:38" s="39" customFormat="1" ht="30" customHeight="1">
      <c r="B2" s="1076" t="s">
        <v>261</v>
      </c>
      <c r="C2" s="1076"/>
      <c r="D2" s="1076"/>
      <c r="E2" s="1076"/>
      <c r="F2" s="1076"/>
      <c r="G2" s="1076"/>
      <c r="H2" s="1076"/>
      <c r="I2" s="1076"/>
      <c r="J2" s="1076"/>
      <c r="K2" s="1076"/>
      <c r="L2" s="1076"/>
      <c r="M2" s="1076"/>
      <c r="N2" s="1076"/>
      <c r="O2" s="1076"/>
      <c r="P2" s="1076"/>
      <c r="Q2" s="1076"/>
      <c r="R2" s="1076"/>
      <c r="S2" s="1076"/>
      <c r="T2" s="1076"/>
      <c r="U2" s="1076"/>
      <c r="V2" s="1076"/>
      <c r="W2" s="1076"/>
      <c r="X2" s="1076"/>
      <c r="Y2" s="1076"/>
      <c r="Z2" s="1076"/>
      <c r="AA2" s="1076"/>
      <c r="AB2" s="1076"/>
      <c r="AC2" s="1076"/>
      <c r="AD2" s="1076"/>
      <c r="AE2" s="1076"/>
      <c r="AF2" s="1076"/>
      <c r="AG2" s="1076"/>
      <c r="AH2" s="1076"/>
      <c r="AI2" s="1076"/>
      <c r="AJ2" s="1076"/>
      <c r="AK2" s="1076"/>
      <c r="AL2" s="1076"/>
    </row>
    <row r="3" spans="1:38" s="58" customFormat="1" ht="15" customHeight="1">
      <c r="B3" s="1077" t="s">
        <v>88</v>
      </c>
      <c r="C3" s="1077"/>
      <c r="D3" s="1077"/>
      <c r="E3" s="1077"/>
      <c r="F3" s="1077"/>
      <c r="G3" s="1077"/>
      <c r="H3" s="1077"/>
      <c r="I3" s="1077"/>
      <c r="J3" s="1077"/>
      <c r="K3" s="1077"/>
      <c r="L3" s="1077"/>
      <c r="M3" s="1077"/>
      <c r="N3" s="1077"/>
      <c r="O3" s="1077"/>
      <c r="P3" s="1077"/>
      <c r="Q3" s="1077"/>
      <c r="R3" s="1077"/>
      <c r="S3" s="1077"/>
      <c r="T3" s="1077"/>
      <c r="U3" s="1077"/>
      <c r="V3" s="1077"/>
      <c r="W3" s="1077"/>
      <c r="X3" s="1077"/>
      <c r="Y3" s="1077"/>
      <c r="Z3" s="1077"/>
      <c r="AA3" s="1077"/>
      <c r="AB3" s="1077"/>
      <c r="AC3" s="1077"/>
      <c r="AD3" s="1077"/>
      <c r="AE3" s="1077"/>
      <c r="AF3" s="1077"/>
      <c r="AG3" s="1077"/>
      <c r="AH3" s="1077"/>
      <c r="AI3" s="1077"/>
      <c r="AJ3" s="1077"/>
      <c r="AK3" s="1077"/>
      <c r="AL3" s="1077"/>
    </row>
    <row r="4" spans="1:38" ht="12.75" customHeight="1">
      <c r="B4" s="409"/>
      <c r="C4" s="409"/>
      <c r="D4" s="406"/>
      <c r="E4" s="410"/>
      <c r="F4" s="410"/>
      <c r="G4" s="410"/>
      <c r="H4" s="410"/>
      <c r="I4" s="410"/>
      <c r="J4" s="406"/>
      <c r="K4" s="406"/>
      <c r="L4" s="406"/>
      <c r="M4" s="406"/>
      <c r="N4" s="406"/>
      <c r="O4" s="406"/>
      <c r="P4" s="406"/>
      <c r="Q4" s="406"/>
      <c r="R4" s="406"/>
      <c r="S4" s="406"/>
      <c r="T4" s="406"/>
      <c r="U4" s="406"/>
      <c r="V4" s="406"/>
      <c r="W4" s="402"/>
      <c r="X4" s="402"/>
      <c r="Y4" s="401"/>
      <c r="Z4" s="401"/>
      <c r="AA4" s="401"/>
      <c r="AB4" s="401"/>
      <c r="AC4" s="401"/>
      <c r="AD4" s="401"/>
      <c r="AE4" s="406"/>
      <c r="AF4" s="406"/>
      <c r="AH4" s="1080" t="s">
        <v>1</v>
      </c>
      <c r="AI4" s="1080"/>
      <c r="AJ4" s="1080"/>
      <c r="AK4" s="407"/>
      <c r="AL4" s="401"/>
    </row>
    <row r="5" spans="1:38" ht="20.100000000000001" customHeight="1">
      <c r="B5" s="411"/>
      <c r="C5" s="62">
        <v>1970</v>
      </c>
      <c r="D5" s="73">
        <v>1980</v>
      </c>
      <c r="E5" s="63">
        <v>1990</v>
      </c>
      <c r="F5" s="63">
        <v>1991</v>
      </c>
      <c r="G5" s="63">
        <v>1992</v>
      </c>
      <c r="H5" s="63">
        <v>1993</v>
      </c>
      <c r="I5" s="63">
        <v>1994</v>
      </c>
      <c r="J5" s="63">
        <v>1995</v>
      </c>
      <c r="K5" s="63">
        <v>1996</v>
      </c>
      <c r="L5" s="63">
        <v>1997</v>
      </c>
      <c r="M5" s="63">
        <v>1998</v>
      </c>
      <c r="N5" s="63">
        <v>1999</v>
      </c>
      <c r="O5" s="63">
        <v>2000</v>
      </c>
      <c r="P5" s="63">
        <v>2001</v>
      </c>
      <c r="Q5" s="63">
        <v>2002</v>
      </c>
      <c r="R5" s="63">
        <v>2003</v>
      </c>
      <c r="S5" s="63">
        <v>2004</v>
      </c>
      <c r="T5" s="63">
        <v>2005</v>
      </c>
      <c r="U5" s="63">
        <v>2006</v>
      </c>
      <c r="V5" s="63">
        <v>2007</v>
      </c>
      <c r="W5" s="63">
        <v>2008</v>
      </c>
      <c r="X5" s="63">
        <v>2009</v>
      </c>
      <c r="Y5" s="63">
        <v>2010</v>
      </c>
      <c r="Z5" s="63">
        <v>2011</v>
      </c>
      <c r="AA5" s="63">
        <v>2012</v>
      </c>
      <c r="AB5" s="63">
        <v>2013</v>
      </c>
      <c r="AC5" s="63">
        <v>2014</v>
      </c>
      <c r="AD5" s="63">
        <v>2015</v>
      </c>
      <c r="AE5" s="63">
        <v>2016</v>
      </c>
      <c r="AF5" s="63">
        <v>2017</v>
      </c>
      <c r="AG5" s="63">
        <v>2018</v>
      </c>
      <c r="AH5" s="63">
        <v>2019</v>
      </c>
      <c r="AI5" s="63">
        <v>2020</v>
      </c>
      <c r="AJ5" s="63">
        <v>2021</v>
      </c>
      <c r="AK5" s="506" t="s">
        <v>316</v>
      </c>
      <c r="AL5" s="591"/>
    </row>
    <row r="6" spans="1:38" ht="9.9499999999999993" customHeight="1">
      <c r="B6" s="412"/>
      <c r="C6" s="95"/>
      <c r="D6" s="74"/>
      <c r="E6" s="61"/>
      <c r="F6" s="61"/>
      <c r="G6" s="61"/>
      <c r="H6" s="61"/>
      <c r="I6" s="61"/>
      <c r="J6" s="61"/>
      <c r="K6" s="61"/>
      <c r="L6" s="61"/>
      <c r="M6" s="61"/>
      <c r="N6" s="61"/>
      <c r="O6" s="61"/>
      <c r="P6" s="61"/>
      <c r="Q6" s="61"/>
      <c r="R6" s="61"/>
      <c r="S6" s="61"/>
      <c r="T6" s="61"/>
      <c r="U6" s="61"/>
      <c r="V6" s="61"/>
      <c r="W6" s="61"/>
      <c r="X6" s="61"/>
      <c r="Y6" s="61"/>
      <c r="Z6" s="61"/>
      <c r="AA6" s="61"/>
      <c r="AB6" s="61"/>
      <c r="AC6" s="61"/>
      <c r="AD6" s="61"/>
      <c r="AE6" s="61"/>
      <c r="AF6" s="61"/>
      <c r="AG6" s="61"/>
      <c r="AH6" s="61"/>
      <c r="AI6" s="61"/>
      <c r="AJ6" s="61"/>
      <c r="AK6" s="74" t="s">
        <v>81</v>
      </c>
      <c r="AL6" s="3"/>
    </row>
    <row r="7" spans="1:38" ht="9.9499999999999993" customHeight="1">
      <c r="B7" s="411"/>
      <c r="C7" s="95"/>
      <c r="D7" s="74"/>
      <c r="E7" s="61"/>
      <c r="F7" s="61"/>
      <c r="G7" s="61"/>
      <c r="H7" s="61"/>
      <c r="I7" s="61"/>
      <c r="J7" s="61"/>
      <c r="K7" s="61"/>
      <c r="L7" s="61"/>
      <c r="M7" s="61"/>
      <c r="N7" s="61"/>
      <c r="O7" s="61"/>
      <c r="P7" s="61"/>
      <c r="Q7" s="61"/>
      <c r="R7" s="61"/>
      <c r="S7" s="61"/>
      <c r="T7" s="61"/>
      <c r="U7" s="61"/>
      <c r="V7" s="61"/>
      <c r="W7" s="61"/>
      <c r="X7" s="61"/>
      <c r="Y7" s="61"/>
      <c r="Z7" s="61"/>
      <c r="AA7" s="61"/>
      <c r="AB7" s="61"/>
      <c r="AC7" s="61"/>
      <c r="AD7" s="61"/>
      <c r="AE7" s="61"/>
      <c r="AF7" s="61"/>
      <c r="AG7" s="61"/>
      <c r="AH7" s="61"/>
      <c r="AI7" s="61"/>
      <c r="AJ7" s="61"/>
      <c r="AK7" s="413"/>
      <c r="AL7" s="3"/>
    </row>
    <row r="8" spans="1:38" ht="12.75" customHeight="1">
      <c r="B8" s="414" t="s">
        <v>237</v>
      </c>
      <c r="C8" s="415"/>
      <c r="D8" s="416"/>
      <c r="E8" s="417"/>
      <c r="F8" s="418"/>
      <c r="G8" s="418"/>
      <c r="H8" s="418"/>
      <c r="I8" s="418"/>
      <c r="J8" s="418">
        <f>SUM(J9:J35)</f>
        <v>20297.210999999988</v>
      </c>
      <c r="K8" s="418">
        <f t="shared" ref="K8:AJ8" si="0">SUM(K9:K35)</f>
        <v>20978.626</v>
      </c>
      <c r="L8" s="418">
        <f t="shared" si="0"/>
        <v>21500.090000000007</v>
      </c>
      <c r="M8" s="418">
        <f t="shared" si="0"/>
        <v>21943.969999999998</v>
      </c>
      <c r="N8" s="418">
        <f t="shared" si="0"/>
        <v>22958.600999999999</v>
      </c>
      <c r="O8" s="418">
        <f t="shared" si="0"/>
        <v>23988.388999999996</v>
      </c>
      <c r="P8" s="418">
        <f t="shared" si="0"/>
        <v>24887.401999999998</v>
      </c>
      <c r="Q8" s="418">
        <f t="shared" si="0"/>
        <v>25570.899000000001</v>
      </c>
      <c r="R8" s="418">
        <f t="shared" si="0"/>
        <v>26080.991999999995</v>
      </c>
      <c r="S8" s="418">
        <f t="shared" si="0"/>
        <v>26786.479000000003</v>
      </c>
      <c r="T8" s="418">
        <f t="shared" si="0"/>
        <v>27389.331999999999</v>
      </c>
      <c r="U8" s="418">
        <f t="shared" si="0"/>
        <v>28134.867000000002</v>
      </c>
      <c r="V8" s="418">
        <f t="shared" si="0"/>
        <v>29081.703999999994</v>
      </c>
      <c r="W8" s="418">
        <f t="shared" si="0"/>
        <v>29572.258999999998</v>
      </c>
      <c r="X8" s="418">
        <f t="shared" si="0"/>
        <v>30177.449158515894</v>
      </c>
      <c r="Y8" s="418">
        <f t="shared" si="0"/>
        <v>30537.907000000003</v>
      </c>
      <c r="Z8" s="418">
        <f t="shared" si="0"/>
        <v>31060.426999999996</v>
      </c>
      <c r="AA8" s="418">
        <f t="shared" si="0"/>
        <v>31160.436999999994</v>
      </c>
      <c r="AB8" s="418">
        <f t="shared" si="0"/>
        <v>31242.052000000003</v>
      </c>
      <c r="AC8" s="418">
        <f t="shared" si="0"/>
        <v>31691.106000000007</v>
      </c>
      <c r="AD8" s="418">
        <f t="shared" si="0"/>
        <v>32254.220000000005</v>
      </c>
      <c r="AE8" s="418">
        <f t="shared" si="0"/>
        <v>32982.35</v>
      </c>
      <c r="AF8" s="418">
        <f t="shared" si="0"/>
        <v>33769.283999999992</v>
      </c>
      <c r="AG8" s="418">
        <f t="shared" si="0"/>
        <v>34629.121999999996</v>
      </c>
      <c r="AH8" s="418">
        <f t="shared" si="0"/>
        <v>35493.705000000016</v>
      </c>
      <c r="AI8" s="824">
        <f t="shared" si="0"/>
        <v>35886.696299999996</v>
      </c>
      <c r="AJ8" s="825">
        <f t="shared" si="0"/>
        <v>36512.274000000012</v>
      </c>
      <c r="AK8" s="398">
        <f>AJ8/AI8*100-100</f>
        <v>1.7432022573780728</v>
      </c>
      <c r="AL8" s="414" t="s">
        <v>237</v>
      </c>
    </row>
    <row r="9" spans="1:38" ht="12.75" customHeight="1">
      <c r="B9" s="419" t="s">
        <v>45</v>
      </c>
      <c r="C9" s="420">
        <v>251.405</v>
      </c>
      <c r="D9" s="421">
        <v>299.084</v>
      </c>
      <c r="E9" s="422">
        <v>380.37899999999996</v>
      </c>
      <c r="F9" s="423">
        <v>401.452</v>
      </c>
      <c r="G9" s="423">
        <v>404.32499999999999</v>
      </c>
      <c r="H9" s="423">
        <v>426.91500000000002</v>
      </c>
      <c r="I9" s="423">
        <v>442.05500000000001</v>
      </c>
      <c r="J9" s="423">
        <v>442.46300000000002</v>
      </c>
      <c r="K9" s="423">
        <v>457.16</v>
      </c>
      <c r="L9" s="423">
        <v>476.58300000000003</v>
      </c>
      <c r="M9" s="423">
        <v>495.464</v>
      </c>
      <c r="N9" s="423">
        <v>524.08799999999997</v>
      </c>
      <c r="O9" s="423">
        <v>548.43100000000004</v>
      </c>
      <c r="P9" s="423">
        <v>615.03700000000003</v>
      </c>
      <c r="Q9" s="423">
        <v>591.38300000000004</v>
      </c>
      <c r="R9" s="423">
        <v>610.322</v>
      </c>
      <c r="S9" s="423">
        <v>637.25900000000001</v>
      </c>
      <c r="T9" s="423">
        <v>662.346</v>
      </c>
      <c r="U9" s="423">
        <v>678.55100000000004</v>
      </c>
      <c r="V9" s="424">
        <v>691.78800000000001</v>
      </c>
      <c r="W9" s="423">
        <v>711.88900000000001</v>
      </c>
      <c r="X9" s="423">
        <v>724.06200000000001</v>
      </c>
      <c r="Y9" s="423">
        <v>737.51</v>
      </c>
      <c r="Z9" s="423">
        <v>761.21400000000006</v>
      </c>
      <c r="AA9" s="423">
        <v>773.01099999999997</v>
      </c>
      <c r="AB9" s="423">
        <v>784.40200000000004</v>
      </c>
      <c r="AC9" s="423">
        <v>796.95899999999995</v>
      </c>
      <c r="AD9" s="423">
        <v>815.35900000000004</v>
      </c>
      <c r="AE9" s="423">
        <v>842.67899999999997</v>
      </c>
      <c r="AF9" s="423">
        <v>874.22</v>
      </c>
      <c r="AG9" s="423">
        <v>906.32600000000002</v>
      </c>
      <c r="AH9" s="423">
        <v>938.18100000000004</v>
      </c>
      <c r="AI9" s="401">
        <v>963.15800000000002</v>
      </c>
      <c r="AJ9" s="841">
        <v>1000.326</v>
      </c>
      <c r="AK9" s="384">
        <v>3.8589722558500341</v>
      </c>
      <c r="AL9" s="419" t="s">
        <v>45</v>
      </c>
    </row>
    <row r="10" spans="1:38" ht="12.75" customHeight="1">
      <c r="B10" s="426" t="s">
        <v>28</v>
      </c>
      <c r="C10" s="427"/>
      <c r="D10" s="428" t="s">
        <v>64</v>
      </c>
      <c r="E10" s="400">
        <v>161.6</v>
      </c>
      <c r="F10" s="400">
        <v>174.2</v>
      </c>
      <c r="G10" s="400">
        <v>187.4</v>
      </c>
      <c r="H10" s="400">
        <v>203.94200000000001</v>
      </c>
      <c r="I10" s="400">
        <v>214.756</v>
      </c>
      <c r="J10" s="400">
        <v>223.17700000000002</v>
      </c>
      <c r="K10" s="400">
        <v>229.84</v>
      </c>
      <c r="L10" s="400">
        <v>232.76600000000002</v>
      </c>
      <c r="M10" s="400">
        <v>242.268</v>
      </c>
      <c r="N10" s="400">
        <v>251.5</v>
      </c>
      <c r="O10" s="400">
        <v>259.39</v>
      </c>
      <c r="P10" s="400">
        <v>269.58600000000001</v>
      </c>
      <c r="Q10" s="400">
        <v>279.858</v>
      </c>
      <c r="R10" s="400">
        <v>293.48700000000002</v>
      </c>
      <c r="S10" s="400">
        <v>317.68099999999998</v>
      </c>
      <c r="T10" s="429">
        <v>333.86599999999999</v>
      </c>
      <c r="U10" s="400">
        <v>226.09199999999998</v>
      </c>
      <c r="V10" s="400">
        <v>261.31600000000003</v>
      </c>
      <c r="W10" s="400">
        <v>299.161</v>
      </c>
      <c r="X10" s="400">
        <v>317.80799999999999</v>
      </c>
      <c r="Y10" s="400">
        <v>333.5</v>
      </c>
      <c r="Z10" s="400">
        <v>347.56099999999998</v>
      </c>
      <c r="AA10" s="400">
        <v>367.029</v>
      </c>
      <c r="AB10" s="400">
        <v>388</v>
      </c>
      <c r="AC10" s="400">
        <v>411.8</v>
      </c>
      <c r="AD10" s="400">
        <v>444.40000000000003</v>
      </c>
      <c r="AE10" s="400">
        <v>456.8</v>
      </c>
      <c r="AF10" s="400">
        <v>423.2</v>
      </c>
      <c r="AG10" s="400">
        <v>438.3</v>
      </c>
      <c r="AH10" s="400">
        <v>452.483</v>
      </c>
      <c r="AI10" s="400">
        <v>461.4</v>
      </c>
      <c r="AJ10" s="400">
        <v>458.5</v>
      </c>
      <c r="AK10" s="192">
        <v>-0.62852188990029845</v>
      </c>
      <c r="AL10" s="438" t="s">
        <v>28</v>
      </c>
    </row>
    <row r="11" spans="1:38" ht="12.75" customHeight="1">
      <c r="A11" s="5"/>
      <c r="B11" s="382" t="s">
        <v>30</v>
      </c>
      <c r="C11" s="430"/>
      <c r="D11" s="431"/>
      <c r="E11" s="432"/>
      <c r="F11" s="401"/>
      <c r="G11" s="401"/>
      <c r="H11" s="401">
        <v>183.964</v>
      </c>
      <c r="I11" s="433">
        <v>199.63499999999999</v>
      </c>
      <c r="J11" s="433">
        <v>219.31100000000001</v>
      </c>
      <c r="K11" s="433">
        <v>242.959</v>
      </c>
      <c r="L11" s="433">
        <v>265.37200000000001</v>
      </c>
      <c r="M11" s="433">
        <v>280.31100000000004</v>
      </c>
      <c r="N11" s="433">
        <v>289.41000000000003</v>
      </c>
      <c r="O11" s="433">
        <v>298.286</v>
      </c>
      <c r="P11" s="433">
        <v>321.23499999999996</v>
      </c>
      <c r="Q11" s="433">
        <v>349.495</v>
      </c>
      <c r="R11" s="433">
        <v>365.74599999999998</v>
      </c>
      <c r="S11" s="433">
        <v>396.20600000000002</v>
      </c>
      <c r="T11" s="433">
        <v>439.161</v>
      </c>
      <c r="U11" s="433">
        <v>490.904</v>
      </c>
      <c r="V11" s="433">
        <v>554.83100000000002</v>
      </c>
      <c r="W11" s="433">
        <v>607.41199999999992</v>
      </c>
      <c r="X11" s="433">
        <v>601.76700000000005</v>
      </c>
      <c r="Y11" s="433">
        <v>597.96600000000001</v>
      </c>
      <c r="Z11" s="433">
        <v>597.23200000000008</v>
      </c>
      <c r="AA11" s="433">
        <v>604.15499999999997</v>
      </c>
      <c r="AB11" s="433">
        <v>601.06499999999994</v>
      </c>
      <c r="AC11" s="433">
        <v>615.33199999999999</v>
      </c>
      <c r="AD11" s="433">
        <v>652.07500000000005</v>
      </c>
      <c r="AE11" s="433">
        <v>672.1930000000001</v>
      </c>
      <c r="AF11" s="433">
        <v>693.5</v>
      </c>
      <c r="AG11" s="433">
        <v>710.62199999999996</v>
      </c>
      <c r="AH11" s="433">
        <v>723.678</v>
      </c>
      <c r="AI11" s="433">
        <v>731.79700000000003</v>
      </c>
      <c r="AJ11" s="433">
        <v>735.65499999999997</v>
      </c>
      <c r="AK11" s="171">
        <v>0.52719538341916916</v>
      </c>
      <c r="AL11" s="382" t="s">
        <v>30</v>
      </c>
    </row>
    <row r="12" spans="1:38" ht="12.75" customHeight="1">
      <c r="A12" s="5"/>
      <c r="B12" s="426" t="s">
        <v>41</v>
      </c>
      <c r="C12" s="427">
        <v>245</v>
      </c>
      <c r="D12" s="428">
        <v>249</v>
      </c>
      <c r="E12" s="400">
        <v>286.613</v>
      </c>
      <c r="F12" s="400">
        <v>298.31200000000001</v>
      </c>
      <c r="G12" s="400">
        <v>304.20499999999998</v>
      </c>
      <c r="H12" s="400">
        <v>312.274</v>
      </c>
      <c r="I12" s="400">
        <v>322.03199999999998</v>
      </c>
      <c r="J12" s="400">
        <v>333.75799999999998</v>
      </c>
      <c r="K12" s="400">
        <v>339.89699999999999</v>
      </c>
      <c r="L12" s="400">
        <v>345.97199999999998</v>
      </c>
      <c r="M12" s="400">
        <v>357.63299999999998</v>
      </c>
      <c r="N12" s="400">
        <v>373.25799999999998</v>
      </c>
      <c r="O12" s="400">
        <v>384.85</v>
      </c>
      <c r="P12" s="400">
        <v>392.26</v>
      </c>
      <c r="Q12" s="400">
        <v>401.762</v>
      </c>
      <c r="R12" s="400">
        <v>412.81299999999999</v>
      </c>
      <c r="S12" s="400">
        <v>436.14699999999999</v>
      </c>
      <c r="T12" s="400">
        <v>469.52299999999997</v>
      </c>
      <c r="U12" s="400">
        <v>508.774</v>
      </c>
      <c r="V12" s="400">
        <v>536.54999999999995</v>
      </c>
      <c r="W12" s="400">
        <v>531.40300000000002</v>
      </c>
      <c r="X12" s="400">
        <v>507.86099999999999</v>
      </c>
      <c r="Y12" s="400">
        <v>485.10899999999998</v>
      </c>
      <c r="Z12" s="400">
        <v>469.24799999999999</v>
      </c>
      <c r="AA12" s="400">
        <v>459.55700000000002</v>
      </c>
      <c r="AB12" s="400">
        <v>444.42499999999995</v>
      </c>
      <c r="AC12" s="400">
        <v>439.56099999999998</v>
      </c>
      <c r="AD12" s="400">
        <v>437.08500000000004</v>
      </c>
      <c r="AE12" s="400">
        <v>438.96699999999998</v>
      </c>
      <c r="AF12" s="400">
        <v>437.93900000000002</v>
      </c>
      <c r="AG12" s="400">
        <v>432.12400000000002</v>
      </c>
      <c r="AH12" s="400">
        <v>422.678</v>
      </c>
      <c r="AI12" s="400">
        <v>418.61700000000002</v>
      </c>
      <c r="AJ12" s="400">
        <v>416.61700000000002</v>
      </c>
      <c r="AK12" s="170">
        <v>-0.47776368374911726</v>
      </c>
      <c r="AL12" s="426" t="s">
        <v>41</v>
      </c>
    </row>
    <row r="13" spans="1:38" ht="12.75" customHeight="1">
      <c r="A13" s="5"/>
      <c r="B13" s="382" t="s">
        <v>46</v>
      </c>
      <c r="C13" s="434">
        <v>1188</v>
      </c>
      <c r="D13" s="435">
        <v>1511</v>
      </c>
      <c r="E13" s="401">
        <v>1653</v>
      </c>
      <c r="F13" s="401">
        <v>1660</v>
      </c>
      <c r="G13" s="436">
        <v>1849</v>
      </c>
      <c r="H13" s="401">
        <v>2188.9830000000002</v>
      </c>
      <c r="I13" s="401">
        <v>2289.4100000000003</v>
      </c>
      <c r="J13" s="401">
        <v>2378.712</v>
      </c>
      <c r="K13" s="436">
        <v>2428.9589999999998</v>
      </c>
      <c r="L13" s="401">
        <v>2181.9970000000003</v>
      </c>
      <c r="M13" s="401">
        <v>2267.0219999999999</v>
      </c>
      <c r="N13" s="401">
        <v>2361.7220000000002</v>
      </c>
      <c r="O13" s="401">
        <v>2419.107</v>
      </c>
      <c r="P13" s="401">
        <v>2427.6860000000001</v>
      </c>
      <c r="Q13" s="401">
        <v>2397.6219999999998</v>
      </c>
      <c r="R13" s="401">
        <v>2385.0750000000003</v>
      </c>
      <c r="S13" s="401">
        <v>2385.2860000000001</v>
      </c>
      <c r="T13" s="436">
        <v>2404.9049999999997</v>
      </c>
      <c r="U13" s="436">
        <v>2471.221</v>
      </c>
      <c r="V13" s="437">
        <v>2502.9989999999998</v>
      </c>
      <c r="W13" s="401">
        <v>2523.5609999999997</v>
      </c>
      <c r="X13" s="401">
        <v>2556.0100000000002</v>
      </c>
      <c r="Y13" s="401">
        <v>2619.4270000000001</v>
      </c>
      <c r="Z13" s="401">
        <v>2712.9769999999999</v>
      </c>
      <c r="AA13" s="401">
        <v>2761.3960000000002</v>
      </c>
      <c r="AB13" s="401">
        <v>2813.7979999999998</v>
      </c>
      <c r="AC13" s="401">
        <v>2889.8239999999996</v>
      </c>
      <c r="AD13" s="401">
        <v>2995.1660000000002</v>
      </c>
      <c r="AE13" s="401">
        <v>3113.8910000000001</v>
      </c>
      <c r="AF13" s="401">
        <v>3242.08</v>
      </c>
      <c r="AG13" s="401">
        <v>3367.7170000000001</v>
      </c>
      <c r="AH13" s="401">
        <v>3495.2420000000002</v>
      </c>
      <c r="AI13" s="401">
        <v>3628.7489999999998</v>
      </c>
      <c r="AJ13" s="401">
        <v>3773.0929999999998</v>
      </c>
      <c r="AK13" s="171">
        <v>3.9777895908479763</v>
      </c>
      <c r="AL13" s="382" t="s">
        <v>46</v>
      </c>
    </row>
    <row r="14" spans="1:38" ht="12.75" customHeight="1">
      <c r="A14" s="5"/>
      <c r="B14" s="426" t="s">
        <v>31</v>
      </c>
      <c r="C14" s="427"/>
      <c r="D14" s="428">
        <v>51.1</v>
      </c>
      <c r="E14" s="400">
        <v>67.7</v>
      </c>
      <c r="F14" s="400">
        <v>77.099999999999994</v>
      </c>
      <c r="G14" s="400">
        <v>74.599999999999994</v>
      </c>
      <c r="H14" s="400">
        <v>74.099999999999994</v>
      </c>
      <c r="I14" s="400">
        <v>53.7</v>
      </c>
      <c r="J14" s="400">
        <v>65.597999999999999</v>
      </c>
      <c r="K14" s="400">
        <v>71.304000000000002</v>
      </c>
      <c r="L14" s="400">
        <v>76.605000000000004</v>
      </c>
      <c r="M14" s="400">
        <v>80.617000000000004</v>
      </c>
      <c r="N14" s="400">
        <v>81.03</v>
      </c>
      <c r="O14" s="400">
        <v>82.119</v>
      </c>
      <c r="P14" s="400">
        <v>80.534999999999997</v>
      </c>
      <c r="Q14" s="400">
        <v>80.179000000000002</v>
      </c>
      <c r="R14" s="400">
        <v>83.43</v>
      </c>
      <c r="S14" s="400">
        <v>85.731999999999999</v>
      </c>
      <c r="T14" s="429">
        <v>86.200999999999993</v>
      </c>
      <c r="U14" s="429">
        <v>92.86</v>
      </c>
      <c r="V14" s="400">
        <v>80.28</v>
      </c>
      <c r="W14" s="400">
        <v>83.35</v>
      </c>
      <c r="X14" s="400">
        <v>81.099999999999994</v>
      </c>
      <c r="Y14" s="400">
        <v>81.2</v>
      </c>
      <c r="Z14" s="400">
        <v>84.337000000000003</v>
      </c>
      <c r="AA14" s="400">
        <v>88.045000000000002</v>
      </c>
      <c r="AB14" s="400">
        <v>92.182000000000002</v>
      </c>
      <c r="AC14" s="400">
        <v>96.622</v>
      </c>
      <c r="AD14" s="400">
        <v>101.773</v>
      </c>
      <c r="AE14" s="400">
        <v>108.217</v>
      </c>
      <c r="AF14" s="400">
        <v>114.78</v>
      </c>
      <c r="AG14" s="400">
        <v>121.61199999999999</v>
      </c>
      <c r="AH14" s="400">
        <v>131.11500000000001</v>
      </c>
      <c r="AI14" s="400">
        <v>135.352</v>
      </c>
      <c r="AJ14" s="400">
        <v>140.108</v>
      </c>
      <c r="AK14" s="170">
        <v>3.5138010520716421</v>
      </c>
      <c r="AL14" s="426" t="s">
        <v>31</v>
      </c>
    </row>
    <row r="15" spans="1:38" ht="12.75" customHeight="1">
      <c r="A15" s="5"/>
      <c r="B15" s="382" t="s">
        <v>49</v>
      </c>
      <c r="C15" s="434">
        <v>49</v>
      </c>
      <c r="D15" s="435">
        <v>65</v>
      </c>
      <c r="E15" s="401">
        <v>143.166</v>
      </c>
      <c r="F15" s="401">
        <v>148.33099999999999</v>
      </c>
      <c r="G15" s="401">
        <v>144.798</v>
      </c>
      <c r="H15" s="401">
        <v>135.22499999999999</v>
      </c>
      <c r="I15" s="401">
        <v>135.809</v>
      </c>
      <c r="J15" s="401">
        <v>141.785</v>
      </c>
      <c r="K15" s="401">
        <v>146.601</v>
      </c>
      <c r="L15" s="401">
        <v>158.15799999999999</v>
      </c>
      <c r="M15" s="401">
        <v>170.86600000000001</v>
      </c>
      <c r="N15" s="401">
        <v>188.81399999999999</v>
      </c>
      <c r="O15" s="401">
        <v>205.57499999999999</v>
      </c>
      <c r="P15" s="401">
        <v>219.51</v>
      </c>
      <c r="Q15" s="401">
        <v>233.06899999999999</v>
      </c>
      <c r="R15" s="401">
        <v>251.13</v>
      </c>
      <c r="S15" s="401">
        <v>268.08199999999999</v>
      </c>
      <c r="T15" s="401">
        <v>286.548</v>
      </c>
      <c r="U15" s="401">
        <v>318.60399999999998</v>
      </c>
      <c r="V15" s="401">
        <v>345.87400000000002</v>
      </c>
      <c r="W15" s="401">
        <v>351.30700000000002</v>
      </c>
      <c r="X15" s="401">
        <v>343.94</v>
      </c>
      <c r="Y15" s="401">
        <v>327.096</v>
      </c>
      <c r="Z15" s="401">
        <v>320.99599999999998</v>
      </c>
      <c r="AA15" s="401">
        <v>309.21899999999999</v>
      </c>
      <c r="AB15" s="401">
        <v>317.84899999999999</v>
      </c>
      <c r="AC15" s="401">
        <v>317.37799999999999</v>
      </c>
      <c r="AD15" s="401">
        <v>330.541</v>
      </c>
      <c r="AE15" s="401">
        <v>342.25900000000001</v>
      </c>
      <c r="AF15" s="401">
        <v>349.14299999999997</v>
      </c>
      <c r="AG15" s="401">
        <v>355.27300000000002</v>
      </c>
      <c r="AH15" s="401">
        <v>366.76</v>
      </c>
      <c r="AI15" s="401">
        <v>377.89</v>
      </c>
      <c r="AJ15" s="401">
        <v>385.09899999999999</v>
      </c>
      <c r="AK15" s="171">
        <v>1.9076980073566432</v>
      </c>
      <c r="AL15" s="382" t="s">
        <v>49</v>
      </c>
    </row>
    <row r="16" spans="1:38" ht="12.75" customHeight="1">
      <c r="A16" s="5"/>
      <c r="B16" s="426" t="s">
        <v>42</v>
      </c>
      <c r="C16" s="427">
        <v>105</v>
      </c>
      <c r="D16" s="428">
        <v>401</v>
      </c>
      <c r="E16" s="400">
        <v>766.42899999999997</v>
      </c>
      <c r="F16" s="400">
        <v>792.77</v>
      </c>
      <c r="G16" s="400">
        <v>797.78800000000001</v>
      </c>
      <c r="H16" s="400">
        <v>825.697</v>
      </c>
      <c r="I16" s="400">
        <v>849.03300000000002</v>
      </c>
      <c r="J16" s="400">
        <v>883.82299999999998</v>
      </c>
      <c r="K16" s="400">
        <v>914.827</v>
      </c>
      <c r="L16" s="400">
        <v>951.78499999999997</v>
      </c>
      <c r="M16" s="400">
        <v>987.35699999999997</v>
      </c>
      <c r="N16" s="400">
        <v>1023.987</v>
      </c>
      <c r="O16" s="400">
        <v>1057.422</v>
      </c>
      <c r="P16" s="400">
        <v>1085.8109999999999</v>
      </c>
      <c r="Q16" s="400">
        <v>1109.1369999999999</v>
      </c>
      <c r="R16" s="400">
        <v>1131.027</v>
      </c>
      <c r="S16" s="400">
        <v>1159.1369999999999</v>
      </c>
      <c r="T16" s="400">
        <v>1186.4829999999999</v>
      </c>
      <c r="U16" s="400">
        <v>1219.8889999999999</v>
      </c>
      <c r="V16" s="400">
        <v>1255.9449999999999</v>
      </c>
      <c r="W16" s="400">
        <v>1289.5250000000001</v>
      </c>
      <c r="X16" s="400">
        <v>1302.43</v>
      </c>
      <c r="Y16" s="400">
        <v>1318.768</v>
      </c>
      <c r="Z16" s="400">
        <v>1321.296</v>
      </c>
      <c r="AA16" s="400">
        <v>1318.9179999999999</v>
      </c>
      <c r="AB16" s="400">
        <v>1315.836</v>
      </c>
      <c r="AC16" s="400">
        <v>1317.9449999999999</v>
      </c>
      <c r="AD16" s="400">
        <v>1322.604</v>
      </c>
      <c r="AE16" s="400">
        <v>1332.8230000000001</v>
      </c>
      <c r="AF16" s="400">
        <v>1343.83</v>
      </c>
      <c r="AG16" s="400">
        <v>1344.0619999999999</v>
      </c>
      <c r="AH16" s="400">
        <v>1359.3409999999999</v>
      </c>
      <c r="AI16" s="400">
        <v>1373.7270000000001</v>
      </c>
      <c r="AJ16" s="400">
        <v>1391.8409999999999</v>
      </c>
      <c r="AK16" s="170">
        <v>1.3186026044476051</v>
      </c>
      <c r="AL16" s="426" t="s">
        <v>42</v>
      </c>
    </row>
    <row r="17" spans="1:38" ht="12.75" customHeight="1">
      <c r="A17" s="5"/>
      <c r="B17" s="382" t="s">
        <v>47</v>
      </c>
      <c r="C17" s="434">
        <v>710</v>
      </c>
      <c r="D17" s="435">
        <v>1362.424</v>
      </c>
      <c r="E17" s="401">
        <v>2401.085</v>
      </c>
      <c r="F17" s="401">
        <v>2568.4290000000001</v>
      </c>
      <c r="G17" s="401">
        <v>2726.1909999999998</v>
      </c>
      <c r="H17" s="401">
        <v>2812.6099999999997</v>
      </c>
      <c r="I17" s="401">
        <v>2905.75</v>
      </c>
      <c r="J17" s="401">
        <v>3024.2460000000001</v>
      </c>
      <c r="K17" s="401">
        <v>3151.904</v>
      </c>
      <c r="L17" s="401">
        <v>3310.0950000000003</v>
      </c>
      <c r="M17" s="401">
        <v>3509.7509999999997</v>
      </c>
      <c r="N17" s="401">
        <v>3735.1880000000001</v>
      </c>
      <c r="O17" s="401">
        <v>3923.1759999999999</v>
      </c>
      <c r="P17" s="401">
        <v>4104.9580000000005</v>
      </c>
      <c r="Q17" s="436">
        <v>4258.8890000000001</v>
      </c>
      <c r="R17" s="401">
        <v>4363.4169999999995</v>
      </c>
      <c r="S17" s="401">
        <v>4603.4179999999997</v>
      </c>
      <c r="T17" s="401">
        <v>4849.6189999999997</v>
      </c>
      <c r="U17" s="401">
        <v>5087.3109999999997</v>
      </c>
      <c r="V17" s="401">
        <v>5353.2830000000004</v>
      </c>
      <c r="W17" s="401">
        <v>5405.585</v>
      </c>
      <c r="X17" s="401">
        <v>5342.9439999999995</v>
      </c>
      <c r="Y17" s="401">
        <v>5303.4659999999994</v>
      </c>
      <c r="Z17" s="401">
        <v>5256.7510000000002</v>
      </c>
      <c r="AA17" s="401">
        <v>5171.6859999999997</v>
      </c>
      <c r="AB17" s="401">
        <v>5070.174</v>
      </c>
      <c r="AC17" s="401">
        <v>5025.5440000000008</v>
      </c>
      <c r="AD17" s="401">
        <v>5047.1750000000002</v>
      </c>
      <c r="AE17" s="401">
        <v>5087.3689999999997</v>
      </c>
      <c r="AF17" s="401">
        <v>5142.6299999999992</v>
      </c>
      <c r="AG17" s="401">
        <v>5206.8530000000001</v>
      </c>
      <c r="AH17" s="401">
        <v>5248.6530000000002</v>
      </c>
      <c r="AI17" s="401">
        <v>5266.4380000000001</v>
      </c>
      <c r="AJ17" s="401">
        <v>5283.5749999999998</v>
      </c>
      <c r="AK17" s="171">
        <v>0.32540020408480075</v>
      </c>
      <c r="AL17" s="382" t="s">
        <v>47</v>
      </c>
    </row>
    <row r="18" spans="1:38" s="810" customFormat="1" ht="12.75" customHeight="1">
      <c r="A18" s="809"/>
      <c r="B18" s="832" t="s">
        <v>48</v>
      </c>
      <c r="C18" s="833">
        <v>1504</v>
      </c>
      <c r="D18" s="834">
        <v>2591</v>
      </c>
      <c r="E18" s="835">
        <v>4840</v>
      </c>
      <c r="F18" s="835">
        <v>4941</v>
      </c>
      <c r="G18" s="835">
        <v>4959</v>
      </c>
      <c r="H18" s="835">
        <v>4989</v>
      </c>
      <c r="I18" s="835">
        <v>5062</v>
      </c>
      <c r="J18" s="835">
        <v>5116</v>
      </c>
      <c r="K18" s="835">
        <v>5173</v>
      </c>
      <c r="L18" s="835">
        <v>5298</v>
      </c>
      <c r="M18" s="836">
        <v>4951.165</v>
      </c>
      <c r="N18" s="835">
        <v>5038.2240000000002</v>
      </c>
      <c r="O18" s="835">
        <v>5151.6859999999997</v>
      </c>
      <c r="P18" s="835">
        <v>5252.29</v>
      </c>
      <c r="Q18" s="835">
        <v>5292.5529999999999</v>
      </c>
      <c r="R18" s="835">
        <v>5298.4470000000001</v>
      </c>
      <c r="S18" s="835">
        <v>5314.8419999999996</v>
      </c>
      <c r="T18" s="835">
        <v>5346.6930000000002</v>
      </c>
      <c r="U18" s="835">
        <v>5344.7920000000004</v>
      </c>
      <c r="V18" s="835">
        <v>5476.0450000000001</v>
      </c>
      <c r="W18" s="835">
        <v>5212.01</v>
      </c>
      <c r="X18" s="837">
        <v>5694.3481585158888</v>
      </c>
      <c r="Y18" s="835">
        <v>5841.1610000000001</v>
      </c>
      <c r="Z18" s="835">
        <v>6028.2120000000004</v>
      </c>
      <c r="AA18" s="835">
        <v>6144.9009999999998</v>
      </c>
      <c r="AB18" s="835">
        <v>6217.9430000000002</v>
      </c>
      <c r="AC18" s="835">
        <v>6323.0749999999998</v>
      </c>
      <c r="AD18" s="835">
        <v>6432.4759999999997</v>
      </c>
      <c r="AE18" s="835">
        <v>6530.0659999999998</v>
      </c>
      <c r="AF18" s="838">
        <v>6666.1750000000002</v>
      </c>
      <c r="AG18" s="835">
        <v>6827.6229999999996</v>
      </c>
      <c r="AH18" s="838">
        <v>6909.9939999999997</v>
      </c>
      <c r="AI18" s="838">
        <v>6876.0079999999998</v>
      </c>
      <c r="AJ18" s="838">
        <v>6865.2889999999998</v>
      </c>
      <c r="AK18" s="839">
        <v>-0.15588987098328744</v>
      </c>
      <c r="AL18" s="840" t="s">
        <v>48</v>
      </c>
    </row>
    <row r="19" spans="1:38" ht="12.75" customHeight="1">
      <c r="A19" s="5"/>
      <c r="B19" s="382" t="s">
        <v>59</v>
      </c>
      <c r="C19" s="434"/>
      <c r="D19" s="435"/>
      <c r="E19" s="401"/>
      <c r="F19" s="401"/>
      <c r="G19" s="401"/>
      <c r="H19" s="401">
        <v>51.117000000000004</v>
      </c>
      <c r="I19" s="401">
        <v>64.438000000000002</v>
      </c>
      <c r="J19" s="401">
        <v>73.497</v>
      </c>
      <c r="K19" s="401">
        <v>94.921000000000006</v>
      </c>
      <c r="L19" s="401">
        <v>109.73400000000001</v>
      </c>
      <c r="M19" s="401">
        <v>115.768</v>
      </c>
      <c r="N19" s="401">
        <v>118.70400000000001</v>
      </c>
      <c r="O19" s="401">
        <v>122.51600000000001</v>
      </c>
      <c r="P19" s="401">
        <v>129.49700000000001</v>
      </c>
      <c r="Q19" s="401">
        <v>138.74300000000002</v>
      </c>
      <c r="R19" s="401">
        <v>148.27499999999998</v>
      </c>
      <c r="S19" s="401">
        <v>154.79</v>
      </c>
      <c r="T19" s="401">
        <v>162.87700000000001</v>
      </c>
      <c r="U19" s="401">
        <v>169.69799999999998</v>
      </c>
      <c r="V19" s="401">
        <v>176.703</v>
      </c>
      <c r="W19" s="401">
        <v>180.30100000000002</v>
      </c>
      <c r="X19" s="401">
        <v>164.761</v>
      </c>
      <c r="Y19" s="401">
        <v>157.73099999999999</v>
      </c>
      <c r="Z19" s="401">
        <v>154.88399999999999</v>
      </c>
      <c r="AA19" s="401">
        <v>141.56700000000001</v>
      </c>
      <c r="AB19" s="401">
        <v>141.49100000000001</v>
      </c>
      <c r="AC19" s="401">
        <v>143.66</v>
      </c>
      <c r="AD19" s="401">
        <v>149.006</v>
      </c>
      <c r="AE19" s="401">
        <v>156.673</v>
      </c>
      <c r="AF19" s="401">
        <v>168.05799999999999</v>
      </c>
      <c r="AG19" s="401">
        <v>181.404</v>
      </c>
      <c r="AH19" s="401">
        <v>193.65</v>
      </c>
      <c r="AI19" s="401">
        <v>202.286</v>
      </c>
      <c r="AJ19" s="401">
        <v>213.90199999999999</v>
      </c>
      <c r="AK19" s="171">
        <v>5.7423647706712302</v>
      </c>
      <c r="AL19" s="382" t="s">
        <v>59</v>
      </c>
    </row>
    <row r="20" spans="1:38" ht="12.75" customHeight="1">
      <c r="A20" s="5"/>
      <c r="B20" s="438" t="s">
        <v>50</v>
      </c>
      <c r="C20" s="439"/>
      <c r="D20" s="440">
        <v>1290.6869999999999</v>
      </c>
      <c r="E20" s="400">
        <v>2207.9029999999998</v>
      </c>
      <c r="F20" s="400">
        <v>2292.9279999999999</v>
      </c>
      <c r="G20" s="400">
        <v>2359.8470000000002</v>
      </c>
      <c r="H20" s="400">
        <v>2389.17</v>
      </c>
      <c r="I20" s="400">
        <v>2446.3229999999999</v>
      </c>
      <c r="J20" s="400">
        <v>2509.893</v>
      </c>
      <c r="K20" s="400">
        <v>2640.1019999999999</v>
      </c>
      <c r="L20" s="400">
        <v>2719.8040000000001</v>
      </c>
      <c r="M20" s="400">
        <v>2828.0030000000002</v>
      </c>
      <c r="N20" s="400">
        <v>2946.806</v>
      </c>
      <c r="O20" s="400">
        <v>3087.0079999999998</v>
      </c>
      <c r="P20" s="400">
        <v>3234.4659999999999</v>
      </c>
      <c r="Q20" s="400">
        <v>3429.8820000000001</v>
      </c>
      <c r="R20" s="400">
        <v>3590.3049999999998</v>
      </c>
      <c r="S20" s="400">
        <v>3645.0459999999998</v>
      </c>
      <c r="T20" s="400">
        <v>3785.913</v>
      </c>
      <c r="U20" s="400">
        <v>3914.797</v>
      </c>
      <c r="V20" s="400">
        <v>3996.9070000000002</v>
      </c>
      <c r="W20" s="400">
        <v>4072.0050000000001</v>
      </c>
      <c r="X20" s="400">
        <v>4102.5889999999999</v>
      </c>
      <c r="Y20" s="400">
        <v>4141.7910000000002</v>
      </c>
      <c r="Z20" s="400">
        <v>4181.8950000000004</v>
      </c>
      <c r="AA20" s="400">
        <v>4143.7659999999996</v>
      </c>
      <c r="AB20" s="400">
        <v>4087.5889999999999</v>
      </c>
      <c r="AC20" s="400">
        <v>4080.9440000000004</v>
      </c>
      <c r="AD20" s="400">
        <v>4097.8220000000001</v>
      </c>
      <c r="AE20" s="400">
        <v>4180.8</v>
      </c>
      <c r="AF20" s="400">
        <v>4256.4049999999997</v>
      </c>
      <c r="AG20" s="400">
        <v>4314.0230000000001</v>
      </c>
      <c r="AH20" s="400">
        <v>4368.3689999999997</v>
      </c>
      <c r="AI20" s="400">
        <v>4417.1869999999999</v>
      </c>
      <c r="AJ20" s="400">
        <v>4495.1279999999997</v>
      </c>
      <c r="AK20" s="192">
        <v>1.7644940094227337</v>
      </c>
      <c r="AL20" s="438" t="s">
        <v>50</v>
      </c>
    </row>
    <row r="21" spans="1:38" ht="12.75" customHeight="1">
      <c r="A21" s="5"/>
      <c r="B21" s="382" t="s">
        <v>29</v>
      </c>
      <c r="C21" s="434"/>
      <c r="D21" s="435">
        <v>23.6</v>
      </c>
      <c r="E21" s="401">
        <v>74.325000000000003</v>
      </c>
      <c r="F21" s="401"/>
      <c r="G21" s="401"/>
      <c r="H21" s="401"/>
      <c r="I21" s="401"/>
      <c r="J21" s="401">
        <v>101.184</v>
      </c>
      <c r="K21" s="401">
        <v>104.04</v>
      </c>
      <c r="L21" s="401">
        <v>105.657</v>
      </c>
      <c r="M21" s="401">
        <v>109.294</v>
      </c>
      <c r="N21" s="401">
        <v>111.13500000000001</v>
      </c>
      <c r="O21" s="401">
        <v>114.666</v>
      </c>
      <c r="P21" s="401">
        <v>117.947</v>
      </c>
      <c r="Q21" s="401">
        <v>117.792</v>
      </c>
      <c r="R21" s="401">
        <v>119.646</v>
      </c>
      <c r="S21" s="401">
        <v>117.825</v>
      </c>
      <c r="T21" s="401">
        <v>118.355</v>
      </c>
      <c r="U21" s="401">
        <v>115.723</v>
      </c>
      <c r="V21" s="401">
        <v>117.498</v>
      </c>
      <c r="W21" s="401">
        <v>121.779</v>
      </c>
      <c r="X21" s="401">
        <v>124.09699999999999</v>
      </c>
      <c r="Y21" s="401">
        <v>120.69</v>
      </c>
      <c r="Z21" s="401">
        <v>118.003</v>
      </c>
      <c r="AA21" s="401">
        <v>113.74299999999999</v>
      </c>
      <c r="AB21" s="401">
        <v>109.069</v>
      </c>
      <c r="AC21" s="401">
        <v>104.446</v>
      </c>
      <c r="AD21" s="401">
        <v>103.836</v>
      </c>
      <c r="AE21" s="401">
        <v>106.304</v>
      </c>
      <c r="AF21" s="401">
        <v>107.745</v>
      </c>
      <c r="AG21" s="401">
        <v>111.042</v>
      </c>
      <c r="AH21" s="401">
        <v>114.544</v>
      </c>
      <c r="AI21" s="401">
        <v>116.28</v>
      </c>
      <c r="AJ21" s="401">
        <v>117.926</v>
      </c>
      <c r="AK21" s="171">
        <v>1.4155486756105944</v>
      </c>
      <c r="AL21" s="382" t="s">
        <v>29</v>
      </c>
    </row>
    <row r="22" spans="1:38" ht="12.75" customHeight="1">
      <c r="A22" s="5"/>
      <c r="B22" s="438" t="s">
        <v>33</v>
      </c>
      <c r="C22" s="439"/>
      <c r="D22" s="440"/>
      <c r="E22" s="400"/>
      <c r="F22" s="400"/>
      <c r="G22" s="400"/>
      <c r="H22" s="400"/>
      <c r="I22" s="400">
        <v>66.436000000000007</v>
      </c>
      <c r="J22" s="400">
        <v>68.668000000000006</v>
      </c>
      <c r="K22" s="400">
        <v>72.909000000000006</v>
      </c>
      <c r="L22" s="400">
        <v>76.771000000000001</v>
      </c>
      <c r="M22" s="400">
        <v>84.941999999999993</v>
      </c>
      <c r="N22" s="400">
        <v>90.22</v>
      </c>
      <c r="O22" s="400">
        <v>97.081000000000003</v>
      </c>
      <c r="P22" s="400">
        <v>99.707999999999998</v>
      </c>
      <c r="Q22" s="400">
        <v>102.73399999999999</v>
      </c>
      <c r="R22" s="400">
        <v>104.626</v>
      </c>
      <c r="S22" s="400">
        <v>107.553</v>
      </c>
      <c r="T22" s="400">
        <v>113.113</v>
      </c>
      <c r="U22" s="400">
        <v>121.12</v>
      </c>
      <c r="V22" s="400">
        <v>129.614</v>
      </c>
      <c r="W22" s="400">
        <v>129.80500000000001</v>
      </c>
      <c r="X22" s="400">
        <v>120.571</v>
      </c>
      <c r="Y22" s="441">
        <v>71.575000000000003</v>
      </c>
      <c r="Z22" s="400">
        <v>72.622</v>
      </c>
      <c r="AA22" s="400">
        <v>76.302999999999997</v>
      </c>
      <c r="AB22" s="400">
        <v>79.899000000000001</v>
      </c>
      <c r="AC22" s="400">
        <v>83.204999999999998</v>
      </c>
      <c r="AD22" s="400">
        <v>85.998000000000005</v>
      </c>
      <c r="AE22" s="400">
        <v>84.066999999999993</v>
      </c>
      <c r="AF22" s="400">
        <v>87.1</v>
      </c>
      <c r="AG22" s="400">
        <v>89.210999999999999</v>
      </c>
      <c r="AH22" s="400">
        <v>91.311000000000007</v>
      </c>
      <c r="AI22" s="400">
        <v>92.498999999999995</v>
      </c>
      <c r="AJ22" s="400">
        <v>94.811000000000007</v>
      </c>
      <c r="AK22" s="192">
        <v>2.499486480934948</v>
      </c>
      <c r="AL22" s="438" t="s">
        <v>33</v>
      </c>
    </row>
    <row r="23" spans="1:38" ht="12.75" customHeight="1">
      <c r="A23" s="5"/>
      <c r="B23" s="382" t="s">
        <v>34</v>
      </c>
      <c r="C23" s="434"/>
      <c r="D23" s="435">
        <v>65.7</v>
      </c>
      <c r="E23" s="401">
        <v>83</v>
      </c>
      <c r="F23" s="425">
        <v>88.257000000000005</v>
      </c>
      <c r="G23" s="425">
        <v>93.513999999999996</v>
      </c>
      <c r="H23" s="401">
        <v>98.771000000000001</v>
      </c>
      <c r="I23" s="401">
        <v>101.06</v>
      </c>
      <c r="J23" s="401">
        <v>108.89099999999999</v>
      </c>
      <c r="K23" s="401">
        <v>89.283000000000001</v>
      </c>
      <c r="L23" s="401">
        <v>93.669999999999987</v>
      </c>
      <c r="M23" s="401">
        <v>99.453999999999994</v>
      </c>
      <c r="N23" s="401">
        <v>96.575999999999993</v>
      </c>
      <c r="O23" s="401">
        <v>98.613</v>
      </c>
      <c r="P23" s="401">
        <v>100.38900000000001</v>
      </c>
      <c r="Q23" s="401">
        <v>105.545</v>
      </c>
      <c r="R23" s="401">
        <v>110.517</v>
      </c>
      <c r="S23" s="401">
        <v>115.67700000000001</v>
      </c>
      <c r="T23" s="401">
        <v>122.486</v>
      </c>
      <c r="U23" s="401">
        <v>135.54599999999999</v>
      </c>
      <c r="V23" s="401">
        <v>147.583</v>
      </c>
      <c r="W23" s="401">
        <v>150.108</v>
      </c>
      <c r="X23" s="401">
        <v>146.32500000000002</v>
      </c>
      <c r="Y23" s="401">
        <v>133.92099999999999</v>
      </c>
      <c r="Z23" s="401">
        <v>136.779</v>
      </c>
      <c r="AA23" s="401">
        <v>138.935</v>
      </c>
      <c r="AB23" s="401">
        <v>143.03800000000001</v>
      </c>
      <c r="AC23" s="437">
        <v>99.679000000000002</v>
      </c>
      <c r="AD23" s="401">
        <v>102.89599999999999</v>
      </c>
      <c r="AE23" s="401">
        <v>109.396</v>
      </c>
      <c r="AF23" s="401">
        <v>115.5</v>
      </c>
      <c r="AG23" s="401">
        <v>125.67700000000001</v>
      </c>
      <c r="AH23" s="401">
        <v>135.86799999999999</v>
      </c>
      <c r="AI23" s="401">
        <v>143.27099999999999</v>
      </c>
      <c r="AJ23" s="401">
        <v>153.15100000000001</v>
      </c>
      <c r="AK23" s="171">
        <v>6.8960222236182034</v>
      </c>
      <c r="AL23" s="382" t="s">
        <v>34</v>
      </c>
    </row>
    <row r="24" spans="1:38" ht="12.75" customHeight="1">
      <c r="A24" s="5"/>
      <c r="B24" s="438" t="s">
        <v>51</v>
      </c>
      <c r="C24" s="439">
        <v>9</v>
      </c>
      <c r="D24" s="440">
        <v>9</v>
      </c>
      <c r="E24" s="400">
        <v>11.275</v>
      </c>
      <c r="F24" s="400">
        <v>12</v>
      </c>
      <c r="G24" s="400">
        <v>13</v>
      </c>
      <c r="H24" s="400">
        <v>14.641</v>
      </c>
      <c r="I24" s="400">
        <v>15.398</v>
      </c>
      <c r="J24" s="400">
        <v>15.794</v>
      </c>
      <c r="K24" s="400">
        <v>18.380000000000003</v>
      </c>
      <c r="L24" s="400">
        <v>19.378</v>
      </c>
      <c r="M24" s="400">
        <v>20.795999999999999</v>
      </c>
      <c r="N24" s="400">
        <v>22.562999999999999</v>
      </c>
      <c r="O24" s="400">
        <v>24.667000000000002</v>
      </c>
      <c r="P24" s="400">
        <v>26.304000000000002</v>
      </c>
      <c r="Q24" s="400">
        <v>26.952999999999999</v>
      </c>
      <c r="R24" s="400">
        <v>27.928999999999998</v>
      </c>
      <c r="S24" s="400">
        <v>28.425999999999998</v>
      </c>
      <c r="T24" s="400">
        <v>29.588000000000001</v>
      </c>
      <c r="U24" s="400">
        <v>30.735000000000003</v>
      </c>
      <c r="V24" s="400">
        <v>32.519999999999996</v>
      </c>
      <c r="W24" s="400">
        <v>34.408000000000001</v>
      </c>
      <c r="X24" s="400">
        <v>34.735999999999997</v>
      </c>
      <c r="Y24" s="400">
        <v>35.628</v>
      </c>
      <c r="Z24" s="400">
        <v>36.813000000000002</v>
      </c>
      <c r="AA24" s="400">
        <v>37.318999999999996</v>
      </c>
      <c r="AB24" s="400">
        <v>37.658999999999999</v>
      </c>
      <c r="AC24" s="400">
        <v>38.433999999999997</v>
      </c>
      <c r="AD24" s="400">
        <v>39.574000000000005</v>
      </c>
      <c r="AE24" s="400">
        <v>41.247999999999998</v>
      </c>
      <c r="AF24" s="400">
        <v>43.186999999999998</v>
      </c>
      <c r="AG24" s="400">
        <v>44.994</v>
      </c>
      <c r="AH24" s="400">
        <v>46.953000000000003</v>
      </c>
      <c r="AI24" s="400">
        <v>48.62</v>
      </c>
      <c r="AJ24" s="400">
        <v>50.466999999999999</v>
      </c>
      <c r="AK24" s="192">
        <v>3.7988482106129169</v>
      </c>
      <c r="AL24" s="438" t="s">
        <v>51</v>
      </c>
    </row>
    <row r="25" spans="1:38" ht="12.75" customHeight="1">
      <c r="A25" s="5"/>
      <c r="B25" s="382" t="s">
        <v>32</v>
      </c>
      <c r="C25" s="434"/>
      <c r="D25" s="435">
        <v>197</v>
      </c>
      <c r="E25" s="401">
        <v>262</v>
      </c>
      <c r="F25" s="401"/>
      <c r="G25" s="401"/>
      <c r="H25" s="401"/>
      <c r="I25" s="401"/>
      <c r="J25" s="442">
        <v>277.97400000000005</v>
      </c>
      <c r="K25" s="406">
        <v>282.20400000000001</v>
      </c>
      <c r="L25" s="406">
        <v>295.38299999999998</v>
      </c>
      <c r="M25" s="406">
        <v>319.779</v>
      </c>
      <c r="N25" s="406">
        <v>332.50299999999999</v>
      </c>
      <c r="O25" s="406">
        <v>352.62799999999999</v>
      </c>
      <c r="P25" s="406">
        <v>366.21300000000002</v>
      </c>
      <c r="Q25" s="406">
        <v>381.43200000000002</v>
      </c>
      <c r="R25" s="406">
        <v>392.029</v>
      </c>
      <c r="S25" s="406">
        <v>395.96200000000005</v>
      </c>
      <c r="T25" s="406">
        <v>412.92100000000005</v>
      </c>
      <c r="U25" s="406">
        <v>429.45699999999999</v>
      </c>
      <c r="V25" s="406">
        <v>444.495</v>
      </c>
      <c r="W25" s="406">
        <v>455.89100000000002</v>
      </c>
      <c r="X25" s="406">
        <v>452.52300000000002</v>
      </c>
      <c r="Y25" s="406">
        <v>451.32100000000003</v>
      </c>
      <c r="Z25" s="406">
        <v>452.76299999999998</v>
      </c>
      <c r="AA25" s="406">
        <v>454.31900000000002</v>
      </c>
      <c r="AB25" s="406">
        <v>462.649</v>
      </c>
      <c r="AC25" s="406">
        <v>478.411</v>
      </c>
      <c r="AD25" s="406">
        <v>496.23700000000002</v>
      </c>
      <c r="AE25" s="406">
        <v>517.07799999999997</v>
      </c>
      <c r="AF25" s="406">
        <v>542.52699999999993</v>
      </c>
      <c r="AG25" s="406">
        <v>570.47500000000002</v>
      </c>
      <c r="AH25" s="406">
        <v>598.61</v>
      </c>
      <c r="AI25" s="406">
        <v>615.70299999999997</v>
      </c>
      <c r="AJ25" s="406">
        <v>637.61300000000006</v>
      </c>
      <c r="AK25" s="171">
        <v>3.5585339035216776</v>
      </c>
      <c r="AL25" s="382" t="s">
        <v>32</v>
      </c>
    </row>
    <row r="26" spans="1:38" ht="12.75" customHeight="1">
      <c r="A26" s="5"/>
      <c r="B26" s="438" t="s">
        <v>35</v>
      </c>
      <c r="C26" s="439"/>
      <c r="D26" s="440" t="s">
        <v>64</v>
      </c>
      <c r="E26" s="400" t="s">
        <v>64</v>
      </c>
      <c r="F26" s="400"/>
      <c r="G26" s="400"/>
      <c r="H26" s="400">
        <v>34.024000000000001</v>
      </c>
      <c r="I26" s="400">
        <v>37.600999999999999</v>
      </c>
      <c r="J26" s="400">
        <v>40.835000000000001</v>
      </c>
      <c r="K26" s="400">
        <v>38.430999999999997</v>
      </c>
      <c r="L26" s="400">
        <v>46.311999999999998</v>
      </c>
      <c r="M26" s="400">
        <v>48.402999999999999</v>
      </c>
      <c r="N26" s="400">
        <v>50.046999999999997</v>
      </c>
      <c r="O26" s="400">
        <v>51.463000000000001</v>
      </c>
      <c r="P26" s="400">
        <v>43.662999999999997</v>
      </c>
      <c r="Q26" s="400">
        <v>43.852000000000004</v>
      </c>
      <c r="R26" s="400">
        <v>44.656999999999996</v>
      </c>
      <c r="S26" s="400">
        <v>44.575000000000003</v>
      </c>
      <c r="T26" s="400">
        <v>44.371000000000002</v>
      </c>
      <c r="U26" s="400">
        <v>45.505000000000003</v>
      </c>
      <c r="V26" s="400">
        <v>46.853000000000002</v>
      </c>
      <c r="W26" s="400">
        <v>48.21</v>
      </c>
      <c r="X26" s="400">
        <v>47.212000000000003</v>
      </c>
      <c r="Y26" s="441">
        <v>42.454000000000001</v>
      </c>
      <c r="Z26" s="400">
        <v>42.539000000000001</v>
      </c>
      <c r="AA26" s="400">
        <v>42.245000000000005</v>
      </c>
      <c r="AB26" s="400">
        <v>42.85</v>
      </c>
      <c r="AC26" s="400">
        <v>43.573999999999998</v>
      </c>
      <c r="AD26" s="400">
        <v>44.405999999999999</v>
      </c>
      <c r="AE26" s="400">
        <v>45.338000000000001</v>
      </c>
      <c r="AF26" s="400">
        <v>47.070999999999998</v>
      </c>
      <c r="AG26" s="400">
        <v>48.841999999999999</v>
      </c>
      <c r="AH26" s="400">
        <v>50.642000000000003</v>
      </c>
      <c r="AI26" s="400">
        <v>52.043999999999997</v>
      </c>
      <c r="AJ26" s="400">
        <v>52.777000000000001</v>
      </c>
      <c r="AK26" s="192">
        <v>1.4084236415340854</v>
      </c>
      <c r="AL26" s="438" t="s">
        <v>35</v>
      </c>
    </row>
    <row r="27" spans="1:38" ht="12.75" customHeight="1">
      <c r="A27" s="5"/>
      <c r="B27" s="382" t="s">
        <v>43</v>
      </c>
      <c r="C27" s="434">
        <v>286</v>
      </c>
      <c r="D27" s="435">
        <v>314</v>
      </c>
      <c r="E27" s="401">
        <v>553</v>
      </c>
      <c r="F27" s="401">
        <v>578</v>
      </c>
      <c r="G27" s="401">
        <v>619</v>
      </c>
      <c r="H27" s="401">
        <v>641</v>
      </c>
      <c r="I27" s="401">
        <v>644</v>
      </c>
      <c r="J27" s="401">
        <v>654</v>
      </c>
      <c r="K27" s="401">
        <v>684</v>
      </c>
      <c r="L27" s="401">
        <v>727</v>
      </c>
      <c r="M27" s="401">
        <v>795</v>
      </c>
      <c r="N27" s="401">
        <v>836.04700000000003</v>
      </c>
      <c r="O27" s="401">
        <v>898.99799999999993</v>
      </c>
      <c r="P27" s="401">
        <v>942.3130000000001</v>
      </c>
      <c r="Q27" s="401">
        <v>980.26700000000005</v>
      </c>
      <c r="R27" s="401">
        <v>1009.6420000000001</v>
      </c>
      <c r="S27" s="401">
        <v>1035.5930000000001</v>
      </c>
      <c r="T27" s="401">
        <v>1004.5060000000001</v>
      </c>
      <c r="U27" s="401">
        <v>995.73299999999995</v>
      </c>
      <c r="V27" s="401">
        <v>1010.402</v>
      </c>
      <c r="W27" s="401">
        <v>1025.9059999999999</v>
      </c>
      <c r="X27" s="401">
        <v>1017.2829999999999</v>
      </c>
      <c r="Y27" s="401">
        <v>1003.9649999999999</v>
      </c>
      <c r="Z27" s="401">
        <v>990.69799999999998</v>
      </c>
      <c r="AA27" s="401">
        <v>969.63900000000001</v>
      </c>
      <c r="AB27" s="401">
        <v>951.27800000000002</v>
      </c>
      <c r="AC27" s="401">
        <v>948.84299999999996</v>
      </c>
      <c r="AD27" s="401">
        <v>963.06400000000008</v>
      </c>
      <c r="AE27" s="401">
        <v>989.00499999999988</v>
      </c>
      <c r="AF27" s="401">
        <v>1023.0060000000001</v>
      </c>
      <c r="AG27" s="401">
        <v>1057.807</v>
      </c>
      <c r="AH27" s="401">
        <v>1084.4349999999999</v>
      </c>
      <c r="AI27" s="401">
        <v>1103.8</v>
      </c>
      <c r="AJ27" s="401">
        <v>1118.095</v>
      </c>
      <c r="AK27" s="171">
        <v>1.2950715709367842</v>
      </c>
      <c r="AL27" s="382" t="s">
        <v>43</v>
      </c>
    </row>
    <row r="28" spans="1:38" ht="12.75" customHeight="1">
      <c r="A28" s="5"/>
      <c r="B28" s="438" t="s">
        <v>52</v>
      </c>
      <c r="C28" s="439">
        <v>122.29</v>
      </c>
      <c r="D28" s="440">
        <v>189.25</v>
      </c>
      <c r="E28" s="400">
        <v>261.83999999999997</v>
      </c>
      <c r="F28" s="400">
        <v>269.279</v>
      </c>
      <c r="G28" s="400">
        <v>279.94499999999999</v>
      </c>
      <c r="H28" s="400">
        <v>286.67900000000003</v>
      </c>
      <c r="I28" s="400">
        <v>294.92499999999995</v>
      </c>
      <c r="J28" s="400">
        <v>302.90700000000004</v>
      </c>
      <c r="K28" s="400">
        <v>306.91699999999997</v>
      </c>
      <c r="L28" s="400">
        <v>315.05799999999999</v>
      </c>
      <c r="M28" s="400">
        <v>325.33499999999998</v>
      </c>
      <c r="N28" s="400">
        <v>335.77199999999999</v>
      </c>
      <c r="O28" s="400">
        <v>344.46600000000001</v>
      </c>
      <c r="P28" s="443">
        <v>349.67</v>
      </c>
      <c r="Q28" s="400">
        <v>338.79399999999998</v>
      </c>
      <c r="R28" s="400">
        <v>345.62099999999998</v>
      </c>
      <c r="S28" s="400">
        <v>353.05500000000001</v>
      </c>
      <c r="T28" s="400">
        <v>358.04899999999998</v>
      </c>
      <c r="U28" s="400">
        <v>364.32300000000004</v>
      </c>
      <c r="V28" s="400">
        <v>372.64500000000004</v>
      </c>
      <c r="W28" s="400">
        <v>381.33800000000002</v>
      </c>
      <c r="X28" s="400">
        <v>387.97199999999998</v>
      </c>
      <c r="Y28" s="400">
        <v>396.78799999999995</v>
      </c>
      <c r="Z28" s="400">
        <v>407.452</v>
      </c>
      <c r="AA28" s="400">
        <v>416.53500000000003</v>
      </c>
      <c r="AB28" s="400">
        <v>424.75200000000001</v>
      </c>
      <c r="AC28" s="400">
        <v>434.91500000000002</v>
      </c>
      <c r="AD28" s="400">
        <v>444.02299999999997</v>
      </c>
      <c r="AE28" s="400">
        <v>457.214</v>
      </c>
      <c r="AF28" s="400">
        <v>476.3</v>
      </c>
      <c r="AG28" s="400">
        <v>495.23099999999999</v>
      </c>
      <c r="AH28" s="400">
        <v>513.91899999999998</v>
      </c>
      <c r="AI28" s="400">
        <v>531.63400000000001</v>
      </c>
      <c r="AJ28" s="400">
        <v>567.87</v>
      </c>
      <c r="AK28" s="192">
        <v>6.8159673760519439</v>
      </c>
      <c r="AL28" s="438" t="s">
        <v>52</v>
      </c>
    </row>
    <row r="29" spans="1:38" ht="12.75" customHeight="1">
      <c r="A29" s="5"/>
      <c r="B29" s="382" t="s">
        <v>36</v>
      </c>
      <c r="C29" s="434"/>
      <c r="D29" s="435" t="s">
        <v>64</v>
      </c>
      <c r="E29" s="401" t="s">
        <v>64</v>
      </c>
      <c r="F29" s="401"/>
      <c r="G29" s="401"/>
      <c r="H29" s="401">
        <v>999.84500000000003</v>
      </c>
      <c r="I29" s="401">
        <v>1053.979</v>
      </c>
      <c r="J29" s="401">
        <v>1354.0989999999999</v>
      </c>
      <c r="K29" s="401">
        <v>1431.357</v>
      </c>
      <c r="L29" s="401">
        <v>1487.4389999999999</v>
      </c>
      <c r="M29" s="401">
        <v>1562.8140000000001</v>
      </c>
      <c r="N29" s="401">
        <v>1682.8869999999999</v>
      </c>
      <c r="O29" s="401">
        <v>1879.068</v>
      </c>
      <c r="P29" s="401">
        <v>1979.2929999999999</v>
      </c>
      <c r="Q29" s="401">
        <v>2162.614</v>
      </c>
      <c r="R29" s="401">
        <v>2313.4190000000003</v>
      </c>
      <c r="S29" s="401">
        <v>2391.605</v>
      </c>
      <c r="T29" s="401">
        <v>2304.5050000000001</v>
      </c>
      <c r="U29" s="401">
        <v>2392.6579999999999</v>
      </c>
      <c r="V29" s="401">
        <v>2520.5480000000002</v>
      </c>
      <c r="W29" s="401">
        <v>2709.6970000000001</v>
      </c>
      <c r="X29" s="401">
        <v>2796.7670000000003</v>
      </c>
      <c r="Y29" s="401">
        <v>2981.616</v>
      </c>
      <c r="Z29" s="401">
        <v>3130.7289999999998</v>
      </c>
      <c r="AA29" s="401">
        <v>3178.0050000000001</v>
      </c>
      <c r="AB29" s="401">
        <v>3242.4839999999999</v>
      </c>
      <c r="AC29" s="401">
        <v>3340.616</v>
      </c>
      <c r="AD29" s="401">
        <v>3427.9650000000001</v>
      </c>
      <c r="AE29" s="401">
        <v>3542.2790000000005</v>
      </c>
      <c r="AF29" s="401">
        <v>3640</v>
      </c>
      <c r="AG29" s="401">
        <v>3758</v>
      </c>
      <c r="AH29" s="401">
        <v>3883.4969999999998</v>
      </c>
      <c r="AI29" s="401">
        <v>3999.1669999999999</v>
      </c>
      <c r="AJ29" s="401">
        <v>4139.8050000000003</v>
      </c>
      <c r="AK29" s="171">
        <v>3.516682349099213</v>
      </c>
      <c r="AL29" s="382" t="s">
        <v>36</v>
      </c>
    </row>
    <row r="30" spans="1:38" ht="12.75" customHeight="1">
      <c r="A30" s="5"/>
      <c r="B30" s="438" t="s">
        <v>53</v>
      </c>
      <c r="C30" s="439">
        <v>157</v>
      </c>
      <c r="D30" s="440">
        <v>350</v>
      </c>
      <c r="E30" s="400">
        <v>781</v>
      </c>
      <c r="F30" s="400">
        <v>847</v>
      </c>
      <c r="G30" s="400">
        <v>928</v>
      </c>
      <c r="H30" s="443">
        <v>1011</v>
      </c>
      <c r="I30" s="400">
        <v>868.24599999999998</v>
      </c>
      <c r="J30" s="400">
        <v>912.29</v>
      </c>
      <c r="K30" s="400">
        <v>969.69899999999996</v>
      </c>
      <c r="L30" s="400">
        <v>1076.556</v>
      </c>
      <c r="M30" s="400">
        <v>1105.287</v>
      </c>
      <c r="N30" s="400">
        <v>1232.3119999999999</v>
      </c>
      <c r="O30" s="400">
        <v>1313.223</v>
      </c>
      <c r="P30" s="400">
        <v>1401.3050000000001</v>
      </c>
      <c r="Q30" s="400">
        <v>1377.335</v>
      </c>
      <c r="R30" s="400">
        <v>1256.8579999999999</v>
      </c>
      <c r="S30" s="444">
        <v>1300</v>
      </c>
      <c r="T30" s="444">
        <v>1308</v>
      </c>
      <c r="U30" s="400">
        <v>1320</v>
      </c>
      <c r="V30" s="400">
        <v>1333</v>
      </c>
      <c r="W30" s="444">
        <v>1335</v>
      </c>
      <c r="X30" s="400">
        <v>1337</v>
      </c>
      <c r="Y30" s="400">
        <v>1337</v>
      </c>
      <c r="Z30" s="400">
        <v>1335.5</v>
      </c>
      <c r="AA30" s="400">
        <v>1295</v>
      </c>
      <c r="AB30" s="441">
        <v>1246.4469999999999</v>
      </c>
      <c r="AC30" s="400">
        <v>1348.5989999999999</v>
      </c>
      <c r="AD30" s="400">
        <v>1313.2190000000001</v>
      </c>
      <c r="AE30" s="400">
        <v>1310.4739999999999</v>
      </c>
      <c r="AF30" s="400">
        <v>1336.8</v>
      </c>
      <c r="AG30" s="400">
        <v>1369.68</v>
      </c>
      <c r="AH30" s="400">
        <v>1513.0450000000001</v>
      </c>
      <c r="AI30" s="400">
        <v>1395.519</v>
      </c>
      <c r="AJ30" s="520">
        <v>1396.1420000000001</v>
      </c>
      <c r="AK30" s="192">
        <v>4.4642889133015728E-2</v>
      </c>
      <c r="AL30" s="438" t="s">
        <v>53</v>
      </c>
    </row>
    <row r="31" spans="1:38" ht="12.75" customHeight="1">
      <c r="A31" s="5"/>
      <c r="B31" s="382" t="s">
        <v>37</v>
      </c>
      <c r="C31" s="434"/>
      <c r="D31" s="435">
        <v>250</v>
      </c>
      <c r="E31" s="401">
        <v>258.70100000000002</v>
      </c>
      <c r="F31" s="401">
        <v>259.56599999999997</v>
      </c>
      <c r="G31" s="401">
        <v>275.48700000000002</v>
      </c>
      <c r="H31" s="401">
        <v>298.31799999999998</v>
      </c>
      <c r="I31" s="401">
        <v>322.41699999999997</v>
      </c>
      <c r="J31" s="401">
        <v>343.06400000000002</v>
      </c>
      <c r="K31" s="401">
        <v>376.81700000000001</v>
      </c>
      <c r="L31" s="401">
        <v>390.18099999999998</v>
      </c>
      <c r="M31" s="401">
        <v>405.74299999999999</v>
      </c>
      <c r="N31" s="401">
        <v>417.78</v>
      </c>
      <c r="O31" s="401">
        <v>427.15199999999999</v>
      </c>
      <c r="P31" s="401">
        <v>437.96800000000002</v>
      </c>
      <c r="Q31" s="401">
        <v>447.29899999999998</v>
      </c>
      <c r="R31" s="401">
        <v>463.09899999999999</v>
      </c>
      <c r="S31" s="401">
        <v>482.42500000000001</v>
      </c>
      <c r="T31" s="401">
        <v>493.82100000000003</v>
      </c>
      <c r="U31" s="436">
        <v>545.29999999999995</v>
      </c>
      <c r="V31" s="401">
        <v>501.95699999999999</v>
      </c>
      <c r="W31" s="401">
        <v>645.34</v>
      </c>
      <c r="X31" s="401">
        <v>661.9</v>
      </c>
      <c r="Y31" s="401">
        <v>667.21900000000005</v>
      </c>
      <c r="Z31" s="401">
        <v>696.26</v>
      </c>
      <c r="AA31" s="401">
        <v>719.92599999999993</v>
      </c>
      <c r="AB31" s="401">
        <v>761.55399999999997</v>
      </c>
      <c r="AC31" s="401">
        <v>806.52300000000002</v>
      </c>
      <c r="AD31" s="401">
        <v>856.25699999999995</v>
      </c>
      <c r="AE31" s="401">
        <v>912.79</v>
      </c>
      <c r="AF31" s="401">
        <v>975.2</v>
      </c>
      <c r="AG31" s="401">
        <v>1034.3240000000001</v>
      </c>
      <c r="AH31" s="401">
        <v>1090.008</v>
      </c>
      <c r="AI31" s="401">
        <v>1141.5920000000001</v>
      </c>
      <c r="AJ31" s="401">
        <v>1191.364</v>
      </c>
      <c r="AK31" s="171">
        <v>4.3598763831561627</v>
      </c>
      <c r="AL31" s="382" t="s">
        <v>37</v>
      </c>
    </row>
    <row r="32" spans="1:38" ht="12.75" customHeight="1">
      <c r="A32" s="5"/>
      <c r="B32" s="438" t="s">
        <v>39</v>
      </c>
      <c r="C32" s="439">
        <v>15.946</v>
      </c>
      <c r="D32" s="440">
        <v>28.454999999999998</v>
      </c>
      <c r="E32" s="400">
        <v>30.766999999999999</v>
      </c>
      <c r="F32" s="443">
        <v>30.771999999999998</v>
      </c>
      <c r="G32" s="400">
        <v>34.535000000000004</v>
      </c>
      <c r="H32" s="400">
        <v>36.976000000000006</v>
      </c>
      <c r="I32" s="400">
        <v>38.852000000000004</v>
      </c>
      <c r="J32" s="400">
        <v>42.866999999999997</v>
      </c>
      <c r="K32" s="400">
        <v>45.588999999999999</v>
      </c>
      <c r="L32" s="400">
        <v>47.88</v>
      </c>
      <c r="M32" s="400">
        <v>49.513000000000005</v>
      </c>
      <c r="N32" s="400">
        <v>51.741</v>
      </c>
      <c r="O32" s="400">
        <v>54.262999999999998</v>
      </c>
      <c r="P32" s="400">
        <v>56.114999999999995</v>
      </c>
      <c r="Q32" s="400">
        <v>57.9</v>
      </c>
      <c r="R32" s="400">
        <v>59.801000000000002</v>
      </c>
      <c r="S32" s="400">
        <v>63.177999999999997</v>
      </c>
      <c r="T32" s="400">
        <v>66.447000000000003</v>
      </c>
      <c r="U32" s="400">
        <v>70.132000000000005</v>
      </c>
      <c r="V32" s="400">
        <v>77.567999999999998</v>
      </c>
      <c r="W32" s="400">
        <v>83.909000000000006</v>
      </c>
      <c r="X32" s="400">
        <v>83.632999999999996</v>
      </c>
      <c r="Y32" s="400">
        <v>84.106999999999999</v>
      </c>
      <c r="Z32" s="400">
        <v>84.644000000000005</v>
      </c>
      <c r="AA32" s="400">
        <v>84.408000000000001</v>
      </c>
      <c r="AB32" s="400">
        <v>84.938000000000002</v>
      </c>
      <c r="AC32" s="400">
        <v>87.265000000000001</v>
      </c>
      <c r="AD32" s="400">
        <v>91.27600000000001</v>
      </c>
      <c r="AE32" s="400">
        <v>96.891999999999996</v>
      </c>
      <c r="AF32" s="400">
        <v>103.3</v>
      </c>
      <c r="AG32" s="400">
        <v>110.378</v>
      </c>
      <c r="AH32" s="400">
        <v>115.982</v>
      </c>
      <c r="AI32" s="400">
        <v>118.46</v>
      </c>
      <c r="AJ32" s="400">
        <v>123.658</v>
      </c>
      <c r="AK32" s="192">
        <v>4.3879790646631989</v>
      </c>
      <c r="AL32" s="438" t="s">
        <v>39</v>
      </c>
    </row>
    <row r="33" spans="1:38" ht="12.75" customHeight="1">
      <c r="A33" s="5"/>
      <c r="B33" s="382" t="s">
        <v>38</v>
      </c>
      <c r="C33" s="430"/>
      <c r="D33" s="431"/>
      <c r="E33" s="432">
        <v>91.994</v>
      </c>
      <c r="F33" s="401">
        <v>95.335999999999999</v>
      </c>
      <c r="G33" s="401">
        <v>102.295</v>
      </c>
      <c r="H33" s="401">
        <v>101.55200000000001</v>
      </c>
      <c r="I33" s="401">
        <v>102.47</v>
      </c>
      <c r="J33" s="401">
        <v>102.634</v>
      </c>
      <c r="K33" s="401">
        <v>97.078000000000003</v>
      </c>
      <c r="L33" s="401">
        <v>103.68</v>
      </c>
      <c r="M33" s="401">
        <v>112.80200000000001</v>
      </c>
      <c r="N33" s="401">
        <v>118.28699999999999</v>
      </c>
      <c r="O33" s="401">
        <v>113.995</v>
      </c>
      <c r="P33" s="401">
        <v>125.393</v>
      </c>
      <c r="Q33" s="401">
        <v>137.17099999999999</v>
      </c>
      <c r="R33" s="401">
        <v>150.99099999999999</v>
      </c>
      <c r="S33" s="401">
        <v>151.83000000000001</v>
      </c>
      <c r="T33" s="401">
        <v>174.23</v>
      </c>
      <c r="U33" s="401">
        <v>189.256</v>
      </c>
      <c r="V33" s="401">
        <v>215.697</v>
      </c>
      <c r="W33" s="401">
        <v>248.66199999999998</v>
      </c>
      <c r="X33" s="401">
        <v>269.322</v>
      </c>
      <c r="Y33" s="401">
        <v>276.04900000000004</v>
      </c>
      <c r="Z33" s="401">
        <v>281.81100000000004</v>
      </c>
      <c r="AA33" s="401">
        <v>285.97800000000001</v>
      </c>
      <c r="AB33" s="401">
        <v>289.40099999999995</v>
      </c>
      <c r="AC33" s="401">
        <v>293.85299999999995</v>
      </c>
      <c r="AD33" s="401">
        <v>302.88299999999998</v>
      </c>
      <c r="AE33" s="401">
        <v>309.29000000000002</v>
      </c>
      <c r="AF33" s="401">
        <v>316.7</v>
      </c>
      <c r="AG33" s="401">
        <v>324.67599999999999</v>
      </c>
      <c r="AH33" s="401">
        <v>326.36799999999999</v>
      </c>
      <c r="AI33" s="401">
        <v>326.7</v>
      </c>
      <c r="AJ33" s="401">
        <v>333.15800000000002</v>
      </c>
      <c r="AK33" s="171">
        <v>1.9767370676461553</v>
      </c>
      <c r="AL33" s="382" t="s">
        <v>38</v>
      </c>
    </row>
    <row r="34" spans="1:38" ht="12.75" customHeight="1">
      <c r="A34" s="5"/>
      <c r="B34" s="438" t="s">
        <v>54</v>
      </c>
      <c r="C34" s="439">
        <v>103</v>
      </c>
      <c r="D34" s="440">
        <v>149</v>
      </c>
      <c r="E34" s="400">
        <v>264.15699999999998</v>
      </c>
      <c r="F34" s="443">
        <v>263.8</v>
      </c>
      <c r="G34" s="400">
        <v>263</v>
      </c>
      <c r="H34" s="400">
        <v>253.10900000000001</v>
      </c>
      <c r="I34" s="400">
        <v>246.553</v>
      </c>
      <c r="J34" s="400">
        <v>252.03200000000001</v>
      </c>
      <c r="K34" s="400">
        <v>258.697</v>
      </c>
      <c r="L34" s="400">
        <v>266.94400000000002</v>
      </c>
      <c r="M34" s="400">
        <v>280.61</v>
      </c>
      <c r="N34" s="400">
        <v>293.70699999999999</v>
      </c>
      <c r="O34" s="400">
        <v>304.31799999999998</v>
      </c>
      <c r="P34" s="400">
        <v>312.55700000000002</v>
      </c>
      <c r="Q34" s="400">
        <v>319.69900000000001</v>
      </c>
      <c r="R34" s="400">
        <v>327.12200000000001</v>
      </c>
      <c r="S34" s="400">
        <v>355.16400000000004</v>
      </c>
      <c r="T34" s="400">
        <v>363.64400000000001</v>
      </c>
      <c r="U34" s="400">
        <v>376.09199999999998</v>
      </c>
      <c r="V34" s="400">
        <v>394.71800000000002</v>
      </c>
      <c r="W34" s="400">
        <v>424.49799999999999</v>
      </c>
      <c r="X34" s="400">
        <v>443.91199999999998</v>
      </c>
      <c r="Y34" s="400">
        <v>464.40800000000002</v>
      </c>
      <c r="Z34" s="400">
        <v>488.93900000000002</v>
      </c>
      <c r="AA34" s="400">
        <v>508.01100000000002</v>
      </c>
      <c r="AB34" s="400">
        <v>526.09799999999996</v>
      </c>
      <c r="AC34" s="400">
        <v>542.89400000000001</v>
      </c>
      <c r="AD34" s="400">
        <v>560.89</v>
      </c>
      <c r="AE34" s="400">
        <v>582.05999999999995</v>
      </c>
      <c r="AF34" s="400">
        <v>604.5</v>
      </c>
      <c r="AG34" s="400">
        <v>626.79399999999998</v>
      </c>
      <c r="AH34" s="400">
        <v>649.13499999999999</v>
      </c>
      <c r="AI34" s="400">
        <v>668.80700000000002</v>
      </c>
      <c r="AJ34" s="400">
        <v>685.08199999999999</v>
      </c>
      <c r="AK34" s="192">
        <v>2.4334374490697712</v>
      </c>
      <c r="AL34" s="438" t="s">
        <v>54</v>
      </c>
    </row>
    <row r="35" spans="1:38" ht="12.75" customHeight="1">
      <c r="A35" s="5"/>
      <c r="B35" s="445" t="s">
        <v>55</v>
      </c>
      <c r="C35" s="588">
        <v>145</v>
      </c>
      <c r="D35" s="589">
        <v>181.57</v>
      </c>
      <c r="E35" s="590">
        <v>309.52</v>
      </c>
      <c r="F35" s="402">
        <v>309.81</v>
      </c>
      <c r="G35" s="402">
        <v>304.99</v>
      </c>
      <c r="H35" s="402">
        <v>305.68600000000004</v>
      </c>
      <c r="I35" s="402">
        <v>307.916</v>
      </c>
      <c r="J35" s="402">
        <v>307.709</v>
      </c>
      <c r="K35" s="402">
        <v>311.75099999999998</v>
      </c>
      <c r="L35" s="402">
        <v>321.31</v>
      </c>
      <c r="M35" s="402">
        <v>337.97300000000001</v>
      </c>
      <c r="N35" s="402">
        <v>354.29300000000001</v>
      </c>
      <c r="O35" s="402">
        <v>374.22199999999998</v>
      </c>
      <c r="P35" s="402">
        <v>395.69299999999998</v>
      </c>
      <c r="Q35" s="402">
        <v>408.94</v>
      </c>
      <c r="R35" s="402">
        <v>421.56099999999998</v>
      </c>
      <c r="S35" s="402">
        <v>439.98500000000001</v>
      </c>
      <c r="T35" s="402">
        <v>461.161</v>
      </c>
      <c r="U35" s="402">
        <v>479.79399999999998</v>
      </c>
      <c r="V35" s="402">
        <v>504.08499999999998</v>
      </c>
      <c r="W35" s="402">
        <v>510.19900000000001</v>
      </c>
      <c r="X35" s="402">
        <v>514.57600000000002</v>
      </c>
      <c r="Y35" s="402">
        <v>526.44100000000003</v>
      </c>
      <c r="Z35" s="402">
        <v>548.27200000000005</v>
      </c>
      <c r="AA35" s="402">
        <v>556.82100000000003</v>
      </c>
      <c r="AB35" s="402">
        <v>565.18200000000002</v>
      </c>
      <c r="AC35" s="402">
        <v>581.20500000000004</v>
      </c>
      <c r="AD35" s="402">
        <v>596.21400000000006</v>
      </c>
      <c r="AE35" s="402">
        <v>616.178</v>
      </c>
      <c r="AF35" s="402">
        <v>638.38800000000003</v>
      </c>
      <c r="AG35" s="402">
        <v>656.05200000000002</v>
      </c>
      <c r="AH35" s="402">
        <v>669.24400000000003</v>
      </c>
      <c r="AI35" s="402">
        <v>679.99130000000002</v>
      </c>
      <c r="AJ35" s="402">
        <v>691.22199999999998</v>
      </c>
      <c r="AK35" s="174">
        <v>1.6515946601081311</v>
      </c>
      <c r="AL35" s="445" t="s">
        <v>55</v>
      </c>
    </row>
    <row r="36" spans="1:38" ht="12.75" customHeight="1">
      <c r="A36" s="5"/>
      <c r="B36" s="438" t="s">
        <v>26</v>
      </c>
      <c r="C36" s="439"/>
      <c r="D36" s="440" t="s">
        <v>64</v>
      </c>
      <c r="E36" s="400">
        <v>13.122</v>
      </c>
      <c r="F36" s="443">
        <v>14.623000000000001</v>
      </c>
      <c r="G36" s="400">
        <v>14.844999999999999</v>
      </c>
      <c r="H36" s="400">
        <v>14.451000000000001</v>
      </c>
      <c r="I36" s="400">
        <v>14.348000000000001</v>
      </c>
      <c r="J36" s="400">
        <v>14.757</v>
      </c>
      <c r="K36" s="400">
        <v>15.260000000000002</v>
      </c>
      <c r="L36" s="400">
        <v>16.027999999999999</v>
      </c>
      <c r="M36" s="400">
        <v>16.549999999999997</v>
      </c>
      <c r="N36" s="400">
        <v>17.806999999999999</v>
      </c>
      <c r="O36" s="400">
        <v>19.431999999999999</v>
      </c>
      <c r="P36" s="400">
        <v>19.990000000000002</v>
      </c>
      <c r="Q36" s="400">
        <v>20.277999999999999</v>
      </c>
      <c r="R36" s="400">
        <v>21.234999999999999</v>
      </c>
      <c r="S36" s="400">
        <v>23.035</v>
      </c>
      <c r="T36" s="400">
        <v>25.544</v>
      </c>
      <c r="U36" s="400">
        <v>28.087</v>
      </c>
      <c r="V36" s="400">
        <v>31.094999999999999</v>
      </c>
      <c r="W36" s="400">
        <v>31.818999999999999</v>
      </c>
      <c r="X36" s="400">
        <v>30.923000000000002</v>
      </c>
      <c r="Y36" s="400">
        <v>30.437000000000001</v>
      </c>
      <c r="Z36" s="400">
        <v>30.209</v>
      </c>
      <c r="AA36" s="400">
        <v>30.338000000000001</v>
      </c>
      <c r="AB36" s="400">
        <v>30.657</v>
      </c>
      <c r="AC36" s="400">
        <v>31.364000000000001</v>
      </c>
      <c r="AD36" s="400">
        <v>33.023000000000003</v>
      </c>
      <c r="AE36" s="400">
        <v>35.572000000000003</v>
      </c>
      <c r="AF36" s="400">
        <v>38.393999999999998</v>
      </c>
      <c r="AG36" s="400">
        <v>40.542000000000002</v>
      </c>
      <c r="AH36" s="400">
        <v>41.786999999999999</v>
      </c>
      <c r="AI36" s="400">
        <v>42.573999999999998</v>
      </c>
      <c r="AJ36" s="400">
        <v>43.98</v>
      </c>
      <c r="AK36" s="484">
        <v>3.3024850847935454</v>
      </c>
      <c r="AL36" s="447" t="s">
        <v>26</v>
      </c>
    </row>
    <row r="37" spans="1:38" ht="12.75" customHeight="1">
      <c r="A37" s="5"/>
      <c r="B37" s="382" t="s">
        <v>65</v>
      </c>
      <c r="C37" s="430"/>
      <c r="D37" s="431"/>
      <c r="E37" s="432"/>
      <c r="F37" s="401"/>
      <c r="G37" s="401"/>
      <c r="H37" s="401"/>
      <c r="I37" s="401"/>
      <c r="J37" s="401"/>
      <c r="K37" s="401"/>
      <c r="L37" s="401"/>
      <c r="M37" s="401"/>
      <c r="N37" s="401">
        <v>2.8839999999999999</v>
      </c>
      <c r="O37" s="401">
        <v>2.46</v>
      </c>
      <c r="P37" s="401">
        <v>2.6</v>
      </c>
      <c r="Q37" s="401">
        <v>2.665</v>
      </c>
      <c r="R37" s="401">
        <v>2.56</v>
      </c>
      <c r="S37" s="401">
        <v>2.5910000000000002</v>
      </c>
      <c r="T37" s="401">
        <v>2.5790000000000002</v>
      </c>
      <c r="U37" s="401">
        <v>2.5249999999999999</v>
      </c>
      <c r="V37" s="401">
        <v>2.5659999999999998</v>
      </c>
      <c r="W37" s="401">
        <v>2.6960000000000002</v>
      </c>
      <c r="X37" s="401">
        <v>2.7120000000000002</v>
      </c>
      <c r="Y37" s="401">
        <v>2.7909999999999999</v>
      </c>
      <c r="Z37" s="401">
        <v>2.89</v>
      </c>
      <c r="AA37" s="401">
        <v>3.0219999999999998</v>
      </c>
      <c r="AB37" s="401">
        <v>3.0859999999999999</v>
      </c>
      <c r="AC37" s="401">
        <v>3.109</v>
      </c>
      <c r="AD37" s="401">
        <v>3.1829999999999998</v>
      </c>
      <c r="AE37" s="401">
        <v>3.286</v>
      </c>
      <c r="AF37" s="401">
        <v>3.3420000000000001</v>
      </c>
      <c r="AG37" s="401">
        <v>3.4340000000000002</v>
      </c>
      <c r="AH37" s="401">
        <v>3.5249999999999999</v>
      </c>
      <c r="AI37" s="401">
        <v>3.5550000000000002</v>
      </c>
      <c r="AJ37" s="401">
        <v>3.63</v>
      </c>
      <c r="AK37" s="171">
        <v>2.1097046413502056</v>
      </c>
      <c r="AL37" s="382" t="s">
        <v>65</v>
      </c>
    </row>
    <row r="38" spans="1:38" ht="12.75" customHeight="1">
      <c r="A38" s="5"/>
      <c r="B38" s="438" t="s">
        <v>56</v>
      </c>
      <c r="C38" s="439"/>
      <c r="D38" s="440" t="s">
        <v>64</v>
      </c>
      <c r="E38" s="400">
        <v>308.29899999999998</v>
      </c>
      <c r="F38" s="443">
        <v>311.06299999999999</v>
      </c>
      <c r="G38" s="400">
        <v>314.88200000000001</v>
      </c>
      <c r="H38" s="400">
        <v>323.387</v>
      </c>
      <c r="I38" s="400">
        <v>335.779</v>
      </c>
      <c r="J38" s="400">
        <v>349.50400000000002</v>
      </c>
      <c r="K38" s="400">
        <v>358.12799999999999</v>
      </c>
      <c r="L38" s="400">
        <v>377.01200000000006</v>
      </c>
      <c r="M38" s="400">
        <v>390.82900000000001</v>
      </c>
      <c r="N38" s="400">
        <v>403.03899999999999</v>
      </c>
      <c r="O38" s="400">
        <v>414.34</v>
      </c>
      <c r="P38" s="400">
        <v>426.97699999999998</v>
      </c>
      <c r="Q38" s="400">
        <v>431.02800000000002</v>
      </c>
      <c r="R38" s="400">
        <v>438.28200000000004</v>
      </c>
      <c r="S38" s="400">
        <v>449.80099999999999</v>
      </c>
      <c r="T38" s="400">
        <v>465.43900000000002</v>
      </c>
      <c r="U38" s="400">
        <v>488.565</v>
      </c>
      <c r="V38" s="400">
        <v>513.673</v>
      </c>
      <c r="W38" s="400">
        <v>523.35</v>
      </c>
      <c r="X38" s="400">
        <v>524.15099999999995</v>
      </c>
      <c r="Y38" s="400">
        <v>527.04100000000005</v>
      </c>
      <c r="Z38" s="400">
        <v>534.26099999999997</v>
      </c>
      <c r="AA38" s="400">
        <v>542.52800000000002</v>
      </c>
      <c r="AB38" s="400">
        <v>548.30499999999995</v>
      </c>
      <c r="AC38" s="400">
        <v>550.88199999999995</v>
      </c>
      <c r="AD38" s="400">
        <v>554.11</v>
      </c>
      <c r="AE38" s="400">
        <v>558.81299999999999</v>
      </c>
      <c r="AF38" s="400">
        <v>563.68899999999996</v>
      </c>
      <c r="AG38" s="400">
        <v>565.63199999999995</v>
      </c>
      <c r="AH38" s="400">
        <v>575.77300000000002</v>
      </c>
      <c r="AI38" s="400">
        <v>585.70699999999999</v>
      </c>
      <c r="AJ38" s="400">
        <v>594.46299999999997</v>
      </c>
      <c r="AK38" s="192">
        <v>1.49494542493089</v>
      </c>
      <c r="AL38" s="438" t="s">
        <v>56</v>
      </c>
    </row>
    <row r="39" spans="1:38" ht="12.75" customHeight="1">
      <c r="A39" s="5"/>
      <c r="B39" s="445" t="s">
        <v>27</v>
      </c>
      <c r="C39" s="588">
        <v>106.997</v>
      </c>
      <c r="D39" s="589">
        <v>169.40199999999999</v>
      </c>
      <c r="E39" s="590">
        <v>252.136</v>
      </c>
      <c r="F39" s="402">
        <v>257.64600000000002</v>
      </c>
      <c r="G39" s="402">
        <v>256.61099999999999</v>
      </c>
      <c r="H39" s="402">
        <v>253.46100000000001</v>
      </c>
      <c r="I39" s="402">
        <v>256.28500000000003</v>
      </c>
      <c r="J39" s="402">
        <v>262.35199999999998</v>
      </c>
      <c r="K39" s="402">
        <v>263.02</v>
      </c>
      <c r="L39" s="402">
        <v>264.2</v>
      </c>
      <c r="M39" s="402">
        <v>267.38</v>
      </c>
      <c r="N39" s="402">
        <v>273.95400000000001</v>
      </c>
      <c r="O39" s="402">
        <v>278.51799999999997</v>
      </c>
      <c r="P39" s="402">
        <v>285.24599999999998</v>
      </c>
      <c r="Q39" s="402">
        <v>290.142</v>
      </c>
      <c r="R39" s="402">
        <v>292.32900000000001</v>
      </c>
      <c r="S39" s="402">
        <v>298.19299999999998</v>
      </c>
      <c r="T39" s="402">
        <v>307.161</v>
      </c>
      <c r="U39" s="402">
        <v>314.04000000000002</v>
      </c>
      <c r="V39" s="402">
        <v>324.15300000000002</v>
      </c>
      <c r="W39" s="402">
        <v>326.23200000000003</v>
      </c>
      <c r="X39" s="402">
        <v>327.80799999999999</v>
      </c>
      <c r="Y39" s="402">
        <v>335.2</v>
      </c>
      <c r="Z39" s="402">
        <v>348.553</v>
      </c>
      <c r="AA39" s="402">
        <v>361.92599999999999</v>
      </c>
      <c r="AB39" s="402">
        <v>371.36099999999999</v>
      </c>
      <c r="AC39" s="402">
        <v>382.28100000000001</v>
      </c>
      <c r="AD39" s="402">
        <v>393.59800000000001</v>
      </c>
      <c r="AE39" s="402">
        <v>405.56599999999997</v>
      </c>
      <c r="AF39" s="402">
        <v>416.50099999999998</v>
      </c>
      <c r="AG39" s="402">
        <v>428.80799999999999</v>
      </c>
      <c r="AH39" s="402">
        <v>440.79500000000002</v>
      </c>
      <c r="AI39" s="402">
        <v>452.18599999999998</v>
      </c>
      <c r="AJ39" s="402">
        <v>466.85700000000003</v>
      </c>
      <c r="AK39" s="174">
        <v>3.2444613499754666</v>
      </c>
      <c r="AL39" s="445" t="s">
        <v>27</v>
      </c>
    </row>
    <row r="40" spans="1:38" ht="12.75" customHeight="1">
      <c r="A40" s="5"/>
      <c r="B40" s="438" t="s">
        <v>312</v>
      </c>
      <c r="C40" s="826"/>
      <c r="D40" s="827"/>
      <c r="E40" s="693"/>
      <c r="F40" s="400"/>
      <c r="G40" s="400"/>
      <c r="H40" s="400"/>
      <c r="I40" s="400"/>
      <c r="J40" s="400"/>
      <c r="K40" s="400"/>
      <c r="L40" s="400"/>
      <c r="M40" s="400"/>
      <c r="N40" s="400"/>
      <c r="O40" s="400"/>
      <c r="P40" s="400"/>
      <c r="Q40" s="400"/>
      <c r="R40" s="400"/>
      <c r="S40" s="400"/>
      <c r="T40" s="400"/>
      <c r="U40" s="400"/>
      <c r="V40" s="400"/>
      <c r="W40" s="400"/>
      <c r="X40" s="400"/>
      <c r="Y40" s="400"/>
      <c r="Z40" s="400"/>
      <c r="AA40" s="400"/>
      <c r="AB40" s="400"/>
      <c r="AC40" s="400"/>
      <c r="AD40" s="400"/>
      <c r="AE40" s="400"/>
      <c r="AF40" s="400">
        <v>84.501000000000005</v>
      </c>
      <c r="AG40" s="400">
        <v>88.722999999999999</v>
      </c>
      <c r="AH40" s="400">
        <v>80.373999999999995</v>
      </c>
      <c r="AI40" s="400">
        <v>80.463999999999999</v>
      </c>
      <c r="AJ40" s="400">
        <v>85.233000000000004</v>
      </c>
      <c r="AK40" s="192">
        <v>5.9268741300457322</v>
      </c>
      <c r="AL40" s="438" t="s">
        <v>312</v>
      </c>
    </row>
    <row r="41" spans="1:38" ht="12.75" customHeight="1">
      <c r="A41" s="5" t="s">
        <v>57</v>
      </c>
      <c r="B41" s="382" t="s">
        <v>139</v>
      </c>
      <c r="C41" s="434"/>
      <c r="D41" s="435"/>
      <c r="E41" s="401"/>
      <c r="F41" s="401"/>
      <c r="G41" s="401"/>
      <c r="H41" s="401"/>
      <c r="I41" s="401"/>
      <c r="J41" s="401"/>
      <c r="K41" s="401"/>
      <c r="L41" s="401"/>
      <c r="M41" s="401"/>
      <c r="N41" s="401"/>
      <c r="O41" s="401"/>
      <c r="P41" s="401"/>
      <c r="Q41" s="401"/>
      <c r="R41" s="401"/>
      <c r="S41" s="401"/>
      <c r="T41" s="401"/>
      <c r="U41" s="401"/>
      <c r="V41" s="401"/>
      <c r="W41" s="401"/>
      <c r="X41" s="401"/>
      <c r="Y41" s="401"/>
      <c r="Z41" s="401">
        <v>13.489000000000001</v>
      </c>
      <c r="AA41" s="401">
        <v>13.667999999999999</v>
      </c>
      <c r="AB41" s="401">
        <v>13.807</v>
      </c>
      <c r="AC41" s="401">
        <v>13.830000000000002</v>
      </c>
      <c r="AD41" s="401">
        <v>14.340999999999999</v>
      </c>
      <c r="AE41" s="401">
        <v>15.388</v>
      </c>
      <c r="AF41" s="401">
        <v>16.545999999999999</v>
      </c>
      <c r="AG41" s="401">
        <v>18.233000000000004</v>
      </c>
      <c r="AH41" s="401">
        <v>19.643000000000001</v>
      </c>
      <c r="AI41" s="401">
        <v>19.728000000000002</v>
      </c>
      <c r="AJ41" s="401">
        <v>21.292000000000002</v>
      </c>
      <c r="AK41" s="171">
        <v>7.9278183292781819</v>
      </c>
      <c r="AL41" s="382" t="s">
        <v>139</v>
      </c>
    </row>
    <row r="42" spans="1:38" ht="12.75" customHeight="1">
      <c r="A42" s="5"/>
      <c r="B42" s="438" t="s">
        <v>314</v>
      </c>
      <c r="C42" s="826"/>
      <c r="D42" s="827"/>
      <c r="E42" s="693"/>
      <c r="F42" s="400"/>
      <c r="G42" s="400"/>
      <c r="H42" s="400"/>
      <c r="I42" s="400"/>
      <c r="J42" s="400"/>
      <c r="K42" s="400"/>
      <c r="L42" s="400"/>
      <c r="M42" s="400"/>
      <c r="N42" s="400"/>
      <c r="O42" s="400"/>
      <c r="P42" s="400"/>
      <c r="Q42" s="400"/>
      <c r="R42" s="400"/>
      <c r="S42" s="400">
        <v>73.774000000000001</v>
      </c>
      <c r="T42" s="400">
        <v>81.798000000000002</v>
      </c>
      <c r="U42" s="400">
        <v>84.087000000000003</v>
      </c>
      <c r="V42" s="400">
        <v>94.828000000000003</v>
      </c>
      <c r="W42" s="400">
        <v>115.967</v>
      </c>
      <c r="X42" s="400">
        <v>120.17400000000001</v>
      </c>
      <c r="Y42" s="400">
        <v>131.24299999999999</v>
      </c>
      <c r="Z42" s="400">
        <v>141.696</v>
      </c>
      <c r="AA42" s="400">
        <v>151.83000000000001</v>
      </c>
      <c r="AB42" s="400">
        <v>154.16300000000001</v>
      </c>
      <c r="AC42" s="400">
        <v>160.19900000000001</v>
      </c>
      <c r="AD42" s="400">
        <v>164.53299999999999</v>
      </c>
      <c r="AE42" s="400">
        <v>168.61799999999999</v>
      </c>
      <c r="AF42" s="400">
        <v>173.38399999999999</v>
      </c>
      <c r="AG42" s="400">
        <v>179.392</v>
      </c>
      <c r="AH42" s="400">
        <v>185.66900000000001</v>
      </c>
      <c r="AI42" s="400">
        <v>185.87799999999999</v>
      </c>
      <c r="AJ42" s="400">
        <v>190.85</v>
      </c>
      <c r="AK42" s="192">
        <v>2.6748727660078231</v>
      </c>
      <c r="AL42" s="438" t="s">
        <v>314</v>
      </c>
    </row>
    <row r="43" spans="1:38" ht="12.75" customHeight="1">
      <c r="A43" s="5"/>
      <c r="B43" s="382" t="s">
        <v>0</v>
      </c>
      <c r="C43" s="430"/>
      <c r="D43" s="431"/>
      <c r="E43" s="432"/>
      <c r="F43" s="401"/>
      <c r="G43" s="401"/>
      <c r="H43" s="401">
        <v>20.103999999999999</v>
      </c>
      <c r="I43" s="401">
        <v>20.026</v>
      </c>
      <c r="J43" s="401">
        <v>22.558</v>
      </c>
      <c r="K43" s="401">
        <v>21.937000000000001</v>
      </c>
      <c r="L43" s="401">
        <v>23.286000000000001</v>
      </c>
      <c r="M43" s="401">
        <v>23.44</v>
      </c>
      <c r="N43" s="401">
        <v>23.47</v>
      </c>
      <c r="O43" s="401">
        <v>24.628</v>
      </c>
      <c r="P43" s="401">
        <v>25.896000000000001</v>
      </c>
      <c r="Q43" s="401">
        <v>24.318000000000001</v>
      </c>
      <c r="R43" s="401">
        <v>22.994</v>
      </c>
      <c r="S43" s="401">
        <v>18.39</v>
      </c>
      <c r="T43" s="401">
        <v>18.041</v>
      </c>
      <c r="U43" s="401">
        <v>16.956</v>
      </c>
      <c r="V43" s="401">
        <v>16.556000000000001</v>
      </c>
      <c r="W43" s="401">
        <v>17.265000000000001</v>
      </c>
      <c r="X43" s="401">
        <v>32.033999999999999</v>
      </c>
      <c r="Y43" s="401">
        <v>33.300000000000004</v>
      </c>
      <c r="Z43" s="401">
        <v>32.553000000000004</v>
      </c>
      <c r="AA43" s="401">
        <v>30.761000000000003</v>
      </c>
      <c r="AB43" s="401">
        <v>35.100999999999999</v>
      </c>
      <c r="AC43" s="401">
        <v>37.370999999999995</v>
      </c>
      <c r="AD43" s="401">
        <v>38.688000000000002</v>
      </c>
      <c r="AE43" s="401">
        <v>40.308999999999997</v>
      </c>
      <c r="AF43" s="401">
        <v>41.699999999999996</v>
      </c>
      <c r="AG43" s="401">
        <v>42.6</v>
      </c>
      <c r="AH43" s="401">
        <v>43.6</v>
      </c>
      <c r="AI43" s="401">
        <v>44.85</v>
      </c>
      <c r="AJ43" s="401">
        <v>49.445999999999998</v>
      </c>
      <c r="AK43" s="171">
        <v>10.247491638795964</v>
      </c>
      <c r="AL43" s="382" t="s">
        <v>0</v>
      </c>
    </row>
    <row r="44" spans="1:38" ht="12.75" customHeight="1">
      <c r="A44" s="5"/>
      <c r="B44" s="438" t="s">
        <v>144</v>
      </c>
      <c r="C44" s="439"/>
      <c r="D44" s="440"/>
      <c r="E44" s="400"/>
      <c r="F44" s="400"/>
      <c r="G44" s="400"/>
      <c r="H44" s="400">
        <v>39.335000000000001</v>
      </c>
      <c r="I44" s="400">
        <v>51.113</v>
      </c>
      <c r="J44" s="400">
        <v>29.123999999999999</v>
      </c>
      <c r="K44" s="400">
        <v>30.612000000000002</v>
      </c>
      <c r="L44" s="400">
        <v>33.256</v>
      </c>
      <c r="M44" s="400">
        <v>37.109000000000002</v>
      </c>
      <c r="N44" s="400">
        <v>37.125999999999998</v>
      </c>
      <c r="O44" s="400">
        <v>45.575000000000003</v>
      </c>
      <c r="P44" s="400">
        <v>52.320999999999998</v>
      </c>
      <c r="Q44" s="400">
        <v>54.63</v>
      </c>
      <c r="R44" s="400">
        <v>56.856999999999999</v>
      </c>
      <c r="S44" s="400">
        <v>48.774999999999999</v>
      </c>
      <c r="T44" s="400">
        <v>47.332999999999998</v>
      </c>
      <c r="U44" s="400">
        <v>41.318000000000005</v>
      </c>
      <c r="V44" s="400">
        <v>61.621000000000002</v>
      </c>
      <c r="W44" s="400">
        <v>79.054000000000002</v>
      </c>
      <c r="X44" s="400">
        <v>79.307000000000002</v>
      </c>
      <c r="Y44" s="400">
        <v>83.718999999999994</v>
      </c>
      <c r="Z44" s="400">
        <v>71.209000000000003</v>
      </c>
      <c r="AA44" s="400">
        <v>60</v>
      </c>
      <c r="AB44" s="400">
        <v>65.260000000000005</v>
      </c>
      <c r="AC44" s="400">
        <v>47.81</v>
      </c>
      <c r="AD44" s="400">
        <v>49.92</v>
      </c>
      <c r="AE44" s="400">
        <v>53.7</v>
      </c>
      <c r="AF44" s="400">
        <v>44.8</v>
      </c>
      <c r="AG44" s="400">
        <v>46.6</v>
      </c>
      <c r="AH44" s="400">
        <v>50.8</v>
      </c>
      <c r="AI44" s="400">
        <v>48.599999999999994</v>
      </c>
      <c r="AJ44" s="400">
        <v>59.12</v>
      </c>
      <c r="AK44" s="192">
        <v>21.646090534979436</v>
      </c>
      <c r="AL44" s="438" t="s">
        <v>144</v>
      </c>
    </row>
    <row r="45" spans="1:38" ht="12.75" customHeight="1">
      <c r="A45" s="5"/>
      <c r="B45" s="382" t="s">
        <v>138</v>
      </c>
      <c r="C45" s="430"/>
      <c r="D45" s="431"/>
      <c r="E45" s="432"/>
      <c r="F45" s="401"/>
      <c r="G45" s="401"/>
      <c r="H45" s="401"/>
      <c r="I45" s="401"/>
      <c r="J45" s="401"/>
      <c r="K45" s="401"/>
      <c r="L45" s="401"/>
      <c r="M45" s="401"/>
      <c r="N45" s="401"/>
      <c r="O45" s="401"/>
      <c r="P45" s="401">
        <v>100.724</v>
      </c>
      <c r="Q45" s="401">
        <v>98.242000000000004</v>
      </c>
      <c r="R45" s="401">
        <v>102.916</v>
      </c>
      <c r="S45" s="401">
        <v>110.91200000000001</v>
      </c>
      <c r="T45" s="401">
        <v>118.259</v>
      </c>
      <c r="U45" s="401">
        <v>127.90900000000001</v>
      </c>
      <c r="V45" s="401">
        <v>131.459</v>
      </c>
      <c r="W45" s="401">
        <v>140.92099999999999</v>
      </c>
      <c r="X45" s="401">
        <v>149.68899999999999</v>
      </c>
      <c r="Y45" s="401">
        <v>151.68700000000001</v>
      </c>
      <c r="Z45" s="401">
        <v>159.45500000000001</v>
      </c>
      <c r="AA45" s="401">
        <v>144.07499999999999</v>
      </c>
      <c r="AB45" s="401">
        <v>140.85400000000001</v>
      </c>
      <c r="AC45" s="401">
        <v>139.22</v>
      </c>
      <c r="AD45" s="401">
        <v>139.886</v>
      </c>
      <c r="AE45" s="401">
        <v>140.11000000000001</v>
      </c>
      <c r="AF45" s="401">
        <v>223.6</v>
      </c>
      <c r="AG45" s="401">
        <v>228.9</v>
      </c>
      <c r="AH45" s="401">
        <v>241.24100000000001</v>
      </c>
      <c r="AI45" s="401">
        <v>255.95400000000001</v>
      </c>
      <c r="AJ45" s="401">
        <v>268.58600000000001</v>
      </c>
      <c r="AK45" s="171">
        <v>4.935261804855557</v>
      </c>
      <c r="AL45" s="382" t="s">
        <v>138</v>
      </c>
    </row>
    <row r="46" spans="1:38" ht="12.75" customHeight="1">
      <c r="A46" s="5"/>
      <c r="B46" s="438" t="s">
        <v>40</v>
      </c>
      <c r="C46" s="439"/>
      <c r="D46" s="440" t="s">
        <v>64</v>
      </c>
      <c r="E46" s="400" t="s">
        <v>64</v>
      </c>
      <c r="F46" s="400"/>
      <c r="G46" s="400">
        <v>687.59</v>
      </c>
      <c r="H46" s="400">
        <v>760.6880000000001</v>
      </c>
      <c r="I46" s="400">
        <v>793.84699999999998</v>
      </c>
      <c r="J46" s="400">
        <v>829.95900000000006</v>
      </c>
      <c r="K46" s="400">
        <v>896.58400000000006</v>
      </c>
      <c r="L46" s="400">
        <v>1018.909</v>
      </c>
      <c r="M46" s="400">
        <v>1145.7530000000002</v>
      </c>
      <c r="N46" s="400">
        <v>1224.625</v>
      </c>
      <c r="O46" s="400">
        <v>1351.7539999999999</v>
      </c>
      <c r="P46" s="400">
        <v>1395.2379999999998</v>
      </c>
      <c r="Q46" s="400">
        <v>1442.5329999999999</v>
      </c>
      <c r="R46" s="400">
        <v>1552.4670000000001</v>
      </c>
      <c r="S46" s="400">
        <v>1907.2869999999998</v>
      </c>
      <c r="T46" s="400">
        <v>2151.9859999999999</v>
      </c>
      <c r="U46" s="400">
        <v>2405.1590000000001</v>
      </c>
      <c r="V46" s="400">
        <v>2619.6610000000001</v>
      </c>
      <c r="W46" s="400">
        <v>2810.2240000000002</v>
      </c>
      <c r="X46" s="400">
        <v>2932.2530000000002</v>
      </c>
      <c r="Y46" s="400">
        <v>3125.3969999999999</v>
      </c>
      <c r="Z46" s="400">
        <v>3339.5619999999999</v>
      </c>
      <c r="AA46" s="400">
        <v>3546.2560000000003</v>
      </c>
      <c r="AB46" s="400">
        <v>3689</v>
      </c>
      <c r="AC46" s="400">
        <v>3836.2069999999999</v>
      </c>
      <c r="AD46" s="400">
        <v>4059.6179999999999</v>
      </c>
      <c r="AE46" s="400">
        <v>4267.817</v>
      </c>
      <c r="AF46" s="400">
        <v>4481.3</v>
      </c>
      <c r="AG46" s="400">
        <v>4601.0420000000004</v>
      </c>
      <c r="AH46" s="400">
        <v>4641.3999999999996</v>
      </c>
      <c r="AI46" s="400">
        <v>4798.3999999999996</v>
      </c>
      <c r="AJ46" s="400">
        <v>5001.5079999999998</v>
      </c>
      <c r="AK46" s="192">
        <v>4.2328276092030706</v>
      </c>
      <c r="AL46" s="438" t="s">
        <v>40</v>
      </c>
    </row>
    <row r="47" spans="1:38" ht="12.75" customHeight="1">
      <c r="A47" s="5"/>
      <c r="B47" s="382" t="s">
        <v>313</v>
      </c>
      <c r="C47" s="434"/>
      <c r="D47" s="435"/>
      <c r="E47" s="401"/>
      <c r="F47" s="401"/>
      <c r="G47" s="401"/>
      <c r="H47" s="401"/>
      <c r="I47" s="401"/>
      <c r="J47" s="401"/>
      <c r="K47" s="401"/>
      <c r="L47" s="401"/>
      <c r="M47" s="401"/>
      <c r="N47" s="401"/>
      <c r="O47" s="401"/>
      <c r="P47" s="401"/>
      <c r="Q47" s="401"/>
      <c r="R47" s="401"/>
      <c r="S47" s="401"/>
      <c r="T47" s="401"/>
      <c r="U47" s="401"/>
      <c r="V47" s="401"/>
      <c r="W47" s="401"/>
      <c r="X47" s="401"/>
      <c r="Y47" s="401"/>
      <c r="Z47" s="401"/>
      <c r="AA47" s="401"/>
      <c r="AB47" s="401"/>
      <c r="AC47" s="401"/>
      <c r="AD47" s="401"/>
      <c r="AE47" s="401"/>
      <c r="AF47" s="401"/>
      <c r="AG47" s="401"/>
      <c r="AH47" s="401"/>
      <c r="AI47" s="401"/>
      <c r="AJ47" s="401"/>
      <c r="AK47" s="171"/>
      <c r="AL47" s="382" t="s">
        <v>313</v>
      </c>
    </row>
    <row r="48" spans="1:38" ht="12.75" customHeight="1">
      <c r="A48" s="5"/>
      <c r="B48" s="828" t="s">
        <v>44</v>
      </c>
      <c r="C48" s="829">
        <v>1749</v>
      </c>
      <c r="D48" s="830">
        <v>1828</v>
      </c>
      <c r="E48" s="831">
        <v>2706</v>
      </c>
      <c r="F48" s="696">
        <v>2640</v>
      </c>
      <c r="G48" s="696">
        <v>2639</v>
      </c>
      <c r="H48" s="696">
        <v>2589</v>
      </c>
      <c r="I48" s="696">
        <v>2585</v>
      </c>
      <c r="J48" s="696">
        <v>2565</v>
      </c>
      <c r="K48" s="696">
        <v>2618</v>
      </c>
      <c r="L48" s="696">
        <v>2679</v>
      </c>
      <c r="M48" s="696">
        <v>2789</v>
      </c>
      <c r="N48" s="696">
        <v>2872.7</v>
      </c>
      <c r="O48" s="696">
        <v>2928.3</v>
      </c>
      <c r="P48" s="696">
        <v>3019.6</v>
      </c>
      <c r="Q48" s="696">
        <v>3111.9</v>
      </c>
      <c r="R48" s="696">
        <v>3236.6</v>
      </c>
      <c r="S48" s="696">
        <v>3425.2</v>
      </c>
      <c r="T48" s="696">
        <v>3552.4</v>
      </c>
      <c r="U48" s="696">
        <v>3641.1</v>
      </c>
      <c r="V48" s="696">
        <v>3778.7000000000003</v>
      </c>
      <c r="W48" s="696">
        <v>3805.8</v>
      </c>
      <c r="X48" s="696">
        <v>3782.07</v>
      </c>
      <c r="Y48" s="696">
        <v>3796.8630000000003</v>
      </c>
      <c r="Z48" s="696">
        <v>3833.2350000000001</v>
      </c>
      <c r="AA48" s="696">
        <v>3860.6709999999998</v>
      </c>
      <c r="AB48" s="696">
        <v>3940.2980000000002</v>
      </c>
      <c r="AC48" s="696">
        <v>4066.4</v>
      </c>
      <c r="AD48" s="696">
        <v>4242.2470000000003</v>
      </c>
      <c r="AE48" s="696">
        <v>4406.8</v>
      </c>
      <c r="AF48" s="696">
        <v>4534.6000000000004</v>
      </c>
      <c r="AG48" s="696">
        <v>4652.2000000000007</v>
      </c>
      <c r="AH48" s="696">
        <v>4772.1000000000004</v>
      </c>
      <c r="AI48" s="696">
        <v>4858.4579999999996</v>
      </c>
      <c r="AJ48" s="696">
        <v>5070.299</v>
      </c>
      <c r="AK48" s="369">
        <v>4.3602517506583496</v>
      </c>
      <c r="AL48" s="828" t="s">
        <v>44</v>
      </c>
    </row>
    <row r="49" spans="1:38" ht="12.75" customHeight="1">
      <c r="A49" s="5"/>
      <c r="B49" s="1078" t="s">
        <v>331</v>
      </c>
      <c r="C49" s="1078"/>
      <c r="D49" s="1078"/>
      <c r="E49" s="1078"/>
      <c r="F49" s="1078"/>
      <c r="G49" s="1078"/>
      <c r="H49" s="1078"/>
      <c r="I49" s="1078"/>
      <c r="J49" s="1078"/>
      <c r="K49" s="1078"/>
      <c r="L49" s="1078"/>
      <c r="M49" s="1078"/>
      <c r="N49" s="1078"/>
      <c r="O49" s="1078"/>
      <c r="P49" s="1078"/>
      <c r="Q49" s="1078"/>
      <c r="R49" s="1078"/>
      <c r="S49" s="1078"/>
      <c r="T49" s="1078"/>
      <c r="U49" s="1079"/>
      <c r="V49" s="1079"/>
      <c r="W49" s="1079"/>
      <c r="X49" s="1079"/>
      <c r="Y49" s="1079"/>
      <c r="Z49" s="1079"/>
      <c r="AA49" s="1079"/>
      <c r="AB49" s="1079"/>
      <c r="AC49" s="1079"/>
      <c r="AD49" s="1079"/>
      <c r="AE49" s="1079"/>
      <c r="AF49" s="1079"/>
      <c r="AG49" s="1079"/>
      <c r="AH49" s="1079"/>
      <c r="AI49" s="1079"/>
      <c r="AJ49" s="1079"/>
      <c r="AK49" s="1079"/>
      <c r="AL49" s="1079"/>
    </row>
    <row r="50" spans="1:38" ht="12.75" customHeight="1">
      <c r="A50" s="5"/>
      <c r="B50" s="1072" t="s">
        <v>291</v>
      </c>
      <c r="C50" s="1073"/>
      <c r="D50" s="1073"/>
      <c r="E50" s="1073"/>
      <c r="F50" s="1073"/>
      <c r="G50" s="1073"/>
      <c r="H50" s="1073"/>
      <c r="I50" s="1073"/>
      <c r="J50" s="1073"/>
      <c r="K50" s="1073"/>
      <c r="L50" s="1073"/>
      <c r="M50" s="1073"/>
      <c r="N50" s="1073"/>
      <c r="O50" s="1073"/>
      <c r="P50" s="1073"/>
      <c r="Q50" s="1073"/>
      <c r="R50" s="1073"/>
      <c r="S50" s="1073"/>
      <c r="T50" s="1073"/>
      <c r="U50" s="1073"/>
      <c r="V50" s="1073"/>
      <c r="W50" s="1073"/>
      <c r="X50" s="1073"/>
      <c r="Y50" s="1073"/>
      <c r="Z50" s="1073"/>
      <c r="AA50" s="1073"/>
      <c r="AB50" s="1073"/>
      <c r="AC50" s="1073"/>
      <c r="AD50" s="1073"/>
      <c r="AE50" s="1073"/>
      <c r="AF50" s="1073"/>
      <c r="AG50" s="1073"/>
      <c r="AH50" s="1073"/>
      <c r="AI50" s="1073"/>
      <c r="AJ50" s="1073"/>
      <c r="AK50" s="1073"/>
      <c r="AL50" s="1073"/>
    </row>
    <row r="51" spans="1:38" ht="17.25" customHeight="1">
      <c r="B51" s="1074" t="s">
        <v>141</v>
      </c>
      <c r="C51" s="1074"/>
      <c r="D51" s="1074"/>
      <c r="E51" s="1074"/>
      <c r="F51" s="1074"/>
      <c r="G51" s="1074"/>
      <c r="H51" s="1074"/>
      <c r="I51" s="1074"/>
      <c r="J51" s="1074"/>
      <c r="K51" s="1074"/>
      <c r="L51" s="1074"/>
      <c r="M51" s="1074"/>
      <c r="N51" s="1074"/>
      <c r="O51" s="1074"/>
      <c r="P51" s="1074"/>
      <c r="Q51" s="1074"/>
      <c r="R51" s="1074"/>
      <c r="S51" s="1074"/>
      <c r="T51" s="1074"/>
      <c r="U51" s="1074"/>
      <c r="V51" s="1074"/>
      <c r="W51" s="1074"/>
      <c r="X51" s="1074"/>
      <c r="Y51" s="1074"/>
      <c r="Z51" s="1074"/>
      <c r="AA51" s="1074"/>
      <c r="AB51" s="1074"/>
      <c r="AC51" s="1074"/>
      <c r="AD51" s="1074"/>
      <c r="AE51" s="1074"/>
      <c r="AF51" s="1074"/>
      <c r="AG51" s="1074"/>
      <c r="AH51" s="1074"/>
      <c r="AI51" s="1074"/>
      <c r="AJ51" s="1074"/>
      <c r="AK51" s="1074"/>
      <c r="AL51" s="1074"/>
    </row>
    <row r="52" spans="1:38" ht="12.75" customHeight="1">
      <c r="B52" s="1074" t="s">
        <v>127</v>
      </c>
      <c r="C52" s="1074"/>
      <c r="D52" s="1074"/>
      <c r="E52" s="1074"/>
      <c r="F52" s="1074"/>
      <c r="G52" s="1074"/>
      <c r="H52" s="1074"/>
      <c r="I52" s="1074"/>
      <c r="J52" s="1074"/>
      <c r="K52" s="1074"/>
      <c r="L52" s="1074"/>
      <c r="M52" s="1074"/>
      <c r="N52" s="1074"/>
      <c r="O52" s="1074"/>
      <c r="P52" s="1074"/>
      <c r="Q52" s="1074"/>
      <c r="R52" s="1074"/>
      <c r="S52" s="1074"/>
      <c r="T52" s="1074"/>
      <c r="U52" s="1074"/>
      <c r="V52" s="1074"/>
      <c r="W52" s="1074"/>
      <c r="X52" s="1074"/>
      <c r="Y52" s="1074"/>
      <c r="Z52" s="1074"/>
      <c r="AA52" s="1074"/>
      <c r="AB52" s="1074"/>
      <c r="AC52" s="1074"/>
      <c r="AD52" s="1074"/>
      <c r="AE52" s="1074"/>
      <c r="AF52" s="1074"/>
      <c r="AG52" s="1074"/>
      <c r="AH52" s="1074"/>
      <c r="AI52" s="1074"/>
      <c r="AJ52" s="1074"/>
      <c r="AK52" s="1074"/>
      <c r="AL52" s="1074"/>
    </row>
    <row r="53" spans="1:38" ht="11.25" customHeight="1">
      <c r="B53" s="406" t="s">
        <v>140</v>
      </c>
      <c r="C53" s="406"/>
      <c r="D53" s="406"/>
      <c r="E53" s="406"/>
      <c r="F53" s="406"/>
      <c r="G53" s="406"/>
      <c r="H53" s="406"/>
      <c r="I53" s="406"/>
      <c r="J53" s="406"/>
      <c r="K53" s="406"/>
      <c r="L53" s="406"/>
      <c r="M53" s="406"/>
      <c r="N53" s="406"/>
      <c r="O53" s="406"/>
      <c r="P53" s="406"/>
      <c r="Q53" s="406"/>
    </row>
    <row r="54" spans="1:38" ht="12" customHeight="1">
      <c r="B54" s="406" t="s">
        <v>158</v>
      </c>
      <c r="C54" s="406"/>
      <c r="D54" s="406"/>
      <c r="E54" s="406"/>
      <c r="F54" s="406"/>
      <c r="G54" s="406"/>
      <c r="H54" s="406"/>
      <c r="I54" s="406"/>
      <c r="J54" s="406"/>
      <c r="K54" s="406"/>
      <c r="L54" s="406"/>
      <c r="M54" s="406"/>
      <c r="N54" s="406"/>
      <c r="O54" s="406"/>
      <c r="P54" s="406"/>
      <c r="Q54" s="406"/>
    </row>
    <row r="55" spans="1:38">
      <c r="E55" s="185"/>
      <c r="J55" s="406"/>
      <c r="K55" s="406"/>
      <c r="L55" s="406"/>
      <c r="M55" s="406"/>
      <c r="N55" s="406"/>
      <c r="O55" s="406"/>
      <c r="P55" s="406"/>
      <c r="Q55" s="406"/>
    </row>
    <row r="56" spans="1:38" ht="13.5">
      <c r="B56" s="338"/>
      <c r="K56" s="187"/>
      <c r="L56" s="186"/>
      <c r="M56" s="186"/>
      <c r="N56" s="186"/>
      <c r="O56" s="186"/>
      <c r="P56" s="186"/>
      <c r="Q56" s="186"/>
    </row>
  </sheetData>
  <mergeCells count="8">
    <mergeCell ref="B50:AL50"/>
    <mergeCell ref="B51:AL51"/>
    <mergeCell ref="B52:AL52"/>
    <mergeCell ref="B1:C1"/>
    <mergeCell ref="B2:AL2"/>
    <mergeCell ref="B3:AL3"/>
    <mergeCell ref="B49:AL49"/>
    <mergeCell ref="AH4:AJ4"/>
  </mergeCells>
  <phoneticPr fontId="7" type="noConversion"/>
  <printOptions horizontalCentered="1"/>
  <pageMargins left="0.6692913385826772" right="0.6692913385826772" top="0.51181102362204722" bottom="0.27559055118110237" header="0" footer="0"/>
  <pageSetup paperSize="9" scale="72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011">
    <pageSetUpPr fitToPage="1"/>
  </sheetPr>
  <dimension ref="A1:AE55"/>
  <sheetViews>
    <sheetView zoomScaleNormal="100" workbookViewId="0">
      <selection activeCell="I69" sqref="I69"/>
    </sheetView>
  </sheetViews>
  <sheetFormatPr defaultRowHeight="13.15"/>
  <cols>
    <col min="1" max="1" width="3.73046875" customWidth="1"/>
    <col min="2" max="2" width="4" customWidth="1"/>
    <col min="3" max="13" width="7.265625" customWidth="1"/>
    <col min="14" max="28" width="7.73046875" customWidth="1"/>
    <col min="29" max="29" width="7.1328125" customWidth="1"/>
    <col min="30" max="30" width="7.1328125" style="10" customWidth="1"/>
    <col min="31" max="31" width="5.1328125" customWidth="1"/>
  </cols>
  <sheetData>
    <row r="1" spans="1:31" ht="14.25" customHeight="1">
      <c r="B1" s="19"/>
      <c r="C1" s="19"/>
      <c r="D1" s="19"/>
      <c r="E1" s="19"/>
      <c r="F1" s="19"/>
      <c r="G1" s="19"/>
      <c r="H1" s="611"/>
      <c r="I1" s="16"/>
      <c r="AE1" s="12" t="s">
        <v>107</v>
      </c>
    </row>
    <row r="2" spans="1:31" s="28" customFormat="1" ht="30" customHeight="1">
      <c r="B2" s="1082" t="s">
        <v>262</v>
      </c>
      <c r="C2" s="1082"/>
      <c r="D2" s="1082"/>
      <c r="E2" s="1082"/>
      <c r="F2" s="1082"/>
      <c r="G2" s="1082"/>
      <c r="H2" s="1082"/>
      <c r="I2" s="1082"/>
      <c r="J2" s="1082"/>
      <c r="K2" s="1082"/>
      <c r="L2" s="1082"/>
      <c r="M2" s="1082"/>
      <c r="N2" s="1082"/>
      <c r="O2" s="1082"/>
      <c r="P2" s="1082"/>
      <c r="Q2" s="1082"/>
      <c r="R2" s="1082"/>
      <c r="S2" s="1082"/>
      <c r="T2" s="1082"/>
      <c r="U2" s="1082"/>
      <c r="V2" s="1082"/>
      <c r="W2" s="1082"/>
      <c r="X2" s="1082"/>
      <c r="Y2" s="1082"/>
      <c r="Z2" s="1082"/>
      <c r="AA2" s="1082"/>
      <c r="AB2" s="1082"/>
      <c r="AC2" s="1082"/>
      <c r="AD2" s="1082"/>
      <c r="AE2" s="1082"/>
    </row>
    <row r="3" spans="1:31" ht="15" customHeight="1">
      <c r="B3" s="1083" t="s">
        <v>88</v>
      </c>
      <c r="C3" s="1083"/>
      <c r="D3" s="1083"/>
      <c r="E3" s="1083"/>
      <c r="F3" s="1083"/>
      <c r="G3" s="1083"/>
      <c r="H3" s="1083"/>
      <c r="I3" s="1083"/>
      <c r="J3" s="1083"/>
      <c r="K3" s="1083"/>
      <c r="L3" s="1083"/>
      <c r="M3" s="1083"/>
      <c r="N3" s="1083"/>
      <c r="O3" s="1083"/>
      <c r="P3" s="1083"/>
      <c r="Q3" s="1083"/>
      <c r="R3" s="1083"/>
      <c r="S3" s="1083"/>
      <c r="T3" s="1083"/>
      <c r="U3" s="1083"/>
      <c r="V3" s="1083"/>
      <c r="W3" s="1083"/>
      <c r="X3" s="1083"/>
      <c r="Y3" s="1083"/>
      <c r="Z3" s="1083"/>
      <c r="AA3" s="1083"/>
      <c r="AB3" s="1083"/>
      <c r="AC3" s="1083"/>
      <c r="AD3" s="1083"/>
      <c r="AE3" s="1083"/>
    </row>
    <row r="4" spans="1:31" ht="12.75" customHeight="1">
      <c r="H4" s="612"/>
      <c r="I4" s="612"/>
      <c r="J4" s="612"/>
      <c r="K4" s="612"/>
      <c r="L4" s="612"/>
      <c r="M4" s="612"/>
      <c r="N4" s="612"/>
      <c r="O4" s="612"/>
      <c r="P4" s="612"/>
      <c r="Q4" s="612"/>
      <c r="R4" s="612"/>
      <c r="S4" s="612"/>
      <c r="T4" s="612"/>
      <c r="U4" s="612"/>
      <c r="V4" s="612"/>
      <c r="W4" s="612"/>
      <c r="X4" s="612"/>
      <c r="Y4" s="612"/>
      <c r="Z4" s="612"/>
      <c r="AA4" s="1070" t="s">
        <v>1</v>
      </c>
      <c r="AB4" s="1070"/>
      <c r="AC4" s="1070"/>
      <c r="AD4" s="1070"/>
      <c r="AE4" s="26"/>
    </row>
    <row r="5" spans="1:31" ht="21.75" customHeight="1">
      <c r="C5" s="62">
        <v>1995</v>
      </c>
      <c r="D5" s="63">
        <v>1996</v>
      </c>
      <c r="E5" s="63">
        <v>1997</v>
      </c>
      <c r="F5" s="63">
        <v>1998</v>
      </c>
      <c r="G5" s="63">
        <v>1999</v>
      </c>
      <c r="H5" s="63">
        <v>2000</v>
      </c>
      <c r="I5" s="63">
        <v>2001</v>
      </c>
      <c r="J5" s="63">
        <v>2002</v>
      </c>
      <c r="K5" s="63">
        <v>2003</v>
      </c>
      <c r="L5" s="63">
        <v>2004</v>
      </c>
      <c r="M5" s="63">
        <v>2005</v>
      </c>
      <c r="N5" s="63">
        <v>2006</v>
      </c>
      <c r="O5" s="63">
        <v>2007</v>
      </c>
      <c r="P5" s="63">
        <v>2008</v>
      </c>
      <c r="Q5" s="63">
        <v>2009</v>
      </c>
      <c r="R5" s="63">
        <v>2010</v>
      </c>
      <c r="S5" s="63">
        <v>2011</v>
      </c>
      <c r="T5" s="63">
        <v>2012</v>
      </c>
      <c r="U5" s="63">
        <v>2013</v>
      </c>
      <c r="V5" s="63">
        <v>2014</v>
      </c>
      <c r="W5" s="63">
        <v>2015</v>
      </c>
      <c r="X5" s="63">
        <v>2016</v>
      </c>
      <c r="Y5" s="63">
        <v>2017</v>
      </c>
      <c r="Z5" s="63">
        <v>2018</v>
      </c>
      <c r="AA5" s="63">
        <v>2019</v>
      </c>
      <c r="AB5" s="63">
        <v>2020</v>
      </c>
      <c r="AC5" s="342">
        <v>2021</v>
      </c>
      <c r="AD5" s="552" t="s">
        <v>316</v>
      </c>
      <c r="AE5" s="591"/>
    </row>
    <row r="6" spans="1:31" ht="9.9499999999999993" customHeight="1">
      <c r="C6" s="29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1"/>
      <c r="AD6" s="815" t="s">
        <v>81</v>
      </c>
      <c r="AE6" s="3"/>
    </row>
    <row r="7" spans="1:31" ht="11.25" customHeight="1">
      <c r="B7" s="106" t="s">
        <v>237</v>
      </c>
      <c r="C7" s="260"/>
      <c r="D7" s="261"/>
      <c r="E7" s="261"/>
      <c r="F7" s="261"/>
      <c r="G7" s="261"/>
      <c r="H7" s="1016">
        <f>SUM(H8:H34)</f>
        <v>22848.680999999993</v>
      </c>
      <c r="I7" s="237">
        <f t="shared" ref="I7:AC7" si="0">SUM(I8:I34)</f>
        <v>25539.634000000002</v>
      </c>
      <c r="J7" s="237">
        <f t="shared" si="0"/>
        <v>26501.320000000007</v>
      </c>
      <c r="K7" s="237">
        <f t="shared" si="0"/>
        <v>27320.442999999996</v>
      </c>
      <c r="L7" s="237">
        <f t="shared" si="0"/>
        <v>27784.624000000007</v>
      </c>
      <c r="M7" s="237">
        <f t="shared" si="0"/>
        <v>29056.85</v>
      </c>
      <c r="N7" s="237">
        <f t="shared" si="0"/>
        <v>30097.651999999995</v>
      </c>
      <c r="O7" s="237">
        <f t="shared" si="0"/>
        <v>32155.048000000003</v>
      </c>
      <c r="P7" s="237">
        <f t="shared" si="0"/>
        <v>31156.328000000001</v>
      </c>
      <c r="Q7" s="237">
        <f t="shared" si="0"/>
        <v>31321.103000000003</v>
      </c>
      <c r="R7" s="237">
        <f t="shared" si="0"/>
        <v>31604.429099999998</v>
      </c>
      <c r="S7" s="237">
        <f t="shared" si="0"/>
        <v>32081.230999999992</v>
      </c>
      <c r="T7" s="237">
        <f t="shared" si="0"/>
        <v>31707.189000000002</v>
      </c>
      <c r="U7" s="237">
        <f t="shared" si="0"/>
        <v>31978.43</v>
      </c>
      <c r="V7" s="237">
        <f t="shared" si="0"/>
        <v>32469.668000000001</v>
      </c>
      <c r="W7" s="237">
        <f t="shared" si="0"/>
        <v>32789.299000000006</v>
      </c>
      <c r="X7" s="237">
        <f t="shared" si="0"/>
        <v>33278.991999999998</v>
      </c>
      <c r="Y7" s="391">
        <f t="shared" si="0"/>
        <v>34387.163</v>
      </c>
      <c r="Z7" s="391">
        <f t="shared" si="0"/>
        <v>35075.310000000005</v>
      </c>
      <c r="AA7" s="391">
        <f t="shared" si="0"/>
        <v>35813.747000000003</v>
      </c>
      <c r="AB7" s="391">
        <f t="shared" si="0"/>
        <v>36260.902000000002</v>
      </c>
      <c r="AC7" s="485">
        <f t="shared" si="0"/>
        <v>37309.665999999997</v>
      </c>
      <c r="AD7" s="484">
        <f>AC7/AB7*100-100</f>
        <v>2.8922722330514432</v>
      </c>
      <c r="AE7" s="106" t="s">
        <v>237</v>
      </c>
    </row>
    <row r="8" spans="1:31" ht="12" customHeight="1">
      <c r="A8" s="1"/>
      <c r="B8" s="6" t="s">
        <v>45</v>
      </c>
      <c r="C8" s="256"/>
      <c r="D8" s="239">
        <v>212.43199999999999</v>
      </c>
      <c r="E8" s="239">
        <v>225.31700000000001</v>
      </c>
      <c r="F8" s="239">
        <v>241.11</v>
      </c>
      <c r="G8" s="239">
        <v>260.56700000000001</v>
      </c>
      <c r="H8" s="239">
        <v>277.83800000000002</v>
      </c>
      <c r="I8" s="239">
        <v>293.63</v>
      </c>
      <c r="J8" s="239">
        <v>305.51</v>
      </c>
      <c r="K8" s="239">
        <v>319.48</v>
      </c>
      <c r="L8" s="239">
        <v>322.762</v>
      </c>
      <c r="M8" s="239">
        <v>346.29300000000001</v>
      </c>
      <c r="N8" s="240">
        <v>360</v>
      </c>
      <c r="O8" s="239">
        <v>374</v>
      </c>
      <c r="P8" s="239">
        <v>388</v>
      </c>
      <c r="Q8" s="239">
        <v>404</v>
      </c>
      <c r="R8" s="239">
        <v>419</v>
      </c>
      <c r="S8" s="239">
        <v>434</v>
      </c>
      <c r="T8" s="239">
        <v>441</v>
      </c>
      <c r="U8" s="239">
        <v>450.79300000000001</v>
      </c>
      <c r="V8" s="239">
        <v>456.512</v>
      </c>
      <c r="W8" s="239">
        <v>465.786</v>
      </c>
      <c r="X8" s="239">
        <v>473.32600000000002</v>
      </c>
      <c r="Y8" s="246">
        <v>481.98399999999998</v>
      </c>
      <c r="Z8" s="244">
        <v>657.88400000000001</v>
      </c>
      <c r="AA8" s="548">
        <v>690.68399999999997</v>
      </c>
      <c r="AB8" s="548">
        <v>718.55799999999999</v>
      </c>
      <c r="AC8" s="549">
        <v>762.57500000000005</v>
      </c>
      <c r="AD8" s="675">
        <f t="shared" ref="AD8:AD47" si="1">AC8/AB8*100-100</f>
        <v>6.1257407196079043</v>
      </c>
      <c r="AE8" s="43" t="s">
        <v>45</v>
      </c>
    </row>
    <row r="9" spans="1:31" ht="12.75" customHeight="1">
      <c r="A9" s="1"/>
      <c r="B9" s="34" t="s">
        <v>28</v>
      </c>
      <c r="C9" s="241">
        <v>519.29999999999995</v>
      </c>
      <c r="D9" s="242">
        <v>521.70000000000005</v>
      </c>
      <c r="E9" s="242">
        <v>525</v>
      </c>
      <c r="F9" s="242">
        <v>515.70000000000005</v>
      </c>
      <c r="G9" s="242">
        <v>519.20000000000005</v>
      </c>
      <c r="H9" s="242">
        <v>520.5</v>
      </c>
      <c r="I9" s="242">
        <v>524.1</v>
      </c>
      <c r="J9" s="242">
        <v>528.29999999999995</v>
      </c>
      <c r="K9" s="243">
        <v>533.70000000000005</v>
      </c>
      <c r="L9" s="242">
        <v>137.69999999999999</v>
      </c>
      <c r="M9" s="243">
        <v>146.5</v>
      </c>
      <c r="N9" s="242">
        <v>76.254000000000005</v>
      </c>
      <c r="O9" s="242">
        <v>90.317999999999998</v>
      </c>
      <c r="P9" s="242">
        <v>106.911</v>
      </c>
      <c r="Q9" s="242">
        <v>117.595</v>
      </c>
      <c r="R9" s="242">
        <v>125.4</v>
      </c>
      <c r="S9" s="242">
        <v>131.80000000000001</v>
      </c>
      <c r="T9" s="242">
        <v>139.80000000000001</v>
      </c>
      <c r="U9" s="242">
        <v>147.9</v>
      </c>
      <c r="V9" s="242">
        <v>154.80000000000001</v>
      </c>
      <c r="W9" s="242">
        <v>163.30000000000001</v>
      </c>
      <c r="X9" s="242">
        <v>171.7</v>
      </c>
      <c r="Y9" s="242">
        <v>180.9</v>
      </c>
      <c r="Z9" s="242">
        <v>190</v>
      </c>
      <c r="AA9" s="550">
        <v>199.1</v>
      </c>
      <c r="AB9" s="550">
        <v>206.3</v>
      </c>
      <c r="AC9" s="551">
        <v>212.9</v>
      </c>
      <c r="AD9" s="478">
        <f t="shared" si="1"/>
        <v>3.1992244304410917</v>
      </c>
      <c r="AE9" s="42" t="s">
        <v>28</v>
      </c>
    </row>
    <row r="10" spans="1:31" ht="14.25" customHeight="1">
      <c r="A10" s="5"/>
      <c r="B10" s="7" t="s">
        <v>30</v>
      </c>
      <c r="C10" s="245">
        <v>915</v>
      </c>
      <c r="D10" s="244">
        <v>1430.2380000000001</v>
      </c>
      <c r="E10" s="244">
        <v>1449.337</v>
      </c>
      <c r="F10" s="246">
        <v>1446.818</v>
      </c>
      <c r="G10" s="244">
        <v>1254.0999999999999</v>
      </c>
      <c r="H10" s="244">
        <v>1178.5999999999999</v>
      </c>
      <c r="I10" s="244">
        <v>1193.5</v>
      </c>
      <c r="J10" s="244">
        <v>1204</v>
      </c>
      <c r="K10" s="244">
        <v>1190</v>
      </c>
      <c r="L10" s="244">
        <v>1196</v>
      </c>
      <c r="M10" s="244">
        <v>1254</v>
      </c>
      <c r="N10" s="244">
        <v>1292</v>
      </c>
      <c r="O10" s="244">
        <v>1336</v>
      </c>
      <c r="P10" s="244">
        <v>1371</v>
      </c>
      <c r="Q10" s="244">
        <v>1376</v>
      </c>
      <c r="R10" s="244">
        <v>1402</v>
      </c>
      <c r="S10" s="244">
        <v>1425</v>
      </c>
      <c r="T10" s="244">
        <v>1458</v>
      </c>
      <c r="U10" s="244">
        <v>1457.0609999999999</v>
      </c>
      <c r="V10" s="244">
        <v>1477.587</v>
      </c>
      <c r="W10" s="244">
        <v>1531.693</v>
      </c>
      <c r="X10" s="244">
        <v>1559.925</v>
      </c>
      <c r="Y10" s="244">
        <v>1587.3489999999999</v>
      </c>
      <c r="Z10" s="244">
        <v>1616.7760000000001</v>
      </c>
      <c r="AA10" s="93">
        <v>1647.1510000000001</v>
      </c>
      <c r="AB10" s="93">
        <v>1680.31</v>
      </c>
      <c r="AC10" s="117">
        <v>1701.057</v>
      </c>
      <c r="AD10" s="477">
        <f t="shared" si="1"/>
        <v>1.2347126423100576</v>
      </c>
      <c r="AE10" s="44" t="s">
        <v>30</v>
      </c>
    </row>
    <row r="11" spans="1:31" ht="12.75" customHeight="1">
      <c r="A11" s="5"/>
      <c r="B11" s="34" t="s">
        <v>41</v>
      </c>
      <c r="C11" s="241">
        <v>58.014000000000003</v>
      </c>
      <c r="D11" s="242">
        <v>73.849999999999994</v>
      </c>
      <c r="E11" s="242">
        <v>93.875</v>
      </c>
      <c r="F11" s="242">
        <v>112.12</v>
      </c>
      <c r="G11" s="242">
        <v>126.938</v>
      </c>
      <c r="H11" s="242">
        <v>138.31</v>
      </c>
      <c r="I11" s="242">
        <v>146.36500000000001</v>
      </c>
      <c r="J11" s="242">
        <v>151.322</v>
      </c>
      <c r="K11" s="242">
        <v>155.74</v>
      </c>
      <c r="L11" s="242">
        <v>162.12799999999999</v>
      </c>
      <c r="M11" s="243">
        <v>171.917</v>
      </c>
      <c r="N11" s="242">
        <v>184.036</v>
      </c>
      <c r="O11" s="242">
        <v>197.17699999999999</v>
      </c>
      <c r="P11" s="242">
        <v>204.76999999999998</v>
      </c>
      <c r="Q11" s="242">
        <v>205.23899999999998</v>
      </c>
      <c r="R11" s="242">
        <v>203.608</v>
      </c>
      <c r="S11" s="242">
        <v>200.59700000000001</v>
      </c>
      <c r="T11" s="242">
        <v>199.24299999999999</v>
      </c>
      <c r="U11" s="242">
        <v>198.07599999999999</v>
      </c>
      <c r="V11" s="242">
        <v>197.512</v>
      </c>
      <c r="W11" s="242">
        <v>198.035</v>
      </c>
      <c r="X11" s="242">
        <v>197.5</v>
      </c>
      <c r="Y11" s="242">
        <v>198</v>
      </c>
      <c r="Z11" s="242">
        <v>199.227</v>
      </c>
      <c r="AA11" s="92">
        <v>194.25399999999999</v>
      </c>
      <c r="AB11" s="92">
        <v>195.85599999999999</v>
      </c>
      <c r="AC11" s="557">
        <v>196.93799999999999</v>
      </c>
      <c r="AD11" s="478">
        <f t="shared" si="1"/>
        <v>0.55244669553140113</v>
      </c>
      <c r="AE11" s="42" t="s">
        <v>41</v>
      </c>
    </row>
    <row r="12" spans="1:31" ht="12.75" customHeight="1">
      <c r="A12" s="5"/>
      <c r="B12" s="7" t="s">
        <v>46</v>
      </c>
      <c r="C12" s="245">
        <v>3995.4849999999997</v>
      </c>
      <c r="D12" s="246">
        <v>4137.4459999999999</v>
      </c>
      <c r="E12" s="244">
        <v>3730.7559999999999</v>
      </c>
      <c r="F12" s="244">
        <v>4174.3459999999995</v>
      </c>
      <c r="G12" s="244">
        <v>4389.201</v>
      </c>
      <c r="H12" s="244">
        <v>4438.0820000000003</v>
      </c>
      <c r="I12" s="244">
        <v>4667.1490000000003</v>
      </c>
      <c r="J12" s="244">
        <v>4677.8850000000002</v>
      </c>
      <c r="K12" s="244">
        <v>4863.8069999999998</v>
      </c>
      <c r="L12" s="244">
        <v>5077.982</v>
      </c>
      <c r="M12" s="244">
        <v>5202.9009999999998</v>
      </c>
      <c r="N12" s="244">
        <v>5405.9</v>
      </c>
      <c r="O12" s="244">
        <v>5549.9669999999996</v>
      </c>
      <c r="P12" s="247">
        <v>3658.59</v>
      </c>
      <c r="Q12" s="244">
        <v>3762.5610000000001</v>
      </c>
      <c r="R12" s="244">
        <v>3827.8939999999998</v>
      </c>
      <c r="S12" s="244">
        <v>3908.0720000000001</v>
      </c>
      <c r="T12" s="244">
        <v>3982.9780000000001</v>
      </c>
      <c r="U12" s="244">
        <v>4054.9459999999999</v>
      </c>
      <c r="V12" s="244">
        <v>4145.3919999999998</v>
      </c>
      <c r="W12" s="244">
        <v>4228.2380000000003</v>
      </c>
      <c r="X12" s="244">
        <v>4314.4930000000004</v>
      </c>
      <c r="Y12" s="244">
        <v>4372.9780000000001</v>
      </c>
      <c r="Z12" s="244">
        <v>4438.6000000000004</v>
      </c>
      <c r="AA12" s="93">
        <v>4506.41</v>
      </c>
      <c r="AB12" s="93">
        <v>4661.5609999999997</v>
      </c>
      <c r="AC12" s="117">
        <v>4780.8540000000003</v>
      </c>
      <c r="AD12" s="477">
        <f t="shared" si="1"/>
        <v>2.5590783859741606</v>
      </c>
      <c r="AE12" s="44" t="s">
        <v>46</v>
      </c>
    </row>
    <row r="13" spans="1:31" ht="12.75" customHeight="1">
      <c r="A13" s="5"/>
      <c r="B13" s="34" t="s">
        <v>31</v>
      </c>
      <c r="C13" s="241">
        <v>3.3</v>
      </c>
      <c r="D13" s="242">
        <v>4.7</v>
      </c>
      <c r="E13" s="242">
        <v>5.3</v>
      </c>
      <c r="F13" s="242">
        <v>6.1</v>
      </c>
      <c r="G13" s="242">
        <v>6.7</v>
      </c>
      <c r="H13" s="242">
        <v>6.7</v>
      </c>
      <c r="I13" s="242">
        <v>6.8</v>
      </c>
      <c r="J13" s="242">
        <v>7.3</v>
      </c>
      <c r="K13" s="242">
        <v>8.1</v>
      </c>
      <c r="L13" s="242">
        <v>9.1</v>
      </c>
      <c r="M13" s="242">
        <v>10.234</v>
      </c>
      <c r="N13" s="242">
        <v>12.593999999999999</v>
      </c>
      <c r="O13" s="242">
        <v>14.78</v>
      </c>
      <c r="P13" s="242">
        <v>17.622</v>
      </c>
      <c r="Q13" s="242">
        <v>18.600000000000001</v>
      </c>
      <c r="R13" s="242">
        <v>19.7</v>
      </c>
      <c r="S13" s="248">
        <v>23.216999999999999</v>
      </c>
      <c r="T13" s="242">
        <v>35.273000000000003</v>
      </c>
      <c r="U13" s="242">
        <v>38.700000000000003</v>
      </c>
      <c r="V13" s="242">
        <v>42.3</v>
      </c>
      <c r="W13" s="242">
        <v>45.5</v>
      </c>
      <c r="X13" s="242">
        <v>48.8</v>
      </c>
      <c r="Y13" s="242">
        <v>51.7</v>
      </c>
      <c r="Z13" s="242">
        <v>54.5</v>
      </c>
      <c r="AA13" s="92">
        <v>57.866999999999997</v>
      </c>
      <c r="AB13" s="92">
        <v>60.656999999999996</v>
      </c>
      <c r="AC13" s="557">
        <v>63.607999999999997</v>
      </c>
      <c r="AD13" s="478">
        <f t="shared" si="1"/>
        <v>4.8650609162998535</v>
      </c>
      <c r="AE13" s="42" t="s">
        <v>31</v>
      </c>
    </row>
    <row r="14" spans="1:31" ht="12.75" customHeight="1">
      <c r="A14" s="5"/>
      <c r="B14" s="7" t="s">
        <v>49</v>
      </c>
      <c r="C14" s="245">
        <v>23.452000000000002</v>
      </c>
      <c r="D14" s="244">
        <v>23.847000000000001</v>
      </c>
      <c r="E14" s="244">
        <v>24.423999999999999</v>
      </c>
      <c r="F14" s="244">
        <v>24.398</v>
      </c>
      <c r="G14" s="244">
        <v>26.677</v>
      </c>
      <c r="H14" s="244">
        <v>30.638000000000002</v>
      </c>
      <c r="I14" s="244">
        <v>32.912999999999997</v>
      </c>
      <c r="J14" s="244">
        <v>33.146999999999998</v>
      </c>
      <c r="K14" s="244">
        <v>35.094000000000001</v>
      </c>
      <c r="L14" s="244">
        <v>34.853999999999999</v>
      </c>
      <c r="M14" s="244">
        <v>34.299999999999997</v>
      </c>
      <c r="N14" s="244">
        <v>34.927</v>
      </c>
      <c r="O14" s="244">
        <v>37.177999999999997</v>
      </c>
      <c r="P14" s="244">
        <v>39.408999999999999</v>
      </c>
      <c r="Q14" s="244">
        <v>39.552</v>
      </c>
      <c r="R14" s="244">
        <v>38.145000000000003</v>
      </c>
      <c r="S14" s="244">
        <v>36.582000000000001</v>
      </c>
      <c r="T14" s="244">
        <v>35.106000000000002</v>
      </c>
      <c r="U14" s="244">
        <v>36.622999999999998</v>
      </c>
      <c r="V14" s="244">
        <v>36.573</v>
      </c>
      <c r="W14" s="244">
        <v>36.973999999999997</v>
      </c>
      <c r="X14" s="244">
        <v>38.023000000000003</v>
      </c>
      <c r="Y14" s="244">
        <v>39.872999999999998</v>
      </c>
      <c r="Z14" s="244">
        <v>40.198</v>
      </c>
      <c r="AA14" s="93">
        <v>42.491999999999997</v>
      </c>
      <c r="AB14" s="93">
        <v>44.819000000000003</v>
      </c>
      <c r="AC14" s="117">
        <v>46.636000000000003</v>
      </c>
      <c r="AD14" s="477">
        <f t="shared" si="1"/>
        <v>4.0540842053593309</v>
      </c>
      <c r="AE14" s="44" t="s">
        <v>49</v>
      </c>
    </row>
    <row r="15" spans="1:31" ht="12.75" customHeight="1">
      <c r="A15" s="5"/>
      <c r="B15" s="34" t="s">
        <v>42</v>
      </c>
      <c r="C15" s="241"/>
      <c r="D15" s="242"/>
      <c r="E15" s="242"/>
      <c r="F15" s="242"/>
      <c r="G15" s="242"/>
      <c r="H15" s="242">
        <v>781.36099999999999</v>
      </c>
      <c r="I15" s="242">
        <v>853.36599999999999</v>
      </c>
      <c r="J15" s="242">
        <v>910.55499999999995</v>
      </c>
      <c r="K15" s="242">
        <v>969.89499999999998</v>
      </c>
      <c r="L15" s="242">
        <v>1042.605</v>
      </c>
      <c r="M15" s="242">
        <v>1124.172</v>
      </c>
      <c r="N15" s="242">
        <v>1205.816</v>
      </c>
      <c r="O15" s="242">
        <v>1298.6880000000001</v>
      </c>
      <c r="P15" s="242">
        <v>1388.607</v>
      </c>
      <c r="Q15" s="242">
        <v>1448.8510000000001</v>
      </c>
      <c r="R15" s="242">
        <v>1499.133</v>
      </c>
      <c r="S15" s="242">
        <v>1534.902</v>
      </c>
      <c r="T15" s="242">
        <v>1556.4349999999999</v>
      </c>
      <c r="U15" s="242">
        <v>1568.596</v>
      </c>
      <c r="V15" s="242">
        <v>1592.9290000000001</v>
      </c>
      <c r="W15" s="242">
        <v>1619.6210000000001</v>
      </c>
      <c r="X15" s="242">
        <v>1653.528</v>
      </c>
      <c r="Y15" s="242">
        <v>1656.6569999999999</v>
      </c>
      <c r="Z15" s="242">
        <v>1583.491</v>
      </c>
      <c r="AA15" s="92">
        <v>1609.923</v>
      </c>
      <c r="AB15" s="92">
        <v>1637.6079999999999</v>
      </c>
      <c r="AC15" s="557">
        <v>1675.8040000000001</v>
      </c>
      <c r="AD15" s="478">
        <f t="shared" si="1"/>
        <v>2.3324263193633641</v>
      </c>
      <c r="AE15" s="42" t="s">
        <v>42</v>
      </c>
    </row>
    <row r="16" spans="1:31" ht="12.75" customHeight="1">
      <c r="A16" s="5"/>
      <c r="B16" s="7" t="s">
        <v>47</v>
      </c>
      <c r="C16" s="245">
        <v>1301.18</v>
      </c>
      <c r="D16" s="244">
        <v>1308.2080000000001</v>
      </c>
      <c r="E16" s="244">
        <v>1326.3330000000001</v>
      </c>
      <c r="F16" s="244">
        <v>1361.155</v>
      </c>
      <c r="G16" s="244">
        <v>1403.771</v>
      </c>
      <c r="H16" s="246">
        <v>1445.644</v>
      </c>
      <c r="I16" s="244">
        <v>3290.2</v>
      </c>
      <c r="J16" s="244">
        <v>3561.45</v>
      </c>
      <c r="K16" s="244">
        <v>3657.1189999999997</v>
      </c>
      <c r="L16" s="244">
        <v>3854.1279999999997</v>
      </c>
      <c r="M16" s="244">
        <v>4117.6000000000004</v>
      </c>
      <c r="N16" s="244">
        <v>4401.1459999999997</v>
      </c>
      <c r="O16" s="244">
        <v>4741.76</v>
      </c>
      <c r="P16" s="244">
        <v>4911.5039999999999</v>
      </c>
      <c r="Q16" s="244">
        <v>4958.8789999999999</v>
      </c>
      <c r="R16" s="244">
        <v>4997.6890000000003</v>
      </c>
      <c r="S16" s="244">
        <v>5027.4610000000002</v>
      </c>
      <c r="T16" s="244">
        <v>5021.9650000000001</v>
      </c>
      <c r="U16" s="244">
        <v>4998.32</v>
      </c>
      <c r="V16" s="244">
        <v>5033.2089999999998</v>
      </c>
      <c r="W16" s="244">
        <v>5102.674</v>
      </c>
      <c r="X16" s="244">
        <v>5199.0119999999997</v>
      </c>
      <c r="Y16" s="244">
        <v>5284.8040000000001</v>
      </c>
      <c r="Z16" s="244">
        <v>5393.201</v>
      </c>
      <c r="AA16" s="93">
        <v>5515.7179999999998</v>
      </c>
      <c r="AB16" s="93">
        <v>5627.674</v>
      </c>
      <c r="AC16" s="117">
        <v>5724.6059999999998</v>
      </c>
      <c r="AD16" s="477">
        <f t="shared" si="1"/>
        <v>1.7224167569052611</v>
      </c>
      <c r="AE16" s="44" t="s">
        <v>47</v>
      </c>
    </row>
    <row r="17" spans="1:31" ht="12.75" customHeight="1">
      <c r="A17" s="5"/>
      <c r="B17" s="34" t="s">
        <v>48</v>
      </c>
      <c r="C17" s="241">
        <v>2289</v>
      </c>
      <c r="D17" s="242">
        <v>2278</v>
      </c>
      <c r="E17" s="242">
        <v>2298</v>
      </c>
      <c r="F17" s="242">
        <v>2321</v>
      </c>
      <c r="G17" s="242">
        <v>2373</v>
      </c>
      <c r="H17" s="242">
        <v>2410</v>
      </c>
      <c r="I17" s="242">
        <v>2440</v>
      </c>
      <c r="J17" s="242">
        <v>2441</v>
      </c>
      <c r="K17" s="242">
        <v>2448</v>
      </c>
      <c r="L17" s="242">
        <v>2462</v>
      </c>
      <c r="M17" s="242">
        <v>2475.306</v>
      </c>
      <c r="N17" s="242">
        <v>2543.5609999999997</v>
      </c>
      <c r="O17" s="248">
        <v>3740</v>
      </c>
      <c r="P17" s="242">
        <v>3857</v>
      </c>
      <c r="Q17" s="242">
        <v>3532</v>
      </c>
      <c r="R17" s="242">
        <v>3560.951</v>
      </c>
      <c r="S17" s="242">
        <v>3439.4169999999999</v>
      </c>
      <c r="T17" s="242">
        <v>3089.125</v>
      </c>
      <c r="U17" s="242">
        <v>2936.2930000000001</v>
      </c>
      <c r="V17" s="242">
        <v>2815.0940000000001</v>
      </c>
      <c r="W17" s="242">
        <v>2694.1660000000002</v>
      </c>
      <c r="X17" s="242">
        <v>2553</v>
      </c>
      <c r="Y17" s="242">
        <v>3034</v>
      </c>
      <c r="Z17" s="253">
        <v>3034</v>
      </c>
      <c r="AA17" s="558">
        <v>3034</v>
      </c>
      <c r="AB17" s="92">
        <v>2700</v>
      </c>
      <c r="AC17" s="842">
        <v>2778.03</v>
      </c>
      <c r="AD17" s="553">
        <f t="shared" si="1"/>
        <v>2.8900000000000148</v>
      </c>
      <c r="AE17" s="194" t="s">
        <v>48</v>
      </c>
    </row>
    <row r="18" spans="1:31" ht="12.75" customHeight="1">
      <c r="A18" s="5"/>
      <c r="B18" s="7" t="s">
        <v>59</v>
      </c>
      <c r="C18" s="244">
        <v>9.9329999999999998</v>
      </c>
      <c r="D18" s="244">
        <v>14.128</v>
      </c>
      <c r="E18" s="244">
        <v>17.401</v>
      </c>
      <c r="F18" s="244">
        <v>18.957000000000001</v>
      </c>
      <c r="G18" s="244">
        <v>20.498999999999999</v>
      </c>
      <c r="H18" s="244">
        <v>21.867999999999999</v>
      </c>
      <c r="I18" s="246">
        <v>24.305</v>
      </c>
      <c r="J18" s="244">
        <v>85.216999999999999</v>
      </c>
      <c r="K18" s="244">
        <v>99.137</v>
      </c>
      <c r="L18" s="244">
        <v>112.907</v>
      </c>
      <c r="M18" s="244">
        <v>128.38200000000001</v>
      </c>
      <c r="N18" s="244">
        <v>143.48599999999999</v>
      </c>
      <c r="O18" s="244">
        <v>162.744</v>
      </c>
      <c r="P18" s="244">
        <v>183.81399999999999</v>
      </c>
      <c r="Q18" s="244">
        <v>184.483</v>
      </c>
      <c r="R18" s="244">
        <v>176.773</v>
      </c>
      <c r="S18" s="244">
        <v>175.042</v>
      </c>
      <c r="T18" s="244">
        <v>156.98099999999999</v>
      </c>
      <c r="U18" s="244">
        <v>154.78200000000001</v>
      </c>
      <c r="V18" s="244">
        <v>153.053</v>
      </c>
      <c r="W18" s="244">
        <v>151.27699999999999</v>
      </c>
      <c r="X18" s="244">
        <v>152.87299999999999</v>
      </c>
      <c r="Y18" s="244">
        <v>154.26900000000001</v>
      </c>
      <c r="Z18" s="244">
        <v>157.35899999999998</v>
      </c>
      <c r="AA18" s="93">
        <v>159.38800000000001</v>
      </c>
      <c r="AB18" s="93">
        <v>158.91499999999999</v>
      </c>
      <c r="AC18" s="117">
        <v>161.49299999999999</v>
      </c>
      <c r="AD18" s="477">
        <f t="shared" si="1"/>
        <v>1.6222508888399432</v>
      </c>
      <c r="AE18" s="44" t="s">
        <v>59</v>
      </c>
    </row>
    <row r="19" spans="1:31" ht="12.75" customHeight="1">
      <c r="A19" s="5"/>
      <c r="B19" s="107" t="s">
        <v>50</v>
      </c>
      <c r="C19" s="249">
        <v>6228.2950000000001</v>
      </c>
      <c r="D19" s="250">
        <v>6391.2350000000006</v>
      </c>
      <c r="E19" s="250">
        <v>6429.5140000000001</v>
      </c>
      <c r="F19" s="250">
        <v>6823.3230000000003</v>
      </c>
      <c r="G19" s="250">
        <v>7406.7969999999996</v>
      </c>
      <c r="H19" s="250">
        <v>7826.9059999999999</v>
      </c>
      <c r="I19" s="250">
        <v>8228.1190000000006</v>
      </c>
      <c r="J19" s="250">
        <v>8578.3860000000004</v>
      </c>
      <c r="K19" s="250">
        <v>8962.3990000000013</v>
      </c>
      <c r="L19" s="250">
        <v>9207.0430000000015</v>
      </c>
      <c r="M19" s="250">
        <v>9298.3590000000004</v>
      </c>
      <c r="N19" s="250">
        <v>9338.8179999999993</v>
      </c>
      <c r="O19" s="250">
        <v>9280.259</v>
      </c>
      <c r="P19" s="250">
        <v>9180.094000000001</v>
      </c>
      <c r="Q19" s="250">
        <v>9018.098</v>
      </c>
      <c r="R19" s="250">
        <v>8855.0319999999992</v>
      </c>
      <c r="S19" s="250">
        <v>8978.4759999999987</v>
      </c>
      <c r="T19" s="250">
        <v>8582.25</v>
      </c>
      <c r="U19" s="250">
        <v>8737.848</v>
      </c>
      <c r="V19" s="250">
        <v>9022.232</v>
      </c>
      <c r="W19" s="250">
        <v>8965.5590000000011</v>
      </c>
      <c r="X19" s="250">
        <v>9083.6630000000005</v>
      </c>
      <c r="Y19" s="250">
        <v>9218.33</v>
      </c>
      <c r="Z19" s="250">
        <v>9354.7380000000012</v>
      </c>
      <c r="AA19" s="114">
        <v>9521.5329999999994</v>
      </c>
      <c r="AB19" s="114">
        <v>9630.8909999999996</v>
      </c>
      <c r="AC19" s="116">
        <v>10129.291999999999</v>
      </c>
      <c r="AD19" s="553">
        <f t="shared" si="1"/>
        <v>5.1750248237675862</v>
      </c>
      <c r="AE19" s="194" t="s">
        <v>50</v>
      </c>
    </row>
    <row r="20" spans="1:31" ht="12.75" customHeight="1">
      <c r="A20" s="5"/>
      <c r="B20" s="7" t="s">
        <v>29</v>
      </c>
      <c r="C20" s="245">
        <v>50.393000000000001</v>
      </c>
      <c r="D20" s="244"/>
      <c r="E20" s="244"/>
      <c r="F20" s="244">
        <v>44.337000000000003</v>
      </c>
      <c r="G20" s="244">
        <v>44.756</v>
      </c>
      <c r="H20" s="244">
        <v>43.314999999999998</v>
      </c>
      <c r="I20" s="244">
        <v>41.984999999999999</v>
      </c>
      <c r="J20" s="244">
        <v>40.276000000000003</v>
      </c>
      <c r="K20" s="244">
        <v>41.515999999999998</v>
      </c>
      <c r="L20" s="244">
        <v>41.396000000000001</v>
      </c>
      <c r="M20" s="244">
        <v>40.381</v>
      </c>
      <c r="N20" s="244">
        <v>40.359000000000002</v>
      </c>
      <c r="O20" s="244">
        <v>41.210999999999999</v>
      </c>
      <c r="P20" s="244">
        <v>43.219000000000001</v>
      </c>
      <c r="Q20" s="244">
        <v>42.69</v>
      </c>
      <c r="R20" s="244">
        <v>40.727000000000004</v>
      </c>
      <c r="S20" s="244">
        <v>39.802999999999997</v>
      </c>
      <c r="T20" s="244">
        <v>41.104999999999997</v>
      </c>
      <c r="U20" s="326">
        <v>39.969000000000001</v>
      </c>
      <c r="V20" s="244">
        <v>40.97</v>
      </c>
      <c r="W20" s="244">
        <v>39.281999999999996</v>
      </c>
      <c r="X20" s="244">
        <v>39.242000000000004</v>
      </c>
      <c r="Y20" s="244">
        <v>39.4</v>
      </c>
      <c r="Z20" s="244">
        <v>39.764000000000003</v>
      </c>
      <c r="AA20" s="93">
        <v>39.703000000000003</v>
      </c>
      <c r="AB20" s="93">
        <v>40.350999999999999</v>
      </c>
      <c r="AC20" s="117">
        <v>41.140999999999998</v>
      </c>
      <c r="AD20" s="477">
        <f t="shared" si="1"/>
        <v>1.9578201283735126</v>
      </c>
      <c r="AE20" s="44" t="s">
        <v>29</v>
      </c>
    </row>
    <row r="21" spans="1:31" ht="12.75" customHeight="1">
      <c r="A21" s="5"/>
      <c r="B21" s="107" t="s">
        <v>33</v>
      </c>
      <c r="C21" s="249">
        <v>15.792</v>
      </c>
      <c r="D21" s="250">
        <v>18.443999999999999</v>
      </c>
      <c r="E21" s="250">
        <v>19.266999999999999</v>
      </c>
      <c r="F21" s="250">
        <v>19.408999999999999</v>
      </c>
      <c r="G21" s="250">
        <v>20.056999999999999</v>
      </c>
      <c r="H21" s="252">
        <v>20.731999999999999</v>
      </c>
      <c r="I21" s="250">
        <v>21.37</v>
      </c>
      <c r="J21" s="250">
        <v>22.16</v>
      </c>
      <c r="K21" s="252">
        <v>22.88</v>
      </c>
      <c r="L21" s="250">
        <v>29.924999999999997</v>
      </c>
      <c r="M21" s="250">
        <v>32.477000000000004</v>
      </c>
      <c r="N21" s="250">
        <v>36.874000000000002</v>
      </c>
      <c r="O21" s="250">
        <v>44.411999999999999</v>
      </c>
      <c r="P21" s="250">
        <v>51.284000000000006</v>
      </c>
      <c r="Q21" s="250">
        <v>51.963000000000008</v>
      </c>
      <c r="R21" s="251">
        <v>36.673999999999999</v>
      </c>
      <c r="S21" s="250">
        <v>38.622999999999998</v>
      </c>
      <c r="T21" s="250">
        <v>41.088000000000001</v>
      </c>
      <c r="U21" s="250">
        <v>43.588000000000001</v>
      </c>
      <c r="V21" s="250">
        <v>46.421999999999997</v>
      </c>
      <c r="W21" s="250">
        <v>49.287999999999997</v>
      </c>
      <c r="X21" s="250">
        <v>49.581000000000003</v>
      </c>
      <c r="Y21" s="250">
        <v>52.8</v>
      </c>
      <c r="Z21" s="250">
        <v>55.898000000000003</v>
      </c>
      <c r="AA21" s="114">
        <v>60.415999999999997</v>
      </c>
      <c r="AB21" s="114">
        <v>64.421000000000006</v>
      </c>
      <c r="AC21" s="116">
        <v>69.114999999999995</v>
      </c>
      <c r="AD21" s="553">
        <f t="shared" si="1"/>
        <v>7.2864438614737281</v>
      </c>
      <c r="AE21" s="194" t="s">
        <v>33</v>
      </c>
    </row>
    <row r="22" spans="1:31" ht="12.75" customHeight="1">
      <c r="A22" s="5"/>
      <c r="B22" s="7" t="s">
        <v>34</v>
      </c>
      <c r="C22" s="245">
        <v>20.033000000000001</v>
      </c>
      <c r="D22" s="244">
        <v>19.402000000000001</v>
      </c>
      <c r="E22" s="244">
        <v>19.128</v>
      </c>
      <c r="F22" s="244">
        <v>19.265999999999998</v>
      </c>
      <c r="G22" s="244">
        <v>19.515000000000001</v>
      </c>
      <c r="H22" s="244">
        <v>19.841999999999999</v>
      </c>
      <c r="I22" s="244">
        <v>20.244</v>
      </c>
      <c r="J22" s="244">
        <v>21.016999999999999</v>
      </c>
      <c r="K22" s="244">
        <v>21.873000000000001</v>
      </c>
      <c r="L22" s="244">
        <v>22.861000000000001</v>
      </c>
      <c r="M22" s="244">
        <v>24.027000000000001</v>
      </c>
      <c r="N22" s="246">
        <v>25.478000000000002</v>
      </c>
      <c r="O22" s="247">
        <v>35.270000000000003</v>
      </c>
      <c r="P22" s="244">
        <v>45.617000000000004</v>
      </c>
      <c r="Q22" s="244">
        <v>51.372</v>
      </c>
      <c r="R22" s="244">
        <v>56.271000000000001</v>
      </c>
      <c r="S22" s="244">
        <v>60.123999999999995</v>
      </c>
      <c r="T22" s="244">
        <v>64.248999999999995</v>
      </c>
      <c r="U22" s="244">
        <v>68.152000000000001</v>
      </c>
      <c r="V22" s="247">
        <v>33.162999999999997</v>
      </c>
      <c r="W22" s="244">
        <v>37.753</v>
      </c>
      <c r="X22" s="244">
        <v>39.713000000000001</v>
      </c>
      <c r="Y22" s="244">
        <v>42.1</v>
      </c>
      <c r="Z22" s="244">
        <v>45.266999999999996</v>
      </c>
      <c r="AA22" s="93">
        <v>53.154000000000003</v>
      </c>
      <c r="AB22" s="93">
        <v>60.911000000000001</v>
      </c>
      <c r="AC22" s="117">
        <v>69.494</v>
      </c>
      <c r="AD22" s="477">
        <f t="shared" si="1"/>
        <v>14.091050877509815</v>
      </c>
      <c r="AE22" s="44" t="s">
        <v>34</v>
      </c>
    </row>
    <row r="23" spans="1:31" ht="12.75" customHeight="1">
      <c r="A23" s="5"/>
      <c r="B23" s="107" t="s">
        <v>51</v>
      </c>
      <c r="C23" s="263">
        <v>28.405000000000001</v>
      </c>
      <c r="D23" s="250">
        <v>28.900999999999996</v>
      </c>
      <c r="E23" s="250">
        <v>29.673999999999999</v>
      </c>
      <c r="F23" s="250">
        <v>30.587999999999997</v>
      </c>
      <c r="G23" s="250">
        <v>31.762</v>
      </c>
      <c r="H23" s="250">
        <v>32.774000000000001</v>
      </c>
      <c r="I23" s="250">
        <v>33.576000000000001</v>
      </c>
      <c r="J23" s="250">
        <v>34.701000000000001</v>
      </c>
      <c r="K23" s="250">
        <v>35.959000000000003</v>
      </c>
      <c r="L23" s="250">
        <v>36.908999999999999</v>
      </c>
      <c r="M23" s="250">
        <v>37.739000000000004</v>
      </c>
      <c r="N23" s="250">
        <v>38.637999999999998</v>
      </c>
      <c r="O23" s="250">
        <v>39.478999999999999</v>
      </c>
      <c r="P23" s="250">
        <v>40.284999999999997</v>
      </c>
      <c r="Q23" s="250">
        <v>41.250999999999998</v>
      </c>
      <c r="R23" s="250">
        <v>42.093000000000004</v>
      </c>
      <c r="S23" s="250">
        <v>43.335000000000001</v>
      </c>
      <c r="T23" s="250">
        <v>44.526000000000003</v>
      </c>
      <c r="U23" s="251">
        <v>25.753</v>
      </c>
      <c r="V23" s="250">
        <v>27.274999999999999</v>
      </c>
      <c r="W23" s="250">
        <v>28.259</v>
      </c>
      <c r="X23" s="250">
        <v>29.253</v>
      </c>
      <c r="Y23" s="250">
        <v>30.3</v>
      </c>
      <c r="Z23" s="250">
        <v>30.636000000000003</v>
      </c>
      <c r="AA23" s="114">
        <v>30.805</v>
      </c>
      <c r="AB23" s="114">
        <v>32.219000000000001</v>
      </c>
      <c r="AC23" s="116">
        <v>33.661999999999999</v>
      </c>
      <c r="AD23" s="553">
        <f t="shared" si="1"/>
        <v>4.4787237344423971</v>
      </c>
      <c r="AE23" s="194" t="s">
        <v>51</v>
      </c>
    </row>
    <row r="24" spans="1:31" ht="12.75" customHeight="1">
      <c r="A24" s="5"/>
      <c r="B24" s="7" t="s">
        <v>32</v>
      </c>
      <c r="C24" s="245"/>
      <c r="D24" s="244"/>
      <c r="E24" s="244"/>
      <c r="F24" s="244"/>
      <c r="G24" s="244">
        <v>87.572999999999993</v>
      </c>
      <c r="H24" s="244">
        <v>91.192999999999998</v>
      </c>
      <c r="I24" s="244">
        <v>93.087999999999994</v>
      </c>
      <c r="J24" s="244">
        <v>97.593000000000004</v>
      </c>
      <c r="K24" s="244">
        <v>103.49299999999999</v>
      </c>
      <c r="L24" s="244">
        <v>114.038</v>
      </c>
      <c r="M24" s="244">
        <v>122.705</v>
      </c>
      <c r="N24" s="244">
        <v>130.18799999999999</v>
      </c>
      <c r="O24" s="244">
        <v>135.86500000000001</v>
      </c>
      <c r="P24" s="244">
        <v>141.54</v>
      </c>
      <c r="Q24" s="244">
        <v>141.95599999999999</v>
      </c>
      <c r="R24" s="244">
        <v>142.251</v>
      </c>
      <c r="S24" s="244">
        <v>147.38200000000001</v>
      </c>
      <c r="T24" s="244">
        <v>151.405</v>
      </c>
      <c r="U24" s="244">
        <v>157.178</v>
      </c>
      <c r="V24" s="244">
        <v>161.54</v>
      </c>
      <c r="W24" s="244">
        <v>162.828</v>
      </c>
      <c r="X24" s="244">
        <v>162.148</v>
      </c>
      <c r="Y24" s="244">
        <v>167.4</v>
      </c>
      <c r="Z24" s="244">
        <v>176.07</v>
      </c>
      <c r="AA24" s="93">
        <v>185.94300000000001</v>
      </c>
      <c r="AB24" s="93">
        <v>194.59399999999999</v>
      </c>
      <c r="AC24" s="117">
        <v>202.52099999999999</v>
      </c>
      <c r="AD24" s="477">
        <f t="shared" si="1"/>
        <v>4.0736096693628809</v>
      </c>
      <c r="AE24" s="44" t="s">
        <v>32</v>
      </c>
    </row>
    <row r="25" spans="1:31" ht="12.75" customHeight="1">
      <c r="A25" s="5"/>
      <c r="B25" s="107" t="s">
        <v>35</v>
      </c>
      <c r="C25" s="249">
        <v>17.411000000000001</v>
      </c>
      <c r="D25" s="250">
        <v>11.663</v>
      </c>
      <c r="E25" s="250">
        <v>13.881</v>
      </c>
      <c r="F25" s="250">
        <v>14.847</v>
      </c>
      <c r="G25" s="250">
        <v>11.87</v>
      </c>
      <c r="H25" s="250">
        <v>12.401999999999999</v>
      </c>
      <c r="I25" s="250">
        <v>12.83</v>
      </c>
      <c r="J25" s="250">
        <v>13.324</v>
      </c>
      <c r="K25" s="250">
        <v>13.667</v>
      </c>
      <c r="L25" s="250">
        <v>12.782</v>
      </c>
      <c r="M25" s="250">
        <v>11.992999999999999</v>
      </c>
      <c r="N25" s="250">
        <v>12.286</v>
      </c>
      <c r="O25" s="250">
        <v>12.791</v>
      </c>
      <c r="P25" s="250">
        <v>14.413000000000002</v>
      </c>
      <c r="Q25" s="250">
        <v>14.38</v>
      </c>
      <c r="R25" s="251">
        <v>14.716099999999999</v>
      </c>
      <c r="S25" s="250">
        <v>15.562999999999999</v>
      </c>
      <c r="T25" s="250">
        <v>15.815</v>
      </c>
      <c r="U25" s="250">
        <v>16.901000000000003</v>
      </c>
      <c r="V25" s="250">
        <v>17.555</v>
      </c>
      <c r="W25" s="250">
        <v>19.206</v>
      </c>
      <c r="X25" s="250">
        <v>22.285999999999998</v>
      </c>
      <c r="Y25" s="250">
        <v>24.606000000000002</v>
      </c>
      <c r="Z25" s="250">
        <v>27.328999999999997</v>
      </c>
      <c r="AA25" s="114">
        <v>30.27</v>
      </c>
      <c r="AB25" s="114">
        <v>32.106000000000002</v>
      </c>
      <c r="AC25" s="116">
        <v>35.875</v>
      </c>
      <c r="AD25" s="553">
        <f t="shared" si="1"/>
        <v>11.739238771569177</v>
      </c>
      <c r="AE25" s="194" t="s">
        <v>35</v>
      </c>
    </row>
    <row r="26" spans="1:31" ht="15.75" customHeight="1">
      <c r="A26" s="5"/>
      <c r="B26" s="7" t="s">
        <v>43</v>
      </c>
      <c r="C26" s="245">
        <v>854.99299999999994</v>
      </c>
      <c r="D26" s="244">
        <v>888</v>
      </c>
      <c r="E26" s="244">
        <v>916</v>
      </c>
      <c r="F26" s="244">
        <v>997.42499999999995</v>
      </c>
      <c r="G26" s="244">
        <v>933.98900000000003</v>
      </c>
      <c r="H26" s="244">
        <v>970.798</v>
      </c>
      <c r="I26" s="244">
        <v>964.822</v>
      </c>
      <c r="J26" s="244">
        <v>1002.45</v>
      </c>
      <c r="K26" s="244">
        <v>1015.567</v>
      </c>
      <c r="L26" s="244">
        <v>1038.934</v>
      </c>
      <c r="M26" s="244">
        <v>1112.9490000000001</v>
      </c>
      <c r="N26" s="244">
        <v>1279.703</v>
      </c>
      <c r="O26" s="244">
        <v>1371.6120000000001</v>
      </c>
      <c r="P26" s="244">
        <v>1479.4760000000001</v>
      </c>
      <c r="Q26" s="244">
        <v>1579.143</v>
      </c>
      <c r="R26" s="244">
        <v>1664.2950000000001</v>
      </c>
      <c r="S26" s="244">
        <v>1708.6709999999998</v>
      </c>
      <c r="T26" s="244">
        <v>1738.4879999999998</v>
      </c>
      <c r="U26" s="244">
        <v>1755.9690000000001</v>
      </c>
      <c r="V26" s="244">
        <v>1777.1310000000001</v>
      </c>
      <c r="W26" s="244">
        <v>1803.377</v>
      </c>
      <c r="X26" s="244">
        <v>1834.2909999999999</v>
      </c>
      <c r="Y26" s="244">
        <v>1873.1610000000001</v>
      </c>
      <c r="Z26" s="244">
        <v>1895.9180000000001</v>
      </c>
      <c r="AA26" s="93">
        <v>1929.268</v>
      </c>
      <c r="AB26" s="93">
        <v>1993.077</v>
      </c>
      <c r="AC26" s="117">
        <v>1887.3119999999999</v>
      </c>
      <c r="AD26" s="477">
        <f t="shared" si="1"/>
        <v>-5.3066188611879994</v>
      </c>
      <c r="AE26" s="44" t="s">
        <v>43</v>
      </c>
    </row>
    <row r="27" spans="1:31" ht="12.75" customHeight="1">
      <c r="A27" s="5"/>
      <c r="B27" s="107" t="s">
        <v>52</v>
      </c>
      <c r="C27" s="249">
        <v>546.41200000000003</v>
      </c>
      <c r="D27" s="250">
        <v>560.19100000000003</v>
      </c>
      <c r="E27" s="250">
        <v>575.72</v>
      </c>
      <c r="F27" s="250">
        <v>600.73099999999999</v>
      </c>
      <c r="G27" s="250">
        <v>622.92700000000002</v>
      </c>
      <c r="H27" s="250">
        <v>632.71199999999999</v>
      </c>
      <c r="I27" s="252">
        <v>641.43399999999997</v>
      </c>
      <c r="J27" s="250">
        <v>596.82400000000007</v>
      </c>
      <c r="K27" s="250">
        <v>606.86799999999994</v>
      </c>
      <c r="L27" s="250">
        <v>612.16</v>
      </c>
      <c r="M27" s="250">
        <v>627.71100000000001</v>
      </c>
      <c r="N27" s="250">
        <v>645.31299999999999</v>
      </c>
      <c r="O27" s="250">
        <v>667.577</v>
      </c>
      <c r="P27" s="250">
        <v>691.24299999999994</v>
      </c>
      <c r="Q27" s="250">
        <v>712.09199999999998</v>
      </c>
      <c r="R27" s="250">
        <v>727.85199999999998</v>
      </c>
      <c r="S27" s="250">
        <v>743.42899999999997</v>
      </c>
      <c r="T27" s="250">
        <v>762.39200000000017</v>
      </c>
      <c r="U27" s="250">
        <v>776.33699999999999</v>
      </c>
      <c r="V27" s="250">
        <v>788.18399999999997</v>
      </c>
      <c r="W27" s="250">
        <v>799.90600000000006</v>
      </c>
      <c r="X27" s="250">
        <v>816.47699999999998</v>
      </c>
      <c r="Y27" s="250">
        <v>832.2</v>
      </c>
      <c r="Z27" s="250">
        <v>847.35500000000002</v>
      </c>
      <c r="AA27" s="114">
        <v>860.75800000000004</v>
      </c>
      <c r="AB27" s="114">
        <v>884.49300000000005</v>
      </c>
      <c r="AC27" s="116">
        <v>909.54200000000003</v>
      </c>
      <c r="AD27" s="553">
        <f t="shared" si="1"/>
        <v>2.8320178904751145</v>
      </c>
      <c r="AE27" s="194" t="s">
        <v>52</v>
      </c>
    </row>
    <row r="28" spans="1:31" ht="12.75" customHeight="1">
      <c r="A28" s="5"/>
      <c r="B28" s="7" t="s">
        <v>36</v>
      </c>
      <c r="C28" s="245">
        <v>929</v>
      </c>
      <c r="D28" s="244"/>
      <c r="E28" s="244"/>
      <c r="F28" s="244">
        <v>820</v>
      </c>
      <c r="G28" s="244">
        <v>804</v>
      </c>
      <c r="H28" s="246">
        <v>803</v>
      </c>
      <c r="I28" s="244">
        <v>803</v>
      </c>
      <c r="J28" s="244">
        <v>869</v>
      </c>
      <c r="K28" s="244">
        <v>845.45600000000002</v>
      </c>
      <c r="L28" s="246">
        <v>835.79</v>
      </c>
      <c r="M28" s="244">
        <v>1091.1590000000001</v>
      </c>
      <c r="N28" s="244">
        <v>1190.0930000000001</v>
      </c>
      <c r="O28" s="244">
        <v>1350.789</v>
      </c>
      <c r="P28" s="244">
        <v>1607.316</v>
      </c>
      <c r="Q28" s="244">
        <v>1808.723</v>
      </c>
      <c r="R28" s="244">
        <v>1935.1399999999999</v>
      </c>
      <c r="S28" s="244">
        <v>2102.1750000000002</v>
      </c>
      <c r="T28" s="244">
        <v>2207.556</v>
      </c>
      <c r="U28" s="244">
        <v>2316.61</v>
      </c>
      <c r="V28" s="244">
        <v>2406.105</v>
      </c>
      <c r="W28" s="244">
        <v>2531.52</v>
      </c>
      <c r="X28" s="244">
        <v>2647.8249999999998</v>
      </c>
      <c r="Y28" s="244">
        <v>2755</v>
      </c>
      <c r="Z28" s="244">
        <v>2852.8</v>
      </c>
      <c r="AA28" s="93">
        <v>2962.0349999999999</v>
      </c>
      <c r="AB28" s="93">
        <v>3069.1509999999998</v>
      </c>
      <c r="AC28" s="117">
        <v>3169.0059999999999</v>
      </c>
      <c r="AD28" s="477">
        <f t="shared" si="1"/>
        <v>3.2535056111608611</v>
      </c>
      <c r="AE28" s="44" t="s">
        <v>36</v>
      </c>
    </row>
    <row r="29" spans="1:31" ht="12.75" customHeight="1">
      <c r="A29" s="5"/>
      <c r="B29" s="107" t="s">
        <v>53</v>
      </c>
      <c r="C29" s="249">
        <v>216.29599999999999</v>
      </c>
      <c r="D29" s="250">
        <v>240.946</v>
      </c>
      <c r="E29" s="250">
        <v>271.70800000000003</v>
      </c>
      <c r="F29" s="250">
        <v>301.04500000000002</v>
      </c>
      <c r="G29" s="250">
        <v>323.85399999999998</v>
      </c>
      <c r="H29" s="250">
        <v>345.90300000000002</v>
      </c>
      <c r="I29" s="250">
        <v>368.06299999999999</v>
      </c>
      <c r="J29" s="250">
        <v>386.96899999999999</v>
      </c>
      <c r="K29" s="250">
        <v>402.75900000000001</v>
      </c>
      <c r="L29" s="252">
        <v>418.70400000000001</v>
      </c>
      <c r="M29" s="250">
        <v>588.41999999999996</v>
      </c>
      <c r="N29" s="250">
        <v>558.72</v>
      </c>
      <c r="O29" s="250">
        <v>536.64499999999998</v>
      </c>
      <c r="P29" s="250">
        <v>535</v>
      </c>
      <c r="Q29" s="250">
        <v>533.27</v>
      </c>
      <c r="R29" s="250">
        <v>498</v>
      </c>
      <c r="S29" s="250">
        <v>497</v>
      </c>
      <c r="T29" s="251">
        <v>500.815</v>
      </c>
      <c r="U29" s="250">
        <v>508.45600000000002</v>
      </c>
      <c r="V29" s="250">
        <v>509.67099999999999</v>
      </c>
      <c r="W29" s="250">
        <v>527.58299999999997</v>
      </c>
      <c r="X29" s="250">
        <v>552.09699999999998</v>
      </c>
      <c r="Y29" s="250">
        <v>592.51700000000005</v>
      </c>
      <c r="Z29" s="250">
        <v>616.07500000000005</v>
      </c>
      <c r="AA29" s="114">
        <v>660.93899999999996</v>
      </c>
      <c r="AB29" s="114">
        <v>691.34</v>
      </c>
      <c r="AC29" s="116">
        <v>727.50099999999998</v>
      </c>
      <c r="AD29" s="553">
        <f t="shared" si="1"/>
        <v>5.2305667254896235</v>
      </c>
      <c r="AE29" s="194" t="s">
        <v>53</v>
      </c>
    </row>
    <row r="30" spans="1:31" ht="12.75" customHeight="1">
      <c r="A30" s="5"/>
      <c r="B30" s="7" t="s">
        <v>37</v>
      </c>
      <c r="C30" s="245">
        <v>327.72399999999999</v>
      </c>
      <c r="D30" s="244">
        <v>254.99600000000001</v>
      </c>
      <c r="E30" s="244">
        <v>250.51</v>
      </c>
      <c r="F30" s="244">
        <v>245.71899999999999</v>
      </c>
      <c r="G30" s="244">
        <v>242.58300000000003</v>
      </c>
      <c r="H30" s="244">
        <v>239.20800000000003</v>
      </c>
      <c r="I30" s="244">
        <v>237.90099999999998</v>
      </c>
      <c r="J30" s="244">
        <v>238.48000000000002</v>
      </c>
      <c r="K30" s="244">
        <v>235.85</v>
      </c>
      <c r="L30" s="244">
        <v>234.702</v>
      </c>
      <c r="M30" s="244">
        <v>197.40100000000001</v>
      </c>
      <c r="N30" s="246">
        <v>193.98099999999999</v>
      </c>
      <c r="O30" s="247">
        <v>56.478999999999999</v>
      </c>
      <c r="P30" s="244">
        <v>71.826999999999998</v>
      </c>
      <c r="Q30" s="244">
        <v>79.989999999999995</v>
      </c>
      <c r="R30" s="244">
        <v>85.171000000000006</v>
      </c>
      <c r="S30" s="244">
        <v>90.081999999999994</v>
      </c>
      <c r="T30" s="244">
        <v>95.45</v>
      </c>
      <c r="U30" s="244">
        <v>101.622</v>
      </c>
      <c r="V30" s="244">
        <v>107.33799999999999</v>
      </c>
      <c r="W30" s="244">
        <v>112.866</v>
      </c>
      <c r="X30" s="244">
        <v>119.53400000000001</v>
      </c>
      <c r="Y30" s="244">
        <v>127.3</v>
      </c>
      <c r="Z30" s="244">
        <v>136.44</v>
      </c>
      <c r="AA30" s="93">
        <v>148.387</v>
      </c>
      <c r="AB30" s="93">
        <v>162.078</v>
      </c>
      <c r="AC30" s="117">
        <v>175.84399999999999</v>
      </c>
      <c r="AD30" s="477">
        <f t="shared" si="1"/>
        <v>8.4934414294351939</v>
      </c>
      <c r="AE30" s="44" t="s">
        <v>37</v>
      </c>
    </row>
    <row r="31" spans="1:31" ht="12.75" customHeight="1">
      <c r="A31" s="5"/>
      <c r="B31" s="107" t="s">
        <v>39</v>
      </c>
      <c r="C31" s="249">
        <v>8.5459999999999994</v>
      </c>
      <c r="D31" s="250">
        <v>8.173</v>
      </c>
      <c r="E31" s="250">
        <v>8.2829999999999995</v>
      </c>
      <c r="F31" s="250">
        <v>9.14</v>
      </c>
      <c r="G31" s="250">
        <v>9.9060000000000006</v>
      </c>
      <c r="H31" s="252">
        <v>11.217000000000001</v>
      </c>
      <c r="I31" s="252">
        <v>11.622</v>
      </c>
      <c r="J31" s="250">
        <v>50.607999999999997</v>
      </c>
      <c r="K31" s="250">
        <v>42.392000000000003</v>
      </c>
      <c r="L31" s="250">
        <v>40.200000000000003</v>
      </c>
      <c r="M31" s="250">
        <v>48.670999999999999</v>
      </c>
      <c r="N31" s="250">
        <v>53.192999999999998</v>
      </c>
      <c r="O31" s="250">
        <v>71.492999999999995</v>
      </c>
      <c r="P31" s="250">
        <v>81.996000000000009</v>
      </c>
      <c r="Q31" s="250">
        <v>88.427999999999997</v>
      </c>
      <c r="R31" s="250">
        <v>91.00800000000001</v>
      </c>
      <c r="S31" s="250">
        <v>92.182999999999993</v>
      </c>
      <c r="T31" s="250">
        <v>93.1</v>
      </c>
      <c r="U31" s="250">
        <v>92.98599999999999</v>
      </c>
      <c r="V31" s="250">
        <v>95.795999999999992</v>
      </c>
      <c r="W31" s="250">
        <v>100.32</v>
      </c>
      <c r="X31" s="250">
        <v>103.684</v>
      </c>
      <c r="Y31" s="250">
        <v>125.127</v>
      </c>
      <c r="Z31" s="250">
        <v>130.935</v>
      </c>
      <c r="AA31" s="114">
        <v>135.78</v>
      </c>
      <c r="AB31" s="114">
        <v>140.316</v>
      </c>
      <c r="AC31" s="116">
        <v>145.417</v>
      </c>
      <c r="AD31" s="553">
        <f t="shared" si="1"/>
        <v>3.63536588842328</v>
      </c>
      <c r="AE31" s="194" t="s">
        <v>39</v>
      </c>
    </row>
    <row r="32" spans="1:31" ht="12.75" customHeight="1">
      <c r="A32" s="5"/>
      <c r="B32" s="7" t="s">
        <v>38</v>
      </c>
      <c r="C32" s="245">
        <v>81.846999999999994</v>
      </c>
      <c r="D32" s="244">
        <v>79.478999999999999</v>
      </c>
      <c r="E32" s="244">
        <v>81.061999999999998</v>
      </c>
      <c r="F32" s="246">
        <v>100.89100000000001</v>
      </c>
      <c r="G32" s="244">
        <v>44.215000000000003</v>
      </c>
      <c r="H32" s="244">
        <v>45.646999999999998</v>
      </c>
      <c r="I32" s="244">
        <v>46.676000000000002</v>
      </c>
      <c r="J32" s="244">
        <v>47.9</v>
      </c>
      <c r="K32" s="244">
        <v>48.709000000000003</v>
      </c>
      <c r="L32" s="244">
        <v>51.976999999999997</v>
      </c>
      <c r="M32" s="244">
        <v>56.366</v>
      </c>
      <c r="N32" s="244">
        <v>58.100999999999999</v>
      </c>
      <c r="O32" s="244">
        <v>63.896999999999998</v>
      </c>
      <c r="P32" s="246">
        <v>70.317999999999998</v>
      </c>
      <c r="Q32" s="244">
        <v>81.900000000000006</v>
      </c>
      <c r="R32" s="244">
        <v>87.9</v>
      </c>
      <c r="S32" s="244">
        <v>93.8</v>
      </c>
      <c r="T32" s="244">
        <v>99.5</v>
      </c>
      <c r="U32" s="244">
        <v>105.9</v>
      </c>
      <c r="V32" s="244">
        <v>112.7</v>
      </c>
      <c r="W32" s="244">
        <v>120.624</v>
      </c>
      <c r="X32" s="244">
        <v>126.128</v>
      </c>
      <c r="Y32" s="244">
        <v>133.309</v>
      </c>
      <c r="Z32" s="244">
        <v>140.44999999999999</v>
      </c>
      <c r="AA32" s="93">
        <v>147.49799999999999</v>
      </c>
      <c r="AB32" s="93">
        <v>154.44499999999999</v>
      </c>
      <c r="AC32" s="117">
        <v>162.14500000000001</v>
      </c>
      <c r="AD32" s="477">
        <f t="shared" si="1"/>
        <v>4.9855935770015236</v>
      </c>
      <c r="AE32" s="44" t="s">
        <v>38</v>
      </c>
    </row>
    <row r="33" spans="1:31" ht="12.75" customHeight="1">
      <c r="A33" s="5"/>
      <c r="B33" s="107" t="s">
        <v>54</v>
      </c>
      <c r="C33" s="249">
        <v>159.52500000000001</v>
      </c>
      <c r="D33" s="250">
        <v>162.78800000000001</v>
      </c>
      <c r="E33" s="250">
        <v>166.614</v>
      </c>
      <c r="F33" s="250">
        <v>173.32499999999999</v>
      </c>
      <c r="G33" s="250">
        <v>183.18799999999999</v>
      </c>
      <c r="H33" s="250">
        <v>193.422</v>
      </c>
      <c r="I33" s="250">
        <v>206.23500000000001</v>
      </c>
      <c r="J33" s="250">
        <v>223.577</v>
      </c>
      <c r="K33" s="250">
        <v>245.38200000000001</v>
      </c>
      <c r="L33" s="250">
        <v>271.72000000000003</v>
      </c>
      <c r="M33" s="250">
        <v>301.80500000000001</v>
      </c>
      <c r="N33" s="250">
        <v>338.44299999999998</v>
      </c>
      <c r="O33" s="250">
        <v>376.53200000000004</v>
      </c>
      <c r="P33" s="250">
        <v>421.54399999999998</v>
      </c>
      <c r="Q33" s="250">
        <v>456.197</v>
      </c>
      <c r="R33" s="250">
        <v>486.76600000000002</v>
      </c>
      <c r="S33" s="250">
        <v>516</v>
      </c>
      <c r="T33" s="250">
        <v>538.01900000000001</v>
      </c>
      <c r="U33" s="250">
        <v>554.25199999999995</v>
      </c>
      <c r="V33" s="250">
        <v>568.19100000000003</v>
      </c>
      <c r="W33" s="250">
        <v>581.14700000000005</v>
      </c>
      <c r="X33" s="250">
        <v>591.79499999999996</v>
      </c>
      <c r="Y33" s="250">
        <v>603.79999999999995</v>
      </c>
      <c r="Z33" s="250">
        <v>613.74099999999999</v>
      </c>
      <c r="AA33" s="114">
        <v>623.99699999999996</v>
      </c>
      <c r="AB33" s="114">
        <v>636.45699999999999</v>
      </c>
      <c r="AC33" s="116">
        <v>646.06299999999999</v>
      </c>
      <c r="AD33" s="553">
        <f t="shared" si="1"/>
        <v>1.5092928508917396</v>
      </c>
      <c r="AE33" s="194" t="s">
        <v>54</v>
      </c>
    </row>
    <row r="34" spans="1:31" ht="12.75" customHeight="1">
      <c r="A34" s="5"/>
      <c r="B34" s="8" t="s">
        <v>55</v>
      </c>
      <c r="C34" s="257">
        <v>264.18</v>
      </c>
      <c r="D34" s="258">
        <v>272.71499999999997</v>
      </c>
      <c r="E34" s="258">
        <v>279.42099999999999</v>
      </c>
      <c r="F34" s="258">
        <v>285.92</v>
      </c>
      <c r="G34" s="258">
        <v>300.46000000000004</v>
      </c>
      <c r="H34" s="258">
        <v>310.06900000000002</v>
      </c>
      <c r="I34" s="258">
        <v>336.34100000000001</v>
      </c>
      <c r="J34" s="258">
        <v>372.36900000000003</v>
      </c>
      <c r="K34" s="258">
        <v>395.601</v>
      </c>
      <c r="L34" s="258">
        <v>403.31700000000001</v>
      </c>
      <c r="M34" s="258">
        <v>453.08199999999999</v>
      </c>
      <c r="N34" s="258">
        <v>497.74400000000003</v>
      </c>
      <c r="O34" s="258">
        <v>528.125</v>
      </c>
      <c r="P34" s="258">
        <v>553.92899999999997</v>
      </c>
      <c r="Q34" s="258">
        <v>571.89</v>
      </c>
      <c r="R34" s="258">
        <v>570.24</v>
      </c>
      <c r="S34" s="258">
        <v>578.495</v>
      </c>
      <c r="T34" s="258">
        <v>615.52499999999998</v>
      </c>
      <c r="U34" s="258">
        <v>634.81899999999996</v>
      </c>
      <c r="V34" s="258">
        <v>650.43399999999997</v>
      </c>
      <c r="W34" s="258">
        <v>672.51700000000005</v>
      </c>
      <c r="X34" s="258">
        <v>699.09500000000003</v>
      </c>
      <c r="Y34" s="258">
        <v>727.29899999999998</v>
      </c>
      <c r="Z34" s="258">
        <v>746.65800000000002</v>
      </c>
      <c r="AA34" s="258">
        <v>766.274</v>
      </c>
      <c r="AB34" s="258">
        <v>781.79399999999998</v>
      </c>
      <c r="AC34" s="270">
        <v>801.23500000000001</v>
      </c>
      <c r="AD34" s="489">
        <f t="shared" si="1"/>
        <v>2.4867164496018148</v>
      </c>
      <c r="AE34" s="45" t="s">
        <v>55</v>
      </c>
    </row>
    <row r="35" spans="1:31" ht="12.75" customHeight="1">
      <c r="A35" s="5"/>
      <c r="B35" s="106" t="s">
        <v>26</v>
      </c>
      <c r="C35" s="259">
        <v>1.881</v>
      </c>
      <c r="D35" s="259">
        <v>1.95</v>
      </c>
      <c r="E35" s="259">
        <v>2.0470000000000002</v>
      </c>
      <c r="F35" s="259">
        <v>1.9059999999999999</v>
      </c>
      <c r="G35" s="259">
        <v>2.0840000000000001</v>
      </c>
      <c r="H35" s="259">
        <v>2.278</v>
      </c>
      <c r="I35" s="259">
        <v>2.444</v>
      </c>
      <c r="J35" s="259">
        <v>2.5569999999999999</v>
      </c>
      <c r="K35" s="259">
        <v>2.7469999999999999</v>
      </c>
      <c r="L35" s="259">
        <v>3.105</v>
      </c>
      <c r="M35" s="259">
        <v>4.1829999999999998</v>
      </c>
      <c r="N35" s="259">
        <v>5.6989999999999998</v>
      </c>
      <c r="O35" s="259">
        <v>8.0739999999999998</v>
      </c>
      <c r="P35" s="259">
        <v>9.0090000000000003</v>
      </c>
      <c r="Q35" s="259">
        <v>9.42</v>
      </c>
      <c r="R35" s="259">
        <v>9.6509999999999998</v>
      </c>
      <c r="S35" s="259">
        <v>9.9220000000000006</v>
      </c>
      <c r="T35" s="259">
        <v>10.135</v>
      </c>
      <c r="U35" s="259">
        <v>10.212999999999999</v>
      </c>
      <c r="V35" s="259">
        <v>10.305999999999999</v>
      </c>
      <c r="W35" s="259">
        <v>10.398999999999999</v>
      </c>
      <c r="X35" s="259">
        <v>10.573</v>
      </c>
      <c r="Y35" s="259">
        <v>10.778</v>
      </c>
      <c r="Z35" s="250">
        <v>13.378</v>
      </c>
      <c r="AA35" s="219">
        <v>12.788</v>
      </c>
      <c r="AB35" s="219">
        <v>12.981999999999999</v>
      </c>
      <c r="AC35" s="116">
        <v>12.981999999999999</v>
      </c>
      <c r="AD35" s="553">
        <f t="shared" si="1"/>
        <v>0</v>
      </c>
      <c r="AE35" s="194" t="s">
        <v>26</v>
      </c>
    </row>
    <row r="36" spans="1:31" ht="12.75" customHeight="1">
      <c r="A36" s="5"/>
      <c r="B36" s="362" t="s">
        <v>65</v>
      </c>
      <c r="C36" s="395"/>
      <c r="D36" s="395"/>
      <c r="E36" s="395"/>
      <c r="F36" s="395"/>
      <c r="G36" s="395">
        <v>2.4430000000000001</v>
      </c>
      <c r="H36" s="395">
        <v>2.5939999999999999</v>
      </c>
      <c r="I36" s="395">
        <v>2.754</v>
      </c>
      <c r="J36" s="395">
        <v>2.8780000000000001</v>
      </c>
      <c r="K36" s="395">
        <v>2.98</v>
      </c>
      <c r="L36" s="395">
        <v>3.0030000000000001</v>
      </c>
      <c r="M36" s="395">
        <v>3.11</v>
      </c>
      <c r="N36" s="395">
        <v>3.17</v>
      </c>
      <c r="O36" s="395">
        <v>3.2559999999999998</v>
      </c>
      <c r="P36" s="395">
        <v>3.4380000000000002</v>
      </c>
      <c r="Q36" s="395">
        <v>3.577</v>
      </c>
      <c r="R36" s="395">
        <v>3.734</v>
      </c>
      <c r="S36" s="395">
        <v>3.7530000000000001</v>
      </c>
      <c r="T36" s="395">
        <v>3.931</v>
      </c>
      <c r="U36" s="395">
        <v>3.9990000000000001</v>
      </c>
      <c r="V36" s="395">
        <v>4.1539999999999999</v>
      </c>
      <c r="W36" s="395">
        <v>4.2619999999999996</v>
      </c>
      <c r="X36" s="395">
        <v>4.4409999999999998</v>
      </c>
      <c r="Y36" s="395">
        <v>4.5609999999999999</v>
      </c>
      <c r="Z36" s="395">
        <v>4.6529999999999996</v>
      </c>
      <c r="AA36" s="559">
        <v>4.6589999999999998</v>
      </c>
      <c r="AB36" s="559">
        <v>4.9359999999999999</v>
      </c>
      <c r="AC36" s="560">
        <v>4.9080000000000004</v>
      </c>
      <c r="AD36" s="477">
        <f t="shared" si="1"/>
        <v>-0.56726094003241201</v>
      </c>
      <c r="AE36" s="44" t="s">
        <v>65</v>
      </c>
    </row>
    <row r="37" spans="1:31" ht="12.75" customHeight="1">
      <c r="A37" s="5"/>
      <c r="B37" s="107" t="s">
        <v>56</v>
      </c>
      <c r="C37" s="250">
        <v>158.624</v>
      </c>
      <c r="D37" s="250">
        <v>164.77500000000001</v>
      </c>
      <c r="E37" s="250">
        <v>174.60300000000001</v>
      </c>
      <c r="F37" s="250">
        <v>184.34699999999998</v>
      </c>
      <c r="G37" s="250">
        <v>193.00099999999998</v>
      </c>
      <c r="H37" s="250">
        <v>201.56399999999999</v>
      </c>
      <c r="I37" s="250">
        <v>211.42700000000002</v>
      </c>
      <c r="J37" s="250">
        <v>225.173</v>
      </c>
      <c r="K37" s="250">
        <v>239.596</v>
      </c>
      <c r="L37" s="250">
        <v>248.57099999999997</v>
      </c>
      <c r="M37" s="250">
        <v>257.49900000000002</v>
      </c>
      <c r="N37" s="250">
        <v>268.54499999999996</v>
      </c>
      <c r="O37" s="250">
        <v>282.49400000000003</v>
      </c>
      <c r="P37" s="250">
        <v>296.38299999999998</v>
      </c>
      <c r="Q37" s="250">
        <v>306.79200000000003</v>
      </c>
      <c r="R37" s="250">
        <v>315.49599999999998</v>
      </c>
      <c r="S37" s="250">
        <v>323.49599999999998</v>
      </c>
      <c r="T37" s="250">
        <v>331.69900000000001</v>
      </c>
      <c r="U37" s="250">
        <v>337.90999999999997</v>
      </c>
      <c r="V37" s="250">
        <v>345.15100000000001</v>
      </c>
      <c r="W37" s="327">
        <v>354.27500000000003</v>
      </c>
      <c r="X37" s="250">
        <v>362.392</v>
      </c>
      <c r="Y37" s="250">
        <v>362.05700000000002</v>
      </c>
      <c r="Z37" s="250">
        <v>355.97199999999998</v>
      </c>
      <c r="AA37" s="114">
        <v>357.745</v>
      </c>
      <c r="AB37" s="114">
        <v>384.57499999999999</v>
      </c>
      <c r="AC37" s="116">
        <v>387.67399999999998</v>
      </c>
      <c r="AD37" s="553">
        <f t="shared" si="1"/>
        <v>0.8058246115841996</v>
      </c>
      <c r="AE37" s="194" t="s">
        <v>56</v>
      </c>
    </row>
    <row r="38" spans="1:31" ht="12.75" customHeight="1">
      <c r="A38" s="5"/>
      <c r="B38" s="8" t="s">
        <v>27</v>
      </c>
      <c r="C38" s="258">
        <v>688.48334493180107</v>
      </c>
      <c r="D38" s="258">
        <v>682.99495168409749</v>
      </c>
      <c r="E38" s="258">
        <v>691.21699999999998</v>
      </c>
      <c r="F38" s="258">
        <v>700.46400000000006</v>
      </c>
      <c r="G38" s="258">
        <v>710.375</v>
      </c>
      <c r="H38" s="258">
        <v>712.71299999999997</v>
      </c>
      <c r="I38" s="258">
        <v>720.423</v>
      </c>
      <c r="J38" s="258">
        <v>731.94299999999998</v>
      </c>
      <c r="K38" s="258">
        <v>740.84400000000005</v>
      </c>
      <c r="L38" s="258">
        <v>748.01</v>
      </c>
      <c r="M38" s="258">
        <v>747.96</v>
      </c>
      <c r="N38" s="258">
        <v>759.22299999999996</v>
      </c>
      <c r="O38" s="258">
        <v>763.87</v>
      </c>
      <c r="P38" s="258">
        <v>778.08900000000006</v>
      </c>
      <c r="Q38" s="258">
        <v>781.99699999999996</v>
      </c>
      <c r="R38" s="258">
        <v>790.75</v>
      </c>
      <c r="S38" s="258">
        <v>808.70399999999995</v>
      </c>
      <c r="T38" s="258">
        <v>825.80600000000004</v>
      </c>
      <c r="U38" s="258">
        <v>835.23699999999997</v>
      </c>
      <c r="V38" s="258">
        <v>852.18100000000004</v>
      </c>
      <c r="W38" s="258">
        <v>871.31399999999996</v>
      </c>
      <c r="X38" s="258">
        <v>896.41099999999994</v>
      </c>
      <c r="Y38" s="258">
        <v>917.01900000000001</v>
      </c>
      <c r="Z38" s="258">
        <v>940.76700000000005</v>
      </c>
      <c r="AA38" s="94">
        <v>956.02200000000005</v>
      </c>
      <c r="AB38" s="94">
        <v>1001.0069999999999</v>
      </c>
      <c r="AC38" s="125">
        <v>1033.3</v>
      </c>
      <c r="AD38" s="489">
        <f t="shared" si="1"/>
        <v>3.226051366274163</v>
      </c>
      <c r="AE38" s="45" t="s">
        <v>27</v>
      </c>
    </row>
    <row r="39" spans="1:31" ht="12.75" customHeight="1">
      <c r="A39" s="5"/>
      <c r="B39" s="107" t="s">
        <v>312</v>
      </c>
      <c r="C39" s="250"/>
      <c r="D39" s="250"/>
      <c r="E39" s="250"/>
      <c r="F39" s="250"/>
      <c r="G39" s="250"/>
      <c r="H39" s="250"/>
      <c r="I39" s="250"/>
      <c r="J39" s="250"/>
      <c r="K39" s="250"/>
      <c r="L39" s="250"/>
      <c r="M39" s="250"/>
      <c r="N39" s="250"/>
      <c r="O39" s="250"/>
      <c r="P39" s="250"/>
      <c r="Q39" s="250"/>
      <c r="R39" s="250"/>
      <c r="S39" s="250"/>
      <c r="T39" s="250"/>
      <c r="U39" s="250"/>
      <c r="V39" s="250"/>
      <c r="W39" s="250"/>
      <c r="X39" s="250"/>
      <c r="Y39" s="250"/>
      <c r="Z39" s="250"/>
      <c r="AA39" s="114"/>
      <c r="AB39" s="114"/>
      <c r="AC39" s="116"/>
      <c r="AD39" s="553"/>
      <c r="AE39" s="107" t="s">
        <v>312</v>
      </c>
    </row>
    <row r="40" spans="1:31" ht="12.75" customHeight="1">
      <c r="A40" s="5"/>
      <c r="B40" s="7" t="s">
        <v>139</v>
      </c>
      <c r="C40" s="245"/>
      <c r="D40" s="244"/>
      <c r="E40" s="244"/>
      <c r="F40" s="244"/>
      <c r="G40" s="244"/>
      <c r="H40" s="244"/>
      <c r="I40" s="244"/>
      <c r="J40" s="244"/>
      <c r="K40" s="244"/>
      <c r="L40" s="244"/>
      <c r="M40" s="244"/>
      <c r="N40" s="244"/>
      <c r="O40" s="244"/>
      <c r="P40" s="244"/>
      <c r="Q40" s="244"/>
      <c r="R40" s="244"/>
      <c r="S40" s="244">
        <v>4.6609999999999996</v>
      </c>
      <c r="T40" s="244">
        <v>4.5759999999999996</v>
      </c>
      <c r="U40" s="244">
        <v>5.0460000000000003</v>
      </c>
      <c r="V40" s="244">
        <v>3.7029999999999998</v>
      </c>
      <c r="W40" s="244">
        <v>4.2009999999999996</v>
      </c>
      <c r="X40" s="244">
        <v>4.3630000000000004</v>
      </c>
      <c r="Y40" s="244">
        <v>4.7439999999999998</v>
      </c>
      <c r="Z40" s="244">
        <v>5.7</v>
      </c>
      <c r="AA40" s="93">
        <v>6.3</v>
      </c>
      <c r="AB40" s="93">
        <v>5.7649999999999997</v>
      </c>
      <c r="AC40" s="117">
        <v>6.2610000000000001</v>
      </c>
      <c r="AD40" s="477">
        <f t="shared" si="1"/>
        <v>8.603642671292306</v>
      </c>
      <c r="AE40" s="7" t="s">
        <v>139</v>
      </c>
    </row>
    <row r="41" spans="1:31" ht="12.75" customHeight="1">
      <c r="A41" s="5"/>
      <c r="B41" s="107" t="s">
        <v>314</v>
      </c>
      <c r="C41" s="249"/>
      <c r="D41" s="250"/>
      <c r="E41" s="250"/>
      <c r="F41" s="250"/>
      <c r="G41" s="250"/>
      <c r="H41" s="250"/>
      <c r="I41" s="250"/>
      <c r="J41" s="250"/>
      <c r="K41" s="250"/>
      <c r="L41" s="250"/>
      <c r="M41" s="250"/>
      <c r="N41" s="250"/>
      <c r="O41" s="250"/>
      <c r="P41" s="250"/>
      <c r="Q41" s="250"/>
      <c r="R41" s="250"/>
      <c r="S41" s="250"/>
      <c r="T41" s="250"/>
      <c r="U41" s="250"/>
      <c r="V41" s="250"/>
      <c r="W41" s="250"/>
      <c r="X41" s="250"/>
      <c r="Y41" s="250"/>
      <c r="Z41" s="250"/>
      <c r="AA41" s="114"/>
      <c r="AB41" s="114"/>
      <c r="AC41" s="116"/>
      <c r="AD41" s="553"/>
      <c r="AE41" s="107" t="s">
        <v>314</v>
      </c>
    </row>
    <row r="42" spans="1:31" ht="12.75" customHeight="1">
      <c r="A42" s="5"/>
      <c r="B42" s="7" t="s">
        <v>0</v>
      </c>
      <c r="C42" s="245"/>
      <c r="D42" s="244"/>
      <c r="E42" s="244"/>
      <c r="F42" s="244"/>
      <c r="G42" s="244"/>
      <c r="H42" s="244"/>
      <c r="I42" s="244"/>
      <c r="J42" s="244"/>
      <c r="K42" s="244">
        <v>2.1419999999999999</v>
      </c>
      <c r="L42" s="244">
        <v>1.3819999999999999</v>
      </c>
      <c r="M42" s="244">
        <v>1.724</v>
      </c>
      <c r="N42" s="244">
        <v>3.4420000000000002</v>
      </c>
      <c r="O42" s="244">
        <v>4.4370000000000003</v>
      </c>
      <c r="P42" s="246">
        <v>8.6259999999999994</v>
      </c>
      <c r="Q42" s="244">
        <v>9.0969999999999995</v>
      </c>
      <c r="R42" s="244">
        <v>7.7610000000000001</v>
      </c>
      <c r="S42" s="244">
        <v>8.3729999999999993</v>
      </c>
      <c r="T42" s="244">
        <v>8.4730000000000008</v>
      </c>
      <c r="U42" s="244">
        <v>8.093</v>
      </c>
      <c r="V42" s="244">
        <v>8.6340000000000003</v>
      </c>
      <c r="W42" s="244">
        <v>10.050000000000001</v>
      </c>
      <c r="X42" s="244">
        <v>11.696999999999999</v>
      </c>
      <c r="Y42" s="244">
        <v>14.13</v>
      </c>
      <c r="Z42" s="244">
        <v>13.34</v>
      </c>
      <c r="AA42" s="93">
        <v>11.987</v>
      </c>
      <c r="AB42" s="93">
        <v>12.794</v>
      </c>
      <c r="AC42" s="117">
        <v>15.786</v>
      </c>
      <c r="AD42" s="477">
        <f t="shared" si="1"/>
        <v>23.385962169767069</v>
      </c>
      <c r="AE42" s="7" t="s">
        <v>0</v>
      </c>
    </row>
    <row r="43" spans="1:31" ht="12.75" customHeight="1">
      <c r="A43" s="5"/>
      <c r="B43" s="107" t="s">
        <v>144</v>
      </c>
      <c r="C43" s="249">
        <v>6.9459999999999997</v>
      </c>
      <c r="D43" s="250">
        <v>5.5410000000000004</v>
      </c>
      <c r="E43" s="250">
        <v>3.645</v>
      </c>
      <c r="F43" s="250">
        <v>4.109</v>
      </c>
      <c r="G43" s="250">
        <v>3.214</v>
      </c>
      <c r="H43" s="252">
        <v>3.8079999999999998</v>
      </c>
      <c r="I43" s="252">
        <v>3.4470000000000001</v>
      </c>
      <c r="J43" s="250">
        <v>3.4</v>
      </c>
      <c r="K43" s="250">
        <v>3.8959999999999999</v>
      </c>
      <c r="L43" s="250">
        <v>4.8769999999999998</v>
      </c>
      <c r="M43" s="250">
        <v>7.17</v>
      </c>
      <c r="N43" s="250">
        <v>11.638999999999999</v>
      </c>
      <c r="O43" s="250">
        <v>13.859</v>
      </c>
      <c r="P43" s="250">
        <v>18.329000000000001</v>
      </c>
      <c r="Q43" s="250">
        <v>20.873999999999999</v>
      </c>
      <c r="R43" s="250">
        <v>24.021999999999998</v>
      </c>
      <c r="S43" s="250">
        <v>24.009</v>
      </c>
      <c r="T43" s="250">
        <v>25.492000000000001</v>
      </c>
      <c r="U43" s="250">
        <v>26.664000000000001</v>
      </c>
      <c r="V43" s="250">
        <v>30.975000000000001</v>
      </c>
      <c r="W43" s="250">
        <v>33.07</v>
      </c>
      <c r="X43" s="250">
        <v>36.095999999999997</v>
      </c>
      <c r="Y43" s="250">
        <v>31.399000000000001</v>
      </c>
      <c r="Z43" s="250">
        <v>33.662999999999997</v>
      </c>
      <c r="AA43" s="114">
        <v>37.090000000000003</v>
      </c>
      <c r="AB43" s="114">
        <v>40.923999999999999</v>
      </c>
      <c r="AC43" s="116">
        <v>45.164999999999999</v>
      </c>
      <c r="AD43" s="553">
        <f t="shared" si="1"/>
        <v>10.363112110253155</v>
      </c>
      <c r="AE43" s="107" t="s">
        <v>144</v>
      </c>
    </row>
    <row r="44" spans="1:31" ht="12.75" customHeight="1">
      <c r="A44" s="5"/>
      <c r="B44" s="7" t="s">
        <v>138</v>
      </c>
      <c r="C44" s="245"/>
      <c r="D44" s="244"/>
      <c r="E44" s="244"/>
      <c r="F44" s="244"/>
      <c r="G44" s="244"/>
      <c r="H44" s="244"/>
      <c r="I44" s="244">
        <v>13.097</v>
      </c>
      <c r="J44" s="244">
        <v>12.339</v>
      </c>
      <c r="K44" s="244">
        <v>13.287000000000001</v>
      </c>
      <c r="L44" s="244">
        <v>14.771000000000001</v>
      </c>
      <c r="M44" s="244">
        <v>16.042000000000002</v>
      </c>
      <c r="N44" s="244">
        <v>20.38</v>
      </c>
      <c r="O44" s="244">
        <v>24.896999999999998</v>
      </c>
      <c r="P44" s="246">
        <v>31.803000000000001</v>
      </c>
      <c r="Q44" s="244">
        <v>34.5</v>
      </c>
      <c r="R44" s="244">
        <v>37.945999999999998</v>
      </c>
      <c r="S44" s="244">
        <v>39.134999999999998</v>
      </c>
      <c r="T44" s="244">
        <v>47.237000000000002</v>
      </c>
      <c r="U44" s="244">
        <v>58.697000000000003</v>
      </c>
      <c r="V44" s="244">
        <v>63.167000000000002</v>
      </c>
      <c r="W44" s="244">
        <v>64.241</v>
      </c>
      <c r="X44" s="244">
        <v>64.390999999999991</v>
      </c>
      <c r="Y44" s="244">
        <v>66.433000000000007</v>
      </c>
      <c r="Z44" s="244">
        <v>62.39</v>
      </c>
      <c r="AA44" s="93">
        <v>72.019000000000005</v>
      </c>
      <c r="AB44" s="93">
        <v>77.022000000000006</v>
      </c>
      <c r="AC44" s="117">
        <v>80.072999999999993</v>
      </c>
      <c r="AD44" s="477">
        <f t="shared" si="1"/>
        <v>3.9612058892264344</v>
      </c>
      <c r="AE44" s="7" t="s">
        <v>138</v>
      </c>
    </row>
    <row r="45" spans="1:31" ht="12.75" customHeight="1">
      <c r="A45" s="5"/>
      <c r="B45" s="107" t="s">
        <v>40</v>
      </c>
      <c r="C45" s="249">
        <v>819.92200000000003</v>
      </c>
      <c r="D45" s="250">
        <v>854.15</v>
      </c>
      <c r="E45" s="250">
        <v>905.12099999999998</v>
      </c>
      <c r="F45" s="250">
        <v>940.93499999999995</v>
      </c>
      <c r="G45" s="250">
        <v>975.74599999999998</v>
      </c>
      <c r="H45" s="252">
        <v>1011.284</v>
      </c>
      <c r="I45" s="252">
        <v>1031.221</v>
      </c>
      <c r="J45" s="250">
        <v>1046.9069999999999</v>
      </c>
      <c r="K45" s="250">
        <v>1073.415</v>
      </c>
      <c r="L45" s="250">
        <v>1218.6769999999999</v>
      </c>
      <c r="M45" s="250">
        <v>1441.066</v>
      </c>
      <c r="N45" s="250">
        <v>1822.8309999999999</v>
      </c>
      <c r="O45" s="250">
        <v>2003.492</v>
      </c>
      <c r="P45" s="250">
        <v>2181.3829999999998</v>
      </c>
      <c r="Q45" s="250">
        <v>2303.261</v>
      </c>
      <c r="R45" s="250">
        <v>2389.4879999999998</v>
      </c>
      <c r="S45" s="250">
        <v>2527.19</v>
      </c>
      <c r="T45" s="250">
        <v>2657.7220000000002</v>
      </c>
      <c r="U45" s="250">
        <v>2722.826</v>
      </c>
      <c r="V45" s="250">
        <v>2828.4659999999999</v>
      </c>
      <c r="W45" s="250">
        <v>2938.364</v>
      </c>
      <c r="X45" s="250">
        <v>3003.7330000000002</v>
      </c>
      <c r="Y45" s="250">
        <v>3103</v>
      </c>
      <c r="Z45" s="250">
        <v>3211.328</v>
      </c>
      <c r="AA45" s="114">
        <v>3331.326</v>
      </c>
      <c r="AB45" s="114">
        <v>3512.576</v>
      </c>
      <c r="AC45" s="116">
        <v>3744.37</v>
      </c>
      <c r="AD45" s="553">
        <f t="shared" si="1"/>
        <v>6.598974655637349</v>
      </c>
      <c r="AE45" s="107" t="s">
        <v>40</v>
      </c>
    </row>
    <row r="46" spans="1:31" ht="12.75" customHeight="1">
      <c r="A46" s="5"/>
      <c r="B46" s="8" t="s">
        <v>313</v>
      </c>
      <c r="C46" s="257"/>
      <c r="D46" s="258"/>
      <c r="E46" s="258"/>
      <c r="F46" s="258"/>
      <c r="G46" s="258"/>
      <c r="H46" s="258"/>
      <c r="I46" s="258"/>
      <c r="J46" s="258"/>
      <c r="K46" s="258"/>
      <c r="L46" s="258"/>
      <c r="M46" s="258"/>
      <c r="N46" s="258"/>
      <c r="O46" s="258"/>
      <c r="P46" s="258"/>
      <c r="Q46" s="258"/>
      <c r="R46" s="258"/>
      <c r="S46" s="258"/>
      <c r="T46" s="258"/>
      <c r="U46" s="258"/>
      <c r="V46" s="258"/>
      <c r="W46" s="258"/>
      <c r="X46" s="258"/>
      <c r="Y46" s="258"/>
      <c r="Z46" s="258"/>
      <c r="AA46" s="94"/>
      <c r="AB46" s="94"/>
      <c r="AC46" s="125"/>
      <c r="AD46" s="174"/>
      <c r="AE46" s="8" t="s">
        <v>313</v>
      </c>
    </row>
    <row r="47" spans="1:31" ht="12.75" customHeight="1">
      <c r="A47" s="5"/>
      <c r="B47" s="107" t="s">
        <v>44</v>
      </c>
      <c r="C47" s="249">
        <v>714</v>
      </c>
      <c r="D47" s="250">
        <v>752</v>
      </c>
      <c r="E47" s="250">
        <v>766</v>
      </c>
      <c r="F47" s="252">
        <v>828</v>
      </c>
      <c r="G47" s="250">
        <v>905</v>
      </c>
      <c r="H47" s="250">
        <v>971</v>
      </c>
      <c r="I47" s="250">
        <v>1028</v>
      </c>
      <c r="J47" s="250">
        <v>1090</v>
      </c>
      <c r="K47" s="250">
        <v>1162</v>
      </c>
      <c r="L47" s="250">
        <v>1218</v>
      </c>
      <c r="M47" s="250">
        <v>1235</v>
      </c>
      <c r="N47" s="250">
        <v>1239.5999999999999</v>
      </c>
      <c r="O47" s="250">
        <v>1280.3</v>
      </c>
      <c r="P47" s="252">
        <v>1305.5999999999999</v>
      </c>
      <c r="Q47" s="250">
        <v>1306.7559999999999</v>
      </c>
      <c r="R47" s="250">
        <v>1264.4010000000001</v>
      </c>
      <c r="S47" s="250">
        <v>1266.836</v>
      </c>
      <c r="T47" s="250">
        <v>1251.798</v>
      </c>
      <c r="U47" s="250">
        <v>1243.7450000000001</v>
      </c>
      <c r="V47" s="250">
        <v>1240.2</v>
      </c>
      <c r="W47" s="250">
        <v>1253.0999999999999</v>
      </c>
      <c r="X47" s="250">
        <v>1270.2</v>
      </c>
      <c r="Y47" s="250">
        <v>1255.8599999999999</v>
      </c>
      <c r="Z47" s="250">
        <v>1265.0999999999999</v>
      </c>
      <c r="AA47" s="114">
        <v>1273.4000000000001</v>
      </c>
      <c r="AB47" s="175">
        <v>1297.8019999999999</v>
      </c>
      <c r="AC47" s="116">
        <v>1341.566</v>
      </c>
      <c r="AD47" s="192">
        <f t="shared" si="1"/>
        <v>3.3721630880519768</v>
      </c>
      <c r="AE47" s="194" t="s">
        <v>44</v>
      </c>
    </row>
    <row r="48" spans="1:31" ht="12.75" customHeight="1">
      <c r="A48" s="5"/>
      <c r="B48" s="1084" t="s">
        <v>308</v>
      </c>
      <c r="C48" s="1085"/>
      <c r="D48" s="1085"/>
      <c r="E48" s="1085"/>
      <c r="F48" s="1085"/>
      <c r="G48" s="1085"/>
      <c r="H48" s="1085"/>
      <c r="I48" s="1085"/>
      <c r="J48" s="1085"/>
      <c r="K48" s="1085"/>
      <c r="L48" s="1085"/>
      <c r="M48" s="1085"/>
      <c r="N48" s="1085"/>
      <c r="O48" s="1085"/>
      <c r="P48" s="1085"/>
      <c r="Q48" s="1085"/>
      <c r="R48" s="1085"/>
      <c r="S48" s="1085"/>
      <c r="T48" s="1085"/>
      <c r="U48" s="1085"/>
      <c r="V48" s="1085"/>
      <c r="W48" s="1085"/>
      <c r="X48" s="1085"/>
      <c r="Y48" s="1085"/>
      <c r="Z48" s="1085"/>
      <c r="AA48" s="1085"/>
      <c r="AB48" s="1085"/>
      <c r="AC48" s="1085"/>
      <c r="AD48" s="1085"/>
      <c r="AE48" s="1085"/>
    </row>
    <row r="49" spans="1:31" ht="12.75" customHeight="1">
      <c r="A49" s="5"/>
      <c r="B49" s="1069" t="s">
        <v>289</v>
      </c>
      <c r="C49" s="1065"/>
      <c r="D49" s="1065"/>
      <c r="E49" s="1065"/>
      <c r="F49" s="1065"/>
      <c r="G49" s="1065"/>
      <c r="H49" s="1065"/>
      <c r="I49" s="1065"/>
      <c r="J49" s="1065"/>
      <c r="K49" s="1065"/>
      <c r="L49" s="1065"/>
      <c r="M49" s="1065"/>
      <c r="N49" s="1065"/>
      <c r="O49" s="1065"/>
      <c r="P49" s="1065"/>
      <c r="Q49" s="1065"/>
      <c r="R49" s="1065"/>
      <c r="S49" s="1065"/>
      <c r="T49" s="1065"/>
      <c r="U49" s="1065"/>
      <c r="V49" s="1065"/>
      <c r="W49" s="1065"/>
      <c r="X49" s="1065"/>
      <c r="Y49" s="1065"/>
      <c r="Z49" s="1065"/>
      <c r="AA49" s="1065"/>
      <c r="AB49" s="1065"/>
      <c r="AC49" s="1065"/>
      <c r="AD49" s="1065"/>
      <c r="AE49" s="1065"/>
    </row>
    <row r="50" spans="1:31" ht="11.25" customHeight="1">
      <c r="A50" s="5"/>
      <c r="B50" s="1081" t="s">
        <v>126</v>
      </c>
      <c r="C50" s="1081"/>
      <c r="D50" s="1081"/>
      <c r="E50" s="1081"/>
      <c r="F50" s="1081"/>
      <c r="G50" s="1081"/>
      <c r="H50" s="1081"/>
      <c r="I50" s="1081"/>
      <c r="J50" s="1081"/>
      <c r="K50" s="1081"/>
      <c r="L50" s="1081"/>
      <c r="M50" s="1081"/>
      <c r="N50" s="1081"/>
      <c r="O50" s="1081"/>
      <c r="P50" s="1081"/>
      <c r="Q50" s="1081"/>
      <c r="R50" s="1081"/>
      <c r="S50" s="1081"/>
      <c r="T50" s="1081"/>
      <c r="U50" s="1081"/>
      <c r="V50" s="1081"/>
      <c r="W50" s="1081"/>
      <c r="X50" s="1081"/>
      <c r="Y50" s="1081"/>
      <c r="Z50" s="1081"/>
      <c r="AA50" s="1081"/>
      <c r="AB50" s="1081"/>
      <c r="AC50" s="1081"/>
      <c r="AD50" s="1081"/>
      <c r="AE50" s="1081"/>
    </row>
    <row r="51" spans="1:31" ht="12.75" customHeight="1">
      <c r="B51" s="1081" t="s">
        <v>128</v>
      </c>
      <c r="C51" s="1081"/>
      <c r="D51" s="1081"/>
      <c r="E51" s="1081"/>
      <c r="F51" s="1081"/>
      <c r="G51" s="1081"/>
      <c r="H51" s="1081"/>
      <c r="I51" s="1081"/>
      <c r="J51" s="1081"/>
      <c r="K51" s="1081"/>
      <c r="L51" s="1081"/>
      <c r="M51" s="1081"/>
      <c r="N51" s="1081"/>
      <c r="O51" s="1081"/>
      <c r="P51" s="1081"/>
      <c r="Q51" s="1081"/>
      <c r="R51" s="1081"/>
      <c r="S51" s="1081"/>
      <c r="T51" s="1081"/>
      <c r="U51" s="1081"/>
      <c r="V51" s="1081"/>
      <c r="W51" s="1081"/>
      <c r="X51" s="1081"/>
      <c r="Y51" s="1081"/>
      <c r="Z51" s="1081"/>
      <c r="AA51" s="1081"/>
      <c r="AB51" s="1081"/>
      <c r="AC51" s="1081"/>
      <c r="AD51" s="1081"/>
      <c r="AE51" s="1081"/>
    </row>
    <row r="52" spans="1:31" ht="12.75" customHeight="1">
      <c r="B52" s="1081" t="s">
        <v>307</v>
      </c>
      <c r="C52" s="1081"/>
      <c r="D52" s="1081"/>
      <c r="E52" s="1081"/>
      <c r="F52" s="1081"/>
      <c r="G52" s="1081"/>
      <c r="H52" s="1081"/>
      <c r="I52" s="1081"/>
      <c r="J52" s="1081"/>
      <c r="K52" s="1081"/>
      <c r="L52" s="1081"/>
      <c r="M52" s="1081"/>
      <c r="N52" s="1081"/>
      <c r="O52" s="1081"/>
      <c r="P52" s="1081"/>
      <c r="Q52" s="1081"/>
      <c r="R52" s="1081"/>
      <c r="S52" s="1081"/>
      <c r="T52" s="1081"/>
      <c r="U52" s="1081"/>
      <c r="V52" s="1081"/>
      <c r="W52" s="1081"/>
      <c r="X52" s="1081"/>
      <c r="Y52" s="1081"/>
      <c r="Z52" s="1081"/>
      <c r="AA52" s="1081"/>
      <c r="AB52" s="1081"/>
      <c r="AC52" s="1081"/>
      <c r="AD52" s="1081"/>
      <c r="AE52" s="1081"/>
    </row>
    <row r="53" spans="1:31" ht="12.75" customHeight="1">
      <c r="B53" s="1081" t="s">
        <v>305</v>
      </c>
      <c r="C53" s="1081"/>
      <c r="D53" s="1081"/>
      <c r="E53" s="1081"/>
      <c r="F53" s="1081"/>
      <c r="G53" s="1081"/>
      <c r="H53" s="1081"/>
      <c r="I53" s="1081"/>
      <c r="J53" s="1081"/>
      <c r="K53" s="1081"/>
      <c r="L53" s="1081"/>
      <c r="M53" s="1081"/>
      <c r="N53" s="1081"/>
      <c r="O53" s="1081"/>
      <c r="P53" s="1081"/>
      <c r="Q53" s="1081"/>
      <c r="R53" s="1081"/>
      <c r="S53" s="1081"/>
      <c r="T53" s="1081"/>
      <c r="U53" s="1081"/>
      <c r="V53" s="1081"/>
      <c r="W53" s="1081"/>
      <c r="X53" s="1081"/>
      <c r="Y53" s="1081"/>
      <c r="Z53" s="1081"/>
      <c r="AA53" s="1081"/>
      <c r="AB53" s="1081"/>
      <c r="AC53" s="1081"/>
      <c r="AD53" s="1081"/>
      <c r="AE53" s="1081"/>
    </row>
    <row r="54" spans="1:31" ht="12.75" customHeight="1">
      <c r="B54" s="1081" t="s">
        <v>306</v>
      </c>
      <c r="C54" s="1081"/>
      <c r="D54" s="1081"/>
      <c r="E54" s="1081"/>
      <c r="F54" s="1081"/>
      <c r="G54" s="1081"/>
      <c r="H54" s="1081"/>
      <c r="I54" s="1081"/>
      <c r="J54" s="1081"/>
      <c r="K54" s="1081"/>
      <c r="L54" s="1081"/>
      <c r="M54" s="1081"/>
      <c r="N54" s="1081"/>
      <c r="O54" s="1081"/>
      <c r="P54" s="1081"/>
      <c r="Q54" s="1081"/>
      <c r="R54" s="1081"/>
      <c r="S54" s="1081"/>
      <c r="T54" s="1081"/>
      <c r="U54" s="1081"/>
      <c r="V54" s="1081"/>
      <c r="W54" s="1081"/>
      <c r="X54" s="1081"/>
      <c r="Y54" s="1081"/>
      <c r="Z54" s="1081"/>
      <c r="AA54" s="1081"/>
      <c r="AB54" s="1081"/>
      <c r="AC54" s="1081"/>
      <c r="AD54" s="1081"/>
      <c r="AE54" s="1081"/>
    </row>
    <row r="55" spans="1:31" ht="12.75">
      <c r="B55" s="1081"/>
      <c r="C55" s="1081"/>
      <c r="D55" s="1081"/>
      <c r="E55" s="1081"/>
      <c r="F55" s="1081"/>
      <c r="G55" s="1081"/>
      <c r="H55" s="1081"/>
      <c r="I55" s="1081"/>
      <c r="J55" s="1081"/>
      <c r="K55" s="1081"/>
      <c r="L55" s="1081"/>
      <c r="M55" s="1081"/>
      <c r="N55" s="1081"/>
      <c r="O55" s="1081"/>
      <c r="P55" s="1081"/>
      <c r="Q55" s="1081"/>
      <c r="R55" s="1081"/>
      <c r="S55" s="1081"/>
      <c r="T55" s="1081"/>
      <c r="U55" s="1081"/>
      <c r="V55" s="1081"/>
      <c r="W55" s="1081"/>
      <c r="X55" s="1081"/>
      <c r="Y55" s="1081"/>
      <c r="Z55" s="1081"/>
      <c r="AA55" s="1081"/>
      <c r="AB55" s="1081"/>
      <c r="AC55" s="1081"/>
      <c r="AD55" s="1081"/>
      <c r="AE55" s="1081"/>
    </row>
  </sheetData>
  <mergeCells count="11">
    <mergeCell ref="B2:AE2"/>
    <mergeCell ref="B3:AE3"/>
    <mergeCell ref="B48:AE48"/>
    <mergeCell ref="B49:AE49"/>
    <mergeCell ref="B50:AE50"/>
    <mergeCell ref="AA4:AD4"/>
    <mergeCell ref="B55:AE55"/>
    <mergeCell ref="B54:AE54"/>
    <mergeCell ref="B52:AE52"/>
    <mergeCell ref="B53:AE53"/>
    <mergeCell ref="B51:AE51"/>
  </mergeCells>
  <phoneticPr fontId="7" type="noConversion"/>
  <printOptions horizontalCentered="1"/>
  <pageMargins left="0.6692913385826772" right="0.6692913385826772" top="0.51181102362204722" bottom="0.27559055118110237" header="0" footer="0"/>
  <pageSetup paperSize="9" scale="90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Y52"/>
  <sheetViews>
    <sheetView workbookViewId="0">
      <selection activeCell="BA16" sqref="BA16"/>
    </sheetView>
  </sheetViews>
  <sheetFormatPr defaultRowHeight="12.75"/>
  <cols>
    <col min="1" max="2" width="4" customWidth="1"/>
    <col min="3" max="4" width="8.73046875" style="99" hidden="1" customWidth="1"/>
    <col min="5" max="5" width="9.73046875" style="99" hidden="1" customWidth="1"/>
    <col min="6" max="9" width="8.73046875" style="99" hidden="1" customWidth="1"/>
    <col min="10" max="16" width="9.73046875" style="99" hidden="1" customWidth="1"/>
    <col min="17" max="17" width="8" style="99" hidden="1" customWidth="1"/>
    <col min="18" max="22" width="8.1328125" customWidth="1"/>
    <col min="23" max="23" width="7.1328125" customWidth="1"/>
    <col min="24" max="24" width="6.86328125" customWidth="1"/>
    <col min="25" max="25" width="8.1328125" customWidth="1"/>
    <col min="26" max="27" width="6.86328125" customWidth="1"/>
    <col min="28" max="30" width="6.86328125" hidden="1" customWidth="1"/>
    <col min="31" max="37" width="7.1328125" hidden="1" customWidth="1"/>
    <col min="38" max="43" width="7.1328125" customWidth="1"/>
    <col min="44" max="44" width="7.3984375" customWidth="1"/>
    <col min="45" max="46" width="5.73046875" customWidth="1"/>
    <col min="47" max="47" width="5.3984375" customWidth="1"/>
    <col min="48" max="48" width="5.86328125" customWidth="1"/>
    <col min="49" max="49" width="0.73046875" customWidth="1"/>
    <col min="50" max="50" width="6.59765625" style="449" customWidth="1"/>
    <col min="51" max="51" width="9.1328125" customWidth="1"/>
  </cols>
  <sheetData>
    <row r="1" spans="1:51" ht="14.25" customHeight="1">
      <c r="B1" s="1086" t="s">
        <v>108</v>
      </c>
      <c r="C1" s="1086"/>
      <c r="D1" s="1086"/>
      <c r="E1" s="1086"/>
      <c r="F1" s="1086"/>
      <c r="G1" s="1086"/>
      <c r="H1" s="1086"/>
      <c r="I1" s="1086"/>
      <c r="J1" s="1086"/>
      <c r="K1" s="1086"/>
      <c r="L1" s="1086"/>
      <c r="M1" s="1086"/>
      <c r="N1" s="1086"/>
      <c r="O1" s="1086"/>
      <c r="P1" s="1086"/>
      <c r="Q1" s="1086"/>
      <c r="R1" s="1086"/>
      <c r="S1" s="1086"/>
      <c r="T1" s="1086"/>
      <c r="U1" s="1086"/>
      <c r="V1" s="1086"/>
      <c r="W1" s="1086"/>
      <c r="X1" s="1086"/>
      <c r="Y1" s="1086"/>
      <c r="Z1" s="1086"/>
      <c r="AA1" s="1086"/>
      <c r="AB1" s="1086"/>
      <c r="AC1" s="1086"/>
      <c r="AD1" s="1086"/>
      <c r="AE1" s="1086"/>
      <c r="AF1" s="1086"/>
      <c r="AG1" s="1086"/>
      <c r="AH1" s="1086"/>
      <c r="AI1" s="1086"/>
      <c r="AJ1" s="1086"/>
      <c r="AK1" s="1086"/>
      <c r="AL1" s="1086"/>
      <c r="AM1" s="1086"/>
      <c r="AN1" s="1086"/>
      <c r="AO1" s="1086"/>
      <c r="AP1" s="1086"/>
      <c r="AQ1" s="1086"/>
      <c r="AR1" s="1086"/>
      <c r="AS1" s="1086"/>
      <c r="AT1" s="1086"/>
      <c r="AU1" s="1086"/>
      <c r="AV1" s="1086"/>
      <c r="AW1" s="1086"/>
      <c r="AX1" s="1086"/>
    </row>
    <row r="2" spans="1:51" s="28" customFormat="1" ht="30" customHeight="1">
      <c r="B2" s="1087" t="s">
        <v>260</v>
      </c>
      <c r="C2" s="1087"/>
      <c r="D2" s="1087"/>
      <c r="E2" s="1087"/>
      <c r="F2" s="1087"/>
      <c r="G2" s="1087"/>
      <c r="H2" s="1087"/>
      <c r="I2" s="1087"/>
      <c r="J2" s="1087"/>
      <c r="K2" s="1087"/>
      <c r="L2" s="1087"/>
      <c r="M2" s="1087"/>
      <c r="N2" s="1087"/>
      <c r="O2" s="1087"/>
      <c r="P2" s="1087"/>
      <c r="Q2" s="1087"/>
      <c r="R2" s="1087"/>
      <c r="S2" s="1087"/>
      <c r="T2" s="1087"/>
      <c r="U2" s="1087"/>
      <c r="V2" s="1087"/>
      <c r="W2" s="1087"/>
      <c r="X2" s="1087"/>
      <c r="Y2" s="1087"/>
      <c r="Z2" s="1087"/>
      <c r="AA2" s="1087"/>
      <c r="AB2" s="1087"/>
      <c r="AC2" s="1087"/>
      <c r="AD2" s="1087"/>
      <c r="AE2" s="1087"/>
      <c r="AF2" s="1087"/>
      <c r="AG2" s="1087"/>
      <c r="AH2" s="1087"/>
      <c r="AI2" s="1087"/>
      <c r="AJ2" s="1087"/>
      <c r="AK2" s="1087"/>
      <c r="AL2" s="1087"/>
      <c r="AM2" s="1087"/>
      <c r="AN2" s="1087"/>
      <c r="AO2" s="1087"/>
      <c r="AP2" s="1087"/>
      <c r="AQ2" s="1087"/>
      <c r="AR2" s="1087"/>
      <c r="AS2" s="1087"/>
      <c r="AT2" s="1087"/>
      <c r="AU2" s="1087"/>
      <c r="AV2" s="1087"/>
      <c r="AW2" s="1087"/>
      <c r="AX2" s="1087"/>
      <c r="AY2"/>
    </row>
    <row r="3" spans="1:51" ht="15" customHeight="1">
      <c r="B3" s="1071" t="s">
        <v>73</v>
      </c>
      <c r="C3" s="1071"/>
      <c r="D3" s="1071"/>
      <c r="E3" s="1071"/>
      <c r="F3" s="1071"/>
      <c r="G3" s="1071"/>
      <c r="H3" s="1071"/>
      <c r="I3" s="1071"/>
      <c r="J3" s="1071"/>
      <c r="K3" s="1071"/>
      <c r="L3" s="1071"/>
      <c r="M3" s="1071"/>
      <c r="N3" s="1071"/>
      <c r="O3" s="1071"/>
      <c r="P3" s="1071"/>
      <c r="Q3" s="1071"/>
      <c r="R3" s="1071"/>
      <c r="S3" s="1071"/>
      <c r="T3" s="1071"/>
      <c r="U3" s="1071"/>
      <c r="V3" s="1071"/>
      <c r="W3" s="1071"/>
      <c r="X3" s="1071"/>
      <c r="Y3" s="1071"/>
      <c r="Z3" s="1071"/>
      <c r="AA3" s="1071"/>
      <c r="AB3" s="1071"/>
      <c r="AC3" s="1071"/>
      <c r="AD3" s="1071"/>
      <c r="AE3" s="1071"/>
      <c r="AF3" s="1071"/>
      <c r="AG3" s="1071"/>
      <c r="AH3" s="1071"/>
      <c r="AI3" s="1071"/>
      <c r="AJ3" s="1071"/>
      <c r="AK3" s="1071"/>
      <c r="AL3" s="1071"/>
      <c r="AM3" s="1071"/>
      <c r="AN3" s="1071"/>
      <c r="AO3" s="1071"/>
      <c r="AP3" s="1071"/>
      <c r="AQ3" s="1071"/>
      <c r="AR3" s="1071"/>
      <c r="AS3" s="1071"/>
      <c r="AT3" s="1071"/>
      <c r="AU3" s="1071"/>
      <c r="AV3" s="1071"/>
      <c r="AW3" s="1071"/>
      <c r="AX3" s="1071"/>
    </row>
    <row r="4" spans="1:51" ht="11.25" customHeight="1">
      <c r="C4" s="1088" t="s">
        <v>1</v>
      </c>
      <c r="D4" s="1088"/>
      <c r="E4" s="1088"/>
      <c r="F4" s="1088"/>
      <c r="G4" s="1088"/>
      <c r="H4" s="1088"/>
      <c r="I4" s="1088"/>
      <c r="J4" s="1088"/>
      <c r="K4" s="1088"/>
      <c r="L4" s="1088"/>
      <c r="M4" s="1088"/>
      <c r="N4" s="1088"/>
      <c r="O4" s="1088"/>
      <c r="P4" s="1088"/>
      <c r="Q4" s="1088"/>
      <c r="R4" s="1088"/>
      <c r="S4" s="1088"/>
      <c r="T4" s="1088"/>
      <c r="U4" s="1088"/>
      <c r="V4" s="1088"/>
      <c r="W4" s="1088"/>
      <c r="X4" s="1088"/>
      <c r="Y4" s="1088"/>
      <c r="Z4" s="1088"/>
      <c r="AA4" s="1088"/>
      <c r="AB4" s="1090" t="s">
        <v>334</v>
      </c>
      <c r="AC4" s="1090"/>
      <c r="AD4" s="1090"/>
      <c r="AE4" s="1090"/>
      <c r="AF4" s="1090"/>
      <c r="AG4" s="1090"/>
      <c r="AH4" s="1090"/>
      <c r="AI4" s="1090"/>
      <c r="AJ4" s="1090"/>
      <c r="AK4" s="1090"/>
      <c r="AL4" s="1091" t="s">
        <v>364</v>
      </c>
      <c r="AM4" s="1091"/>
      <c r="AN4" s="1091"/>
      <c r="AO4" s="1091"/>
      <c r="AP4" s="1091"/>
      <c r="AQ4" s="1091"/>
      <c r="AR4" s="1091"/>
      <c r="AS4" s="1091"/>
      <c r="AT4" s="1091"/>
      <c r="AU4" s="1091"/>
      <c r="AV4" s="4"/>
    </row>
    <row r="5" spans="1:51" ht="31.5" customHeight="1">
      <c r="C5" s="118">
        <v>1998</v>
      </c>
      <c r="D5" s="119">
        <v>1999</v>
      </c>
      <c r="E5" s="119">
        <v>2000</v>
      </c>
      <c r="F5" s="119">
        <v>2001</v>
      </c>
      <c r="G5" s="119">
        <v>2002</v>
      </c>
      <c r="H5" s="119">
        <v>2003</v>
      </c>
      <c r="I5" s="119">
        <v>2004</v>
      </c>
      <c r="J5" s="119">
        <v>2005</v>
      </c>
      <c r="K5" s="119">
        <v>2006</v>
      </c>
      <c r="L5" s="119">
        <v>2007</v>
      </c>
      <c r="M5" s="119">
        <v>2008</v>
      </c>
      <c r="N5" s="119">
        <v>2009</v>
      </c>
      <c r="O5" s="119">
        <v>2010</v>
      </c>
      <c r="P5" s="119">
        <v>2011</v>
      </c>
      <c r="Q5" s="119">
        <v>2012</v>
      </c>
      <c r="R5" s="119">
        <v>2013</v>
      </c>
      <c r="S5" s="119">
        <v>2014</v>
      </c>
      <c r="T5" s="119">
        <v>2015</v>
      </c>
      <c r="U5" s="119">
        <v>2016</v>
      </c>
      <c r="V5" s="368">
        <v>2017</v>
      </c>
      <c r="W5" s="119">
        <v>2018</v>
      </c>
      <c r="X5" s="365">
        <v>2019</v>
      </c>
      <c r="Y5" s="368">
        <v>2020</v>
      </c>
      <c r="Z5" s="368">
        <v>2021</v>
      </c>
      <c r="AA5" s="479">
        <v>2022</v>
      </c>
      <c r="AB5" s="365">
        <v>2013</v>
      </c>
      <c r="AC5" s="365">
        <v>2014</v>
      </c>
      <c r="AD5" s="365">
        <v>2015</v>
      </c>
      <c r="AE5" s="365">
        <v>2016</v>
      </c>
      <c r="AF5" s="368">
        <v>2017</v>
      </c>
      <c r="AG5" s="119">
        <v>2018</v>
      </c>
      <c r="AH5" s="365">
        <v>2019</v>
      </c>
      <c r="AI5" s="368">
        <v>2020</v>
      </c>
      <c r="AJ5" s="368">
        <v>2021</v>
      </c>
      <c r="AK5" s="479">
        <v>2022</v>
      </c>
      <c r="AL5" s="365">
        <v>2013</v>
      </c>
      <c r="AM5" s="365">
        <v>2014</v>
      </c>
      <c r="AN5" s="365">
        <v>2015</v>
      </c>
      <c r="AO5" s="365">
        <v>2016</v>
      </c>
      <c r="AP5" s="368">
        <v>2017</v>
      </c>
      <c r="AQ5" s="119">
        <v>2018</v>
      </c>
      <c r="AR5" s="365">
        <v>2019</v>
      </c>
      <c r="AS5" s="365">
        <v>2020</v>
      </c>
      <c r="AT5" s="119">
        <v>2021</v>
      </c>
      <c r="AU5" s="479">
        <v>2022</v>
      </c>
      <c r="AV5" s="1030"/>
      <c r="AW5" s="71"/>
      <c r="AX5" s="331" t="s">
        <v>333</v>
      </c>
    </row>
    <row r="6" spans="1:51" ht="12.75" customHeight="1">
      <c r="A6" s="71"/>
      <c r="B6" s="35" t="s">
        <v>237</v>
      </c>
      <c r="C6" s="120"/>
      <c r="D6" s="392"/>
      <c r="E6" s="237"/>
      <c r="F6" s="237"/>
      <c r="G6" s="237"/>
      <c r="H6" s="237">
        <f>SUM(H7:H33)</f>
        <v>12378.786</v>
      </c>
      <c r="I6" s="237">
        <f>SUM(I7:I33)</f>
        <v>12681.287000000004</v>
      </c>
      <c r="J6" s="237">
        <f t="shared" ref="J6:AA6" si="0">SUM(J7:J33)</f>
        <v>12754.580000000002</v>
      </c>
      <c r="K6" s="237">
        <f t="shared" si="0"/>
        <v>13219.980999999998</v>
      </c>
      <c r="L6" s="237">
        <f t="shared" si="0"/>
        <v>13307.153000000002</v>
      </c>
      <c r="M6" s="237">
        <f t="shared" si="0"/>
        <v>12325.330000000005</v>
      </c>
      <c r="N6" s="237">
        <f t="shared" si="0"/>
        <v>12237.844000000001</v>
      </c>
      <c r="O6" s="237">
        <f t="shared" si="0"/>
        <v>11407.397999999999</v>
      </c>
      <c r="P6" s="237">
        <f t="shared" si="0"/>
        <v>11274.723000000004</v>
      </c>
      <c r="Q6" s="391">
        <f t="shared" si="0"/>
        <v>10059.255999999998</v>
      </c>
      <c r="R6" s="1029">
        <f t="shared" si="0"/>
        <v>9628.7609999999986</v>
      </c>
      <c r="S6" s="237">
        <f t="shared" si="0"/>
        <v>10088.830000000002</v>
      </c>
      <c r="T6" s="237">
        <f t="shared" si="0"/>
        <v>11100.924000000001</v>
      </c>
      <c r="U6" s="237">
        <f t="shared" si="0"/>
        <v>11961.570000000002</v>
      </c>
      <c r="V6" s="237">
        <f t="shared" si="0"/>
        <v>12609.705999999998</v>
      </c>
      <c r="W6" s="391">
        <f t="shared" si="0"/>
        <v>12797.838000000002</v>
      </c>
      <c r="X6" s="391">
        <f t="shared" si="0"/>
        <v>13041.447999999999</v>
      </c>
      <c r="Y6" s="391">
        <f t="shared" si="0"/>
        <v>9952.6529999999984</v>
      </c>
      <c r="Z6" s="391">
        <f t="shared" si="0"/>
        <v>9711.3510000000006</v>
      </c>
      <c r="AA6" s="485">
        <f t="shared" si="0"/>
        <v>9267.1720000000005</v>
      </c>
      <c r="AB6" s="391">
        <v>21.029</v>
      </c>
      <c r="AC6" s="391">
        <v>30.853000000000002</v>
      </c>
      <c r="AD6" s="391">
        <v>46.750999999999998</v>
      </c>
      <c r="AE6" s="391">
        <v>54.905000000000001</v>
      </c>
      <c r="AF6" s="391">
        <v>86.344999999999999</v>
      </c>
      <c r="AG6" s="391">
        <v>138.09700000000001</v>
      </c>
      <c r="AH6" s="391">
        <v>251.86099999999999</v>
      </c>
      <c r="AI6" s="391">
        <v>536.995</v>
      </c>
      <c r="AJ6" s="391">
        <v>880.58299999999997</v>
      </c>
      <c r="AK6" s="485">
        <v>1116.2380000000001</v>
      </c>
      <c r="AL6" s="391">
        <v>0.218</v>
      </c>
      <c r="AM6" s="391">
        <v>0.30499999999999999</v>
      </c>
      <c r="AN6" s="391">
        <f t="shared" ref="AN6:AN37" si="1">AD6/T6*100</f>
        <v>0.42114512269429094</v>
      </c>
      <c r="AO6" s="391">
        <f t="shared" ref="AO6:AO37" si="2">AE6/U6*100</f>
        <v>0.45901165148053302</v>
      </c>
      <c r="AP6" s="391">
        <f t="shared" ref="AP6:AP37" si="3">AF6/V6*100</f>
        <v>0.68475030266367831</v>
      </c>
      <c r="AQ6" s="391">
        <f t="shared" ref="AQ6:AQ37" si="4">AG6/W6*100</f>
        <v>1.0790650733350429</v>
      </c>
      <c r="AR6" s="391">
        <f t="shared" ref="AR6:AR37" si="5">AH6/X6*100</f>
        <v>1.9312349364886479</v>
      </c>
      <c r="AS6" s="391">
        <f t="shared" ref="AS6:AS37" si="6">AI6/Y6*100</f>
        <v>5.3954960551724263</v>
      </c>
      <c r="AT6" s="391">
        <f t="shared" ref="AT6:AT37" si="7">AJ6/Z6*100</f>
        <v>9.0675643378557726</v>
      </c>
      <c r="AU6" s="485">
        <f t="shared" ref="AU6:AU37" si="8">AK6/AA6*100</f>
        <v>12.045076966306443</v>
      </c>
      <c r="AV6" s="35" t="s">
        <v>237</v>
      </c>
      <c r="AW6" s="71"/>
      <c r="AX6" s="398">
        <f t="shared" ref="AX6:AX37" si="9">AA6/Z6*100-100</f>
        <v>-4.5738126446052689</v>
      </c>
    </row>
    <row r="7" spans="1:51" ht="12.75" customHeight="1">
      <c r="B7" s="122" t="s">
        <v>45</v>
      </c>
      <c r="C7" s="96">
        <v>452.12900000000002</v>
      </c>
      <c r="D7" s="91">
        <v>489.62099999999998</v>
      </c>
      <c r="E7" s="239">
        <v>515.20399999999995</v>
      </c>
      <c r="F7" s="239">
        <v>488.68299999999999</v>
      </c>
      <c r="G7" s="239">
        <v>467.56900000000002</v>
      </c>
      <c r="H7" s="239">
        <v>458.79599999999999</v>
      </c>
      <c r="I7" s="239">
        <v>484.75700000000001</v>
      </c>
      <c r="J7" s="239">
        <v>480.08800000000002</v>
      </c>
      <c r="K7" s="239">
        <v>526.14099999999996</v>
      </c>
      <c r="L7" s="239">
        <v>524.79499999999996</v>
      </c>
      <c r="M7" s="239">
        <v>535.947</v>
      </c>
      <c r="N7" s="239">
        <v>476.19400000000002</v>
      </c>
      <c r="O7" s="239">
        <v>547.34</v>
      </c>
      <c r="P7" s="239">
        <v>572.21100000000001</v>
      </c>
      <c r="Q7" s="1046">
        <v>487.37700000000001</v>
      </c>
      <c r="R7" s="852">
        <v>486.065</v>
      </c>
      <c r="S7" s="852">
        <v>482.93900000000002</v>
      </c>
      <c r="T7" s="852">
        <v>501.06599999999997</v>
      </c>
      <c r="U7" s="853">
        <v>539.51900000000001</v>
      </c>
      <c r="V7" s="853">
        <v>546.55799999999999</v>
      </c>
      <c r="W7" s="854">
        <v>549.63199999999995</v>
      </c>
      <c r="X7" s="854">
        <v>550.00300000000004</v>
      </c>
      <c r="Y7" s="854">
        <v>431.49099999999999</v>
      </c>
      <c r="Z7" s="854">
        <v>383.12299999999999</v>
      </c>
      <c r="AA7" s="855">
        <v>366.33300000000003</v>
      </c>
      <c r="AB7" s="854">
        <v>0.501</v>
      </c>
      <c r="AC7" s="854">
        <v>1.1679999999999999</v>
      </c>
      <c r="AD7" s="93">
        <v>1.365</v>
      </c>
      <c r="AE7" s="93">
        <v>2.0699999999999998</v>
      </c>
      <c r="AF7" s="93">
        <v>2.7280000000000002</v>
      </c>
      <c r="AG7" s="93">
        <v>3.7759999999999998</v>
      </c>
      <c r="AH7" s="93">
        <v>8.9039999999999999</v>
      </c>
      <c r="AI7" s="93">
        <v>15.067</v>
      </c>
      <c r="AJ7" s="93">
        <v>22.795000000000002</v>
      </c>
      <c r="AK7" s="117">
        <v>37.835000000000001</v>
      </c>
      <c r="AL7" s="854">
        <v>0.10199999999999999</v>
      </c>
      <c r="AM7" s="854">
        <v>0.23899999999999999</v>
      </c>
      <c r="AN7" s="93">
        <f t="shared" si="1"/>
        <v>0.27241920226078004</v>
      </c>
      <c r="AO7" s="93">
        <f t="shared" si="2"/>
        <v>0.38367508836574793</v>
      </c>
      <c r="AP7" s="93">
        <f t="shared" si="3"/>
        <v>0.49912360627783331</v>
      </c>
      <c r="AQ7" s="93">
        <f t="shared" si="4"/>
        <v>0.6870051234280391</v>
      </c>
      <c r="AR7" s="93">
        <f t="shared" si="5"/>
        <v>1.6189002605440335</v>
      </c>
      <c r="AS7" s="93">
        <f t="shared" si="6"/>
        <v>3.4918457163648839</v>
      </c>
      <c r="AT7" s="93">
        <f t="shared" si="7"/>
        <v>5.9497863610381003</v>
      </c>
      <c r="AU7" s="117">
        <f t="shared" si="8"/>
        <v>10.328034875372953</v>
      </c>
      <c r="AV7" s="122" t="s">
        <v>45</v>
      </c>
      <c r="AW7" s="71"/>
      <c r="AX7" s="509">
        <f t="shared" si="9"/>
        <v>-4.3824046063535604</v>
      </c>
    </row>
    <row r="8" spans="1:51" ht="12.75" customHeight="1">
      <c r="B8" s="121" t="s">
        <v>28</v>
      </c>
      <c r="C8" s="97"/>
      <c r="D8" s="92"/>
      <c r="E8" s="242"/>
      <c r="F8" s="242"/>
      <c r="G8" s="242">
        <v>13.82</v>
      </c>
      <c r="H8" s="242">
        <v>16.64</v>
      </c>
      <c r="I8" s="242">
        <v>24.91</v>
      </c>
      <c r="J8" s="242">
        <v>32.700000000000003</v>
      </c>
      <c r="K8" s="242">
        <v>32.481000000000002</v>
      </c>
      <c r="L8" s="242">
        <v>41.042000000000002</v>
      </c>
      <c r="M8" s="242">
        <v>43.758000000000003</v>
      </c>
      <c r="N8" s="242">
        <v>24.972000000000001</v>
      </c>
      <c r="O8" s="242">
        <v>15.646000000000001</v>
      </c>
      <c r="P8" s="250">
        <v>18.631</v>
      </c>
      <c r="Q8" s="252">
        <v>19.751999999999999</v>
      </c>
      <c r="R8" s="856">
        <v>20.718</v>
      </c>
      <c r="S8" s="856">
        <v>21.187999999999999</v>
      </c>
      <c r="T8" s="856">
        <v>23.5</v>
      </c>
      <c r="U8" s="857">
        <v>26.37</v>
      </c>
      <c r="V8" s="857">
        <v>31.244</v>
      </c>
      <c r="W8" s="857">
        <v>34.332000000000001</v>
      </c>
      <c r="X8" s="857">
        <v>35.371000000000002</v>
      </c>
      <c r="Y8" s="857">
        <v>22.385000000000002</v>
      </c>
      <c r="Z8" s="857">
        <v>24.536999999999999</v>
      </c>
      <c r="AA8" s="858">
        <v>28.684000000000001</v>
      </c>
      <c r="AB8" s="857">
        <v>0</v>
      </c>
      <c r="AC8" s="857">
        <v>0</v>
      </c>
      <c r="AD8" s="114">
        <v>0.01</v>
      </c>
      <c r="AE8" s="114">
        <v>1.0999999999999999E-2</v>
      </c>
      <c r="AF8" s="114">
        <v>1.2999999999999999E-2</v>
      </c>
      <c r="AG8" s="114">
        <v>0.14499999999999999</v>
      </c>
      <c r="AH8" s="114">
        <v>0.188</v>
      </c>
      <c r="AI8" s="114">
        <v>0.27700000000000002</v>
      </c>
      <c r="AJ8" s="114">
        <v>2.3E-2</v>
      </c>
      <c r="AK8" s="116">
        <v>1.0209999999999999</v>
      </c>
      <c r="AL8" s="857">
        <v>0</v>
      </c>
      <c r="AM8" s="857">
        <v>0</v>
      </c>
      <c r="AN8" s="114">
        <f t="shared" si="1"/>
        <v>4.2553191489361701E-2</v>
      </c>
      <c r="AO8" s="114">
        <f t="shared" si="2"/>
        <v>4.1714069017823277E-2</v>
      </c>
      <c r="AP8" s="114">
        <f t="shared" si="3"/>
        <v>4.1607988733836893E-2</v>
      </c>
      <c r="AQ8" s="114">
        <f t="shared" si="4"/>
        <v>0.42234649889316089</v>
      </c>
      <c r="AR8" s="114">
        <f t="shared" si="5"/>
        <v>0.53150886319301127</v>
      </c>
      <c r="AS8" s="114">
        <f t="shared" si="6"/>
        <v>1.2374357828903284</v>
      </c>
      <c r="AT8" s="114">
        <f t="shared" si="7"/>
        <v>9.3735990544891387E-2</v>
      </c>
      <c r="AU8" s="116">
        <f t="shared" si="8"/>
        <v>3.5594756658764464</v>
      </c>
      <c r="AV8" s="121" t="s">
        <v>28</v>
      </c>
      <c r="AW8" s="71"/>
      <c r="AX8" s="510">
        <f t="shared" si="9"/>
        <v>16.901006643028893</v>
      </c>
    </row>
    <row r="9" spans="1:51" ht="12.75" customHeight="1">
      <c r="A9" s="5"/>
      <c r="B9" s="123" t="s">
        <v>30</v>
      </c>
      <c r="C9" s="98"/>
      <c r="D9" s="93"/>
      <c r="E9" s="244"/>
      <c r="F9" s="244"/>
      <c r="G9" s="244"/>
      <c r="H9" s="244">
        <v>152.98099999999999</v>
      </c>
      <c r="I9" s="244">
        <v>143.62200000000001</v>
      </c>
      <c r="J9" s="244">
        <v>151.69900000000001</v>
      </c>
      <c r="K9" s="244">
        <v>156.68600000000001</v>
      </c>
      <c r="L9" s="244">
        <v>174.45599999999999</v>
      </c>
      <c r="M9" s="244">
        <v>182.554</v>
      </c>
      <c r="N9" s="244">
        <v>167.708</v>
      </c>
      <c r="O9" s="244">
        <v>169.58</v>
      </c>
      <c r="P9" s="244">
        <v>173.595</v>
      </c>
      <c r="Q9" s="246">
        <v>173.99700000000001</v>
      </c>
      <c r="R9" s="859">
        <v>164.74600000000001</v>
      </c>
      <c r="S9" s="859">
        <v>192.31399999999999</v>
      </c>
      <c r="T9" s="859">
        <v>230.834</v>
      </c>
      <c r="U9" s="854">
        <v>259.69299999999998</v>
      </c>
      <c r="V9" s="854">
        <v>271.59500000000003</v>
      </c>
      <c r="W9" s="854">
        <v>261.43700000000001</v>
      </c>
      <c r="X9" s="854">
        <v>249.91499999999999</v>
      </c>
      <c r="Y9" s="854">
        <v>202.971</v>
      </c>
      <c r="Z9" s="854">
        <v>206.876</v>
      </c>
      <c r="AA9" s="855">
        <v>192.08699999999999</v>
      </c>
      <c r="AB9" s="854">
        <v>3.3000000000000002E-2</v>
      </c>
      <c r="AC9" s="854">
        <v>5.8000000000000003E-2</v>
      </c>
      <c r="AD9" s="93">
        <v>0.312</v>
      </c>
      <c r="AE9" s="93">
        <v>0.21</v>
      </c>
      <c r="AF9" s="93">
        <v>0.376</v>
      </c>
      <c r="AG9" s="93">
        <v>0.73099999999999998</v>
      </c>
      <c r="AH9" s="93">
        <v>0.77800000000000002</v>
      </c>
      <c r="AI9" s="93">
        <v>3.266</v>
      </c>
      <c r="AJ9" s="93">
        <v>3.181</v>
      </c>
      <c r="AK9" s="117">
        <v>3.9329999999999998</v>
      </c>
      <c r="AL9" s="854">
        <v>0.02</v>
      </c>
      <c r="AM9" s="854">
        <v>0.03</v>
      </c>
      <c r="AN9" s="93">
        <f t="shared" si="1"/>
        <v>0.13516206451389309</v>
      </c>
      <c r="AO9" s="93">
        <f t="shared" si="2"/>
        <v>8.0864713334591234E-2</v>
      </c>
      <c r="AP9" s="93">
        <f t="shared" si="3"/>
        <v>0.13844142933411879</v>
      </c>
      <c r="AQ9" s="93">
        <f t="shared" si="4"/>
        <v>0.27960847163943897</v>
      </c>
      <c r="AR9" s="93">
        <f t="shared" si="5"/>
        <v>0.3113058439869556</v>
      </c>
      <c r="AS9" s="93">
        <f t="shared" si="6"/>
        <v>1.6090968660547564</v>
      </c>
      <c r="AT9" s="93">
        <f t="shared" si="7"/>
        <v>1.5376360718498037</v>
      </c>
      <c r="AU9" s="117">
        <f t="shared" si="8"/>
        <v>2.0475097221571472</v>
      </c>
      <c r="AV9" s="123" t="s">
        <v>30</v>
      </c>
      <c r="AW9" s="71"/>
      <c r="AX9" s="511">
        <f t="shared" si="9"/>
        <v>-7.1487267735261781</v>
      </c>
    </row>
    <row r="10" spans="1:51" ht="12.75" customHeight="1">
      <c r="A10" s="5"/>
      <c r="B10" s="121" t="s">
        <v>41</v>
      </c>
      <c r="C10" s="97">
        <v>162.50800000000001</v>
      </c>
      <c r="D10" s="92">
        <v>143.727</v>
      </c>
      <c r="E10" s="242">
        <v>112.69</v>
      </c>
      <c r="F10" s="242">
        <v>96.173000000000002</v>
      </c>
      <c r="G10" s="242">
        <v>111.58499999999999</v>
      </c>
      <c r="H10" s="242">
        <v>96.078000000000003</v>
      </c>
      <c r="I10" s="242">
        <v>121.49</v>
      </c>
      <c r="J10" s="242">
        <v>146.88499999999999</v>
      </c>
      <c r="K10" s="242">
        <v>154.38499999999999</v>
      </c>
      <c r="L10" s="242">
        <v>159.34700000000001</v>
      </c>
      <c r="M10" s="242">
        <v>150.14500000000001</v>
      </c>
      <c r="N10" s="242">
        <v>112.20099999999999</v>
      </c>
      <c r="O10" s="242">
        <v>153.58699999999999</v>
      </c>
      <c r="P10" s="250">
        <v>169.97399999999999</v>
      </c>
      <c r="Q10" s="252">
        <v>170.53100000000001</v>
      </c>
      <c r="R10" s="856">
        <v>181.89599999999999</v>
      </c>
      <c r="S10" s="856">
        <v>188.61199999999999</v>
      </c>
      <c r="T10" s="856">
        <v>207.71700000000001</v>
      </c>
      <c r="U10" s="857">
        <v>222.92699999999999</v>
      </c>
      <c r="V10" s="857">
        <v>221.81800000000001</v>
      </c>
      <c r="W10" s="857">
        <v>218.52600000000001</v>
      </c>
      <c r="X10" s="857">
        <v>225.58099999999999</v>
      </c>
      <c r="Y10" s="857">
        <v>198.166</v>
      </c>
      <c r="Z10" s="857">
        <v>185.32400000000001</v>
      </c>
      <c r="AA10" s="858">
        <v>148.345</v>
      </c>
      <c r="AB10" s="857">
        <v>0.53400000000000003</v>
      </c>
      <c r="AC10" s="857">
        <v>1.5649999999999999</v>
      </c>
      <c r="AD10" s="114">
        <v>1.2789999999999999</v>
      </c>
      <c r="AE10" s="114">
        <v>1.2789999999999999</v>
      </c>
      <c r="AF10" s="114">
        <v>0.70599999999999996</v>
      </c>
      <c r="AG10" s="114">
        <v>1.55</v>
      </c>
      <c r="AH10" s="114">
        <v>5.5090000000000003</v>
      </c>
      <c r="AI10" s="114">
        <v>14.263</v>
      </c>
      <c r="AJ10" s="114">
        <v>24.951000000000001</v>
      </c>
      <c r="AK10" s="116">
        <v>30.805</v>
      </c>
      <c r="AL10" s="857">
        <v>0.29499999999999998</v>
      </c>
      <c r="AM10" s="857">
        <v>0.83</v>
      </c>
      <c r="AN10" s="114">
        <f t="shared" si="1"/>
        <v>0.61574160997896166</v>
      </c>
      <c r="AO10" s="114">
        <f t="shared" si="2"/>
        <v>0.57373041399202429</v>
      </c>
      <c r="AP10" s="114">
        <f t="shared" si="3"/>
        <v>0.31827894940897489</v>
      </c>
      <c r="AQ10" s="114">
        <f t="shared" si="4"/>
        <v>0.70929774946688262</v>
      </c>
      <c r="AR10" s="114">
        <f t="shared" si="5"/>
        <v>2.4421383006547543</v>
      </c>
      <c r="AS10" s="114">
        <f t="shared" si="6"/>
        <v>7.197501084948982</v>
      </c>
      <c r="AT10" s="114">
        <f t="shared" si="7"/>
        <v>13.463447799529471</v>
      </c>
      <c r="AU10" s="116">
        <f t="shared" si="8"/>
        <v>20.765782466547574</v>
      </c>
      <c r="AV10" s="121" t="s">
        <v>41</v>
      </c>
      <c r="AW10" s="71"/>
      <c r="AX10" s="510">
        <f t="shared" si="9"/>
        <v>-19.953702704452752</v>
      </c>
    </row>
    <row r="11" spans="1:51" ht="12.75" customHeight="1">
      <c r="A11" s="5"/>
      <c r="B11" s="123" t="s">
        <v>46</v>
      </c>
      <c r="C11" s="98">
        <v>3735.9870000000001</v>
      </c>
      <c r="D11" s="93">
        <v>3802.1759999999999</v>
      </c>
      <c r="E11" s="244">
        <v>3378.3429999999998</v>
      </c>
      <c r="F11" s="244">
        <v>3341.7179999999998</v>
      </c>
      <c r="G11" s="244">
        <v>3252.8980000000001</v>
      </c>
      <c r="H11" s="244">
        <v>3236.9380000000001</v>
      </c>
      <c r="I11" s="244">
        <v>3266.8249999999998</v>
      </c>
      <c r="J11" s="244">
        <v>3319.259</v>
      </c>
      <c r="K11" s="244">
        <v>3467.9609999999998</v>
      </c>
      <c r="L11" s="244">
        <v>3148.163</v>
      </c>
      <c r="M11" s="244">
        <v>3090.04</v>
      </c>
      <c r="N11" s="244">
        <v>3807.1750000000002</v>
      </c>
      <c r="O11" s="244">
        <v>2916.259</v>
      </c>
      <c r="P11" s="244">
        <v>3173.634</v>
      </c>
      <c r="Q11" s="246">
        <v>3082.58</v>
      </c>
      <c r="R11" s="859">
        <v>2952.431</v>
      </c>
      <c r="S11" s="859">
        <v>3036.7730000000001</v>
      </c>
      <c r="T11" s="859">
        <v>3206.0419999999999</v>
      </c>
      <c r="U11" s="854">
        <v>3351.607</v>
      </c>
      <c r="V11" s="854">
        <v>3441.2620000000002</v>
      </c>
      <c r="W11" s="854">
        <v>3435.7779999999998</v>
      </c>
      <c r="X11" s="854">
        <v>3607.2579999999998</v>
      </c>
      <c r="Y11" s="854">
        <v>2917.6779999999999</v>
      </c>
      <c r="Z11" s="854">
        <v>2622.1320000000001</v>
      </c>
      <c r="AA11" s="855">
        <v>2651.357</v>
      </c>
      <c r="AB11" s="854">
        <v>6.0510000000000002</v>
      </c>
      <c r="AC11" s="854">
        <v>8.5250000000000004</v>
      </c>
      <c r="AD11" s="93">
        <v>12.435</v>
      </c>
      <c r="AE11" s="93">
        <v>11.459</v>
      </c>
      <c r="AF11" s="93">
        <v>25.178000000000001</v>
      </c>
      <c r="AG11" s="93">
        <v>36.216000000000001</v>
      </c>
      <c r="AH11" s="93">
        <v>63.491</v>
      </c>
      <c r="AI11" s="93">
        <v>194.47399999999999</v>
      </c>
      <c r="AJ11" s="93">
        <v>356.42700000000002</v>
      </c>
      <c r="AK11" s="117">
        <v>465.18400000000003</v>
      </c>
      <c r="AL11" s="854">
        <v>0.20399999999999999</v>
      </c>
      <c r="AM11" s="854">
        <v>0.28000000000000003</v>
      </c>
      <c r="AN11" s="93">
        <f t="shared" si="1"/>
        <v>0.38786141915795241</v>
      </c>
      <c r="AO11" s="93">
        <f t="shared" si="2"/>
        <v>0.34189569361801669</v>
      </c>
      <c r="AP11" s="93">
        <f t="shared" si="3"/>
        <v>0.73165019112174545</v>
      </c>
      <c r="AQ11" s="93">
        <f t="shared" si="4"/>
        <v>1.0540844024264666</v>
      </c>
      <c r="AR11" s="93">
        <f t="shared" si="5"/>
        <v>1.7600903511753248</v>
      </c>
      <c r="AS11" s="93">
        <f t="shared" si="6"/>
        <v>6.6653688309676395</v>
      </c>
      <c r="AT11" s="93">
        <f t="shared" si="7"/>
        <v>13.593022776885375</v>
      </c>
      <c r="AU11" s="117">
        <f t="shared" si="8"/>
        <v>17.545128777452454</v>
      </c>
      <c r="AV11" s="123" t="s">
        <v>46</v>
      </c>
      <c r="AW11" s="71"/>
      <c r="AX11" s="511">
        <f t="shared" si="9"/>
        <v>1.1145510599771598</v>
      </c>
    </row>
    <row r="12" spans="1:51" ht="12.75" customHeight="1">
      <c r="A12" s="5"/>
      <c r="B12" s="121" t="s">
        <v>31</v>
      </c>
      <c r="C12" s="97"/>
      <c r="D12" s="92"/>
      <c r="E12" s="242"/>
      <c r="F12" s="242"/>
      <c r="G12" s="242"/>
      <c r="H12" s="242">
        <v>15.602</v>
      </c>
      <c r="I12" s="242">
        <v>16.436</v>
      </c>
      <c r="J12" s="242">
        <v>19.64</v>
      </c>
      <c r="K12" s="242">
        <v>25.363</v>
      </c>
      <c r="L12" s="242">
        <v>30.911999999999999</v>
      </c>
      <c r="M12" s="242">
        <v>24.579000000000001</v>
      </c>
      <c r="N12" s="242">
        <v>9.9459999999999997</v>
      </c>
      <c r="O12" s="242">
        <v>10.295</v>
      </c>
      <c r="P12" s="250">
        <v>17.07</v>
      </c>
      <c r="Q12" s="252">
        <v>19.423999999999999</v>
      </c>
      <c r="R12" s="856">
        <v>19.693999999999999</v>
      </c>
      <c r="S12" s="856">
        <v>21.135000000000002</v>
      </c>
      <c r="T12" s="856">
        <v>20.349</v>
      </c>
      <c r="U12" s="857">
        <v>22.428999999999998</v>
      </c>
      <c r="V12" s="857">
        <v>25.02</v>
      </c>
      <c r="W12" s="857">
        <v>25.387</v>
      </c>
      <c r="X12" s="857">
        <v>26.588999999999999</v>
      </c>
      <c r="Y12" s="857">
        <v>18.75</v>
      </c>
      <c r="Z12" s="857">
        <v>22.335999999999999</v>
      </c>
      <c r="AA12" s="858">
        <v>21.571000000000002</v>
      </c>
      <c r="AB12" s="857">
        <v>0.13</v>
      </c>
      <c r="AC12" s="857">
        <v>0.33100000000000002</v>
      </c>
      <c r="AD12" s="114">
        <v>0.03</v>
      </c>
      <c r="AE12" s="114">
        <v>3.2000000000000001E-2</v>
      </c>
      <c r="AF12" s="114">
        <v>2.5999999999999999E-2</v>
      </c>
      <c r="AG12" s="114">
        <v>8.3000000000000004E-2</v>
      </c>
      <c r="AH12" s="114">
        <v>7.6999999999999999E-2</v>
      </c>
      <c r="AI12" s="114">
        <v>0.34399999999999997</v>
      </c>
      <c r="AJ12" s="114">
        <v>0.48799999999999999</v>
      </c>
      <c r="AK12" s="116">
        <v>0.69399999999999995</v>
      </c>
      <c r="AL12" s="857">
        <v>0.66</v>
      </c>
      <c r="AM12" s="857">
        <v>1.5660000000000001</v>
      </c>
      <c r="AN12" s="114">
        <f t="shared" si="1"/>
        <v>0.14742739200943536</v>
      </c>
      <c r="AO12" s="114">
        <f t="shared" si="2"/>
        <v>0.14267243301083421</v>
      </c>
      <c r="AP12" s="114">
        <f t="shared" si="3"/>
        <v>0.10391686650679456</v>
      </c>
      <c r="AQ12" s="114">
        <f t="shared" si="4"/>
        <v>0.32693898451963604</v>
      </c>
      <c r="AR12" s="114">
        <f t="shared" si="5"/>
        <v>0.28959344089661138</v>
      </c>
      <c r="AS12" s="114">
        <f t="shared" si="6"/>
        <v>1.8346666666666664</v>
      </c>
      <c r="AT12" s="114">
        <f t="shared" si="7"/>
        <v>2.1848137535816621</v>
      </c>
      <c r="AU12" s="116">
        <f t="shared" si="8"/>
        <v>3.217282462565481</v>
      </c>
      <c r="AV12" s="121" t="s">
        <v>31</v>
      </c>
      <c r="AW12" s="71"/>
      <c r="AX12" s="510">
        <f t="shared" si="9"/>
        <v>-3.4249641833810784</v>
      </c>
    </row>
    <row r="13" spans="1:51" ht="12.75" customHeight="1">
      <c r="A13" s="5"/>
      <c r="B13" s="123" t="s">
        <v>49</v>
      </c>
      <c r="C13" s="98">
        <v>145.702</v>
      </c>
      <c r="D13" s="93">
        <v>174.24199999999999</v>
      </c>
      <c r="E13" s="244">
        <v>230.79499999999999</v>
      </c>
      <c r="F13" s="244">
        <v>164.73</v>
      </c>
      <c r="G13" s="244">
        <v>156.125</v>
      </c>
      <c r="H13" s="244">
        <v>145.22300000000001</v>
      </c>
      <c r="I13" s="244">
        <v>154.136</v>
      </c>
      <c r="J13" s="244">
        <v>171.74199999999999</v>
      </c>
      <c r="K13" s="244">
        <v>178.48400000000001</v>
      </c>
      <c r="L13" s="244">
        <v>186.32499999999999</v>
      </c>
      <c r="M13" s="244">
        <v>151.607</v>
      </c>
      <c r="N13" s="244">
        <v>57.453000000000003</v>
      </c>
      <c r="O13" s="244">
        <v>88.445999999999998</v>
      </c>
      <c r="P13" s="244">
        <v>89.903999999999996</v>
      </c>
      <c r="Q13" s="246">
        <v>79.498000000000005</v>
      </c>
      <c r="R13" s="859">
        <v>74.367000000000004</v>
      </c>
      <c r="S13" s="859">
        <v>96.337999999999994</v>
      </c>
      <c r="T13" s="859">
        <v>124.69499999999999</v>
      </c>
      <c r="U13" s="854">
        <v>146.60300000000001</v>
      </c>
      <c r="V13" s="854">
        <v>131.35499999999999</v>
      </c>
      <c r="W13" s="854">
        <v>125.791</v>
      </c>
      <c r="X13" s="854">
        <v>117.10899999999999</v>
      </c>
      <c r="Y13" s="854">
        <v>89.864999999999995</v>
      </c>
      <c r="Z13" s="854">
        <v>104.62</v>
      </c>
      <c r="AA13" s="855">
        <v>105.364</v>
      </c>
      <c r="AB13" s="854">
        <v>4.9000000000000002E-2</v>
      </c>
      <c r="AC13" s="854">
        <v>0.19400000000000001</v>
      </c>
      <c r="AD13" s="93">
        <v>0.49399999999999999</v>
      </c>
      <c r="AE13" s="93">
        <v>0.40300000000000002</v>
      </c>
      <c r="AF13" s="93">
        <v>0.63100000000000001</v>
      </c>
      <c r="AG13" s="93">
        <v>1.252</v>
      </c>
      <c r="AH13" s="93">
        <v>3.665</v>
      </c>
      <c r="AI13" s="93">
        <v>4.0750000000000002</v>
      </c>
      <c r="AJ13" s="93">
        <v>9.1989999999999998</v>
      </c>
      <c r="AK13" s="117">
        <v>15.702</v>
      </c>
      <c r="AL13" s="854">
        <v>6.5000000000000002E-2</v>
      </c>
      <c r="AM13" s="854">
        <v>0.23</v>
      </c>
      <c r="AN13" s="93">
        <f t="shared" si="1"/>
        <v>0.39616664661774731</v>
      </c>
      <c r="AO13" s="93">
        <f t="shared" si="2"/>
        <v>0.2748920554149642</v>
      </c>
      <c r="AP13" s="93">
        <f t="shared" si="3"/>
        <v>0.48037760267976104</v>
      </c>
      <c r="AQ13" s="93">
        <f t="shared" si="4"/>
        <v>0.99530173064845662</v>
      </c>
      <c r="AR13" s="93">
        <f t="shared" si="5"/>
        <v>3.1295630566395416</v>
      </c>
      <c r="AS13" s="93">
        <f t="shared" si="6"/>
        <v>4.534579647248651</v>
      </c>
      <c r="AT13" s="93">
        <f t="shared" si="7"/>
        <v>8.7927738482125797</v>
      </c>
      <c r="AU13" s="117">
        <f t="shared" si="8"/>
        <v>14.90262328689116</v>
      </c>
      <c r="AV13" s="123" t="s">
        <v>49</v>
      </c>
      <c r="AW13" s="71"/>
      <c r="AX13" s="511">
        <f t="shared" si="9"/>
        <v>0.71114509653986602</v>
      </c>
    </row>
    <row r="14" spans="1:51" ht="12.75" customHeight="1">
      <c r="A14" s="5"/>
      <c r="B14" s="121" t="s">
        <v>42</v>
      </c>
      <c r="C14" s="97">
        <v>180.14500000000001</v>
      </c>
      <c r="D14" s="92">
        <v>261.71100000000001</v>
      </c>
      <c r="E14" s="242">
        <v>290.22199999999998</v>
      </c>
      <c r="F14" s="242">
        <v>280.214</v>
      </c>
      <c r="G14" s="242">
        <v>268.48899999999998</v>
      </c>
      <c r="H14" s="242">
        <v>257.29300000000001</v>
      </c>
      <c r="I14" s="242">
        <v>289.69099999999997</v>
      </c>
      <c r="J14" s="242">
        <v>269.72800000000001</v>
      </c>
      <c r="K14" s="242">
        <v>267.66899999999998</v>
      </c>
      <c r="L14" s="242">
        <v>279.745</v>
      </c>
      <c r="M14" s="242">
        <v>267.29500000000002</v>
      </c>
      <c r="N14" s="242">
        <v>219.73</v>
      </c>
      <c r="O14" s="242">
        <v>141.501</v>
      </c>
      <c r="P14" s="250">
        <v>97.68</v>
      </c>
      <c r="Q14" s="252">
        <v>58.478999999999999</v>
      </c>
      <c r="R14" s="856">
        <v>58.695999999999998</v>
      </c>
      <c r="S14" s="856">
        <v>71.278999999999996</v>
      </c>
      <c r="T14" s="856">
        <v>72.89</v>
      </c>
      <c r="U14" s="857">
        <v>78.873000000000005</v>
      </c>
      <c r="V14" s="857">
        <v>88.082999999999998</v>
      </c>
      <c r="W14" s="857">
        <v>103.43600000000001</v>
      </c>
      <c r="X14" s="857">
        <v>114.10899999999999</v>
      </c>
      <c r="Y14" s="857">
        <v>80.906000000000006</v>
      </c>
      <c r="Z14" s="857">
        <v>100.995</v>
      </c>
      <c r="AA14" s="858">
        <v>105.337</v>
      </c>
      <c r="AB14" s="857">
        <v>2E-3</v>
      </c>
      <c r="AC14" s="857">
        <v>3.7999999999999999E-2</v>
      </c>
      <c r="AD14" s="114">
        <v>3.2000000000000001E-2</v>
      </c>
      <c r="AE14" s="114">
        <v>0.02</v>
      </c>
      <c r="AF14" s="114">
        <v>3.6999999999999998E-2</v>
      </c>
      <c r="AG14" s="114">
        <v>7.6999999999999999E-2</v>
      </c>
      <c r="AH14" s="114">
        <v>0.188</v>
      </c>
      <c r="AI14" s="114">
        <v>0.67800000000000005</v>
      </c>
      <c r="AJ14" s="114">
        <v>2.1739999999999999</v>
      </c>
      <c r="AK14" s="116">
        <v>2.9950000000000001</v>
      </c>
      <c r="AL14" s="857">
        <v>3.0000000000000001E-3</v>
      </c>
      <c r="AM14" s="857">
        <v>5.2999999999999999E-2</v>
      </c>
      <c r="AN14" s="114">
        <f t="shared" si="1"/>
        <v>4.3901769790094664E-2</v>
      </c>
      <c r="AO14" s="114">
        <f t="shared" si="2"/>
        <v>2.5357219834417351E-2</v>
      </c>
      <c r="AP14" s="114">
        <f t="shared" si="3"/>
        <v>4.2005835405242782E-2</v>
      </c>
      <c r="AQ14" s="114">
        <f t="shared" si="4"/>
        <v>7.4442167137166934E-2</v>
      </c>
      <c r="AR14" s="114">
        <f t="shared" si="5"/>
        <v>0.16475475203533463</v>
      </c>
      <c r="AS14" s="114">
        <f t="shared" si="6"/>
        <v>0.83800954193755717</v>
      </c>
      <c r="AT14" s="114">
        <f t="shared" si="7"/>
        <v>2.1525818109807417</v>
      </c>
      <c r="AU14" s="116">
        <f t="shared" si="8"/>
        <v>2.8432554562974071</v>
      </c>
      <c r="AV14" s="121" t="s">
        <v>42</v>
      </c>
      <c r="AW14" s="71"/>
      <c r="AX14" s="510">
        <f t="shared" si="9"/>
        <v>4.2992227337987003</v>
      </c>
    </row>
    <row r="15" spans="1:51" ht="12.75" customHeight="1">
      <c r="A15" s="5"/>
      <c r="B15" s="123" t="s">
        <v>47</v>
      </c>
      <c r="C15" s="98">
        <v>1192.53</v>
      </c>
      <c r="D15" s="93">
        <v>1406.2460000000001</v>
      </c>
      <c r="E15" s="244">
        <v>1381.2560000000001</v>
      </c>
      <c r="F15" s="244">
        <v>1425.5730000000001</v>
      </c>
      <c r="G15" s="244">
        <v>1331.877</v>
      </c>
      <c r="H15" s="244">
        <v>1382.1089999999999</v>
      </c>
      <c r="I15" s="244">
        <v>1517.2860000000001</v>
      </c>
      <c r="J15" s="244">
        <v>1528.877</v>
      </c>
      <c r="K15" s="244">
        <v>1634.6079999999999</v>
      </c>
      <c r="L15" s="244">
        <v>1614.835</v>
      </c>
      <c r="M15" s="244">
        <v>1161.1759999999999</v>
      </c>
      <c r="N15" s="244">
        <v>952.77200000000005</v>
      </c>
      <c r="O15" s="244">
        <v>982.01499999999999</v>
      </c>
      <c r="P15" s="244">
        <v>808.05100000000004</v>
      </c>
      <c r="Q15" s="246">
        <v>699.58900000000006</v>
      </c>
      <c r="R15" s="859">
        <v>722.68899999999996</v>
      </c>
      <c r="S15" s="859">
        <v>855.30799999999999</v>
      </c>
      <c r="T15" s="859">
        <v>1041.2760000000001</v>
      </c>
      <c r="U15" s="854">
        <v>1147.0070000000001</v>
      </c>
      <c r="V15" s="854">
        <v>1234.931</v>
      </c>
      <c r="W15" s="854">
        <v>1318.79</v>
      </c>
      <c r="X15" s="854">
        <v>1258.251</v>
      </c>
      <c r="Y15" s="854">
        <v>851.21699999999998</v>
      </c>
      <c r="Z15" s="854">
        <v>859.48199999999997</v>
      </c>
      <c r="AA15" s="855">
        <v>813.37900000000002</v>
      </c>
      <c r="AB15" s="854">
        <v>7.2999999999999995E-2</v>
      </c>
      <c r="AC15" s="854">
        <v>1.004</v>
      </c>
      <c r="AD15" s="93">
        <v>2.62</v>
      </c>
      <c r="AE15" s="93">
        <v>3.3559999999999999</v>
      </c>
      <c r="AF15" s="93">
        <v>6.88</v>
      </c>
      <c r="AG15" s="93">
        <v>10.577999999999999</v>
      </c>
      <c r="AH15" s="93">
        <v>13.028</v>
      </c>
      <c r="AI15" s="93">
        <v>18.428000000000001</v>
      </c>
      <c r="AJ15" s="93">
        <v>24.103000000000002</v>
      </c>
      <c r="AK15" s="117">
        <v>31.416</v>
      </c>
      <c r="AL15" s="854">
        <v>8.9999999999999993E-3</v>
      </c>
      <c r="AM15" s="854">
        <v>0.112</v>
      </c>
      <c r="AN15" s="93">
        <f t="shared" si="1"/>
        <v>0.25161436545161897</v>
      </c>
      <c r="AO15" s="93">
        <f t="shared" si="2"/>
        <v>0.29258757793108492</v>
      </c>
      <c r="AP15" s="93">
        <f t="shared" si="3"/>
        <v>0.5571161465701322</v>
      </c>
      <c r="AQ15" s="93">
        <f t="shared" si="4"/>
        <v>0.8020988936828457</v>
      </c>
      <c r="AR15" s="93">
        <f t="shared" si="5"/>
        <v>1.0354054954059246</v>
      </c>
      <c r="AS15" s="93">
        <f t="shared" si="6"/>
        <v>2.1649003720555395</v>
      </c>
      <c r="AT15" s="93">
        <f t="shared" si="7"/>
        <v>2.8043635585154782</v>
      </c>
      <c r="AU15" s="117">
        <f t="shared" si="8"/>
        <v>3.8624060862156506</v>
      </c>
      <c r="AV15" s="123" t="s">
        <v>47</v>
      </c>
      <c r="AW15" s="71"/>
      <c r="AX15" s="511">
        <f t="shared" si="9"/>
        <v>-5.364044854924245</v>
      </c>
    </row>
    <row r="16" spans="1:51" ht="12.75" customHeight="1">
      <c r="A16" s="5"/>
      <c r="B16" s="121" t="s">
        <v>48</v>
      </c>
      <c r="C16" s="97">
        <v>1943.5530000000001</v>
      </c>
      <c r="D16" s="92">
        <v>2148.4229999999998</v>
      </c>
      <c r="E16" s="242">
        <v>2133.884</v>
      </c>
      <c r="F16" s="242">
        <v>2254.732</v>
      </c>
      <c r="G16" s="242">
        <v>2145.0709999999999</v>
      </c>
      <c r="H16" s="242">
        <v>2009.2460000000001</v>
      </c>
      <c r="I16" s="242">
        <v>2013.7090000000001</v>
      </c>
      <c r="J16" s="242">
        <v>2067.7890000000002</v>
      </c>
      <c r="K16" s="242">
        <v>2000.549</v>
      </c>
      <c r="L16" s="242">
        <v>2064.5430000000001</v>
      </c>
      <c r="M16" s="242">
        <v>2050.2820000000002</v>
      </c>
      <c r="N16" s="242">
        <v>2302.3980000000001</v>
      </c>
      <c r="O16" s="242">
        <v>2251.6689999999999</v>
      </c>
      <c r="P16" s="250">
        <v>2204.2289999999998</v>
      </c>
      <c r="Q16" s="252">
        <v>1898.76</v>
      </c>
      <c r="R16" s="856">
        <v>1790.4559999999999</v>
      </c>
      <c r="S16" s="856">
        <v>1795.885</v>
      </c>
      <c r="T16" s="856">
        <v>1917.53</v>
      </c>
      <c r="U16" s="857">
        <v>2015.1769999999999</v>
      </c>
      <c r="V16" s="857">
        <v>2110.748</v>
      </c>
      <c r="W16" s="857">
        <v>2173.4810000000002</v>
      </c>
      <c r="X16" s="857">
        <v>2214.279</v>
      </c>
      <c r="Y16" s="857">
        <v>1650.12</v>
      </c>
      <c r="Z16" s="857">
        <v>1659.0029999999999</v>
      </c>
      <c r="AA16" s="858">
        <v>1529.0350000000001</v>
      </c>
      <c r="AB16" s="857">
        <v>8.782</v>
      </c>
      <c r="AC16" s="857">
        <v>10.568</v>
      </c>
      <c r="AD16" s="114">
        <v>17.279</v>
      </c>
      <c r="AE16" s="114">
        <v>21.766999999999999</v>
      </c>
      <c r="AF16" s="114">
        <v>24.966999999999999</v>
      </c>
      <c r="AG16" s="114">
        <v>30.954999999999998</v>
      </c>
      <c r="AH16" s="114">
        <v>42.325000000000003</v>
      </c>
      <c r="AI16" s="114">
        <v>109.80800000000001</v>
      </c>
      <c r="AJ16" s="114">
        <v>160.77099999999999</v>
      </c>
      <c r="AK16" s="116">
        <v>203.06100000000001</v>
      </c>
      <c r="AL16" s="857">
        <v>0.499</v>
      </c>
      <c r="AM16" s="857">
        <v>0.59799999999999998</v>
      </c>
      <c r="AN16" s="114">
        <f t="shared" si="1"/>
        <v>0.90110715347347881</v>
      </c>
      <c r="AO16" s="114">
        <f t="shared" si="2"/>
        <v>1.0801532570091859</v>
      </c>
      <c r="AP16" s="114">
        <f t="shared" si="3"/>
        <v>1.1828508187618796</v>
      </c>
      <c r="AQ16" s="114">
        <f t="shared" si="4"/>
        <v>1.4242130481011794</v>
      </c>
      <c r="AR16" s="114">
        <f t="shared" si="5"/>
        <v>1.9114574089353693</v>
      </c>
      <c r="AS16" s="114">
        <f t="shared" si="6"/>
        <v>6.6545463360240475</v>
      </c>
      <c r="AT16" s="114">
        <f t="shared" si="7"/>
        <v>9.6908203300415963</v>
      </c>
      <c r="AU16" s="116">
        <f t="shared" si="8"/>
        <v>13.280336944543453</v>
      </c>
      <c r="AV16" s="121" t="s">
        <v>48</v>
      </c>
      <c r="AW16" s="71"/>
      <c r="AX16" s="510">
        <f t="shared" si="9"/>
        <v>-7.8341027713632769</v>
      </c>
    </row>
    <row r="17" spans="1:50" ht="12.75" customHeight="1">
      <c r="A17" s="5"/>
      <c r="B17" s="7" t="s">
        <v>59</v>
      </c>
      <c r="C17" s="98"/>
      <c r="D17" s="93"/>
      <c r="E17" s="244">
        <v>92.36</v>
      </c>
      <c r="F17" s="244">
        <v>108.633</v>
      </c>
      <c r="G17" s="244">
        <v>95.21</v>
      </c>
      <c r="H17" s="244">
        <v>104.52</v>
      </c>
      <c r="I17" s="244">
        <v>99.84</v>
      </c>
      <c r="J17" s="244">
        <v>102.123</v>
      </c>
      <c r="K17" s="244">
        <v>114.447</v>
      </c>
      <c r="L17" s="244">
        <v>106.202</v>
      </c>
      <c r="M17" s="244">
        <v>95.697000000000003</v>
      </c>
      <c r="N17" s="244">
        <v>53.252000000000002</v>
      </c>
      <c r="O17" s="244">
        <v>46.209000000000003</v>
      </c>
      <c r="P17" s="244">
        <v>48.883000000000003</v>
      </c>
      <c r="Q17" s="246">
        <v>40.825000000000003</v>
      </c>
      <c r="R17" s="859">
        <v>27.802</v>
      </c>
      <c r="S17" s="859">
        <v>33.918999999999997</v>
      </c>
      <c r="T17" s="859">
        <v>34.82</v>
      </c>
      <c r="U17" s="854">
        <v>43.015000000000001</v>
      </c>
      <c r="V17" s="854">
        <v>50.411999999999999</v>
      </c>
      <c r="W17" s="854">
        <v>59.86</v>
      </c>
      <c r="X17" s="854">
        <v>62.975000000000001</v>
      </c>
      <c r="Y17" s="854">
        <v>36.046999999999997</v>
      </c>
      <c r="Z17" s="854">
        <v>44.917999999999999</v>
      </c>
      <c r="AA17" s="855">
        <v>42.954999999999998</v>
      </c>
      <c r="AB17" s="854">
        <v>0</v>
      </c>
      <c r="AC17" s="854">
        <v>1.4E-2</v>
      </c>
      <c r="AD17" s="93">
        <v>7.0000000000000007E-2</v>
      </c>
      <c r="AE17" s="93">
        <v>4.4999999999999998E-2</v>
      </c>
      <c r="AF17" s="93">
        <v>7.0000000000000001E-3</v>
      </c>
      <c r="AG17" s="93">
        <v>0.13</v>
      </c>
      <c r="AH17" s="93">
        <v>0.24</v>
      </c>
      <c r="AI17" s="93">
        <v>0.53300000000000003</v>
      </c>
      <c r="AJ17" s="93">
        <v>1.121</v>
      </c>
      <c r="AK17" s="117">
        <v>1.3049999999999999</v>
      </c>
      <c r="AL17" s="854">
        <v>0</v>
      </c>
      <c r="AM17" s="854">
        <v>4.1000000000000002E-2</v>
      </c>
      <c r="AN17" s="93">
        <f t="shared" si="1"/>
        <v>0.20103388856978749</v>
      </c>
      <c r="AO17" s="93">
        <f t="shared" si="2"/>
        <v>0.10461466930140648</v>
      </c>
      <c r="AP17" s="93">
        <f t="shared" si="3"/>
        <v>1.3885582797746567E-2</v>
      </c>
      <c r="AQ17" s="93">
        <f t="shared" si="4"/>
        <v>0.21717340461075846</v>
      </c>
      <c r="AR17" s="93">
        <f t="shared" si="5"/>
        <v>0.38110361254466057</v>
      </c>
      <c r="AS17" s="93">
        <f t="shared" si="6"/>
        <v>1.4786251283047134</v>
      </c>
      <c r="AT17" s="93">
        <f t="shared" si="7"/>
        <v>2.4956587559552963</v>
      </c>
      <c r="AU17" s="117">
        <f t="shared" si="8"/>
        <v>3.0380630892794787</v>
      </c>
      <c r="AV17" s="7" t="s">
        <v>59</v>
      </c>
      <c r="AW17" s="71"/>
      <c r="AX17" s="171">
        <f t="shared" si="9"/>
        <v>-4.3701856716683807</v>
      </c>
    </row>
    <row r="18" spans="1:50" ht="12.75" customHeight="1">
      <c r="A18" s="5"/>
      <c r="B18" s="196" t="s">
        <v>50</v>
      </c>
      <c r="C18" s="197">
        <v>2378.5160000000001</v>
      </c>
      <c r="D18" s="114">
        <v>2338.4639999999999</v>
      </c>
      <c r="E18" s="250">
        <v>2423.0839999999998</v>
      </c>
      <c r="F18" s="250">
        <v>2413.4549999999999</v>
      </c>
      <c r="G18" s="250">
        <v>2279.6120000000001</v>
      </c>
      <c r="H18" s="250">
        <v>2247.0189999999998</v>
      </c>
      <c r="I18" s="250">
        <v>2264.6880000000001</v>
      </c>
      <c r="J18" s="250">
        <v>2237.444</v>
      </c>
      <c r="K18" s="250">
        <v>2326.049</v>
      </c>
      <c r="L18" s="250">
        <v>2493.1060000000002</v>
      </c>
      <c r="M18" s="250">
        <v>2161.6819999999998</v>
      </c>
      <c r="N18" s="250">
        <v>2159.4630000000002</v>
      </c>
      <c r="O18" s="250">
        <v>1961.579</v>
      </c>
      <c r="P18" s="250">
        <v>1749.0740000000001</v>
      </c>
      <c r="Q18" s="252">
        <v>1402.0889999999999</v>
      </c>
      <c r="R18" s="856">
        <v>1304.6479999999999</v>
      </c>
      <c r="S18" s="856">
        <v>1359.616</v>
      </c>
      <c r="T18" s="856">
        <v>1578.5719999999999</v>
      </c>
      <c r="U18" s="857">
        <v>1824.9680000000001</v>
      </c>
      <c r="V18" s="857">
        <v>1970.4970000000001</v>
      </c>
      <c r="W18" s="857">
        <v>1905.511</v>
      </c>
      <c r="X18" s="857">
        <v>1916.9490000000001</v>
      </c>
      <c r="Y18" s="857">
        <v>1379.5170000000001</v>
      </c>
      <c r="Z18" s="857">
        <v>1457.2449999999999</v>
      </c>
      <c r="AA18" s="858">
        <v>1316.3920000000001</v>
      </c>
      <c r="AB18" s="857">
        <v>0.84599999999999997</v>
      </c>
      <c r="AC18" s="857">
        <v>1.165</v>
      </c>
      <c r="AD18" s="114">
        <v>1.577</v>
      </c>
      <c r="AE18" s="114">
        <v>1.4970000000000001</v>
      </c>
      <c r="AF18" s="114">
        <v>2.109</v>
      </c>
      <c r="AG18" s="114">
        <v>5.1559999999999997</v>
      </c>
      <c r="AH18" s="114">
        <v>10.629</v>
      </c>
      <c r="AI18" s="114">
        <v>30.937000000000001</v>
      </c>
      <c r="AJ18" s="114">
        <v>69.188000000000002</v>
      </c>
      <c r="AK18" s="116">
        <v>49.417999999999999</v>
      </c>
      <c r="AL18" s="857">
        <v>6.4000000000000001E-2</v>
      </c>
      <c r="AM18" s="857">
        <v>8.4000000000000005E-2</v>
      </c>
      <c r="AN18" s="114">
        <f t="shared" si="1"/>
        <v>9.9900416325641159E-2</v>
      </c>
      <c r="AO18" s="114">
        <f t="shared" si="2"/>
        <v>8.2028835574103218E-2</v>
      </c>
      <c r="AP18" s="114">
        <f t="shared" si="3"/>
        <v>0.10702883587237128</v>
      </c>
      <c r="AQ18" s="114">
        <f t="shared" si="4"/>
        <v>0.27058358624012141</v>
      </c>
      <c r="AR18" s="114">
        <f t="shared" si="5"/>
        <v>0.55447484518367463</v>
      </c>
      <c r="AS18" s="114">
        <f t="shared" si="6"/>
        <v>2.2425965029789414</v>
      </c>
      <c r="AT18" s="114">
        <f t="shared" si="7"/>
        <v>4.7478632625262058</v>
      </c>
      <c r="AU18" s="116">
        <f t="shared" si="8"/>
        <v>3.7540489459066899</v>
      </c>
      <c r="AV18" s="196" t="s">
        <v>50</v>
      </c>
      <c r="AW18" s="71"/>
      <c r="AX18" s="512">
        <f t="shared" si="9"/>
        <v>-9.6657048059866355</v>
      </c>
    </row>
    <row r="19" spans="1:50" ht="12.75" customHeight="1">
      <c r="A19" s="5"/>
      <c r="B19" s="123" t="s">
        <v>29</v>
      </c>
      <c r="C19" s="98"/>
      <c r="D19" s="93"/>
      <c r="E19" s="244">
        <v>8.2110000000000003</v>
      </c>
      <c r="F19" s="244">
        <v>10.002000000000001</v>
      </c>
      <c r="G19" s="244">
        <v>9.1219999999999999</v>
      </c>
      <c r="H19" s="244">
        <v>9.1449999999999996</v>
      </c>
      <c r="I19" s="244">
        <v>19.649999999999999</v>
      </c>
      <c r="J19" s="244">
        <v>19.21</v>
      </c>
      <c r="K19" s="244">
        <v>20.344000000000001</v>
      </c>
      <c r="L19" s="244">
        <v>25.106999999999999</v>
      </c>
      <c r="M19" s="244">
        <v>24.213000000000001</v>
      </c>
      <c r="N19" s="244">
        <v>15.945</v>
      </c>
      <c r="O19" s="244">
        <v>15.061999999999999</v>
      </c>
      <c r="P19" s="244">
        <v>14.664999999999999</v>
      </c>
      <c r="Q19" s="246">
        <v>10.967000000000001</v>
      </c>
      <c r="R19" s="859">
        <v>7.1020000000000003</v>
      </c>
      <c r="S19" s="859">
        <v>8.2829999999999995</v>
      </c>
      <c r="T19" s="859">
        <v>10.343999999999999</v>
      </c>
      <c r="U19" s="854">
        <v>12.643000000000001</v>
      </c>
      <c r="V19" s="854">
        <v>12.670999999999999</v>
      </c>
      <c r="W19" s="854">
        <v>12.956</v>
      </c>
      <c r="X19" s="854">
        <v>12.22</v>
      </c>
      <c r="Y19" s="854">
        <v>10.061</v>
      </c>
      <c r="Z19" s="854">
        <v>10.624000000000001</v>
      </c>
      <c r="AA19" s="855">
        <v>11.627000000000001</v>
      </c>
      <c r="AB19" s="854">
        <v>8.0000000000000002E-3</v>
      </c>
      <c r="AC19" s="854">
        <v>1E-3</v>
      </c>
      <c r="AD19" s="93">
        <v>4.0000000000000001E-3</v>
      </c>
      <c r="AE19" s="93">
        <v>7.0000000000000001E-3</v>
      </c>
      <c r="AF19" s="93">
        <v>1.7999999999999999E-2</v>
      </c>
      <c r="AG19" s="93">
        <v>5.0000000000000001E-3</v>
      </c>
      <c r="AH19" s="93">
        <v>5.8000000000000003E-2</v>
      </c>
      <c r="AI19" s="93">
        <v>4.2000000000000003E-2</v>
      </c>
      <c r="AJ19" s="93">
        <v>7.8E-2</v>
      </c>
      <c r="AK19" s="117">
        <v>0.36099999999999999</v>
      </c>
      <c r="AL19" s="854">
        <v>0.113</v>
      </c>
      <c r="AM19" s="854">
        <v>1.2E-2</v>
      </c>
      <c r="AN19" s="93">
        <f t="shared" si="1"/>
        <v>3.8669760247486466E-2</v>
      </c>
      <c r="AO19" s="93">
        <f t="shared" si="2"/>
        <v>5.5366606027050534E-2</v>
      </c>
      <c r="AP19" s="93">
        <f t="shared" si="3"/>
        <v>0.14205666482519139</v>
      </c>
      <c r="AQ19" s="93">
        <f t="shared" si="4"/>
        <v>3.8592158073479474E-2</v>
      </c>
      <c r="AR19" s="93">
        <f t="shared" si="5"/>
        <v>0.47463175122749596</v>
      </c>
      <c r="AS19" s="93">
        <f t="shared" si="6"/>
        <v>0.41745353344597957</v>
      </c>
      <c r="AT19" s="93">
        <f t="shared" si="7"/>
        <v>0.73418674698795172</v>
      </c>
      <c r="AU19" s="117">
        <f t="shared" si="8"/>
        <v>3.1048421776898594</v>
      </c>
      <c r="AV19" s="123" t="s">
        <v>29</v>
      </c>
      <c r="AW19" s="71"/>
      <c r="AX19" s="511">
        <f t="shared" si="9"/>
        <v>9.440888554216869</v>
      </c>
    </row>
    <row r="20" spans="1:50" ht="12.75" customHeight="1">
      <c r="A20" s="5"/>
      <c r="B20" s="196" t="s">
        <v>33</v>
      </c>
      <c r="C20" s="197"/>
      <c r="D20" s="114"/>
      <c r="E20" s="250"/>
      <c r="F20" s="250"/>
      <c r="G20" s="250"/>
      <c r="H20" s="250">
        <v>8.7129999999999992</v>
      </c>
      <c r="I20" s="250">
        <v>11.217000000000001</v>
      </c>
      <c r="J20" s="250">
        <v>16.602</v>
      </c>
      <c r="K20" s="250">
        <v>25.582000000000001</v>
      </c>
      <c r="L20" s="250">
        <v>32.771000000000001</v>
      </c>
      <c r="M20" s="250">
        <v>19.831</v>
      </c>
      <c r="N20" s="250">
        <v>5.367</v>
      </c>
      <c r="O20" s="250">
        <v>6.3650000000000002</v>
      </c>
      <c r="P20" s="250">
        <v>10.98</v>
      </c>
      <c r="Q20" s="252">
        <v>10.664999999999999</v>
      </c>
      <c r="R20" s="856">
        <v>10.635999999999999</v>
      </c>
      <c r="S20" s="856">
        <v>12.452</v>
      </c>
      <c r="T20" s="856">
        <v>13.765000000000001</v>
      </c>
      <c r="U20" s="857">
        <v>16.359000000000002</v>
      </c>
      <c r="V20" s="857">
        <v>16.692</v>
      </c>
      <c r="W20" s="857">
        <v>16.879000000000001</v>
      </c>
      <c r="X20" s="857">
        <v>18.692</v>
      </c>
      <c r="Y20" s="857">
        <v>13.864000000000001</v>
      </c>
      <c r="Z20" s="857">
        <v>14.343999999999999</v>
      </c>
      <c r="AA20" s="858">
        <v>16.739000000000001</v>
      </c>
      <c r="AB20" s="857">
        <v>0</v>
      </c>
      <c r="AC20" s="857">
        <v>0.17399999999999999</v>
      </c>
      <c r="AD20" s="114">
        <v>1.7000000000000001E-2</v>
      </c>
      <c r="AE20" s="114">
        <v>1.9E-2</v>
      </c>
      <c r="AF20" s="114">
        <v>4.1000000000000002E-2</v>
      </c>
      <c r="AG20" s="114">
        <v>7.8E-2</v>
      </c>
      <c r="AH20" s="114">
        <v>0.11600000000000001</v>
      </c>
      <c r="AI20" s="114">
        <v>0.35099999999999998</v>
      </c>
      <c r="AJ20" s="114">
        <v>0.48</v>
      </c>
      <c r="AK20" s="116">
        <v>1.069</v>
      </c>
      <c r="AL20" s="857">
        <v>0</v>
      </c>
      <c r="AM20" s="857">
        <v>1.32</v>
      </c>
      <c r="AN20" s="114">
        <f t="shared" si="1"/>
        <v>0.12350163458045768</v>
      </c>
      <c r="AO20" s="114">
        <f t="shared" si="2"/>
        <v>0.11614401858304295</v>
      </c>
      <c r="AP20" s="114">
        <f t="shared" si="3"/>
        <v>0.24562664749580637</v>
      </c>
      <c r="AQ20" s="114">
        <f t="shared" si="4"/>
        <v>0.46211268440073461</v>
      </c>
      <c r="AR20" s="114">
        <f t="shared" si="5"/>
        <v>0.62058634710036376</v>
      </c>
      <c r="AS20" s="114">
        <f t="shared" si="6"/>
        <v>2.5317368724754754</v>
      </c>
      <c r="AT20" s="114">
        <f t="shared" si="7"/>
        <v>3.3463469046291134</v>
      </c>
      <c r="AU20" s="116">
        <f t="shared" si="8"/>
        <v>6.3862835294820464</v>
      </c>
      <c r="AV20" s="196" t="s">
        <v>33</v>
      </c>
      <c r="AW20" s="71"/>
      <c r="AX20" s="512">
        <f t="shared" si="9"/>
        <v>16.696876742889017</v>
      </c>
    </row>
    <row r="21" spans="1:50" ht="12.75" customHeight="1">
      <c r="A21" s="5"/>
      <c r="B21" s="123" t="s">
        <v>34</v>
      </c>
      <c r="C21" s="98"/>
      <c r="D21" s="93"/>
      <c r="E21" s="244"/>
      <c r="F21" s="244"/>
      <c r="G21" s="244"/>
      <c r="H21" s="244">
        <v>7.5430000000000001</v>
      </c>
      <c r="I21" s="244">
        <v>9.4930000000000003</v>
      </c>
      <c r="J21" s="244">
        <v>10.467000000000001</v>
      </c>
      <c r="K21" s="244">
        <v>14.234</v>
      </c>
      <c r="L21" s="244">
        <v>21.606000000000002</v>
      </c>
      <c r="M21" s="244">
        <v>22.216999999999999</v>
      </c>
      <c r="N21" s="244">
        <v>7.5149999999999997</v>
      </c>
      <c r="O21" s="244">
        <v>7.97</v>
      </c>
      <c r="P21" s="244">
        <v>13.234</v>
      </c>
      <c r="Q21" s="246">
        <v>12.164999999999999</v>
      </c>
      <c r="R21" s="859">
        <v>12.163</v>
      </c>
      <c r="S21" s="859">
        <v>14.461</v>
      </c>
      <c r="T21" s="859">
        <v>17.085000000000001</v>
      </c>
      <c r="U21" s="854">
        <v>20.32</v>
      </c>
      <c r="V21" s="854">
        <v>25.864999999999998</v>
      </c>
      <c r="W21" s="854">
        <v>32.414999999999999</v>
      </c>
      <c r="X21" s="854">
        <v>46.2</v>
      </c>
      <c r="Y21" s="854">
        <v>40.231999999999999</v>
      </c>
      <c r="Z21" s="854">
        <v>31.385000000000002</v>
      </c>
      <c r="AA21" s="855">
        <v>25.538</v>
      </c>
      <c r="AB21" s="854">
        <v>0</v>
      </c>
      <c r="AC21" s="854">
        <v>0</v>
      </c>
      <c r="AD21" s="93">
        <v>1.4999999999999999E-2</v>
      </c>
      <c r="AE21" s="93">
        <v>0.06</v>
      </c>
      <c r="AF21" s="93">
        <v>4.9000000000000002E-2</v>
      </c>
      <c r="AG21" s="93">
        <v>0.152</v>
      </c>
      <c r="AH21" s="93">
        <v>0.16900000000000001</v>
      </c>
      <c r="AI21" s="93">
        <v>0.48</v>
      </c>
      <c r="AJ21" s="93">
        <v>1.2769999999999999</v>
      </c>
      <c r="AK21" s="117">
        <v>1.5069999999999999</v>
      </c>
      <c r="AL21" s="854">
        <v>0</v>
      </c>
      <c r="AM21" s="854">
        <v>0</v>
      </c>
      <c r="AN21" s="93">
        <f t="shared" si="1"/>
        <v>8.7796312554872691E-2</v>
      </c>
      <c r="AO21" s="93">
        <f t="shared" si="2"/>
        <v>0.29527559055118108</v>
      </c>
      <c r="AP21" s="93">
        <f t="shared" si="3"/>
        <v>0.1894451962110961</v>
      </c>
      <c r="AQ21" s="93">
        <f t="shared" si="4"/>
        <v>0.46891871047354616</v>
      </c>
      <c r="AR21" s="93">
        <f t="shared" si="5"/>
        <v>0.36580086580086579</v>
      </c>
      <c r="AS21" s="93">
        <f t="shared" si="6"/>
        <v>1.1930801352157487</v>
      </c>
      <c r="AT21" s="93">
        <f t="shared" si="7"/>
        <v>4.0688226859964951</v>
      </c>
      <c r="AU21" s="117">
        <f t="shared" si="8"/>
        <v>5.9010102592215512</v>
      </c>
      <c r="AV21" s="123" t="s">
        <v>34</v>
      </c>
      <c r="AW21" s="71"/>
      <c r="AX21" s="511">
        <f t="shared" si="9"/>
        <v>-18.629918750995699</v>
      </c>
    </row>
    <row r="22" spans="1:50" ht="12.75" customHeight="1">
      <c r="A22" s="5"/>
      <c r="B22" s="196" t="s">
        <v>51</v>
      </c>
      <c r="C22" s="197">
        <v>35.927999999999997</v>
      </c>
      <c r="D22" s="114">
        <v>40.475999999999999</v>
      </c>
      <c r="E22" s="250">
        <v>41.896000000000001</v>
      </c>
      <c r="F22" s="250">
        <v>42.832999999999998</v>
      </c>
      <c r="G22" s="250">
        <v>43.402999999999999</v>
      </c>
      <c r="H22" s="250">
        <v>43.62</v>
      </c>
      <c r="I22" s="250">
        <v>48.234000000000002</v>
      </c>
      <c r="J22" s="250">
        <v>48.517000000000003</v>
      </c>
      <c r="K22" s="250">
        <v>50.837000000000003</v>
      </c>
      <c r="L22" s="250">
        <v>51.332000000000001</v>
      </c>
      <c r="M22" s="250">
        <v>52.359000000000002</v>
      </c>
      <c r="N22" s="250">
        <v>47.265000000000001</v>
      </c>
      <c r="O22" s="250">
        <v>49.725999999999999</v>
      </c>
      <c r="P22" s="250">
        <v>49.881</v>
      </c>
      <c r="Q22" s="252">
        <v>53.008000000000003</v>
      </c>
      <c r="R22" s="856">
        <v>46.624000000000002</v>
      </c>
      <c r="S22" s="856">
        <v>49.792999999999999</v>
      </c>
      <c r="T22" s="856">
        <v>46.472999999999999</v>
      </c>
      <c r="U22" s="857">
        <v>50.561</v>
      </c>
      <c r="V22" s="857">
        <v>52.774999999999999</v>
      </c>
      <c r="W22" s="857">
        <v>52.808</v>
      </c>
      <c r="X22" s="857">
        <v>55.008000000000003</v>
      </c>
      <c r="Y22" s="857">
        <v>45.189</v>
      </c>
      <c r="Z22" s="857">
        <v>44.372</v>
      </c>
      <c r="AA22" s="858">
        <v>42.094000000000001</v>
      </c>
      <c r="AB22" s="857">
        <v>0</v>
      </c>
      <c r="AC22" s="857">
        <v>2.5000000000000001E-2</v>
      </c>
      <c r="AD22" s="114">
        <v>4.4999999999999998E-2</v>
      </c>
      <c r="AE22" s="114">
        <v>0.16200000000000001</v>
      </c>
      <c r="AF22" s="114">
        <v>0.371</v>
      </c>
      <c r="AG22" s="114">
        <v>0.49199999999999999</v>
      </c>
      <c r="AH22" s="114">
        <v>1.012</v>
      </c>
      <c r="AI22" s="114">
        <v>2.4729999999999999</v>
      </c>
      <c r="AJ22" s="114">
        <v>4.6630000000000003</v>
      </c>
      <c r="AK22" s="116">
        <v>6.66</v>
      </c>
      <c r="AL22" s="857">
        <v>0</v>
      </c>
      <c r="AM22" s="857">
        <v>0.05</v>
      </c>
      <c r="AN22" s="114">
        <f t="shared" si="1"/>
        <v>9.6830417661868187E-2</v>
      </c>
      <c r="AO22" s="114">
        <f t="shared" si="2"/>
        <v>0.3204050552797611</v>
      </c>
      <c r="AP22" s="114">
        <f t="shared" si="3"/>
        <v>0.70298436759829463</v>
      </c>
      <c r="AQ22" s="114">
        <f t="shared" si="4"/>
        <v>0.93167701863354035</v>
      </c>
      <c r="AR22" s="114">
        <f t="shared" si="5"/>
        <v>1.8397324025596276</v>
      </c>
      <c r="AS22" s="114">
        <f t="shared" si="6"/>
        <v>5.4725707583703995</v>
      </c>
      <c r="AT22" s="114">
        <f t="shared" si="7"/>
        <v>10.508879473541874</v>
      </c>
      <c r="AU22" s="116">
        <f t="shared" si="8"/>
        <v>15.821732313393833</v>
      </c>
      <c r="AV22" s="196" t="s">
        <v>51</v>
      </c>
      <c r="AW22" s="71"/>
      <c r="AX22" s="512">
        <f t="shared" si="9"/>
        <v>-5.1338682051744229</v>
      </c>
    </row>
    <row r="23" spans="1:50" ht="12.75" customHeight="1">
      <c r="A23" s="5"/>
      <c r="B23" s="123" t="s">
        <v>32</v>
      </c>
      <c r="C23" s="98"/>
      <c r="D23" s="93"/>
      <c r="E23" s="244"/>
      <c r="F23" s="244"/>
      <c r="G23" s="244"/>
      <c r="H23" s="244">
        <v>208.42599999999999</v>
      </c>
      <c r="I23" s="244">
        <v>207.05500000000001</v>
      </c>
      <c r="J23" s="244">
        <v>198.982</v>
      </c>
      <c r="K23" s="244">
        <v>187.67599999999999</v>
      </c>
      <c r="L23" s="244">
        <v>171.661</v>
      </c>
      <c r="M23" s="244">
        <v>153.27799999999999</v>
      </c>
      <c r="N23" s="244">
        <v>60.189</v>
      </c>
      <c r="O23" s="244">
        <v>43.475999999999999</v>
      </c>
      <c r="P23" s="244">
        <v>45.094000000000001</v>
      </c>
      <c r="Q23" s="246">
        <v>50.398000000000003</v>
      </c>
      <c r="R23" s="859">
        <v>56.139000000000003</v>
      </c>
      <c r="S23" s="859">
        <v>67.48</v>
      </c>
      <c r="T23" s="859">
        <v>77.162000000000006</v>
      </c>
      <c r="U23" s="854">
        <v>96.552000000000007</v>
      </c>
      <c r="V23" s="854">
        <v>116.265</v>
      </c>
      <c r="W23" s="854">
        <v>136.57</v>
      </c>
      <c r="X23" s="854">
        <v>157.9</v>
      </c>
      <c r="Y23" s="854">
        <v>128.01</v>
      </c>
      <c r="Z23" s="854">
        <v>121.898</v>
      </c>
      <c r="AA23" s="855">
        <v>111.536</v>
      </c>
      <c r="AB23" s="854">
        <v>0.01</v>
      </c>
      <c r="AC23" s="854">
        <v>3.2000000000000001E-2</v>
      </c>
      <c r="AD23" s="93">
        <v>0.11600000000000001</v>
      </c>
      <c r="AE23" s="93">
        <v>0.17599999999999999</v>
      </c>
      <c r="AF23" s="93">
        <v>0.749</v>
      </c>
      <c r="AG23" s="93">
        <v>1.3</v>
      </c>
      <c r="AH23" s="93">
        <v>1.8340000000000001</v>
      </c>
      <c r="AI23" s="93">
        <v>3.0470000000000002</v>
      </c>
      <c r="AJ23" s="93">
        <v>4.3140000000000001</v>
      </c>
      <c r="AK23" s="117">
        <v>1.3049999999999999</v>
      </c>
      <c r="AL23" s="854">
        <v>1.7000000000000001E-2</v>
      </c>
      <c r="AM23" s="854">
        <v>4.7E-2</v>
      </c>
      <c r="AN23" s="93">
        <f t="shared" si="1"/>
        <v>0.15033306549856146</v>
      </c>
      <c r="AO23" s="93">
        <f t="shared" si="2"/>
        <v>0.18228519347087577</v>
      </c>
      <c r="AP23" s="93">
        <f t="shared" si="3"/>
        <v>0.64421795037199503</v>
      </c>
      <c r="AQ23" s="93">
        <f t="shared" si="4"/>
        <v>0.95189280222596484</v>
      </c>
      <c r="AR23" s="93">
        <f t="shared" si="5"/>
        <v>1.1614946168461051</v>
      </c>
      <c r="AS23" s="93">
        <f t="shared" si="6"/>
        <v>2.3802827904069996</v>
      </c>
      <c r="AT23" s="93">
        <f t="shared" si="7"/>
        <v>3.5390244302613665</v>
      </c>
      <c r="AU23" s="117">
        <f t="shared" si="8"/>
        <v>1.1700258212595036</v>
      </c>
      <c r="AV23" s="123" t="s">
        <v>32</v>
      </c>
      <c r="AW23" s="71"/>
      <c r="AX23" s="511">
        <f t="shared" si="9"/>
        <v>-8.5005496398628253</v>
      </c>
    </row>
    <row r="24" spans="1:50" ht="12.75" customHeight="1">
      <c r="A24" s="5"/>
      <c r="B24" s="196" t="s">
        <v>35</v>
      </c>
      <c r="C24" s="197"/>
      <c r="D24" s="114"/>
      <c r="E24" s="250"/>
      <c r="F24" s="250"/>
      <c r="G24" s="250"/>
      <c r="H24" s="250">
        <v>7.23</v>
      </c>
      <c r="I24" s="250">
        <v>6.2179999999999991</v>
      </c>
      <c r="J24" s="250">
        <v>6.5519999999999996</v>
      </c>
      <c r="K24" s="250">
        <v>6.7450000000000001</v>
      </c>
      <c r="L24" s="250">
        <v>6.2399999999999993</v>
      </c>
      <c r="M24" s="250">
        <v>5.423</v>
      </c>
      <c r="N24" s="250">
        <v>5.8940000000000001</v>
      </c>
      <c r="O24" s="250">
        <v>4.056</v>
      </c>
      <c r="P24" s="250">
        <v>5.4279999999999999</v>
      </c>
      <c r="Q24" s="252">
        <v>5.8840000000000003</v>
      </c>
      <c r="R24" s="856">
        <v>13.093999999999999</v>
      </c>
      <c r="S24" s="856">
        <v>15.439</v>
      </c>
      <c r="T24" s="856">
        <v>13.037000000000001</v>
      </c>
      <c r="U24" s="857">
        <v>13</v>
      </c>
      <c r="V24" s="857">
        <v>13</v>
      </c>
      <c r="W24" s="857">
        <v>13</v>
      </c>
      <c r="X24" s="857">
        <v>12.5</v>
      </c>
      <c r="Y24" s="857">
        <v>11.1</v>
      </c>
      <c r="Z24" s="857">
        <v>10.35</v>
      </c>
      <c r="AA24" s="858">
        <v>9.6</v>
      </c>
      <c r="AB24" s="857">
        <v>0</v>
      </c>
      <c r="AC24" s="857">
        <v>0</v>
      </c>
      <c r="AD24" s="114">
        <v>2.3E-2</v>
      </c>
      <c r="AE24" s="114">
        <v>1.9E-2</v>
      </c>
      <c r="AF24" s="114">
        <v>2.4E-2</v>
      </c>
      <c r="AG24" s="114">
        <v>0.28499999999999998</v>
      </c>
      <c r="AH24" s="114">
        <v>0.28100000000000003</v>
      </c>
      <c r="AI24" s="114">
        <v>0.17799999999999999</v>
      </c>
      <c r="AJ24" s="114">
        <v>0.41599999999999998</v>
      </c>
      <c r="AK24" s="116">
        <v>0.186</v>
      </c>
      <c r="AL24" s="857">
        <v>0</v>
      </c>
      <c r="AM24" s="857">
        <v>0</v>
      </c>
      <c r="AN24" s="114">
        <f t="shared" si="1"/>
        <v>0.17642095574135153</v>
      </c>
      <c r="AO24" s="114">
        <f t="shared" si="2"/>
        <v>0.14615384615384616</v>
      </c>
      <c r="AP24" s="114">
        <f t="shared" si="3"/>
        <v>0.1846153846153846</v>
      </c>
      <c r="AQ24" s="114">
        <f t="shared" si="4"/>
        <v>2.1923076923076921</v>
      </c>
      <c r="AR24" s="114">
        <f t="shared" si="5"/>
        <v>2.2480000000000002</v>
      </c>
      <c r="AS24" s="114">
        <f t="shared" si="6"/>
        <v>1.6036036036036034</v>
      </c>
      <c r="AT24" s="114">
        <f t="shared" si="7"/>
        <v>4.0193236714975846</v>
      </c>
      <c r="AU24" s="116">
        <f t="shared" si="8"/>
        <v>1.9375</v>
      </c>
      <c r="AV24" s="196" t="s">
        <v>35</v>
      </c>
      <c r="AW24" s="71"/>
      <c r="AX24" s="512">
        <f t="shared" si="9"/>
        <v>-7.2463768115942031</v>
      </c>
    </row>
    <row r="25" spans="1:50" ht="12.75" customHeight="1">
      <c r="A25" s="5"/>
      <c r="B25" s="7" t="s">
        <v>43</v>
      </c>
      <c r="C25" s="98">
        <v>542.97799999999995</v>
      </c>
      <c r="D25" s="93">
        <v>611.48699999999997</v>
      </c>
      <c r="E25" s="244">
        <v>597.625</v>
      </c>
      <c r="F25" s="244">
        <v>530.23099999999999</v>
      </c>
      <c r="G25" s="244">
        <v>510.702</v>
      </c>
      <c r="H25" s="244">
        <v>488.84100000000001</v>
      </c>
      <c r="I25" s="244">
        <v>483.745</v>
      </c>
      <c r="J25" s="244">
        <v>465.15199999999999</v>
      </c>
      <c r="K25" s="244">
        <v>483.97</v>
      </c>
      <c r="L25" s="244">
        <v>505.53800000000001</v>
      </c>
      <c r="M25" s="244">
        <v>499.91800000000001</v>
      </c>
      <c r="N25" s="244">
        <v>387.15199999999999</v>
      </c>
      <c r="O25" s="244">
        <v>482.56700000000001</v>
      </c>
      <c r="P25" s="244">
        <v>555.798</v>
      </c>
      <c r="Q25" s="246">
        <v>502.67500000000001</v>
      </c>
      <c r="R25" s="859">
        <v>416.67399999999998</v>
      </c>
      <c r="S25" s="859">
        <v>387.83499999999998</v>
      </c>
      <c r="T25" s="859">
        <v>449.35</v>
      </c>
      <c r="U25" s="854">
        <v>382.82499999999999</v>
      </c>
      <c r="V25" s="854">
        <v>417.07499999999999</v>
      </c>
      <c r="W25" s="854">
        <v>447.36700000000002</v>
      </c>
      <c r="X25" s="854">
        <v>445.21699999999998</v>
      </c>
      <c r="Y25" s="854">
        <v>357.99599999999998</v>
      </c>
      <c r="Z25" s="854">
        <v>323.87700000000001</v>
      </c>
      <c r="AA25" s="855">
        <v>313.60899999999998</v>
      </c>
      <c r="AB25" s="854">
        <v>2.62</v>
      </c>
      <c r="AC25" s="854">
        <v>2.9140000000000001</v>
      </c>
      <c r="AD25" s="93">
        <v>3.2120000000000002</v>
      </c>
      <c r="AE25" s="93">
        <v>3.9950000000000001</v>
      </c>
      <c r="AF25" s="93">
        <v>7.9640000000000004</v>
      </c>
      <c r="AG25" s="93">
        <v>23.998000000000001</v>
      </c>
      <c r="AH25" s="93">
        <v>61.703000000000003</v>
      </c>
      <c r="AI25" s="93">
        <v>73.004999999999995</v>
      </c>
      <c r="AJ25" s="93">
        <v>63.78</v>
      </c>
      <c r="AK25" s="117">
        <v>73.216999999999999</v>
      </c>
      <c r="AL25" s="854">
        <v>0.628</v>
      </c>
      <c r="AM25" s="854">
        <v>0.751</v>
      </c>
      <c r="AN25" s="93">
        <f t="shared" si="1"/>
        <v>0.71481028151774784</v>
      </c>
      <c r="AO25" s="93">
        <f t="shared" si="2"/>
        <v>1.0435577613792202</v>
      </c>
      <c r="AP25" s="93">
        <f t="shared" si="3"/>
        <v>1.9094887010729489</v>
      </c>
      <c r="AQ25" s="93">
        <f t="shared" si="4"/>
        <v>5.3642758629939173</v>
      </c>
      <c r="AR25" s="93">
        <f t="shared" si="5"/>
        <v>13.85908444646094</v>
      </c>
      <c r="AS25" s="93">
        <f t="shared" si="6"/>
        <v>20.392685951798345</v>
      </c>
      <c r="AT25" s="93">
        <f t="shared" si="7"/>
        <v>19.692661102826072</v>
      </c>
      <c r="AU25" s="117">
        <f t="shared" si="8"/>
        <v>23.3465876298193</v>
      </c>
      <c r="AV25" s="7" t="s">
        <v>43</v>
      </c>
      <c r="AW25" s="71"/>
      <c r="AX25" s="171">
        <f t="shared" si="9"/>
        <v>-3.1703393572251315</v>
      </c>
    </row>
    <row r="26" spans="1:50" ht="12.75" customHeight="1">
      <c r="A26" s="5"/>
      <c r="B26" s="196" t="s">
        <v>52</v>
      </c>
      <c r="C26" s="197">
        <v>295.86500000000001</v>
      </c>
      <c r="D26" s="114">
        <v>314.18200000000002</v>
      </c>
      <c r="E26" s="250">
        <v>309.42700000000002</v>
      </c>
      <c r="F26" s="250">
        <v>293.52800000000002</v>
      </c>
      <c r="G26" s="250">
        <v>279.49299999999999</v>
      </c>
      <c r="H26" s="250">
        <v>300.12099999999998</v>
      </c>
      <c r="I26" s="250">
        <v>311.29199999999997</v>
      </c>
      <c r="J26" s="250">
        <v>307.91500000000002</v>
      </c>
      <c r="K26" s="250">
        <v>308.59399999999999</v>
      </c>
      <c r="L26" s="250">
        <v>298.18200000000002</v>
      </c>
      <c r="M26" s="250">
        <v>293.697</v>
      </c>
      <c r="N26" s="250">
        <v>319.40300000000002</v>
      </c>
      <c r="O26" s="250">
        <v>328.56299999999999</v>
      </c>
      <c r="P26" s="250">
        <v>356.14499999999998</v>
      </c>
      <c r="Q26" s="252">
        <v>336.01</v>
      </c>
      <c r="R26" s="856">
        <v>319.03500000000003</v>
      </c>
      <c r="S26" s="856">
        <v>303.31799999999998</v>
      </c>
      <c r="T26" s="856">
        <v>308.55500000000001</v>
      </c>
      <c r="U26" s="857">
        <v>329.60399999999998</v>
      </c>
      <c r="V26" s="857">
        <v>353.32</v>
      </c>
      <c r="W26" s="857">
        <v>341.06799999999998</v>
      </c>
      <c r="X26" s="857">
        <v>329.363</v>
      </c>
      <c r="Y26" s="857">
        <v>248.74</v>
      </c>
      <c r="Z26" s="857">
        <v>239.803</v>
      </c>
      <c r="AA26" s="858">
        <v>215.05</v>
      </c>
      <c r="AB26" s="857">
        <v>0.65400000000000003</v>
      </c>
      <c r="AC26" s="857">
        <v>1.284</v>
      </c>
      <c r="AD26" s="114">
        <v>1.6859999999999999</v>
      </c>
      <c r="AE26" s="114">
        <v>3.831</v>
      </c>
      <c r="AF26" s="114">
        <v>5.4329999999999998</v>
      </c>
      <c r="AG26" s="114">
        <v>6.7640000000000002</v>
      </c>
      <c r="AH26" s="114">
        <v>9.2609999999999992</v>
      </c>
      <c r="AI26" s="114">
        <v>15.986000000000001</v>
      </c>
      <c r="AJ26" s="114">
        <v>33.380000000000003</v>
      </c>
      <c r="AK26" s="116">
        <v>34.179000000000002</v>
      </c>
      <c r="AL26" s="857">
        <v>0.20399999999999999</v>
      </c>
      <c r="AM26" s="857">
        <v>0.42299999999999999</v>
      </c>
      <c r="AN26" s="114">
        <f t="shared" si="1"/>
        <v>0.54641798058692936</v>
      </c>
      <c r="AO26" s="114">
        <f t="shared" si="2"/>
        <v>1.1623038555357339</v>
      </c>
      <c r="AP26" s="114">
        <f t="shared" si="3"/>
        <v>1.5376995358315408</v>
      </c>
      <c r="AQ26" s="114">
        <f t="shared" si="4"/>
        <v>1.9831822393188456</v>
      </c>
      <c r="AR26" s="114">
        <f t="shared" si="5"/>
        <v>2.8117912455254532</v>
      </c>
      <c r="AS26" s="114">
        <f t="shared" si="6"/>
        <v>6.4267910267749455</v>
      </c>
      <c r="AT26" s="114">
        <f t="shared" si="7"/>
        <v>13.919759135623828</v>
      </c>
      <c r="AU26" s="116">
        <f t="shared" si="8"/>
        <v>15.893513136479889</v>
      </c>
      <c r="AV26" s="196" t="s">
        <v>52</v>
      </c>
      <c r="AW26" s="71"/>
      <c r="AX26" s="512">
        <f t="shared" si="9"/>
        <v>-10.322222824568499</v>
      </c>
    </row>
    <row r="27" spans="1:50" ht="12.75" customHeight="1">
      <c r="A27" s="5"/>
      <c r="B27" s="123" t="s">
        <v>36</v>
      </c>
      <c r="C27" s="98"/>
      <c r="D27" s="93"/>
      <c r="E27" s="267"/>
      <c r="F27" s="244"/>
      <c r="G27" s="244"/>
      <c r="H27" s="244">
        <v>358.43200000000002</v>
      </c>
      <c r="I27" s="244">
        <v>318.11099999999999</v>
      </c>
      <c r="J27" s="244">
        <v>235.52199999999999</v>
      </c>
      <c r="K27" s="244">
        <v>238.99299999999999</v>
      </c>
      <c r="L27" s="244">
        <v>293.30500000000001</v>
      </c>
      <c r="M27" s="244">
        <v>320.04000000000002</v>
      </c>
      <c r="N27" s="244">
        <v>320.20600000000002</v>
      </c>
      <c r="O27" s="244">
        <v>333.49</v>
      </c>
      <c r="P27" s="244">
        <v>297.93700000000001</v>
      </c>
      <c r="Q27" s="246">
        <v>271.21499999999997</v>
      </c>
      <c r="R27" s="859">
        <v>288.99799999999999</v>
      </c>
      <c r="S27" s="859">
        <v>325.04700000000003</v>
      </c>
      <c r="T27" s="859">
        <v>354.97500000000002</v>
      </c>
      <c r="U27" s="854">
        <v>416.12299999999999</v>
      </c>
      <c r="V27" s="854">
        <v>486.35199999999998</v>
      </c>
      <c r="W27" s="854">
        <v>531.88900000000001</v>
      </c>
      <c r="X27" s="854">
        <v>555.59799999999996</v>
      </c>
      <c r="Y27" s="854">
        <v>428.34699999999998</v>
      </c>
      <c r="Z27" s="854">
        <v>447.637</v>
      </c>
      <c r="AA27" s="855">
        <v>419.74900000000002</v>
      </c>
      <c r="AB27" s="854">
        <v>2.5999999999999999E-2</v>
      </c>
      <c r="AC27" s="854">
        <v>9.1999999999999998E-2</v>
      </c>
      <c r="AD27" s="93">
        <v>0.112</v>
      </c>
      <c r="AE27" s="93">
        <v>0.157</v>
      </c>
      <c r="AF27" s="93">
        <v>0.50800000000000001</v>
      </c>
      <c r="AG27" s="93">
        <v>0.69399999999999995</v>
      </c>
      <c r="AH27" s="93">
        <v>1.464</v>
      </c>
      <c r="AI27" s="93">
        <v>3.673</v>
      </c>
      <c r="AJ27" s="93">
        <v>7.2409999999999997</v>
      </c>
      <c r="AK27" s="117">
        <v>11.319000000000001</v>
      </c>
      <c r="AL27" s="854">
        <v>8.0000000000000002E-3</v>
      </c>
      <c r="AM27" s="854">
        <v>2.8000000000000001E-2</v>
      </c>
      <c r="AN27" s="93">
        <f t="shared" si="1"/>
        <v>3.1551517712514965E-2</v>
      </c>
      <c r="AO27" s="93">
        <f t="shared" si="2"/>
        <v>3.7729229098127239E-2</v>
      </c>
      <c r="AP27" s="93">
        <f t="shared" si="3"/>
        <v>0.10445109714774484</v>
      </c>
      <c r="AQ27" s="93">
        <f t="shared" si="4"/>
        <v>0.13047835168616007</v>
      </c>
      <c r="AR27" s="93">
        <f t="shared" si="5"/>
        <v>0.26349986861003821</v>
      </c>
      <c r="AS27" s="93">
        <f t="shared" si="6"/>
        <v>0.8574823682668492</v>
      </c>
      <c r="AT27" s="93">
        <f t="shared" si="7"/>
        <v>1.6176053364668246</v>
      </c>
      <c r="AU27" s="117">
        <f t="shared" si="8"/>
        <v>2.6966115464241729</v>
      </c>
      <c r="AV27" s="123" t="s">
        <v>36</v>
      </c>
      <c r="AW27" s="71"/>
      <c r="AX27" s="511">
        <f t="shared" si="9"/>
        <v>-6.2300480076490459</v>
      </c>
    </row>
    <row r="28" spans="1:50" ht="12.75" customHeight="1">
      <c r="A28" s="5"/>
      <c r="B28" s="196" t="s">
        <v>53</v>
      </c>
      <c r="C28" s="197">
        <v>248.398</v>
      </c>
      <c r="D28" s="114">
        <v>272.88299999999998</v>
      </c>
      <c r="E28" s="250">
        <v>257.83600000000001</v>
      </c>
      <c r="F28" s="250">
        <v>255.21</v>
      </c>
      <c r="G28" s="250">
        <v>226.09200000000001</v>
      </c>
      <c r="H28" s="250">
        <v>189.792</v>
      </c>
      <c r="I28" s="250">
        <v>197.64500000000001</v>
      </c>
      <c r="J28" s="250">
        <v>206.488</v>
      </c>
      <c r="K28" s="250">
        <v>194.702</v>
      </c>
      <c r="L28" s="250">
        <v>201.816</v>
      </c>
      <c r="M28" s="250">
        <v>213.38900000000001</v>
      </c>
      <c r="N28" s="250">
        <v>161.01300000000001</v>
      </c>
      <c r="O28" s="250">
        <v>223.464</v>
      </c>
      <c r="P28" s="250">
        <v>153.404</v>
      </c>
      <c r="Q28" s="252">
        <v>95.29</v>
      </c>
      <c r="R28" s="856">
        <v>105.92100000000001</v>
      </c>
      <c r="S28" s="856">
        <v>142.82599999999999</v>
      </c>
      <c r="T28" s="856">
        <v>178.495</v>
      </c>
      <c r="U28" s="857">
        <v>207.33</v>
      </c>
      <c r="V28" s="857">
        <v>222.13399999999999</v>
      </c>
      <c r="W28" s="857">
        <v>227.95400000000001</v>
      </c>
      <c r="X28" s="857">
        <v>223.79900000000001</v>
      </c>
      <c r="Y28" s="857">
        <v>145.417</v>
      </c>
      <c r="Z28" s="857">
        <v>146.637</v>
      </c>
      <c r="AA28" s="858">
        <v>156.304</v>
      </c>
      <c r="AB28" s="857">
        <v>0.16700000000000001</v>
      </c>
      <c r="AC28" s="857">
        <v>0.19800000000000001</v>
      </c>
      <c r="AD28" s="114">
        <v>0.69199999999999995</v>
      </c>
      <c r="AE28" s="114">
        <v>0.82</v>
      </c>
      <c r="AF28" s="114">
        <v>1.9119999999999999</v>
      </c>
      <c r="AG28" s="114">
        <v>4.4580000000000002</v>
      </c>
      <c r="AH28" s="114">
        <v>6.88</v>
      </c>
      <c r="AI28" s="114">
        <v>7.9080000000000004</v>
      </c>
      <c r="AJ28" s="114">
        <v>13.548999999999999</v>
      </c>
      <c r="AK28" s="116">
        <v>17.806000000000001</v>
      </c>
      <c r="AL28" s="857">
        <v>0.157</v>
      </c>
      <c r="AM28" s="857">
        <v>0.13800000000000001</v>
      </c>
      <c r="AN28" s="114">
        <f t="shared" si="1"/>
        <v>0.3876859295778593</v>
      </c>
      <c r="AO28" s="114">
        <f t="shared" si="2"/>
        <v>0.39550475088023912</v>
      </c>
      <c r="AP28" s="114">
        <f t="shared" si="3"/>
        <v>0.86074171446064096</v>
      </c>
      <c r="AQ28" s="114">
        <f t="shared" si="4"/>
        <v>1.9556577204172771</v>
      </c>
      <c r="AR28" s="114">
        <f t="shared" si="5"/>
        <v>3.0741871053936789</v>
      </c>
      <c r="AS28" s="114">
        <f t="shared" si="6"/>
        <v>5.4381537234298598</v>
      </c>
      <c r="AT28" s="114">
        <f t="shared" si="7"/>
        <v>9.2398235097553822</v>
      </c>
      <c r="AU28" s="116">
        <f t="shared" si="8"/>
        <v>11.391902958337599</v>
      </c>
      <c r="AV28" s="196" t="s">
        <v>53</v>
      </c>
      <c r="AW28" s="71"/>
      <c r="AX28" s="512">
        <f t="shared" si="9"/>
        <v>6.592469840490466</v>
      </c>
    </row>
    <row r="29" spans="1:50" ht="12.75" customHeight="1">
      <c r="A29" s="5"/>
      <c r="B29" s="7" t="s">
        <v>37</v>
      </c>
      <c r="C29" s="98"/>
      <c r="D29" s="93"/>
      <c r="E29" s="244"/>
      <c r="F29" s="244"/>
      <c r="G29" s="244">
        <v>88.8</v>
      </c>
      <c r="H29" s="244">
        <v>106.76</v>
      </c>
      <c r="I29" s="244">
        <v>145.12</v>
      </c>
      <c r="J29" s="244">
        <v>172.5</v>
      </c>
      <c r="K29" s="244">
        <v>256.36399999999998</v>
      </c>
      <c r="L29" s="244">
        <v>315.62099999999998</v>
      </c>
      <c r="M29" s="244">
        <v>270.995</v>
      </c>
      <c r="N29" s="244">
        <v>130.19499999999999</v>
      </c>
      <c r="O29" s="244">
        <v>106.328</v>
      </c>
      <c r="P29" s="244">
        <v>94.619</v>
      </c>
      <c r="Q29" s="246">
        <v>72.147999999999996</v>
      </c>
      <c r="R29" s="859">
        <v>57.71</v>
      </c>
      <c r="S29" s="859">
        <v>70.171999999999997</v>
      </c>
      <c r="T29" s="859">
        <v>81.162000000000006</v>
      </c>
      <c r="U29" s="854">
        <v>94.924000000000007</v>
      </c>
      <c r="V29" s="854">
        <v>105.083</v>
      </c>
      <c r="W29" s="854">
        <v>127.919</v>
      </c>
      <c r="X29" s="854">
        <v>161.56200000000001</v>
      </c>
      <c r="Y29" s="854">
        <v>126.351</v>
      </c>
      <c r="Z29" s="854">
        <v>120.679</v>
      </c>
      <c r="AA29" s="855">
        <v>129.328</v>
      </c>
      <c r="AB29" s="854">
        <v>3.6999999999999998E-2</v>
      </c>
      <c r="AC29" s="854">
        <v>1.7000000000000001E-2</v>
      </c>
      <c r="AD29" s="93">
        <v>2.8000000000000001E-2</v>
      </c>
      <c r="AE29" s="93">
        <v>6.9000000000000006E-2</v>
      </c>
      <c r="AF29" s="93">
        <v>0.23200000000000001</v>
      </c>
      <c r="AG29" s="93">
        <v>0.47199999999999998</v>
      </c>
      <c r="AH29" s="93">
        <v>1.506</v>
      </c>
      <c r="AI29" s="93">
        <v>2.8439999999999999</v>
      </c>
      <c r="AJ29" s="93">
        <v>6.3440000000000003</v>
      </c>
      <c r="AK29" s="117">
        <v>11.555999999999999</v>
      </c>
      <c r="AL29" s="854">
        <v>6.4000000000000001E-2</v>
      </c>
      <c r="AM29" s="854">
        <v>2.4E-2</v>
      </c>
      <c r="AN29" s="93">
        <f t="shared" si="1"/>
        <v>3.4498903427712474E-2</v>
      </c>
      <c r="AO29" s="93">
        <f t="shared" si="2"/>
        <v>7.2689730731953978E-2</v>
      </c>
      <c r="AP29" s="93">
        <f t="shared" si="3"/>
        <v>0.22077786130963148</v>
      </c>
      <c r="AQ29" s="93">
        <f t="shared" si="4"/>
        <v>0.36898349736942909</v>
      </c>
      <c r="AR29" s="93">
        <f t="shared" si="5"/>
        <v>0.93214988673079058</v>
      </c>
      <c r="AS29" s="93">
        <f t="shared" si="6"/>
        <v>2.2508725692713156</v>
      </c>
      <c r="AT29" s="93">
        <f t="shared" si="7"/>
        <v>5.2569212539049879</v>
      </c>
      <c r="AU29" s="117">
        <f t="shared" si="8"/>
        <v>8.9354200173203022</v>
      </c>
      <c r="AV29" s="7" t="s">
        <v>37</v>
      </c>
      <c r="AW29" s="71"/>
      <c r="AX29" s="171">
        <f t="shared" si="9"/>
        <v>7.1669470247516216</v>
      </c>
    </row>
    <row r="30" spans="1:50" ht="12.75" customHeight="1">
      <c r="A30" s="5"/>
      <c r="B30" s="196" t="s">
        <v>39</v>
      </c>
      <c r="C30" s="197"/>
      <c r="D30" s="114"/>
      <c r="E30" s="250"/>
      <c r="F30" s="250"/>
      <c r="G30" s="250"/>
      <c r="H30" s="250">
        <v>59.548000000000002</v>
      </c>
      <c r="I30" s="250">
        <v>62.002000000000002</v>
      </c>
      <c r="J30" s="250">
        <v>59.323999999999998</v>
      </c>
      <c r="K30" s="250">
        <v>59.578000000000003</v>
      </c>
      <c r="L30" s="250">
        <v>68.718999999999994</v>
      </c>
      <c r="M30" s="250">
        <v>71.575000000000003</v>
      </c>
      <c r="N30" s="250">
        <v>57.966999999999999</v>
      </c>
      <c r="O30" s="250">
        <v>61.142000000000003</v>
      </c>
      <c r="P30" s="250">
        <v>60.192999999999998</v>
      </c>
      <c r="Q30" s="252">
        <v>50.091000000000001</v>
      </c>
      <c r="R30" s="856">
        <v>51.585000000000001</v>
      </c>
      <c r="S30" s="856">
        <v>53.959000000000003</v>
      </c>
      <c r="T30" s="856">
        <v>59.45</v>
      </c>
      <c r="U30" s="857">
        <v>63.673999999999999</v>
      </c>
      <c r="V30" s="857">
        <v>70.891999999999996</v>
      </c>
      <c r="W30" s="857">
        <v>72.787999999999997</v>
      </c>
      <c r="X30" s="857">
        <v>73.192999999999998</v>
      </c>
      <c r="Y30" s="857">
        <v>53.503</v>
      </c>
      <c r="Z30" s="857">
        <v>53.981000000000002</v>
      </c>
      <c r="AA30" s="858">
        <v>46.338999999999999</v>
      </c>
      <c r="AB30" s="857">
        <v>0</v>
      </c>
      <c r="AC30" s="857">
        <v>1.2999999999999999E-2</v>
      </c>
      <c r="AD30" s="114">
        <v>0.123</v>
      </c>
      <c r="AE30" s="114">
        <v>0.151</v>
      </c>
      <c r="AF30" s="114">
        <v>0.29699999999999999</v>
      </c>
      <c r="AG30" s="114">
        <v>0.52100000000000002</v>
      </c>
      <c r="AH30" s="114">
        <v>0.69499999999999995</v>
      </c>
      <c r="AI30" s="114">
        <v>1.72</v>
      </c>
      <c r="AJ30" s="114">
        <v>1.742</v>
      </c>
      <c r="AK30" s="116">
        <v>2.2930000000000001</v>
      </c>
      <c r="AL30" s="857">
        <v>0</v>
      </c>
      <c r="AM30" s="857">
        <v>2.4E-2</v>
      </c>
      <c r="AN30" s="114">
        <f t="shared" si="1"/>
        <v>0.20689655172413793</v>
      </c>
      <c r="AO30" s="114">
        <f t="shared" si="2"/>
        <v>0.23714545968527184</v>
      </c>
      <c r="AP30" s="114">
        <f t="shared" si="3"/>
        <v>0.41894713084692209</v>
      </c>
      <c r="AQ30" s="114">
        <f t="shared" si="4"/>
        <v>0.71577732593284615</v>
      </c>
      <c r="AR30" s="114">
        <f t="shared" si="5"/>
        <v>0.94954435533452641</v>
      </c>
      <c r="AS30" s="114">
        <f t="shared" si="6"/>
        <v>3.2147730033829878</v>
      </c>
      <c r="AT30" s="114">
        <f t="shared" si="7"/>
        <v>3.2270613734462126</v>
      </c>
      <c r="AU30" s="116">
        <f t="shared" si="8"/>
        <v>4.948315673622651</v>
      </c>
      <c r="AV30" s="196" t="s">
        <v>39</v>
      </c>
      <c r="AW30" s="71"/>
      <c r="AX30" s="512">
        <f t="shared" si="9"/>
        <v>-14.156832959745103</v>
      </c>
    </row>
    <row r="31" spans="1:50" ht="12.75" customHeight="1">
      <c r="A31" s="5"/>
      <c r="B31" s="123" t="s">
        <v>38</v>
      </c>
      <c r="C31" s="98"/>
      <c r="D31" s="93"/>
      <c r="E31" s="244"/>
      <c r="F31" s="244"/>
      <c r="G31" s="244"/>
      <c r="H31" s="244">
        <v>59.741999999999997</v>
      </c>
      <c r="I31" s="244">
        <v>57.43</v>
      </c>
      <c r="J31" s="244">
        <v>57.125</v>
      </c>
      <c r="K31" s="244">
        <v>59.084000000000003</v>
      </c>
      <c r="L31" s="244">
        <v>59.7</v>
      </c>
      <c r="M31" s="244">
        <v>70.040000000000006</v>
      </c>
      <c r="N31" s="244">
        <v>74.716999999999999</v>
      </c>
      <c r="O31" s="244">
        <v>64.033000000000001</v>
      </c>
      <c r="P31" s="244">
        <v>68.254000000000005</v>
      </c>
      <c r="Q31" s="246">
        <v>69.194999999999993</v>
      </c>
      <c r="R31" s="859">
        <v>66</v>
      </c>
      <c r="S31" s="859">
        <v>72.251999999999995</v>
      </c>
      <c r="T31" s="859">
        <v>77.968000000000004</v>
      </c>
      <c r="U31" s="854">
        <v>88.162999999999997</v>
      </c>
      <c r="V31" s="854">
        <v>96.084999999999994</v>
      </c>
      <c r="W31" s="854">
        <v>98.08</v>
      </c>
      <c r="X31" s="854">
        <v>101.568</v>
      </c>
      <c r="Y31" s="854">
        <v>76.311000000000007</v>
      </c>
      <c r="Z31" s="854">
        <v>75.7</v>
      </c>
      <c r="AA31" s="855">
        <v>79.058999999999997</v>
      </c>
      <c r="AB31" s="854">
        <v>0</v>
      </c>
      <c r="AC31" s="854">
        <v>2.4E-2</v>
      </c>
      <c r="AD31" s="93">
        <v>1.4999999999999999E-2</v>
      </c>
      <c r="AE31" s="93">
        <v>5.5E-2</v>
      </c>
      <c r="AF31" s="93">
        <v>0.214</v>
      </c>
      <c r="AG31" s="93">
        <v>0.30099999999999999</v>
      </c>
      <c r="AH31" s="93">
        <v>0.16600000000000001</v>
      </c>
      <c r="AI31" s="93">
        <v>0.90700000000000003</v>
      </c>
      <c r="AJ31" s="93">
        <v>1.1379999999999999</v>
      </c>
      <c r="AK31" s="117">
        <v>1.5089999999999999</v>
      </c>
      <c r="AL31" s="854">
        <v>0</v>
      </c>
      <c r="AM31" s="854">
        <v>3.3000000000000002E-2</v>
      </c>
      <c r="AN31" s="93">
        <f t="shared" si="1"/>
        <v>1.9238662015185714E-2</v>
      </c>
      <c r="AO31" s="93">
        <f t="shared" si="2"/>
        <v>6.2384446990234002E-2</v>
      </c>
      <c r="AP31" s="93">
        <f t="shared" si="3"/>
        <v>0.22271946713847118</v>
      </c>
      <c r="AQ31" s="93">
        <f t="shared" si="4"/>
        <v>0.30689233278955957</v>
      </c>
      <c r="AR31" s="93">
        <f t="shared" si="5"/>
        <v>0.16343730308758664</v>
      </c>
      <c r="AS31" s="93">
        <f t="shared" si="6"/>
        <v>1.1885573508406388</v>
      </c>
      <c r="AT31" s="93">
        <f t="shared" si="7"/>
        <v>1.5033025099075294</v>
      </c>
      <c r="AU31" s="117">
        <f t="shared" si="8"/>
        <v>1.9087010966493376</v>
      </c>
      <c r="AV31" s="123" t="s">
        <v>38</v>
      </c>
      <c r="AW31" s="71"/>
      <c r="AX31" s="511">
        <f t="shared" si="9"/>
        <v>4.4372523117569358</v>
      </c>
    </row>
    <row r="32" spans="1:50" ht="12.75" customHeight="1">
      <c r="A32" s="5"/>
      <c r="B32" s="196" t="s">
        <v>54</v>
      </c>
      <c r="C32" s="197">
        <v>125.751</v>
      </c>
      <c r="D32" s="114">
        <v>136.32400000000001</v>
      </c>
      <c r="E32" s="250">
        <v>134.64599999999999</v>
      </c>
      <c r="F32" s="250">
        <v>109.48699999999999</v>
      </c>
      <c r="G32" s="250">
        <v>116.877</v>
      </c>
      <c r="H32" s="250">
        <v>147.22200000000001</v>
      </c>
      <c r="I32" s="250">
        <v>142.43899999999999</v>
      </c>
      <c r="J32" s="250">
        <v>147.94900000000001</v>
      </c>
      <c r="K32" s="250">
        <v>145.68899999999999</v>
      </c>
      <c r="L32" s="250">
        <v>125.285</v>
      </c>
      <c r="M32" s="250">
        <v>139.61099999999999</v>
      </c>
      <c r="N32" s="250">
        <v>88.343999999999994</v>
      </c>
      <c r="O32" s="250">
        <v>107.346</v>
      </c>
      <c r="P32" s="250">
        <v>121.17100000000001</v>
      </c>
      <c r="Q32" s="252">
        <v>107.166</v>
      </c>
      <c r="R32" s="856">
        <v>103.31399999999999</v>
      </c>
      <c r="S32" s="856">
        <v>106.259</v>
      </c>
      <c r="T32" s="856">
        <v>108.812</v>
      </c>
      <c r="U32" s="857">
        <v>118.986</v>
      </c>
      <c r="V32" s="857">
        <v>118.581</v>
      </c>
      <c r="W32" s="857">
        <v>120.455</v>
      </c>
      <c r="X32" s="857">
        <v>114.203</v>
      </c>
      <c r="Y32" s="857">
        <v>96.394999999999996</v>
      </c>
      <c r="Z32" s="857">
        <v>98.466999999999999</v>
      </c>
      <c r="AA32" s="858">
        <v>81.674000000000007</v>
      </c>
      <c r="AB32" s="857">
        <v>5.0999999999999997E-2</v>
      </c>
      <c r="AC32" s="857">
        <v>0.183</v>
      </c>
      <c r="AD32" s="114">
        <v>0.24299999999999999</v>
      </c>
      <c r="AE32" s="114">
        <v>0.223</v>
      </c>
      <c r="AF32" s="114">
        <v>0.502</v>
      </c>
      <c r="AG32" s="114">
        <v>0.77600000000000002</v>
      </c>
      <c r="AH32" s="114">
        <v>1.897</v>
      </c>
      <c r="AI32" s="114">
        <v>4.2450000000000001</v>
      </c>
      <c r="AJ32" s="114">
        <v>10.154</v>
      </c>
      <c r="AK32" s="116">
        <v>14.529</v>
      </c>
      <c r="AL32" s="857">
        <v>4.9000000000000002E-2</v>
      </c>
      <c r="AM32" s="857">
        <v>0.17199999999999999</v>
      </c>
      <c r="AN32" s="114">
        <f t="shared" si="1"/>
        <v>0.22332095724736245</v>
      </c>
      <c r="AO32" s="114">
        <f t="shared" si="2"/>
        <v>0.18741700704284536</v>
      </c>
      <c r="AP32" s="114">
        <f t="shared" si="3"/>
        <v>0.4233393208018148</v>
      </c>
      <c r="AQ32" s="114">
        <f t="shared" si="4"/>
        <v>0.64422398406043746</v>
      </c>
      <c r="AR32" s="114">
        <f t="shared" si="5"/>
        <v>1.6610772046268485</v>
      </c>
      <c r="AS32" s="114">
        <f t="shared" si="6"/>
        <v>4.4037553815031902</v>
      </c>
      <c r="AT32" s="114">
        <f t="shared" si="7"/>
        <v>10.312084251576669</v>
      </c>
      <c r="AU32" s="116">
        <f t="shared" si="8"/>
        <v>17.789014863971396</v>
      </c>
      <c r="AV32" s="196" t="s">
        <v>54</v>
      </c>
      <c r="AW32" s="71"/>
      <c r="AX32" s="512">
        <f t="shared" si="9"/>
        <v>-17.05444463627407</v>
      </c>
    </row>
    <row r="33" spans="1:50" ht="12.75" customHeight="1">
      <c r="A33" s="5"/>
      <c r="B33" s="124" t="s">
        <v>55</v>
      </c>
      <c r="C33" s="377">
        <v>253.43</v>
      </c>
      <c r="D33" s="94">
        <v>295.24900000000002</v>
      </c>
      <c r="E33" s="258">
        <v>290.529</v>
      </c>
      <c r="F33" s="258">
        <v>246.58099999999999</v>
      </c>
      <c r="G33" s="258">
        <v>254.589</v>
      </c>
      <c r="H33" s="258">
        <v>261.20600000000002</v>
      </c>
      <c r="I33" s="258">
        <v>264.24599999999998</v>
      </c>
      <c r="J33" s="258">
        <v>274.30099999999999</v>
      </c>
      <c r="K33" s="258">
        <v>282.76600000000002</v>
      </c>
      <c r="L33" s="258">
        <v>306.79899999999998</v>
      </c>
      <c r="M33" s="258">
        <v>253.982</v>
      </c>
      <c r="N33" s="258">
        <v>213.40799999999999</v>
      </c>
      <c r="O33" s="258">
        <v>289.68400000000003</v>
      </c>
      <c r="P33" s="258">
        <v>304.98399999999998</v>
      </c>
      <c r="Q33" s="1047">
        <v>279.47800000000001</v>
      </c>
      <c r="R33" s="860">
        <v>269.55799999999999</v>
      </c>
      <c r="S33" s="860">
        <v>303.94799999999998</v>
      </c>
      <c r="T33" s="860">
        <v>345</v>
      </c>
      <c r="U33" s="861">
        <v>372.31799999999998</v>
      </c>
      <c r="V33" s="861">
        <v>379.39299999999997</v>
      </c>
      <c r="W33" s="861">
        <v>353.72899999999998</v>
      </c>
      <c r="X33" s="861">
        <v>356.036</v>
      </c>
      <c r="Y33" s="861">
        <v>292.024</v>
      </c>
      <c r="Z33" s="861">
        <v>301.00599999999997</v>
      </c>
      <c r="AA33" s="862">
        <v>288.08699999999999</v>
      </c>
      <c r="AB33" s="861">
        <v>0.45500000000000002</v>
      </c>
      <c r="AC33" s="861">
        <v>1.266</v>
      </c>
      <c r="AD33" s="94">
        <v>2.9169999999999998</v>
      </c>
      <c r="AE33" s="94">
        <v>3.012</v>
      </c>
      <c r="AF33" s="94">
        <v>4.3730000000000002</v>
      </c>
      <c r="AG33" s="94">
        <v>7.1520000000000001</v>
      </c>
      <c r="AH33" s="94">
        <v>15.797000000000001</v>
      </c>
      <c r="AI33" s="94">
        <v>27.986000000000001</v>
      </c>
      <c r="AJ33" s="94">
        <v>57.606000000000002</v>
      </c>
      <c r="AK33" s="125">
        <v>95.373000000000005</v>
      </c>
      <c r="AL33" s="861">
        <v>0.155</v>
      </c>
      <c r="AM33" s="861">
        <v>0.39</v>
      </c>
      <c r="AN33" s="94">
        <f t="shared" si="1"/>
        <v>0.84550724637681152</v>
      </c>
      <c r="AO33" s="94">
        <f t="shared" si="2"/>
        <v>0.80898586692021346</v>
      </c>
      <c r="AP33" s="94">
        <f t="shared" si="3"/>
        <v>1.1526306494848351</v>
      </c>
      <c r="AQ33" s="94">
        <f t="shared" si="4"/>
        <v>2.0218868116552504</v>
      </c>
      <c r="AR33" s="94">
        <f t="shared" si="5"/>
        <v>4.4369108741812626</v>
      </c>
      <c r="AS33" s="94">
        <f t="shared" si="6"/>
        <v>9.5834588937895528</v>
      </c>
      <c r="AT33" s="94">
        <f t="shared" si="7"/>
        <v>19.137824495192788</v>
      </c>
      <c r="AU33" s="125">
        <f t="shared" si="8"/>
        <v>33.105624342646493</v>
      </c>
      <c r="AV33" s="124" t="s">
        <v>55</v>
      </c>
      <c r="AW33" s="71"/>
      <c r="AX33" s="513">
        <f t="shared" si="9"/>
        <v>-4.2919410244313951</v>
      </c>
    </row>
    <row r="34" spans="1:50" ht="12.75" customHeight="1">
      <c r="A34" s="5"/>
      <c r="B34" s="196" t="s">
        <v>26</v>
      </c>
      <c r="C34" s="197">
        <v>13.569000000000001</v>
      </c>
      <c r="D34" s="114">
        <v>15.377000000000001</v>
      </c>
      <c r="E34" s="250">
        <v>13.569000000000001</v>
      </c>
      <c r="F34" s="250">
        <v>7.2450000000000001</v>
      </c>
      <c r="G34" s="250">
        <v>6.9429999999999996</v>
      </c>
      <c r="H34" s="250">
        <v>9.8849999999999998</v>
      </c>
      <c r="I34" s="250">
        <v>11.968</v>
      </c>
      <c r="J34" s="250">
        <v>18.059999999999999</v>
      </c>
      <c r="K34" s="250">
        <v>17.129000000000001</v>
      </c>
      <c r="L34" s="250">
        <v>15.942</v>
      </c>
      <c r="M34" s="250">
        <v>9.0329999999999995</v>
      </c>
      <c r="N34" s="250">
        <v>2.113</v>
      </c>
      <c r="O34" s="250">
        <v>3.1059999999999999</v>
      </c>
      <c r="P34" s="250">
        <v>5.0380000000000003</v>
      </c>
      <c r="Q34" s="1048">
        <v>7.93</v>
      </c>
      <c r="R34" s="856">
        <v>7.274</v>
      </c>
      <c r="S34" s="856">
        <v>9.52</v>
      </c>
      <c r="T34" s="856">
        <v>14.029</v>
      </c>
      <c r="U34" s="857">
        <v>18.442</v>
      </c>
      <c r="V34" s="857">
        <v>21.277000000000001</v>
      </c>
      <c r="W34" s="857">
        <v>17.978000000000002</v>
      </c>
      <c r="X34" s="863">
        <v>11.723000000000001</v>
      </c>
      <c r="Y34" s="863">
        <v>9.3689999999999998</v>
      </c>
      <c r="Z34" s="857">
        <v>12.755000000000001</v>
      </c>
      <c r="AA34" s="858">
        <v>16.626999999999999</v>
      </c>
      <c r="AB34" s="857">
        <v>5.2999999999999999E-2</v>
      </c>
      <c r="AC34" s="857">
        <v>0.13400000000000001</v>
      </c>
      <c r="AD34" s="114">
        <v>0.25600000000000001</v>
      </c>
      <c r="AE34" s="114">
        <v>0.22600000000000001</v>
      </c>
      <c r="AF34" s="114">
        <v>0.84199999999999997</v>
      </c>
      <c r="AG34" s="114">
        <v>0.77900000000000003</v>
      </c>
      <c r="AH34" s="114">
        <v>1.1459999999999999</v>
      </c>
      <c r="AI34" s="114">
        <v>2.5309999999999997</v>
      </c>
      <c r="AJ34" s="114">
        <v>4.2690000000000001</v>
      </c>
      <c r="AK34" s="116">
        <v>6.851</v>
      </c>
      <c r="AL34" s="857">
        <f t="shared" ref="AL34:AM37" si="10">AB34/R34*100</f>
        <v>0.72862249106406374</v>
      </c>
      <c r="AM34" s="857">
        <f t="shared" si="10"/>
        <v>1.4075630252100841</v>
      </c>
      <c r="AN34" s="114">
        <f t="shared" si="1"/>
        <v>1.8247915033145627</v>
      </c>
      <c r="AO34" s="114">
        <f t="shared" si="2"/>
        <v>1.2254636156599068</v>
      </c>
      <c r="AP34" s="114">
        <f t="shared" si="3"/>
        <v>3.9573248108285943</v>
      </c>
      <c r="AQ34" s="114">
        <f t="shared" si="4"/>
        <v>4.3330737568138833</v>
      </c>
      <c r="AR34" s="114">
        <f t="shared" si="5"/>
        <v>9.7756546958969537</v>
      </c>
      <c r="AS34" s="114">
        <f t="shared" si="6"/>
        <v>27.014622691856115</v>
      </c>
      <c r="AT34" s="114">
        <f t="shared" si="7"/>
        <v>33.469227753822025</v>
      </c>
      <c r="AU34" s="116">
        <f t="shared" si="8"/>
        <v>41.204065676309618</v>
      </c>
      <c r="AV34" s="196" t="s">
        <v>26</v>
      </c>
      <c r="AW34" s="366"/>
      <c r="AX34" s="512">
        <f t="shared" si="9"/>
        <v>30.356722853782827</v>
      </c>
    </row>
    <row r="35" spans="1:50" ht="12.75" customHeight="1">
      <c r="A35" s="5"/>
      <c r="B35" s="107" t="s">
        <v>65</v>
      </c>
      <c r="C35" s="197"/>
      <c r="D35" s="114"/>
      <c r="E35" s="250"/>
      <c r="F35" s="250"/>
      <c r="G35" s="250"/>
      <c r="H35" s="250"/>
      <c r="I35" s="250"/>
      <c r="J35" s="250"/>
      <c r="K35" s="250"/>
      <c r="L35" s="250"/>
      <c r="M35" s="250"/>
      <c r="N35" s="250"/>
      <c r="O35" s="250"/>
      <c r="P35" s="250"/>
      <c r="Q35" s="252"/>
      <c r="R35" s="856">
        <v>2.024</v>
      </c>
      <c r="S35" s="856">
        <v>1.8</v>
      </c>
      <c r="T35" s="856">
        <v>2.0489999999999999</v>
      </c>
      <c r="U35" s="857">
        <v>1.984</v>
      </c>
      <c r="V35" s="857">
        <v>2.024</v>
      </c>
      <c r="W35" s="857">
        <v>1.849</v>
      </c>
      <c r="X35" s="857">
        <v>1.9530000000000001</v>
      </c>
      <c r="Y35" s="857">
        <v>1.6879999999999999</v>
      </c>
      <c r="Z35" s="857">
        <v>1.6919999999999999</v>
      </c>
      <c r="AA35" s="858">
        <v>1.6919999999999999</v>
      </c>
      <c r="AB35" s="857">
        <v>0</v>
      </c>
      <c r="AC35" s="857">
        <v>0</v>
      </c>
      <c r="AD35" s="114">
        <v>7.0000000000000001E-3</v>
      </c>
      <c r="AE35" s="114">
        <v>4.2999999999999997E-2</v>
      </c>
      <c r="AF35" s="114">
        <v>5.5E-2</v>
      </c>
      <c r="AG35" s="114">
        <v>4.2000000000000003E-2</v>
      </c>
      <c r="AH35" s="114">
        <v>8.4000000000000005E-2</v>
      </c>
      <c r="AI35" s="114">
        <v>5.6000000000000001E-2</v>
      </c>
      <c r="AJ35" s="114">
        <v>5.6000000000000001E-2</v>
      </c>
      <c r="AK35" s="116">
        <v>0.10100000000000001</v>
      </c>
      <c r="AL35" s="857">
        <f t="shared" si="10"/>
        <v>0</v>
      </c>
      <c r="AM35" s="857">
        <f t="shared" si="10"/>
        <v>0</v>
      </c>
      <c r="AN35" s="114">
        <f t="shared" si="1"/>
        <v>0.34163006344558322</v>
      </c>
      <c r="AO35" s="114">
        <f t="shared" si="2"/>
        <v>2.167338709677419</v>
      </c>
      <c r="AP35" s="114">
        <f t="shared" si="3"/>
        <v>2.7173913043478262</v>
      </c>
      <c r="AQ35" s="114">
        <f t="shared" si="4"/>
        <v>2.271498107084911</v>
      </c>
      <c r="AR35" s="114">
        <f t="shared" si="5"/>
        <v>4.3010752688172049</v>
      </c>
      <c r="AS35" s="114">
        <f t="shared" si="6"/>
        <v>3.3175355450236967</v>
      </c>
      <c r="AT35" s="114">
        <f t="shared" si="7"/>
        <v>3.3096926713947989</v>
      </c>
      <c r="AU35" s="116">
        <f t="shared" si="8"/>
        <v>5.9692671394799053</v>
      </c>
      <c r="AV35" s="107" t="s">
        <v>65</v>
      </c>
      <c r="AW35" s="366"/>
      <c r="AX35" s="192">
        <f t="shared" si="9"/>
        <v>0</v>
      </c>
    </row>
    <row r="36" spans="1:50" ht="12.75" customHeight="1">
      <c r="A36" s="5"/>
      <c r="B36" s="123" t="s">
        <v>56</v>
      </c>
      <c r="C36" s="98">
        <v>117.977</v>
      </c>
      <c r="D36" s="93">
        <v>101.27800000000001</v>
      </c>
      <c r="E36" s="244">
        <v>97.376000000000005</v>
      </c>
      <c r="F36" s="244">
        <v>91.915999999999997</v>
      </c>
      <c r="G36" s="244">
        <v>88.721000000000004</v>
      </c>
      <c r="H36" s="244">
        <v>89.921000000000006</v>
      </c>
      <c r="I36" s="244">
        <v>115.645</v>
      </c>
      <c r="J36" s="244">
        <v>109.907</v>
      </c>
      <c r="K36" s="244">
        <v>109.164</v>
      </c>
      <c r="L36" s="244">
        <v>129.19499999999999</v>
      </c>
      <c r="M36" s="244">
        <v>110.617</v>
      </c>
      <c r="N36" s="244">
        <v>98.674999999999997</v>
      </c>
      <c r="O36" s="244">
        <v>127.754</v>
      </c>
      <c r="P36" s="244">
        <v>138.345</v>
      </c>
      <c r="Q36" s="246">
        <v>137.96700000000001</v>
      </c>
      <c r="R36" s="859">
        <v>142.15100000000001</v>
      </c>
      <c r="S36" s="859">
        <v>144.202</v>
      </c>
      <c r="T36" s="859">
        <v>150.68600000000001</v>
      </c>
      <c r="U36" s="854">
        <v>154.60300000000001</v>
      </c>
      <c r="V36" s="854">
        <v>158.65</v>
      </c>
      <c r="W36" s="854">
        <v>147.929</v>
      </c>
      <c r="X36" s="854">
        <v>142.381</v>
      </c>
      <c r="Y36" s="854">
        <v>141.405</v>
      </c>
      <c r="Z36" s="854">
        <v>176.27600000000001</v>
      </c>
      <c r="AA36" s="855">
        <v>174.32900000000001</v>
      </c>
      <c r="AB36" s="854">
        <v>7.875</v>
      </c>
      <c r="AC36" s="854">
        <v>17.998999999999999</v>
      </c>
      <c r="AD36" s="93">
        <v>25.569999999999997</v>
      </c>
      <c r="AE36" s="93">
        <v>23.901</v>
      </c>
      <c r="AF36" s="93">
        <v>32.890999999999998</v>
      </c>
      <c r="AG36" s="93">
        <v>46.162999999999997</v>
      </c>
      <c r="AH36" s="93">
        <v>60.334000000000003</v>
      </c>
      <c r="AI36" s="93">
        <v>76.748999999999995</v>
      </c>
      <c r="AJ36" s="93">
        <v>113.649</v>
      </c>
      <c r="AK36" s="117">
        <v>138.31399999999999</v>
      </c>
      <c r="AL36" s="854">
        <f t="shared" si="10"/>
        <v>5.5398836448565252</v>
      </c>
      <c r="AM36" s="854">
        <f t="shared" si="10"/>
        <v>12.481796368982399</v>
      </c>
      <c r="AN36" s="93">
        <f t="shared" si="1"/>
        <v>16.969061492109418</v>
      </c>
      <c r="AO36" s="93">
        <f t="shared" si="2"/>
        <v>15.459596514944728</v>
      </c>
      <c r="AP36" s="93">
        <f t="shared" si="3"/>
        <v>20.73179955877718</v>
      </c>
      <c r="AQ36" s="93">
        <f t="shared" si="4"/>
        <v>31.206186751752529</v>
      </c>
      <c r="AR36" s="93">
        <f t="shared" si="5"/>
        <v>42.375035994971242</v>
      </c>
      <c r="AS36" s="93">
        <f t="shared" si="6"/>
        <v>54.276015699586289</v>
      </c>
      <c r="AT36" s="93">
        <f t="shared" si="7"/>
        <v>64.4721913363135</v>
      </c>
      <c r="AU36" s="117">
        <f t="shared" si="8"/>
        <v>79.340786673473701</v>
      </c>
      <c r="AV36" s="123" t="s">
        <v>56</v>
      </c>
      <c r="AW36" s="366"/>
      <c r="AX36" s="511">
        <f t="shared" si="9"/>
        <v>-1.1045179150876976</v>
      </c>
    </row>
    <row r="37" spans="1:50" ht="12.75" customHeight="1">
      <c r="A37" s="5"/>
      <c r="B37" s="198" t="s">
        <v>27</v>
      </c>
      <c r="C37" s="199">
        <v>296.94499999999999</v>
      </c>
      <c r="D37" s="175">
        <v>316.87599999999998</v>
      </c>
      <c r="E37" s="255">
        <v>316.51900000000001</v>
      </c>
      <c r="F37" s="255">
        <v>316.64100000000002</v>
      </c>
      <c r="G37" s="255">
        <v>295.065</v>
      </c>
      <c r="H37" s="255">
        <v>270.30900000000003</v>
      </c>
      <c r="I37" s="255">
        <v>269.38499999999999</v>
      </c>
      <c r="J37" s="255">
        <v>264.94099999999997</v>
      </c>
      <c r="K37" s="255">
        <v>269.452</v>
      </c>
      <c r="L37" s="255">
        <v>284.68799999999999</v>
      </c>
      <c r="M37" s="255">
        <v>288.55700000000002</v>
      </c>
      <c r="N37" s="255">
        <v>266.04899999999998</v>
      </c>
      <c r="O37" s="255">
        <v>292.45299999999997</v>
      </c>
      <c r="P37" s="255">
        <v>316.846</v>
      </c>
      <c r="Q37" s="1049">
        <v>326.08100000000002</v>
      </c>
      <c r="R37" s="864">
        <v>305.928</v>
      </c>
      <c r="S37" s="864">
        <v>300.262</v>
      </c>
      <c r="T37" s="864">
        <v>323.87900000000002</v>
      </c>
      <c r="U37" s="865">
        <v>317.31799999999998</v>
      </c>
      <c r="V37" s="865">
        <v>314.02800000000002</v>
      </c>
      <c r="W37" s="865">
        <v>299.71600000000001</v>
      </c>
      <c r="X37" s="865">
        <v>311.46600000000001</v>
      </c>
      <c r="Y37" s="865">
        <v>236.828</v>
      </c>
      <c r="Z37" s="865">
        <v>238.48099999999999</v>
      </c>
      <c r="AA37" s="866">
        <v>226.006</v>
      </c>
      <c r="AB37" s="865">
        <v>0.99399999999999999</v>
      </c>
      <c r="AC37" s="865">
        <v>1.476</v>
      </c>
      <c r="AD37" s="175">
        <v>3.8329999999999997</v>
      </c>
      <c r="AE37" s="114">
        <v>3.4709999999999996</v>
      </c>
      <c r="AF37" s="114">
        <v>4.9140000000000006</v>
      </c>
      <c r="AG37" s="114">
        <v>5.4110000000000005</v>
      </c>
      <c r="AH37" s="114">
        <v>13.125</v>
      </c>
      <c r="AI37" s="175">
        <v>19.353000000000002</v>
      </c>
      <c r="AJ37" s="175">
        <v>31.741999999999997</v>
      </c>
      <c r="AK37" s="448">
        <v>40.073</v>
      </c>
      <c r="AL37" s="865">
        <f t="shared" si="10"/>
        <v>0.32491305143693944</v>
      </c>
      <c r="AM37" s="865">
        <f t="shared" si="10"/>
        <v>0.49157069492643091</v>
      </c>
      <c r="AN37" s="175">
        <f t="shared" si="1"/>
        <v>1.183466665019961</v>
      </c>
      <c r="AO37" s="114">
        <f t="shared" si="2"/>
        <v>1.093855375364776</v>
      </c>
      <c r="AP37" s="114">
        <f t="shared" si="3"/>
        <v>1.564828614008942</v>
      </c>
      <c r="AQ37" s="114">
        <f t="shared" si="4"/>
        <v>1.8053757557154109</v>
      </c>
      <c r="AR37" s="114">
        <f t="shared" si="5"/>
        <v>4.2139430949124463</v>
      </c>
      <c r="AS37" s="175">
        <f t="shared" si="6"/>
        <v>8.1717533399766928</v>
      </c>
      <c r="AT37" s="175">
        <f t="shared" si="7"/>
        <v>13.310075016458335</v>
      </c>
      <c r="AU37" s="448">
        <f t="shared" si="8"/>
        <v>17.730945196145235</v>
      </c>
      <c r="AV37" s="200" t="s">
        <v>27</v>
      </c>
      <c r="AW37" s="366"/>
      <c r="AX37" s="515">
        <f t="shared" si="9"/>
        <v>-5.2310246937911131</v>
      </c>
    </row>
    <row r="38" spans="1:50" ht="12.75" customHeight="1">
      <c r="A38" s="5"/>
      <c r="B38" s="7" t="s">
        <v>139</v>
      </c>
      <c r="C38" s="98">
        <v>85.893000000000001</v>
      </c>
      <c r="D38" s="93">
        <v>89.665000000000006</v>
      </c>
      <c r="E38" s="244"/>
      <c r="F38" s="244"/>
      <c r="G38" s="244"/>
      <c r="H38" s="244"/>
      <c r="I38" s="244"/>
      <c r="J38" s="244"/>
      <c r="K38" s="244"/>
      <c r="L38" s="244"/>
      <c r="M38" s="244"/>
      <c r="N38" s="244"/>
      <c r="O38" s="244">
        <v>8.6080000000000005</v>
      </c>
      <c r="P38" s="244">
        <v>10.26</v>
      </c>
      <c r="Q38" s="246">
        <v>11.173</v>
      </c>
      <c r="R38" s="859">
        <v>12.417</v>
      </c>
      <c r="S38" s="867">
        <v>13.048</v>
      </c>
      <c r="T38" s="859">
        <v>13.718</v>
      </c>
      <c r="U38" s="854">
        <v>15.927</v>
      </c>
      <c r="V38" s="854">
        <v>18.571000000000002</v>
      </c>
      <c r="W38" s="854">
        <v>21.375</v>
      </c>
      <c r="X38" s="853">
        <v>19.832999999999998</v>
      </c>
      <c r="Y38" s="853">
        <v>16.425999999999998</v>
      </c>
      <c r="Z38" s="854">
        <v>14.318</v>
      </c>
      <c r="AA38" s="869"/>
      <c r="AB38" s="854"/>
      <c r="AC38" s="854"/>
      <c r="AD38" s="93"/>
      <c r="AE38" s="91"/>
      <c r="AF38" s="91"/>
      <c r="AG38" s="91"/>
      <c r="AH38" s="91"/>
      <c r="AI38" s="91"/>
      <c r="AJ38" s="91"/>
      <c r="AK38" s="117"/>
      <c r="AL38" s="854"/>
      <c r="AM38" s="854"/>
      <c r="AN38" s="93"/>
      <c r="AO38" s="91"/>
      <c r="AP38" s="91"/>
      <c r="AQ38" s="91"/>
      <c r="AR38" s="91"/>
      <c r="AS38" s="91"/>
      <c r="AT38" s="91"/>
      <c r="AU38" s="117"/>
      <c r="AV38" s="7" t="s">
        <v>139</v>
      </c>
      <c r="AW38" s="366"/>
      <c r="AX38" s="171"/>
    </row>
    <row r="39" spans="1:50" ht="12.75" customHeight="1">
      <c r="A39" s="5"/>
      <c r="B39" s="196" t="s">
        <v>0</v>
      </c>
      <c r="C39" s="197"/>
      <c r="D39" s="114"/>
      <c r="E39" s="250"/>
      <c r="F39" s="250"/>
      <c r="G39" s="250"/>
      <c r="H39" s="250"/>
      <c r="I39" s="250"/>
      <c r="J39" s="250">
        <v>15.894</v>
      </c>
      <c r="K39" s="250">
        <v>12.45</v>
      </c>
      <c r="L39" s="250">
        <v>16.914000000000001</v>
      </c>
      <c r="M39" s="250">
        <v>17.914000000000001</v>
      </c>
      <c r="N39" s="250">
        <v>13.113</v>
      </c>
      <c r="O39" s="250">
        <v>49.290999999999997</v>
      </c>
      <c r="P39" s="250">
        <v>40.090000000000003</v>
      </c>
      <c r="Q39" s="252">
        <v>32.869999999999997</v>
      </c>
      <c r="R39" s="856">
        <v>31.927</v>
      </c>
      <c r="S39" s="856">
        <v>29.765999999999998</v>
      </c>
      <c r="T39" s="856">
        <v>29.308</v>
      </c>
      <c r="U39" s="857">
        <v>30.422999999999998</v>
      </c>
      <c r="V39" s="857">
        <v>26.609000000000002</v>
      </c>
      <c r="W39" s="857">
        <v>33.072000000000003</v>
      </c>
      <c r="X39" s="857">
        <v>39.216999999999999</v>
      </c>
      <c r="Y39" s="857">
        <v>29.952000000000002</v>
      </c>
      <c r="Z39" s="857">
        <v>39.427</v>
      </c>
      <c r="AA39" s="858"/>
      <c r="AB39" s="857"/>
      <c r="AC39" s="857"/>
      <c r="AD39" s="114"/>
      <c r="AE39" s="114"/>
      <c r="AF39" s="114"/>
      <c r="AG39" s="114"/>
      <c r="AH39" s="114"/>
      <c r="AI39" s="114"/>
      <c r="AJ39" s="114"/>
      <c r="AK39" s="116"/>
      <c r="AL39" s="857"/>
      <c r="AM39" s="857"/>
      <c r="AN39" s="114"/>
      <c r="AO39" s="114"/>
      <c r="AP39" s="114"/>
      <c r="AQ39" s="114"/>
      <c r="AR39" s="114"/>
      <c r="AS39" s="114"/>
      <c r="AT39" s="114"/>
      <c r="AU39" s="116"/>
      <c r="AV39" s="196" t="s">
        <v>0</v>
      </c>
      <c r="AW39" s="366"/>
      <c r="AX39" s="512"/>
    </row>
    <row r="40" spans="1:50" ht="12.75" customHeight="1">
      <c r="A40" s="5"/>
      <c r="B40" s="7" t="s">
        <v>144</v>
      </c>
      <c r="C40" s="98"/>
      <c r="D40" s="93"/>
      <c r="E40" s="244"/>
      <c r="F40" s="244"/>
      <c r="G40" s="244"/>
      <c r="H40" s="244"/>
      <c r="I40" s="244"/>
      <c r="J40" s="244"/>
      <c r="K40" s="244"/>
      <c r="L40" s="244"/>
      <c r="M40" s="244"/>
      <c r="N40" s="244"/>
      <c r="O40" s="244"/>
      <c r="P40" s="244"/>
      <c r="Q40" s="246"/>
      <c r="R40" s="859"/>
      <c r="S40" s="859"/>
      <c r="T40" s="859"/>
      <c r="U40" s="854"/>
      <c r="V40" s="854"/>
      <c r="W40" s="854"/>
      <c r="X40" s="854">
        <f>42.681</f>
        <v>42.680999999999997</v>
      </c>
      <c r="Y40" s="854">
        <f>43.661</f>
        <v>43.661000000000001</v>
      </c>
      <c r="Z40" s="854">
        <f>58.208</f>
        <v>58.207999999999998</v>
      </c>
      <c r="AA40" s="855"/>
      <c r="AB40" s="854"/>
      <c r="AC40" s="854"/>
      <c r="AD40" s="93"/>
      <c r="AE40" s="93"/>
      <c r="AF40" s="93"/>
      <c r="AG40" s="93"/>
      <c r="AH40" s="93"/>
      <c r="AI40" s="93"/>
      <c r="AJ40" s="93"/>
      <c r="AK40" s="117"/>
      <c r="AL40" s="854"/>
      <c r="AM40" s="854"/>
      <c r="AN40" s="93"/>
      <c r="AO40" s="93"/>
      <c r="AP40" s="93"/>
      <c r="AQ40" s="93"/>
      <c r="AR40" s="93"/>
      <c r="AS40" s="93"/>
      <c r="AT40" s="93"/>
      <c r="AU40" s="117"/>
      <c r="AV40" s="7" t="s">
        <v>144</v>
      </c>
      <c r="AW40" s="366"/>
      <c r="AX40" s="171"/>
    </row>
    <row r="41" spans="1:50" ht="12.75" customHeight="1">
      <c r="A41" s="5"/>
      <c r="B41" s="107" t="s">
        <v>138</v>
      </c>
      <c r="C41" s="197"/>
      <c r="D41" s="114"/>
      <c r="E41" s="250"/>
      <c r="F41" s="250"/>
      <c r="G41" s="250"/>
      <c r="H41" s="250"/>
      <c r="I41" s="250"/>
      <c r="J41" s="250"/>
      <c r="K41" s="250"/>
      <c r="L41" s="250"/>
      <c r="M41" s="250"/>
      <c r="N41" s="250"/>
      <c r="O41" s="250"/>
      <c r="P41" s="250"/>
      <c r="Q41" s="252">
        <v>129.16800000000001</v>
      </c>
      <c r="R41" s="856">
        <v>139.51300000000001</v>
      </c>
      <c r="S41" s="856">
        <v>105.393</v>
      </c>
      <c r="T41" s="856">
        <v>112.61500000000001</v>
      </c>
      <c r="U41" s="857">
        <v>136.25800000000001</v>
      </c>
      <c r="V41" s="857">
        <v>130.804</v>
      </c>
      <c r="W41" s="857">
        <v>147.465</v>
      </c>
      <c r="X41" s="857">
        <v>167.79</v>
      </c>
      <c r="Y41" s="857">
        <v>166.232</v>
      </c>
      <c r="Z41" s="857">
        <f>181.024</f>
        <v>181.024</v>
      </c>
      <c r="AA41" s="858">
        <f>159.58</f>
        <v>159.58000000000001</v>
      </c>
      <c r="AB41" s="857"/>
      <c r="AC41" s="857"/>
      <c r="AD41" s="114"/>
      <c r="AE41" s="114"/>
      <c r="AF41" s="114"/>
      <c r="AG41" s="114"/>
      <c r="AH41" s="114"/>
      <c r="AI41" s="114"/>
      <c r="AJ41" s="114"/>
      <c r="AK41" s="116"/>
      <c r="AL41" s="857"/>
      <c r="AM41" s="857"/>
      <c r="AN41" s="114"/>
      <c r="AO41" s="114"/>
      <c r="AP41" s="114"/>
      <c r="AQ41" s="114"/>
      <c r="AR41" s="114"/>
      <c r="AS41" s="114"/>
      <c r="AT41" s="114"/>
      <c r="AU41" s="116"/>
      <c r="AV41" s="107" t="s">
        <v>138</v>
      </c>
      <c r="AW41" s="366"/>
      <c r="AX41" s="192">
        <f>AA41/Z41*100-100</f>
        <v>-11.845943079370684</v>
      </c>
    </row>
    <row r="42" spans="1:50" ht="12.75" customHeight="1">
      <c r="A42" s="5"/>
      <c r="B42" s="124" t="s">
        <v>40</v>
      </c>
      <c r="C42" s="264"/>
      <c r="D42" s="265"/>
      <c r="E42" s="269"/>
      <c r="F42" s="269"/>
      <c r="G42" s="258"/>
      <c r="H42" s="258"/>
      <c r="I42" s="258"/>
      <c r="J42" s="258">
        <v>406.80700000000002</v>
      </c>
      <c r="K42" s="258">
        <v>396.54199999999997</v>
      </c>
      <c r="L42" s="258">
        <v>353.495</v>
      </c>
      <c r="M42" s="258">
        <v>353.16800000000001</v>
      </c>
      <c r="N42" s="258">
        <v>357.98599999999999</v>
      </c>
      <c r="O42" s="258">
        <v>485.61900000000003</v>
      </c>
      <c r="P42" s="258">
        <v>602.24800000000005</v>
      </c>
      <c r="Q42" s="1047">
        <v>565.79100000000005</v>
      </c>
      <c r="R42" s="860">
        <v>853.37800000000004</v>
      </c>
      <c r="S42" s="860">
        <v>587.33100000000002</v>
      </c>
      <c r="T42" s="860">
        <v>725.596</v>
      </c>
      <c r="U42" s="861">
        <v>983.72</v>
      </c>
      <c r="V42" s="861">
        <v>985</v>
      </c>
      <c r="W42" s="861">
        <v>543.23099999999999</v>
      </c>
      <c r="X42" s="861">
        <v>478.96</v>
      </c>
      <c r="Y42" s="861">
        <v>772.78800000000001</v>
      </c>
      <c r="Z42" s="861">
        <v>709.89099999999996</v>
      </c>
      <c r="AA42" s="862">
        <v>694.38499999999999</v>
      </c>
      <c r="AB42" s="861">
        <v>0</v>
      </c>
      <c r="AC42" s="861">
        <v>4.5999999999999999E-2</v>
      </c>
      <c r="AD42" s="94">
        <v>0.11899999999999999</v>
      </c>
      <c r="AE42" s="94">
        <v>4.3999999999999997E-2</v>
      </c>
      <c r="AF42" s="94">
        <v>7.6999999999999999E-2</v>
      </c>
      <c r="AG42" s="94">
        <v>0.192</v>
      </c>
      <c r="AH42" s="94">
        <v>0.22900000000000001</v>
      </c>
      <c r="AI42" s="94">
        <v>0.89100000000000001</v>
      </c>
      <c r="AJ42" s="94">
        <v>2.968</v>
      </c>
      <c r="AK42" s="125">
        <v>7.0419999999999998</v>
      </c>
      <c r="AL42" s="861">
        <f t="shared" ref="AL42:AU43" si="11">AB42/R42*100</f>
        <v>0</v>
      </c>
      <c r="AM42" s="861">
        <f t="shared" si="11"/>
        <v>7.8320401953923761E-3</v>
      </c>
      <c r="AN42" s="94">
        <f t="shared" si="11"/>
        <v>1.6400310916818723E-2</v>
      </c>
      <c r="AO42" s="94">
        <f t="shared" si="11"/>
        <v>4.4728174683853128E-3</v>
      </c>
      <c r="AP42" s="94">
        <f t="shared" si="11"/>
        <v>7.8172588832487316E-3</v>
      </c>
      <c r="AQ42" s="94">
        <f t="shared" si="11"/>
        <v>3.5344080142701725E-2</v>
      </c>
      <c r="AR42" s="94">
        <f t="shared" si="11"/>
        <v>4.7811925839318523E-2</v>
      </c>
      <c r="AS42" s="94">
        <f t="shared" si="11"/>
        <v>0.11529682137921397</v>
      </c>
      <c r="AT42" s="94">
        <f t="shared" si="11"/>
        <v>0.41809235502351771</v>
      </c>
      <c r="AU42" s="125">
        <f t="shared" si="11"/>
        <v>1.0141348099397307</v>
      </c>
      <c r="AV42" s="124" t="s">
        <v>40</v>
      </c>
      <c r="AW42" s="366"/>
      <c r="AX42" s="513">
        <f>AA42/Z42*100-100</f>
        <v>-2.1842789949442931</v>
      </c>
    </row>
    <row r="43" spans="1:50" ht="18" customHeight="1">
      <c r="A43" s="5"/>
      <c r="B43" s="198" t="s">
        <v>44</v>
      </c>
      <c r="C43" s="199">
        <v>2247.4029999999998</v>
      </c>
      <c r="D43" s="175">
        <v>2197.6149999999998</v>
      </c>
      <c r="E43" s="255">
        <v>2221.67</v>
      </c>
      <c r="F43" s="255">
        <v>2458.7689999999998</v>
      </c>
      <c r="G43" s="255">
        <v>2563.6309999999999</v>
      </c>
      <c r="H43" s="255">
        <v>2579.0500000000002</v>
      </c>
      <c r="I43" s="255">
        <v>2567.2689999999998</v>
      </c>
      <c r="J43" s="255">
        <v>2439.7170000000001</v>
      </c>
      <c r="K43" s="255">
        <v>2344.864</v>
      </c>
      <c r="L43" s="255">
        <v>2404.0070000000001</v>
      </c>
      <c r="M43" s="255">
        <v>2131.7950000000001</v>
      </c>
      <c r="N43" s="255">
        <v>1994.999</v>
      </c>
      <c r="O43" s="255">
        <v>2030.846</v>
      </c>
      <c r="P43" s="255">
        <v>1941.2529999999999</v>
      </c>
      <c r="Q43" s="1049">
        <v>2044.6089999999999</v>
      </c>
      <c r="R43" s="864">
        <v>2264.7370000000001</v>
      </c>
      <c r="S43" s="864">
        <v>2476.4349999999999</v>
      </c>
      <c r="T43" s="864">
        <v>2633.5030000000002</v>
      </c>
      <c r="U43" s="865">
        <v>2692.7860000000001</v>
      </c>
      <c r="V43" s="865">
        <v>2540.6170000000002</v>
      </c>
      <c r="W43" s="865">
        <v>2367.1469999999999</v>
      </c>
      <c r="X43" s="865">
        <v>2311.14</v>
      </c>
      <c r="Y43" s="865">
        <v>1631.0640000000001</v>
      </c>
      <c r="Z43" s="868">
        <f>1647181/1000</f>
        <v>1647.181</v>
      </c>
      <c r="AA43" s="866">
        <f>1614063/1000</f>
        <v>1614.0630000000001</v>
      </c>
      <c r="AB43" s="865">
        <v>2.544</v>
      </c>
      <c r="AC43" s="865">
        <v>7.5070000000000006</v>
      </c>
      <c r="AD43" s="175">
        <v>11.453999999999999</v>
      </c>
      <c r="AE43" s="374">
        <v>11.863999999999999</v>
      </c>
      <c r="AF43" s="374">
        <v>15.847000000000001</v>
      </c>
      <c r="AG43" s="374">
        <v>17.147000000000002</v>
      </c>
      <c r="AH43" s="374">
        <v>38.04</v>
      </c>
      <c r="AI43" s="374">
        <v>107.61800000000001</v>
      </c>
      <c r="AJ43" s="374">
        <v>191.37100000000001</v>
      </c>
      <c r="AK43" s="448">
        <v>267.18099999999998</v>
      </c>
      <c r="AL43" s="865">
        <f t="shared" si="11"/>
        <v>0.11233092407639386</v>
      </c>
      <c r="AM43" s="865">
        <f t="shared" si="11"/>
        <v>0.30313737287673614</v>
      </c>
      <c r="AN43" s="175">
        <f t="shared" si="11"/>
        <v>0.4349340023535192</v>
      </c>
      <c r="AO43" s="374">
        <f t="shared" si="11"/>
        <v>0.44058458414445106</v>
      </c>
      <c r="AP43" s="374">
        <f t="shared" si="11"/>
        <v>0.62374612151300257</v>
      </c>
      <c r="AQ43" s="374">
        <f t="shared" si="11"/>
        <v>0.72437410942370717</v>
      </c>
      <c r="AR43" s="374">
        <f t="shared" si="11"/>
        <v>1.6459409641994862</v>
      </c>
      <c r="AS43" s="374">
        <f t="shared" si="11"/>
        <v>6.5980243571067732</v>
      </c>
      <c r="AT43" s="374">
        <f t="shared" si="11"/>
        <v>11.618091757979238</v>
      </c>
      <c r="AU43" s="448">
        <f t="shared" si="11"/>
        <v>16.553319170317391</v>
      </c>
      <c r="AV43" s="198" t="s">
        <v>44</v>
      </c>
      <c r="AW43" s="71"/>
      <c r="AX43" s="514">
        <f>AA43/Z43*100-100</f>
        <v>-2.0105865718460763</v>
      </c>
    </row>
    <row r="44" spans="1:50" ht="12.75" customHeight="1">
      <c r="A44" s="5"/>
      <c r="B44" s="1094" t="s">
        <v>359</v>
      </c>
      <c r="C44" s="1094"/>
      <c r="D44" s="1094"/>
      <c r="E44" s="1094"/>
      <c r="F44" s="1094"/>
      <c r="G44" s="1094"/>
      <c r="H44" s="1094"/>
      <c r="I44" s="1094"/>
      <c r="J44" s="1094"/>
      <c r="K44" s="1094"/>
      <c r="L44" s="1094"/>
      <c r="M44" s="1094"/>
      <c r="N44" s="1094"/>
      <c r="O44" s="1094"/>
      <c r="P44" s="1094"/>
      <c r="Q44" s="1094"/>
      <c r="R44" s="1094"/>
      <c r="S44" s="1094"/>
      <c r="T44" s="1094"/>
      <c r="U44" s="1094"/>
      <c r="V44" s="1094"/>
      <c r="W44" s="1094"/>
      <c r="X44" s="1094"/>
      <c r="Y44" s="1094"/>
      <c r="Z44" s="1094"/>
      <c r="AA44" s="1094"/>
      <c r="AB44" s="1094"/>
      <c r="AC44" s="1094"/>
      <c r="AD44" s="1094"/>
      <c r="AE44" s="1094"/>
      <c r="AF44" s="1094"/>
      <c r="AG44" s="1094"/>
      <c r="AH44" s="1094"/>
      <c r="AI44" s="1094"/>
      <c r="AJ44" s="1094"/>
      <c r="AK44" s="1094"/>
      <c r="AL44" s="1094"/>
      <c r="AM44" s="1094"/>
      <c r="AN44" s="1094"/>
      <c r="AO44" s="1094"/>
      <c r="AP44" s="1094"/>
      <c r="AQ44" s="1094"/>
      <c r="AR44" s="1094"/>
      <c r="AS44" s="1094"/>
      <c r="AT44" s="1094"/>
      <c r="AU44" s="1094"/>
      <c r="AV44" s="1094"/>
    </row>
    <row r="45" spans="1:50" ht="12.75" customHeight="1">
      <c r="A45" s="5"/>
      <c r="B45" s="1092" t="s">
        <v>289</v>
      </c>
      <c r="C45" s="1092"/>
      <c r="D45" s="1092"/>
      <c r="E45" s="1092"/>
      <c r="F45" s="1092"/>
      <c r="G45" s="1092"/>
      <c r="H45" s="1092"/>
      <c r="I45" s="1092"/>
      <c r="J45" s="1092"/>
      <c r="K45" s="1092"/>
      <c r="L45" s="1092"/>
      <c r="M45" s="1092"/>
      <c r="N45" s="1092"/>
      <c r="O45" s="1092"/>
      <c r="P45" s="1092"/>
      <c r="Q45" s="1092"/>
    </row>
    <row r="46" spans="1:50" ht="12.75" customHeight="1">
      <c r="A46" s="5"/>
      <c r="B46" s="1093" t="s">
        <v>343</v>
      </c>
      <c r="C46" s="1093"/>
      <c r="D46" s="1093"/>
      <c r="E46" s="1093"/>
      <c r="F46" s="1093"/>
      <c r="G46" s="1093"/>
      <c r="H46" s="1093"/>
      <c r="I46" s="1093"/>
      <c r="J46" s="1093"/>
      <c r="K46" s="1093"/>
      <c r="L46" s="1093"/>
      <c r="M46" s="1093"/>
      <c r="N46" s="1093"/>
      <c r="O46" s="1093"/>
      <c r="P46" s="1093"/>
      <c r="Q46" s="1093"/>
      <c r="R46" s="1093"/>
      <c r="S46" s="1093"/>
      <c r="T46" s="1093"/>
      <c r="U46" s="1093"/>
      <c r="V46" s="1093"/>
      <c r="W46" s="1093"/>
      <c r="X46" s="1093"/>
      <c r="Y46" s="1093"/>
      <c r="Z46" s="1093"/>
      <c r="AA46" s="1093"/>
      <c r="AB46" s="1093"/>
      <c r="AC46" s="1093"/>
      <c r="AD46" s="1093"/>
      <c r="AE46" s="1093"/>
      <c r="AF46" s="1093"/>
      <c r="AG46" s="1093"/>
      <c r="AH46" s="1093"/>
      <c r="AI46" s="1093"/>
      <c r="AJ46" s="1093"/>
      <c r="AK46" s="1093"/>
      <c r="AL46" s="1093"/>
      <c r="AM46" s="1093"/>
      <c r="AN46" s="1093"/>
      <c r="AO46" s="1093"/>
      <c r="AP46" s="1093"/>
      <c r="AQ46" s="1093"/>
      <c r="AR46" s="1093"/>
      <c r="AS46" s="1093"/>
      <c r="AT46" s="1093"/>
      <c r="AU46" s="1093"/>
      <c r="AV46" s="508"/>
    </row>
    <row r="47" spans="1:50" ht="12" customHeight="1">
      <c r="B47" s="1017" t="s">
        <v>335</v>
      </c>
      <c r="C47" s="168"/>
      <c r="D47" s="168"/>
      <c r="E47" s="168"/>
      <c r="F47" s="168"/>
      <c r="G47" s="168"/>
      <c r="H47" s="168"/>
      <c r="I47" s="168"/>
      <c r="J47" s="168"/>
      <c r="K47" s="168"/>
      <c r="L47" s="168"/>
      <c r="M47" s="168"/>
      <c r="N47" s="168"/>
      <c r="O47" s="168"/>
      <c r="P47" s="168"/>
      <c r="Q47" s="168"/>
      <c r="R47" s="1028"/>
      <c r="S47" s="1028"/>
      <c r="T47" s="1028"/>
      <c r="U47" s="1028"/>
      <c r="V47" s="1028"/>
      <c r="W47" s="1028"/>
      <c r="X47" s="1028"/>
      <c r="Y47" s="1028"/>
      <c r="Z47" s="1028"/>
    </row>
    <row r="48" spans="1:50">
      <c r="B48" s="1089"/>
      <c r="C48" s="1089"/>
      <c r="D48" s="1089"/>
      <c r="E48" s="1089"/>
      <c r="F48" s="1089"/>
      <c r="G48" s="1089"/>
      <c r="H48" s="1089"/>
      <c r="I48" s="1089"/>
      <c r="J48" s="1089"/>
      <c r="K48" s="1089"/>
      <c r="L48" s="1089"/>
      <c r="M48" s="1089"/>
      <c r="N48" s="1089"/>
      <c r="O48" s="1089"/>
      <c r="P48" s="1089"/>
      <c r="Q48" s="1089"/>
      <c r="R48" s="283"/>
    </row>
    <row r="49" spans="15:30" ht="12.75" customHeight="1">
      <c r="Q49"/>
    </row>
    <row r="50" spans="15:30" ht="12.75" customHeight="1">
      <c r="O50"/>
      <c r="P50"/>
      <c r="Q50"/>
    </row>
    <row r="52" spans="15:30">
      <c r="R52" s="99"/>
      <c r="S52" s="99"/>
      <c r="T52" s="99"/>
      <c r="U52" s="99"/>
      <c r="V52" s="99"/>
      <c r="W52" s="99"/>
      <c r="X52" s="99"/>
      <c r="Y52" s="99"/>
      <c r="Z52" s="99"/>
      <c r="AA52" s="99"/>
      <c r="AB52" s="99"/>
      <c r="AC52" s="99"/>
      <c r="AD52" s="99"/>
    </row>
  </sheetData>
  <mergeCells count="10">
    <mergeCell ref="B1:AX1"/>
    <mergeCell ref="B2:AX2"/>
    <mergeCell ref="B3:AX3"/>
    <mergeCell ref="C4:AA4"/>
    <mergeCell ref="B48:Q48"/>
    <mergeCell ref="AB4:AK4"/>
    <mergeCell ref="AL4:AU4"/>
    <mergeCell ref="B45:Q45"/>
    <mergeCell ref="B46:AU46"/>
    <mergeCell ref="B44:AV44"/>
  </mergeCells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CT44"/>
  <sheetViews>
    <sheetView zoomScaleNormal="100" workbookViewId="0">
      <selection activeCell="CT7" sqref="CT7"/>
    </sheetView>
  </sheetViews>
  <sheetFormatPr defaultColWidth="9.1328125" defaultRowHeight="12.75"/>
  <cols>
    <col min="1" max="1" width="13.1328125" style="58" customWidth="1"/>
    <col min="2" max="2" width="5.1328125" style="58" customWidth="1"/>
    <col min="3" max="4" width="9.1328125" style="58" hidden="1" customWidth="1"/>
    <col min="5" max="5" width="10.86328125" style="58" hidden="1" customWidth="1"/>
    <col min="6" max="18" width="9.1328125" style="58" hidden="1" customWidth="1"/>
    <col min="19" max="20" width="9.1328125" style="58" customWidth="1"/>
    <col min="21" max="27" width="9.1328125" style="58" hidden="1" customWidth="1"/>
    <col min="28" max="28" width="6.3984375" style="58" hidden="1" customWidth="1"/>
    <col min="29" max="29" width="8.1328125" style="673" customWidth="1"/>
    <col min="30" max="39" width="9.1328125" style="58" hidden="1" customWidth="1"/>
    <col min="40" max="40" width="7.265625" style="58" hidden="1" customWidth="1"/>
    <col min="41" max="45" width="9.1328125" style="58" hidden="1" customWidth="1"/>
    <col min="46" max="47" width="9.1328125" style="58" customWidth="1"/>
    <col min="48" max="57" width="9.1328125" style="58" hidden="1" customWidth="1"/>
    <col min="58" max="58" width="7.265625" style="58" hidden="1" customWidth="1"/>
    <col min="59" max="73" width="9.1328125" style="58" hidden="1" customWidth="1"/>
    <col min="74" max="74" width="9.1328125" style="673" hidden="1" customWidth="1"/>
    <col min="75" max="75" width="7.265625" style="673" customWidth="1"/>
    <col min="76" max="91" width="9.1328125" style="58" hidden="1" customWidth="1"/>
    <col min="92" max="93" width="9.1328125" style="58" customWidth="1"/>
    <col min="94" max="94" width="7.3984375" style="58" customWidth="1"/>
    <col min="95" max="95" width="6.73046875" style="58" customWidth="1"/>
    <col min="96" max="16384" width="9.1328125" style="58"/>
  </cols>
  <sheetData>
    <row r="1" spans="2:95" ht="15">
      <c r="B1" s="19"/>
      <c r="C1" s="16"/>
      <c r="D1" s="16"/>
      <c r="E1" s="16"/>
      <c r="F1" s="16"/>
      <c r="G1" s="16"/>
      <c r="H1" s="16"/>
      <c r="I1" s="16"/>
      <c r="J1" s="16"/>
      <c r="K1" s="16"/>
      <c r="U1" s="16"/>
      <c r="V1" s="16"/>
      <c r="W1" s="16"/>
      <c r="X1" s="16"/>
      <c r="Y1" s="16"/>
      <c r="Z1" s="16"/>
      <c r="AA1" s="16"/>
      <c r="AB1" s="16"/>
      <c r="AC1" s="128"/>
      <c r="CL1" s="20"/>
      <c r="CM1" s="20"/>
      <c r="CN1" s="20"/>
      <c r="CO1" s="20"/>
      <c r="CP1" s="20" t="s">
        <v>109</v>
      </c>
    </row>
    <row r="2" spans="2:95" s="898" customFormat="1" ht="15">
      <c r="B2" s="1063" t="s">
        <v>132</v>
      </c>
      <c r="C2" s="1063"/>
      <c r="D2" s="1063"/>
      <c r="E2" s="1063"/>
      <c r="F2" s="1063"/>
      <c r="G2" s="1063"/>
      <c r="H2" s="1063"/>
      <c r="I2" s="1063"/>
      <c r="J2" s="1063"/>
      <c r="K2" s="1063"/>
      <c r="L2" s="1063"/>
      <c r="M2" s="1063"/>
      <c r="N2" s="1063"/>
      <c r="O2" s="1063"/>
      <c r="P2" s="1063"/>
      <c r="Q2" s="1063"/>
      <c r="R2" s="1063"/>
      <c r="S2" s="1063"/>
      <c r="T2" s="1063"/>
      <c r="U2" s="1063"/>
      <c r="V2" s="1063"/>
      <c r="W2" s="1063"/>
      <c r="X2" s="1063"/>
      <c r="Y2" s="1063"/>
      <c r="Z2" s="1063"/>
      <c r="AA2" s="1063"/>
      <c r="AB2" s="1063"/>
      <c r="AC2" s="1063"/>
      <c r="AD2" s="1063"/>
      <c r="AE2" s="1063"/>
      <c r="AF2" s="1063"/>
      <c r="AG2" s="1063"/>
      <c r="AH2" s="1063"/>
      <c r="AI2" s="1063"/>
      <c r="AJ2" s="1063"/>
      <c r="AK2" s="1063"/>
      <c r="AL2" s="1063"/>
      <c r="AM2" s="1063"/>
      <c r="AN2" s="1063"/>
      <c r="AO2" s="1063"/>
      <c r="AP2" s="1063"/>
      <c r="AQ2" s="1063"/>
      <c r="AR2" s="1063"/>
      <c r="AS2" s="1063"/>
      <c r="AT2" s="1063"/>
      <c r="AU2" s="1063"/>
      <c r="AV2" s="1063"/>
      <c r="AW2" s="1063"/>
      <c r="AX2" s="1063"/>
      <c r="AY2" s="1063"/>
      <c r="AZ2" s="1063"/>
      <c r="BA2" s="1063"/>
      <c r="BB2" s="1063"/>
      <c r="BC2" s="1063"/>
      <c r="BD2" s="1063"/>
      <c r="BE2" s="1063"/>
      <c r="BF2" s="1063"/>
      <c r="BG2" s="1063"/>
      <c r="BH2" s="1063"/>
      <c r="BI2" s="1063"/>
      <c r="BJ2" s="1063"/>
      <c r="BK2" s="1063"/>
      <c r="BL2" s="1063"/>
      <c r="BM2" s="1063"/>
      <c r="BN2" s="1063"/>
      <c r="BO2" s="1063"/>
      <c r="BP2" s="1063"/>
      <c r="BQ2" s="1063"/>
      <c r="BR2" s="1063"/>
      <c r="BS2" s="1063"/>
      <c r="BT2" s="1063"/>
      <c r="BU2" s="1063"/>
      <c r="BV2" s="1063"/>
      <c r="BW2" s="1063"/>
      <c r="BX2" s="1063"/>
      <c r="BY2" s="1063"/>
      <c r="BZ2" s="1063"/>
      <c r="CA2" s="1063"/>
      <c r="CB2" s="1063"/>
      <c r="CC2" s="1063"/>
      <c r="CD2" s="1063"/>
      <c r="CE2" s="1063"/>
      <c r="CF2" s="1063"/>
      <c r="CG2" s="1063"/>
      <c r="CH2" s="1063"/>
      <c r="CI2" s="1063"/>
      <c r="CJ2" s="1063"/>
      <c r="CK2" s="1063"/>
      <c r="CL2" s="1063"/>
      <c r="CM2" s="1063"/>
      <c r="CN2" s="1063"/>
      <c r="CO2" s="1063"/>
      <c r="CP2" s="1063"/>
    </row>
    <row r="3" spans="2:95" ht="13.15">
      <c r="B3" s="1067" t="s">
        <v>73</v>
      </c>
      <c r="C3" s="1067"/>
      <c r="D3" s="1067"/>
      <c r="E3" s="1067"/>
      <c r="F3" s="1067"/>
      <c r="G3" s="1067"/>
      <c r="H3" s="1067"/>
      <c r="I3" s="1067"/>
      <c r="J3" s="1067"/>
      <c r="K3" s="1067"/>
      <c r="L3" s="1067"/>
      <c r="M3" s="1067"/>
      <c r="N3" s="1067"/>
      <c r="O3" s="1067"/>
      <c r="P3" s="1067"/>
      <c r="Q3" s="1067"/>
      <c r="R3" s="1067"/>
      <c r="S3" s="1067"/>
      <c r="T3" s="1067"/>
      <c r="U3" s="1067"/>
      <c r="V3" s="1067"/>
      <c r="W3" s="1067"/>
      <c r="X3" s="1067"/>
      <c r="Y3" s="1067"/>
      <c r="Z3" s="1067"/>
      <c r="AA3" s="1067"/>
      <c r="AB3" s="1067"/>
      <c r="AC3" s="1067"/>
      <c r="AD3" s="1067"/>
      <c r="AE3" s="1067"/>
      <c r="AF3" s="1067"/>
      <c r="AG3" s="1067"/>
      <c r="AH3" s="1067"/>
      <c r="AI3" s="1067"/>
      <c r="AJ3" s="1067"/>
      <c r="AK3" s="1067"/>
      <c r="AL3" s="1067"/>
      <c r="AM3" s="1067"/>
      <c r="AN3" s="1067"/>
      <c r="AO3" s="1067"/>
      <c r="AP3" s="1067"/>
      <c r="AQ3" s="1067"/>
      <c r="AR3" s="1067"/>
      <c r="AS3" s="1067"/>
      <c r="AT3" s="1067"/>
      <c r="AU3" s="1067"/>
      <c r="AV3" s="1067"/>
      <c r="AW3" s="1067"/>
      <c r="AX3" s="1067"/>
      <c r="AY3" s="1067"/>
      <c r="AZ3" s="1067"/>
      <c r="BA3" s="1067"/>
      <c r="BB3" s="1067"/>
      <c r="BC3" s="1067"/>
      <c r="BD3" s="1067"/>
      <c r="BE3" s="1067"/>
      <c r="BF3" s="1067"/>
      <c r="BG3" s="1067"/>
      <c r="BH3" s="1067"/>
      <c r="BI3" s="1067"/>
      <c r="BJ3" s="1067"/>
      <c r="BK3" s="1067"/>
      <c r="BL3" s="1067"/>
      <c r="BM3" s="1067"/>
      <c r="BN3" s="1067"/>
      <c r="BO3" s="1067"/>
      <c r="BP3" s="1067"/>
      <c r="BQ3" s="1067"/>
      <c r="BR3" s="1067"/>
      <c r="BS3" s="1067"/>
      <c r="BT3" s="1067"/>
      <c r="BU3" s="1067"/>
      <c r="BV3" s="1067"/>
      <c r="BW3" s="1067"/>
      <c r="BX3" s="1067"/>
      <c r="BY3" s="1067"/>
      <c r="BZ3" s="1067"/>
      <c r="CA3" s="1067"/>
      <c r="CB3" s="1067"/>
      <c r="CC3" s="1067"/>
      <c r="CD3" s="1067"/>
      <c r="CE3" s="1067"/>
      <c r="CF3" s="1067"/>
      <c r="CG3" s="1067"/>
      <c r="CH3" s="1067"/>
      <c r="CI3" s="1067"/>
      <c r="CJ3" s="1067"/>
      <c r="CK3" s="1067"/>
      <c r="CL3" s="1067"/>
      <c r="CM3" s="1067"/>
      <c r="CN3" s="1067"/>
      <c r="CO3" s="1067"/>
      <c r="CP3" s="1067"/>
    </row>
    <row r="4" spans="2:95" ht="21.75" customHeight="1">
      <c r="B4" s="899"/>
      <c r="C4" s="1099" t="s">
        <v>336</v>
      </c>
      <c r="D4" s="1100"/>
      <c r="E4" s="1100"/>
      <c r="F4" s="1100"/>
      <c r="G4" s="1100"/>
      <c r="H4" s="1100"/>
      <c r="I4" s="1100"/>
      <c r="J4" s="1100"/>
      <c r="K4" s="1100"/>
      <c r="L4" s="1100"/>
      <c r="M4" s="1100"/>
      <c r="N4" s="1100"/>
      <c r="O4" s="1100"/>
      <c r="P4" s="1100"/>
      <c r="Q4" s="1100"/>
      <c r="R4" s="1100"/>
      <c r="S4" s="1100"/>
      <c r="T4" s="1100"/>
      <c r="U4" s="1100"/>
      <c r="V4" s="1100"/>
      <c r="W4" s="1100"/>
      <c r="X4" s="1100"/>
      <c r="Y4" s="1100"/>
      <c r="Z4" s="1100"/>
      <c r="AA4" s="1100"/>
      <c r="AB4" s="1100"/>
      <c r="AC4" s="1101"/>
      <c r="AD4" s="1108" t="s">
        <v>337</v>
      </c>
      <c r="AE4" s="1109"/>
      <c r="AF4" s="1109"/>
      <c r="AG4" s="1109"/>
      <c r="AH4" s="1109"/>
      <c r="AI4" s="1109"/>
      <c r="AJ4" s="1109"/>
      <c r="AK4" s="1109"/>
      <c r="AL4" s="1109"/>
      <c r="AM4" s="1109"/>
      <c r="AN4" s="1109"/>
      <c r="AO4" s="1109"/>
      <c r="AP4" s="1109"/>
      <c r="AQ4" s="1109"/>
      <c r="AR4" s="1109"/>
      <c r="AS4" s="1109"/>
      <c r="AT4" s="1109"/>
      <c r="AU4" s="1109"/>
      <c r="AV4" s="1109"/>
      <c r="AW4" s="1109"/>
      <c r="AX4" s="1109"/>
      <c r="AY4" s="1109"/>
      <c r="AZ4" s="1109"/>
      <c r="BA4" s="1109"/>
      <c r="BB4" s="1109"/>
      <c r="BC4" s="1109"/>
      <c r="BD4" s="1109"/>
      <c r="BE4" s="1109"/>
      <c r="BF4" s="1109"/>
      <c r="BG4" s="1109"/>
      <c r="BH4" s="1109"/>
      <c r="BI4" s="1109"/>
      <c r="BJ4" s="1109"/>
      <c r="BK4" s="1109"/>
      <c r="BL4" s="1109"/>
      <c r="BM4" s="1109"/>
      <c r="BN4" s="1109"/>
      <c r="BO4" s="1109"/>
      <c r="BP4" s="1109"/>
      <c r="BQ4" s="1109"/>
      <c r="BR4" s="1109"/>
      <c r="BS4" s="1109"/>
      <c r="BT4" s="1109"/>
      <c r="BU4" s="1109"/>
      <c r="BV4" s="1110"/>
      <c r="BW4" s="1039"/>
      <c r="BX4" s="1096" t="s">
        <v>338</v>
      </c>
      <c r="BY4" s="1097"/>
      <c r="BZ4" s="1097"/>
      <c r="CA4" s="1097"/>
      <c r="CB4" s="1097"/>
      <c r="CC4" s="1097"/>
      <c r="CD4" s="1097"/>
      <c r="CE4" s="1097"/>
      <c r="CF4" s="1097"/>
      <c r="CG4" s="1097"/>
      <c r="CH4" s="1097"/>
      <c r="CI4" s="1097"/>
      <c r="CJ4" s="1097"/>
      <c r="CK4" s="1097"/>
      <c r="CL4" s="1097"/>
      <c r="CM4" s="1097"/>
      <c r="CN4" s="1097"/>
      <c r="CO4" s="1098"/>
      <c r="CP4" s="1102" t="s">
        <v>363</v>
      </c>
      <c r="CQ4" s="680"/>
    </row>
    <row r="5" spans="2:95" ht="43.5" customHeight="1">
      <c r="B5" s="899"/>
      <c r="C5" s="1116"/>
      <c r="D5" s="1117"/>
      <c r="E5" s="1117"/>
      <c r="F5" s="1117"/>
      <c r="G5" s="1117"/>
      <c r="H5" s="1117"/>
      <c r="I5" s="1117"/>
      <c r="J5" s="1117"/>
      <c r="K5" s="1117"/>
      <c r="L5" s="1117"/>
      <c r="M5" s="1117"/>
      <c r="N5" s="1117"/>
      <c r="O5" s="1117"/>
      <c r="P5" s="1117"/>
      <c r="Q5" s="1117"/>
      <c r="R5" s="1018"/>
      <c r="S5" s="1018"/>
      <c r="T5" s="1019"/>
      <c r="U5" s="1111" t="s">
        <v>346</v>
      </c>
      <c r="V5" s="1112"/>
      <c r="W5" s="1112"/>
      <c r="X5" s="1112"/>
      <c r="Y5" s="1112"/>
      <c r="Z5" s="1112"/>
      <c r="AA5" s="1112"/>
      <c r="AB5" s="1112"/>
      <c r="AC5" s="1113"/>
      <c r="AD5" s="1105"/>
      <c r="AE5" s="1106"/>
      <c r="AF5" s="1106"/>
      <c r="AG5" s="1106"/>
      <c r="AH5" s="1106"/>
      <c r="AI5" s="1106"/>
      <c r="AJ5" s="1106"/>
      <c r="AK5" s="1106"/>
      <c r="AL5" s="1106"/>
      <c r="AM5" s="1106"/>
      <c r="AN5" s="1106"/>
      <c r="AO5" s="1106"/>
      <c r="AP5" s="1106"/>
      <c r="AQ5" s="1106"/>
      <c r="AR5" s="1106"/>
      <c r="AS5" s="1033"/>
      <c r="AT5" s="1033"/>
      <c r="AU5" s="1033"/>
      <c r="AV5" s="1114" t="s">
        <v>339</v>
      </c>
      <c r="AW5" s="1114"/>
      <c r="AX5" s="1114"/>
      <c r="AY5" s="1114"/>
      <c r="AZ5" s="1114"/>
      <c r="BA5" s="1114"/>
      <c r="BB5" s="1114"/>
      <c r="BC5" s="1114"/>
      <c r="BD5" s="1114"/>
      <c r="BE5" s="1106" t="s">
        <v>340</v>
      </c>
      <c r="BF5" s="1106"/>
      <c r="BG5" s="1106"/>
      <c r="BH5" s="1106"/>
      <c r="BI5" s="1106"/>
      <c r="BJ5" s="1106"/>
      <c r="BK5" s="1106"/>
      <c r="BL5" s="1106"/>
      <c r="BM5" s="1115"/>
      <c r="BN5" s="1105" t="s">
        <v>345</v>
      </c>
      <c r="BO5" s="1106"/>
      <c r="BP5" s="1106"/>
      <c r="BQ5" s="1106"/>
      <c r="BR5" s="1106"/>
      <c r="BS5" s="1106"/>
      <c r="BT5" s="1106"/>
      <c r="BU5" s="1106"/>
      <c r="BV5" s="1107"/>
      <c r="BW5" s="1043" t="s">
        <v>361</v>
      </c>
      <c r="BX5" s="1050"/>
      <c r="BY5" s="1051"/>
      <c r="BZ5" s="1051"/>
      <c r="CA5" s="1051"/>
      <c r="CB5" s="1051"/>
      <c r="CC5" s="1051"/>
      <c r="CD5" s="1051"/>
      <c r="CE5" s="1051"/>
      <c r="CF5" s="1051"/>
      <c r="CG5" s="1051"/>
      <c r="CH5" s="1051"/>
      <c r="CI5" s="1051"/>
      <c r="CJ5" s="1051"/>
      <c r="CK5" s="1051"/>
      <c r="CL5" s="1051"/>
      <c r="CM5" s="1051"/>
      <c r="CN5" s="1051"/>
      <c r="CO5" s="1052"/>
      <c r="CP5" s="1103"/>
      <c r="CQ5" s="680"/>
    </row>
    <row r="6" spans="2:95">
      <c r="B6" s="900"/>
      <c r="C6" s="29">
        <v>2004</v>
      </c>
      <c r="D6" s="30">
        <v>2005</v>
      </c>
      <c r="E6" s="30">
        <v>2006</v>
      </c>
      <c r="F6" s="30">
        <v>2007</v>
      </c>
      <c r="G6" s="30">
        <v>2008</v>
      </c>
      <c r="H6" s="30">
        <v>2009</v>
      </c>
      <c r="I6" s="30">
        <v>2010</v>
      </c>
      <c r="J6" s="30">
        <v>2011</v>
      </c>
      <c r="K6" s="30">
        <v>2012</v>
      </c>
      <c r="L6" s="30">
        <v>2013</v>
      </c>
      <c r="M6" s="30">
        <v>2014</v>
      </c>
      <c r="N6" s="30">
        <v>2015</v>
      </c>
      <c r="O6" s="30">
        <v>2016</v>
      </c>
      <c r="P6" s="30">
        <v>2017</v>
      </c>
      <c r="Q6" s="30">
        <v>2018</v>
      </c>
      <c r="R6" s="30">
        <v>2019</v>
      </c>
      <c r="S6" s="30">
        <v>2020</v>
      </c>
      <c r="T6" s="31">
        <v>2021</v>
      </c>
      <c r="U6" s="30">
        <v>2013</v>
      </c>
      <c r="V6" s="30">
        <v>2014</v>
      </c>
      <c r="W6" s="30">
        <v>2015</v>
      </c>
      <c r="X6" s="30">
        <v>2016</v>
      </c>
      <c r="Y6" s="30">
        <v>2017</v>
      </c>
      <c r="Z6" s="30">
        <v>2018</v>
      </c>
      <c r="AA6" s="30">
        <v>2019</v>
      </c>
      <c r="AB6" s="30">
        <v>2020</v>
      </c>
      <c r="AC6" s="31">
        <v>2021</v>
      </c>
      <c r="AD6" s="29">
        <v>2004</v>
      </c>
      <c r="AE6" s="30">
        <v>2005</v>
      </c>
      <c r="AF6" s="30">
        <v>2006</v>
      </c>
      <c r="AG6" s="30">
        <v>2007</v>
      </c>
      <c r="AH6" s="30">
        <v>2008</v>
      </c>
      <c r="AI6" s="30">
        <v>2009</v>
      </c>
      <c r="AJ6" s="30">
        <v>2010</v>
      </c>
      <c r="AK6" s="30">
        <v>2011</v>
      </c>
      <c r="AL6" s="30">
        <v>2012</v>
      </c>
      <c r="AM6" s="30">
        <v>2013</v>
      </c>
      <c r="AN6" s="30">
        <v>2014</v>
      </c>
      <c r="AO6" s="30">
        <v>2015</v>
      </c>
      <c r="AP6" s="30">
        <v>2016</v>
      </c>
      <c r="AQ6" s="61">
        <v>2017</v>
      </c>
      <c r="AR6" s="61">
        <v>2018</v>
      </c>
      <c r="AS6" s="61">
        <v>2019</v>
      </c>
      <c r="AT6" s="61">
        <v>2020</v>
      </c>
      <c r="AU6" s="561">
        <v>2021</v>
      </c>
      <c r="AV6" s="30">
        <v>2013</v>
      </c>
      <c r="AW6" s="30">
        <v>2014</v>
      </c>
      <c r="AX6" s="30">
        <v>2015</v>
      </c>
      <c r="AY6" s="30">
        <v>2016</v>
      </c>
      <c r="AZ6" s="30">
        <v>2017</v>
      </c>
      <c r="BA6" s="30">
        <v>2018</v>
      </c>
      <c r="BB6" s="30">
        <v>2019</v>
      </c>
      <c r="BC6" s="30">
        <v>2020</v>
      </c>
      <c r="BD6" s="31">
        <v>2021</v>
      </c>
      <c r="BE6" s="30">
        <v>2013</v>
      </c>
      <c r="BF6" s="30">
        <v>2014</v>
      </c>
      <c r="BG6" s="30">
        <v>2015</v>
      </c>
      <c r="BH6" s="30">
        <v>2016</v>
      </c>
      <c r="BI6" s="61">
        <v>2017</v>
      </c>
      <c r="BJ6" s="61">
        <v>2018</v>
      </c>
      <c r="BK6" s="61">
        <v>2019</v>
      </c>
      <c r="BL6" s="61">
        <v>2020</v>
      </c>
      <c r="BM6" s="561">
        <v>2021</v>
      </c>
      <c r="BN6" s="29">
        <v>2013</v>
      </c>
      <c r="BO6" s="30">
        <v>2014</v>
      </c>
      <c r="BP6" s="30">
        <v>2015</v>
      </c>
      <c r="BQ6" s="30">
        <v>2016</v>
      </c>
      <c r="BR6" s="30">
        <v>2017</v>
      </c>
      <c r="BS6" s="30">
        <v>2018</v>
      </c>
      <c r="BT6" s="30">
        <v>2019</v>
      </c>
      <c r="BU6" s="30">
        <v>2020</v>
      </c>
      <c r="BV6" s="61">
        <v>2021</v>
      </c>
      <c r="BW6" s="1040">
        <v>2021</v>
      </c>
      <c r="BX6" s="29">
        <v>2004</v>
      </c>
      <c r="BY6" s="30">
        <v>2005</v>
      </c>
      <c r="BZ6" s="30">
        <v>2006</v>
      </c>
      <c r="CA6" s="30">
        <v>2007</v>
      </c>
      <c r="CB6" s="30">
        <v>2008</v>
      </c>
      <c r="CC6" s="30">
        <v>2009</v>
      </c>
      <c r="CD6" s="30">
        <v>2010</v>
      </c>
      <c r="CE6" s="30">
        <v>2011</v>
      </c>
      <c r="CF6" s="30">
        <v>2012</v>
      </c>
      <c r="CG6" s="30">
        <v>2013</v>
      </c>
      <c r="CH6" s="30">
        <v>2014</v>
      </c>
      <c r="CI6" s="30">
        <v>2015</v>
      </c>
      <c r="CJ6" s="30">
        <v>2016</v>
      </c>
      <c r="CK6" s="30">
        <v>2017</v>
      </c>
      <c r="CL6" s="30">
        <v>2018</v>
      </c>
      <c r="CM6" s="30">
        <v>2019</v>
      </c>
      <c r="CN6" s="30">
        <v>2020</v>
      </c>
      <c r="CO6" s="31">
        <v>2021</v>
      </c>
      <c r="CP6" s="1104"/>
      <c r="CQ6" s="3"/>
    </row>
    <row r="7" spans="2:95">
      <c r="B7" s="344" t="s">
        <v>237</v>
      </c>
      <c r="C7" s="352"/>
      <c r="D7" s="352"/>
      <c r="E7" s="352"/>
      <c r="F7" s="352"/>
      <c r="G7" s="352"/>
      <c r="H7" s="352"/>
      <c r="I7" s="352"/>
      <c r="J7" s="352"/>
      <c r="K7" s="352"/>
      <c r="L7" s="351">
        <f>SUM(L8:L34)</f>
        <v>1073803</v>
      </c>
      <c r="M7" s="351">
        <f t="shared" ref="M7:T7" si="0">SUM(M8:M34)</f>
        <v>1181417</v>
      </c>
      <c r="N7" s="351">
        <f t="shared" si="0"/>
        <v>1248410</v>
      </c>
      <c r="O7" s="351">
        <f t="shared" si="0"/>
        <v>1379214</v>
      </c>
      <c r="P7" s="351">
        <f t="shared" si="0"/>
        <v>1449339</v>
      </c>
      <c r="Q7" s="351">
        <f t="shared" si="0"/>
        <v>1530497</v>
      </c>
      <c r="R7" s="351">
        <f t="shared" si="0"/>
        <v>1566279</v>
      </c>
      <c r="S7" s="870">
        <f t="shared" si="0"/>
        <v>1287460</v>
      </c>
      <c r="T7" s="871">
        <f t="shared" si="0"/>
        <v>1422796</v>
      </c>
      <c r="U7" s="901">
        <v>0.56100000000000005</v>
      </c>
      <c r="V7" s="901">
        <v>0.55700000000000005</v>
      </c>
      <c r="W7" s="901">
        <v>0.628</v>
      </c>
      <c r="X7" s="901">
        <v>0.80600000000000005</v>
      </c>
      <c r="Y7" s="901">
        <v>0.96199999999999997</v>
      </c>
      <c r="Z7" s="901">
        <v>1.212</v>
      </c>
      <c r="AA7" s="901">
        <v>1.3069999999999999</v>
      </c>
      <c r="AB7" s="901">
        <v>1.8879999999999999</v>
      </c>
      <c r="AC7" s="1041">
        <v>2.7549999999999999</v>
      </c>
      <c r="AD7" s="872"/>
      <c r="AE7" s="872"/>
      <c r="AF7" s="872"/>
      <c r="AG7" s="872"/>
      <c r="AH7" s="872"/>
      <c r="AI7" s="872"/>
      <c r="AJ7" s="872"/>
      <c r="AK7" s="872"/>
      <c r="AL7" s="872"/>
      <c r="AM7" s="872">
        <f>SUM(AM8:AM34)+60</f>
        <v>251013</v>
      </c>
      <c r="AN7" s="872">
        <f>SUM(AN8:AN34)+60</f>
        <v>246258</v>
      </c>
      <c r="AO7" s="870">
        <f t="shared" ref="AO7:AU7" si="1">SUM(AO8:AO34)</f>
        <v>279739</v>
      </c>
      <c r="AP7" s="870">
        <f t="shared" si="1"/>
        <v>309381</v>
      </c>
      <c r="AQ7" s="870">
        <f t="shared" si="1"/>
        <v>314427</v>
      </c>
      <c r="AR7" s="870">
        <f t="shared" si="1"/>
        <v>332786</v>
      </c>
      <c r="AS7" s="870">
        <f t="shared" si="1"/>
        <v>324201</v>
      </c>
      <c r="AT7" s="870">
        <f t="shared" si="1"/>
        <v>234404</v>
      </c>
      <c r="AU7" s="871">
        <f t="shared" si="1"/>
        <v>270972</v>
      </c>
      <c r="AV7" s="872"/>
      <c r="AW7" s="872"/>
      <c r="AX7" s="872"/>
      <c r="AY7" s="872"/>
      <c r="AZ7" s="872"/>
      <c r="BA7" s="872"/>
      <c r="BB7" s="872"/>
      <c r="BC7" s="872"/>
      <c r="BD7" s="873"/>
      <c r="BE7" s="872"/>
      <c r="BF7" s="872"/>
      <c r="BG7" s="872"/>
      <c r="BH7" s="872"/>
      <c r="BI7" s="872"/>
      <c r="BJ7" s="872"/>
      <c r="BK7" s="872"/>
      <c r="BL7" s="872"/>
      <c r="BM7" s="873"/>
      <c r="BN7" s="993">
        <v>17</v>
      </c>
      <c r="BO7" s="870">
        <v>26</v>
      </c>
      <c r="BP7" s="870">
        <v>13</v>
      </c>
      <c r="BQ7" s="870">
        <v>29</v>
      </c>
      <c r="BR7" s="870">
        <v>45</v>
      </c>
      <c r="BS7" s="870">
        <v>88</v>
      </c>
      <c r="BT7" s="870">
        <v>123</v>
      </c>
      <c r="BU7" s="870">
        <v>107</v>
      </c>
      <c r="BV7" s="994">
        <v>251</v>
      </c>
      <c r="BW7" s="1034">
        <v>9.2629496774574493E-2</v>
      </c>
      <c r="BX7" s="872"/>
      <c r="BY7" s="872"/>
      <c r="BZ7" s="870">
        <f>SUM(BZ8:BZ34)</f>
        <v>2065402</v>
      </c>
      <c r="CA7" s="870">
        <f t="shared" ref="CA7:CF7" si="2">SUM(CA8:CA34)</f>
        <v>2219342</v>
      </c>
      <c r="CB7" s="870">
        <f t="shared" si="2"/>
        <v>2028378</v>
      </c>
      <c r="CC7" s="870">
        <f t="shared" si="2"/>
        <v>1388195</v>
      </c>
      <c r="CD7" s="870">
        <f t="shared" si="2"/>
        <v>1490153</v>
      </c>
      <c r="CE7" s="870">
        <f t="shared" si="2"/>
        <v>1621285</v>
      </c>
      <c r="CF7" s="1007">
        <f t="shared" si="2"/>
        <v>1398645</v>
      </c>
      <c r="CG7" s="870">
        <f>SUM(CG8:CG34)</f>
        <v>1304696</v>
      </c>
      <c r="CH7" s="870">
        <f t="shared" ref="CH7:CO7" si="3">SUM(CH8:CH34)</f>
        <v>1428151</v>
      </c>
      <c r="CI7" s="870">
        <f t="shared" si="3"/>
        <v>1527547</v>
      </c>
      <c r="CJ7" s="870">
        <f t="shared" si="3"/>
        <v>1688595</v>
      </c>
      <c r="CK7" s="870">
        <f t="shared" si="3"/>
        <v>1763766</v>
      </c>
      <c r="CL7" s="870">
        <f t="shared" si="3"/>
        <v>1863283</v>
      </c>
      <c r="CM7" s="870">
        <f t="shared" si="3"/>
        <v>1890480</v>
      </c>
      <c r="CN7" s="870">
        <f t="shared" si="3"/>
        <v>1521864</v>
      </c>
      <c r="CO7" s="870">
        <f t="shared" si="3"/>
        <v>1693768</v>
      </c>
      <c r="CP7" s="369">
        <f>CO7/CN7*100-100</f>
        <v>11.295621684986301</v>
      </c>
      <c r="CQ7" s="344" t="s">
        <v>237</v>
      </c>
    </row>
    <row r="8" spans="2:95">
      <c r="B8" s="6" t="s">
        <v>45</v>
      </c>
      <c r="C8" s="875">
        <v>58539</v>
      </c>
      <c r="D8" s="875">
        <v>62068</v>
      </c>
      <c r="E8" s="902">
        <v>60156</v>
      </c>
      <c r="F8" s="902">
        <v>68007</v>
      </c>
      <c r="G8" s="902">
        <v>67546</v>
      </c>
      <c r="H8" s="902">
        <v>53620</v>
      </c>
      <c r="I8" s="902">
        <v>54856</v>
      </c>
      <c r="J8" s="902">
        <v>64049</v>
      </c>
      <c r="K8" s="903">
        <v>57020</v>
      </c>
      <c r="L8" s="903">
        <v>55793</v>
      </c>
      <c r="M8" s="903">
        <v>55807</v>
      </c>
      <c r="N8" s="1010">
        <v>61247</v>
      </c>
      <c r="O8" s="902">
        <v>68305</v>
      </c>
      <c r="P8" s="902">
        <v>76579</v>
      </c>
      <c r="Q8" s="902">
        <v>78085</v>
      </c>
      <c r="R8" s="902">
        <v>81422</v>
      </c>
      <c r="S8" s="904">
        <v>71499</v>
      </c>
      <c r="T8" s="905">
        <v>71769</v>
      </c>
      <c r="U8" s="906">
        <v>0</v>
      </c>
      <c r="V8" s="906">
        <v>5.0000000000000001E-3</v>
      </c>
      <c r="W8" s="906">
        <v>3.1E-2</v>
      </c>
      <c r="X8" s="906">
        <v>0.253</v>
      </c>
      <c r="Y8" s="906">
        <v>0.23699999999999999</v>
      </c>
      <c r="Z8" s="906">
        <v>0.308</v>
      </c>
      <c r="AA8" s="906">
        <v>0.48599999999999999</v>
      </c>
      <c r="AB8" s="906">
        <v>0.57199999999999995</v>
      </c>
      <c r="AC8" s="1035">
        <v>0.89100000000000001</v>
      </c>
      <c r="AD8" s="907">
        <v>10378</v>
      </c>
      <c r="AE8" s="907">
        <v>13015</v>
      </c>
      <c r="AF8" s="907">
        <v>10779</v>
      </c>
      <c r="AG8" s="907">
        <v>12562</v>
      </c>
      <c r="AH8" s="907">
        <v>12524</v>
      </c>
      <c r="AI8" s="907">
        <v>8832</v>
      </c>
      <c r="AJ8" s="907">
        <v>8054</v>
      </c>
      <c r="AK8" s="907">
        <v>10233</v>
      </c>
      <c r="AL8" s="908">
        <v>8970</v>
      </c>
      <c r="AM8" s="907">
        <f t="shared" ref="AM8:AU14" si="4">AV8+BE8</f>
        <v>7696</v>
      </c>
      <c r="AN8" s="907">
        <f t="shared" si="4"/>
        <v>7846</v>
      </c>
      <c r="AO8" s="907">
        <f t="shared" si="4"/>
        <v>8387</v>
      </c>
      <c r="AP8" s="907">
        <f t="shared" si="4"/>
        <v>9740</v>
      </c>
      <c r="AQ8" s="907">
        <f t="shared" si="4"/>
        <v>10268</v>
      </c>
      <c r="AR8" s="907">
        <f t="shared" si="4"/>
        <v>11408</v>
      </c>
      <c r="AS8" s="907">
        <f t="shared" si="4"/>
        <v>11722</v>
      </c>
      <c r="AT8" s="907">
        <f t="shared" si="4"/>
        <v>7622</v>
      </c>
      <c r="AU8" s="909">
        <f t="shared" si="4"/>
        <v>8295</v>
      </c>
      <c r="AV8" s="907">
        <v>3435</v>
      </c>
      <c r="AW8" s="907">
        <v>3669</v>
      </c>
      <c r="AX8" s="907">
        <v>3606</v>
      </c>
      <c r="AY8" s="907">
        <v>3868</v>
      </c>
      <c r="AZ8" s="907">
        <v>4364</v>
      </c>
      <c r="BA8" s="907">
        <v>4779</v>
      </c>
      <c r="BB8" s="907">
        <v>5381</v>
      </c>
      <c r="BC8" s="910">
        <v>4311</v>
      </c>
      <c r="BD8" s="909">
        <v>4017</v>
      </c>
      <c r="BE8" s="907">
        <v>4261</v>
      </c>
      <c r="BF8" s="907">
        <v>4177</v>
      </c>
      <c r="BG8" s="907">
        <v>4781</v>
      </c>
      <c r="BH8" s="907">
        <v>5872</v>
      </c>
      <c r="BI8" s="907">
        <v>5904</v>
      </c>
      <c r="BJ8" s="907">
        <v>6629</v>
      </c>
      <c r="BK8" s="907">
        <v>6341</v>
      </c>
      <c r="BL8" s="907">
        <v>3311</v>
      </c>
      <c r="BM8" s="909">
        <v>4278</v>
      </c>
      <c r="BN8" s="924">
        <v>0</v>
      </c>
      <c r="BO8" s="907">
        <v>0</v>
      </c>
      <c r="BP8" s="907">
        <v>0</v>
      </c>
      <c r="BQ8" s="907">
        <v>0</v>
      </c>
      <c r="BR8" s="907">
        <v>0</v>
      </c>
      <c r="BS8" s="907">
        <v>0</v>
      </c>
      <c r="BT8" s="907">
        <v>0</v>
      </c>
      <c r="BU8" s="907">
        <v>0</v>
      </c>
      <c r="BV8" s="909">
        <v>0</v>
      </c>
      <c r="BW8" s="1035">
        <v>0</v>
      </c>
      <c r="BX8" s="907">
        <f t="shared" ref="BX8:CO8" si="5">C8+AD8</f>
        <v>68917</v>
      </c>
      <c r="BY8" s="907">
        <f t="shared" si="5"/>
        <v>75083</v>
      </c>
      <c r="BZ8" s="907">
        <f t="shared" si="5"/>
        <v>70935</v>
      </c>
      <c r="CA8" s="907">
        <f t="shared" si="5"/>
        <v>80569</v>
      </c>
      <c r="CB8" s="907">
        <f t="shared" si="5"/>
        <v>80070</v>
      </c>
      <c r="CC8" s="907">
        <f t="shared" si="5"/>
        <v>62452</v>
      </c>
      <c r="CD8" s="907">
        <f t="shared" si="5"/>
        <v>62910</v>
      </c>
      <c r="CE8" s="907">
        <f t="shared" si="5"/>
        <v>74282</v>
      </c>
      <c r="CF8" s="908">
        <f t="shared" si="5"/>
        <v>65990</v>
      </c>
      <c r="CG8" s="907">
        <f t="shared" si="5"/>
        <v>63489</v>
      </c>
      <c r="CH8" s="907">
        <f t="shared" si="5"/>
        <v>63653</v>
      </c>
      <c r="CI8" s="907">
        <f t="shared" si="5"/>
        <v>69634</v>
      </c>
      <c r="CJ8" s="907">
        <f t="shared" si="5"/>
        <v>78045</v>
      </c>
      <c r="CK8" s="907">
        <f t="shared" si="5"/>
        <v>86847</v>
      </c>
      <c r="CL8" s="907">
        <f t="shared" si="5"/>
        <v>89493</v>
      </c>
      <c r="CM8" s="907">
        <f t="shared" si="5"/>
        <v>93144</v>
      </c>
      <c r="CN8" s="907">
        <f t="shared" si="5"/>
        <v>79121</v>
      </c>
      <c r="CO8" s="909">
        <f t="shared" si="5"/>
        <v>80064</v>
      </c>
      <c r="CP8" s="477">
        <f t="shared" ref="CP8:CP37" si="6">CO8/CN8*100-100</f>
        <v>1.1918454013473081</v>
      </c>
      <c r="CQ8" s="44" t="s">
        <v>45</v>
      </c>
    </row>
    <row r="9" spans="2:95">
      <c r="B9" s="34" t="s">
        <v>28</v>
      </c>
      <c r="C9" s="876"/>
      <c r="D9" s="876" t="s">
        <v>63</v>
      </c>
      <c r="E9" s="876" t="s">
        <v>63</v>
      </c>
      <c r="F9" s="876" t="s">
        <v>63</v>
      </c>
      <c r="G9" s="876" t="s">
        <v>63</v>
      </c>
      <c r="H9" s="876" t="s">
        <v>63</v>
      </c>
      <c r="I9" s="876" t="s">
        <v>63</v>
      </c>
      <c r="J9" s="876" t="s">
        <v>63</v>
      </c>
      <c r="K9" s="877" t="s">
        <v>63</v>
      </c>
      <c r="L9" s="912">
        <v>3346</v>
      </c>
      <c r="M9" s="912">
        <v>4225</v>
      </c>
      <c r="N9" s="912">
        <v>4553</v>
      </c>
      <c r="O9" s="912">
        <v>4890</v>
      </c>
      <c r="P9" s="912">
        <v>5000</v>
      </c>
      <c r="Q9" s="912">
        <v>6282</v>
      </c>
      <c r="R9" s="912">
        <v>5985</v>
      </c>
      <c r="S9" s="913">
        <v>5000</v>
      </c>
      <c r="T9" s="1009">
        <v>6155</v>
      </c>
      <c r="U9" s="915">
        <v>0</v>
      </c>
      <c r="V9" s="915">
        <v>0</v>
      </c>
      <c r="W9" s="915">
        <v>0</v>
      </c>
      <c r="X9" s="915">
        <v>0</v>
      </c>
      <c r="Y9" s="915">
        <v>0</v>
      </c>
      <c r="Z9" s="915">
        <v>0</v>
      </c>
      <c r="AA9" s="915">
        <v>0</v>
      </c>
      <c r="AB9" s="915">
        <v>0.11799999999999999</v>
      </c>
      <c r="AC9" s="1036">
        <v>0.14599999999999999</v>
      </c>
      <c r="AD9" s="916" t="s">
        <v>63</v>
      </c>
      <c r="AE9" s="916" t="s">
        <v>63</v>
      </c>
      <c r="AF9" s="916" t="s">
        <v>63</v>
      </c>
      <c r="AG9" s="916" t="s">
        <v>63</v>
      </c>
      <c r="AH9" s="916" t="s">
        <v>63</v>
      </c>
      <c r="AI9" s="916" t="s">
        <v>63</v>
      </c>
      <c r="AJ9" s="916" t="s">
        <v>63</v>
      </c>
      <c r="AK9" s="916" t="s">
        <v>63</v>
      </c>
      <c r="AL9" s="917" t="s">
        <v>63</v>
      </c>
      <c r="AM9" s="918">
        <f t="shared" si="4"/>
        <v>9446</v>
      </c>
      <c r="AN9" s="918">
        <f t="shared" si="4"/>
        <v>10749</v>
      </c>
      <c r="AO9" s="918">
        <f t="shared" si="4"/>
        <v>13665</v>
      </c>
      <c r="AP9" s="918">
        <f t="shared" si="4"/>
        <v>12591</v>
      </c>
      <c r="AQ9" s="918">
        <f t="shared" si="4"/>
        <v>12494</v>
      </c>
      <c r="AR9" s="918">
        <f t="shared" si="4"/>
        <v>14516</v>
      </c>
      <c r="AS9" s="918">
        <f t="shared" si="4"/>
        <v>10331</v>
      </c>
      <c r="AT9" s="918">
        <f t="shared" si="4"/>
        <v>6501</v>
      </c>
      <c r="AU9" s="919">
        <f t="shared" si="4"/>
        <v>3483</v>
      </c>
      <c r="AV9" s="920">
        <v>8075</v>
      </c>
      <c r="AW9" s="920">
        <v>9059</v>
      </c>
      <c r="AX9" s="920">
        <v>10900</v>
      </c>
      <c r="AY9" s="920">
        <v>10092</v>
      </c>
      <c r="AZ9" s="918">
        <v>10269</v>
      </c>
      <c r="BA9" s="918">
        <v>11584</v>
      </c>
      <c r="BB9" s="918">
        <v>7889</v>
      </c>
      <c r="BC9" s="918">
        <v>4972</v>
      </c>
      <c r="BD9" s="919">
        <v>1087</v>
      </c>
      <c r="BE9" s="921">
        <v>1371</v>
      </c>
      <c r="BF9" s="921">
        <v>1690</v>
      </c>
      <c r="BG9" s="921">
        <v>2765</v>
      </c>
      <c r="BH9" s="921">
        <v>2499</v>
      </c>
      <c r="BI9" s="918">
        <v>2225</v>
      </c>
      <c r="BJ9" s="918">
        <v>2932</v>
      </c>
      <c r="BK9" s="918">
        <v>2442</v>
      </c>
      <c r="BL9" s="918">
        <v>1529</v>
      </c>
      <c r="BM9" s="919">
        <v>2396</v>
      </c>
      <c r="BN9" s="971">
        <v>0</v>
      </c>
      <c r="BO9" s="918">
        <v>0</v>
      </c>
      <c r="BP9" s="918">
        <v>0</v>
      </c>
      <c r="BQ9" s="918">
        <v>0</v>
      </c>
      <c r="BR9" s="918">
        <v>0</v>
      </c>
      <c r="BS9" s="918">
        <v>0</v>
      </c>
      <c r="BT9" s="918">
        <v>0</v>
      </c>
      <c r="BU9" s="918">
        <v>0</v>
      </c>
      <c r="BV9" s="919">
        <v>0</v>
      </c>
      <c r="BW9" s="1036">
        <v>0</v>
      </c>
      <c r="BX9" s="920"/>
      <c r="BY9" s="921">
        <v>7631</v>
      </c>
      <c r="BZ9" s="921">
        <v>10242</v>
      </c>
      <c r="CA9" s="921">
        <v>12225</v>
      </c>
      <c r="CB9" s="921">
        <v>13642</v>
      </c>
      <c r="CC9" s="921">
        <v>5514</v>
      </c>
      <c r="CD9" s="921">
        <v>5835</v>
      </c>
      <c r="CE9" s="921">
        <v>8454</v>
      </c>
      <c r="CF9" s="948">
        <v>10231</v>
      </c>
      <c r="CG9" s="921">
        <f t="shared" ref="CG9:CG23" si="7">L9+AM9</f>
        <v>12792</v>
      </c>
      <c r="CH9" s="921">
        <f t="shared" ref="CH9:CH23" si="8">M9+AN9</f>
        <v>14974</v>
      </c>
      <c r="CI9" s="921">
        <f t="shared" ref="CI9:CI23" si="9">N9+AO9</f>
        <v>18218</v>
      </c>
      <c r="CJ9" s="921">
        <f t="shared" ref="CJ9:CJ23" si="10">O9+AP9</f>
        <v>17481</v>
      </c>
      <c r="CK9" s="918">
        <f t="shared" ref="CK9:CK23" si="11">P9+AQ9</f>
        <v>17494</v>
      </c>
      <c r="CL9" s="918">
        <f t="shared" ref="CL9:CL23" si="12">Q9+AR9</f>
        <v>20798</v>
      </c>
      <c r="CM9" s="918">
        <f t="shared" ref="CM9:CM23" si="13">R9+AS9</f>
        <v>16316</v>
      </c>
      <c r="CN9" s="918">
        <f t="shared" ref="CN9:CN23" si="14">S9+AT9</f>
        <v>11501</v>
      </c>
      <c r="CO9" s="919">
        <f t="shared" ref="CO9:CO23" si="15">T9+AU9</f>
        <v>9638</v>
      </c>
      <c r="CP9" s="478">
        <f t="shared" si="6"/>
        <v>-16.198591426832451</v>
      </c>
      <c r="CQ9" s="42" t="s">
        <v>28</v>
      </c>
    </row>
    <row r="10" spans="2:95">
      <c r="B10" s="7" t="s">
        <v>30</v>
      </c>
      <c r="C10" s="875">
        <v>17186</v>
      </c>
      <c r="D10" s="875">
        <v>15965</v>
      </c>
      <c r="E10" s="902">
        <v>16185</v>
      </c>
      <c r="F10" s="902">
        <v>19534</v>
      </c>
      <c r="G10" s="902">
        <v>20269</v>
      </c>
      <c r="H10" s="902">
        <v>13007</v>
      </c>
      <c r="I10" s="902">
        <v>11429</v>
      </c>
      <c r="J10" s="902">
        <v>13377</v>
      </c>
      <c r="K10" s="923">
        <v>11628</v>
      </c>
      <c r="L10" s="902">
        <v>10801</v>
      </c>
      <c r="M10" s="902">
        <v>12112</v>
      </c>
      <c r="N10" s="902">
        <v>15216</v>
      </c>
      <c r="O10" s="902">
        <v>17081</v>
      </c>
      <c r="P10" s="902">
        <v>17157</v>
      </c>
      <c r="Q10" s="902">
        <v>17968</v>
      </c>
      <c r="R10" s="902">
        <v>17901</v>
      </c>
      <c r="S10" s="904">
        <v>15045</v>
      </c>
      <c r="T10" s="905">
        <v>19407</v>
      </c>
      <c r="U10" s="906">
        <v>0</v>
      </c>
      <c r="V10" s="906">
        <v>0</v>
      </c>
      <c r="W10" s="906">
        <v>0.124</v>
      </c>
      <c r="X10" s="906">
        <v>6.4000000000000001E-2</v>
      </c>
      <c r="Y10" s="906">
        <v>0.157</v>
      </c>
      <c r="Z10" s="906">
        <v>0.17199999999999999</v>
      </c>
      <c r="AA10" s="906">
        <v>0.217</v>
      </c>
      <c r="AB10" s="906">
        <v>0.29199999999999998</v>
      </c>
      <c r="AC10" s="1035">
        <v>0.83899999999999997</v>
      </c>
      <c r="AD10" s="924">
        <v>6502</v>
      </c>
      <c r="AE10" s="907">
        <v>8259</v>
      </c>
      <c r="AF10" s="907">
        <v>9794</v>
      </c>
      <c r="AG10" s="907">
        <v>12079</v>
      </c>
      <c r="AH10" s="907">
        <v>11404</v>
      </c>
      <c r="AI10" s="907">
        <v>5129</v>
      </c>
      <c r="AJ10" s="907">
        <v>4953</v>
      </c>
      <c r="AK10" s="907">
        <v>7435</v>
      </c>
      <c r="AL10" s="925">
        <v>6943</v>
      </c>
      <c r="AM10" s="907">
        <f t="shared" si="4"/>
        <v>8688</v>
      </c>
      <c r="AN10" s="907">
        <f t="shared" si="4"/>
        <v>9483</v>
      </c>
      <c r="AO10" s="907">
        <f t="shared" si="4"/>
        <v>11180</v>
      </c>
      <c r="AP10" s="907">
        <f t="shared" si="4"/>
        <v>12326</v>
      </c>
      <c r="AQ10" s="907">
        <f t="shared" si="4"/>
        <v>11163</v>
      </c>
      <c r="AR10" s="907">
        <f t="shared" si="4"/>
        <v>10982</v>
      </c>
      <c r="AS10" s="907">
        <f t="shared" si="4"/>
        <v>11110</v>
      </c>
      <c r="AT10" s="907">
        <f t="shared" si="4"/>
        <v>8392</v>
      </c>
      <c r="AU10" s="909">
        <f t="shared" si="4"/>
        <v>7963</v>
      </c>
      <c r="AV10" s="907">
        <v>8672</v>
      </c>
      <c r="AW10" s="907">
        <v>9464</v>
      </c>
      <c r="AX10" s="907">
        <v>11147</v>
      </c>
      <c r="AY10" s="907">
        <v>12293</v>
      </c>
      <c r="AZ10" s="907">
        <v>11074</v>
      </c>
      <c r="BA10" s="907">
        <v>10921</v>
      </c>
      <c r="BB10" s="907">
        <v>11095</v>
      </c>
      <c r="BC10" s="907">
        <v>8390</v>
      </c>
      <c r="BD10" s="909">
        <v>7960</v>
      </c>
      <c r="BE10" s="907">
        <v>16</v>
      </c>
      <c r="BF10" s="907">
        <v>19</v>
      </c>
      <c r="BG10" s="907">
        <v>33</v>
      </c>
      <c r="BH10" s="907">
        <v>33</v>
      </c>
      <c r="BI10" s="907">
        <v>89</v>
      </c>
      <c r="BJ10" s="907">
        <v>61</v>
      </c>
      <c r="BK10" s="907">
        <v>15</v>
      </c>
      <c r="BL10" s="907">
        <v>2</v>
      </c>
      <c r="BM10" s="909">
        <v>3</v>
      </c>
      <c r="BN10" s="924">
        <v>0</v>
      </c>
      <c r="BO10" s="907">
        <v>0</v>
      </c>
      <c r="BP10" s="907">
        <v>0</v>
      </c>
      <c r="BQ10" s="907">
        <v>0</v>
      </c>
      <c r="BR10" s="907">
        <v>0</v>
      </c>
      <c r="BS10" s="907">
        <v>0</v>
      </c>
      <c r="BT10" s="907">
        <v>0</v>
      </c>
      <c r="BU10" s="907">
        <v>0</v>
      </c>
      <c r="BV10" s="909">
        <v>0</v>
      </c>
      <c r="BW10" s="1035">
        <v>0</v>
      </c>
      <c r="BX10" s="907">
        <f t="shared" ref="BX10:CF17" si="16">C10+AD10</f>
        <v>23688</v>
      </c>
      <c r="BY10" s="907">
        <f t="shared" si="16"/>
        <v>24224</v>
      </c>
      <c r="BZ10" s="907">
        <f t="shared" si="16"/>
        <v>25979</v>
      </c>
      <c r="CA10" s="907">
        <f t="shared" si="16"/>
        <v>31613</v>
      </c>
      <c r="CB10" s="907">
        <f t="shared" si="16"/>
        <v>31673</v>
      </c>
      <c r="CC10" s="907">
        <f t="shared" si="16"/>
        <v>18136</v>
      </c>
      <c r="CD10" s="907">
        <f t="shared" si="16"/>
        <v>16382</v>
      </c>
      <c r="CE10" s="907">
        <f t="shared" si="16"/>
        <v>20812</v>
      </c>
      <c r="CF10" s="925">
        <f t="shared" si="16"/>
        <v>18571</v>
      </c>
      <c r="CG10" s="907">
        <f t="shared" si="7"/>
        <v>19489</v>
      </c>
      <c r="CH10" s="907">
        <f t="shared" si="8"/>
        <v>21595</v>
      </c>
      <c r="CI10" s="907">
        <f t="shared" si="9"/>
        <v>26396</v>
      </c>
      <c r="CJ10" s="907">
        <f t="shared" si="10"/>
        <v>29407</v>
      </c>
      <c r="CK10" s="907">
        <f t="shared" si="11"/>
        <v>28320</v>
      </c>
      <c r="CL10" s="907">
        <f t="shared" si="12"/>
        <v>28950</v>
      </c>
      <c r="CM10" s="907">
        <f t="shared" si="13"/>
        <v>29011</v>
      </c>
      <c r="CN10" s="907">
        <f t="shared" si="14"/>
        <v>23437</v>
      </c>
      <c r="CO10" s="909">
        <f t="shared" si="15"/>
        <v>27370</v>
      </c>
      <c r="CP10" s="477">
        <f t="shared" si="6"/>
        <v>16.781157998037301</v>
      </c>
      <c r="CQ10" s="44" t="s">
        <v>30</v>
      </c>
    </row>
    <row r="11" spans="2:95">
      <c r="B11" s="34" t="s">
        <v>41</v>
      </c>
      <c r="C11" s="562">
        <v>44791</v>
      </c>
      <c r="D11" s="878">
        <v>57880</v>
      </c>
      <c r="E11" s="912">
        <v>62792</v>
      </c>
      <c r="F11" s="912">
        <v>56067</v>
      </c>
      <c r="G11" s="912">
        <v>33602</v>
      </c>
      <c r="H11" s="912">
        <v>15207</v>
      </c>
      <c r="I11" s="912">
        <v>16092</v>
      </c>
      <c r="J11" s="912">
        <v>23600</v>
      </c>
      <c r="K11" s="926">
        <v>24053</v>
      </c>
      <c r="L11" s="912">
        <v>24020</v>
      </c>
      <c r="M11" s="912">
        <v>28450</v>
      </c>
      <c r="N11" s="912">
        <v>32439</v>
      </c>
      <c r="O11" s="912">
        <v>36607</v>
      </c>
      <c r="P11" s="912">
        <v>35869</v>
      </c>
      <c r="Q11" s="912">
        <v>33857</v>
      </c>
      <c r="R11" s="912">
        <v>33104</v>
      </c>
      <c r="S11" s="913">
        <v>31079</v>
      </c>
      <c r="T11" s="914">
        <v>31551</v>
      </c>
      <c r="U11" s="915">
        <v>1.2E-2</v>
      </c>
      <c r="V11" s="915">
        <v>0.115</v>
      </c>
      <c r="W11" s="915">
        <v>1.488</v>
      </c>
      <c r="X11" s="915">
        <v>0.16600000000000001</v>
      </c>
      <c r="Y11" s="915">
        <v>0.16400000000000001</v>
      </c>
      <c r="Z11" s="915">
        <v>0.224</v>
      </c>
      <c r="AA11" s="915">
        <v>0.67300000000000004</v>
      </c>
      <c r="AB11" s="915">
        <v>1.3859999999999999</v>
      </c>
      <c r="AC11" s="1036">
        <v>4.516</v>
      </c>
      <c r="AD11" s="927">
        <v>4661</v>
      </c>
      <c r="AE11" s="928">
        <v>6412</v>
      </c>
      <c r="AF11" s="928">
        <v>5990</v>
      </c>
      <c r="AG11" s="928">
        <v>6891</v>
      </c>
      <c r="AH11" s="928">
        <v>6673</v>
      </c>
      <c r="AI11" s="928">
        <v>3252</v>
      </c>
      <c r="AJ11" s="928">
        <v>2840</v>
      </c>
      <c r="AK11" s="928">
        <v>3548</v>
      </c>
      <c r="AL11" s="929">
        <v>3768</v>
      </c>
      <c r="AM11" s="928">
        <f t="shared" si="4"/>
        <v>6359</v>
      </c>
      <c r="AN11" s="928">
        <f t="shared" si="4"/>
        <v>5545</v>
      </c>
      <c r="AO11" s="928">
        <f t="shared" si="4"/>
        <v>7131</v>
      </c>
      <c r="AP11" s="928">
        <f t="shared" si="4"/>
        <v>7430</v>
      </c>
      <c r="AQ11" s="928">
        <f t="shared" si="4"/>
        <v>7100</v>
      </c>
      <c r="AR11" s="928">
        <f t="shared" si="4"/>
        <v>7057</v>
      </c>
      <c r="AS11" s="928">
        <f t="shared" si="4"/>
        <v>6892</v>
      </c>
      <c r="AT11" s="928">
        <f t="shared" si="4"/>
        <v>5031</v>
      </c>
      <c r="AU11" s="930">
        <f t="shared" si="4"/>
        <v>6097</v>
      </c>
      <c r="AV11" s="928">
        <v>4064</v>
      </c>
      <c r="AW11" s="928">
        <v>3555</v>
      </c>
      <c r="AX11" s="928">
        <v>4483</v>
      </c>
      <c r="AY11" s="928">
        <v>4783</v>
      </c>
      <c r="AZ11" s="928">
        <v>4590</v>
      </c>
      <c r="BA11" s="928">
        <v>4629</v>
      </c>
      <c r="BB11" s="928">
        <v>4577</v>
      </c>
      <c r="BC11" s="928">
        <v>3500</v>
      </c>
      <c r="BD11" s="930">
        <v>4081</v>
      </c>
      <c r="BE11" s="928">
        <v>2295</v>
      </c>
      <c r="BF11" s="928">
        <v>1990</v>
      </c>
      <c r="BG11" s="928">
        <v>2648</v>
      </c>
      <c r="BH11" s="928">
        <v>2647</v>
      </c>
      <c r="BI11" s="928">
        <v>2510</v>
      </c>
      <c r="BJ11" s="928">
        <v>2428</v>
      </c>
      <c r="BK11" s="928">
        <v>2315</v>
      </c>
      <c r="BL11" s="928">
        <v>1531</v>
      </c>
      <c r="BM11" s="930">
        <v>2016</v>
      </c>
      <c r="BN11" s="927">
        <v>0</v>
      </c>
      <c r="BO11" s="928">
        <v>0</v>
      </c>
      <c r="BP11" s="928">
        <v>0</v>
      </c>
      <c r="BQ11" s="928">
        <v>0</v>
      </c>
      <c r="BR11" s="928">
        <v>0</v>
      </c>
      <c r="BS11" s="928">
        <v>0</v>
      </c>
      <c r="BT11" s="928">
        <v>0</v>
      </c>
      <c r="BU11" s="928">
        <v>0</v>
      </c>
      <c r="BV11" s="930">
        <v>0</v>
      </c>
      <c r="BW11" s="1036">
        <v>0</v>
      </c>
      <c r="BX11" s="928">
        <f t="shared" si="16"/>
        <v>49452</v>
      </c>
      <c r="BY11" s="928">
        <f t="shared" si="16"/>
        <v>64292</v>
      </c>
      <c r="BZ11" s="928">
        <f t="shared" si="16"/>
        <v>68782</v>
      </c>
      <c r="CA11" s="928">
        <f t="shared" si="16"/>
        <v>62958</v>
      </c>
      <c r="CB11" s="928">
        <f t="shared" si="16"/>
        <v>40275</v>
      </c>
      <c r="CC11" s="928">
        <f t="shared" si="16"/>
        <v>18459</v>
      </c>
      <c r="CD11" s="928">
        <f t="shared" si="16"/>
        <v>18932</v>
      </c>
      <c r="CE11" s="928">
        <f t="shared" si="16"/>
        <v>27148</v>
      </c>
      <c r="CF11" s="929">
        <f t="shared" si="16"/>
        <v>27821</v>
      </c>
      <c r="CG11" s="928">
        <f t="shared" si="7"/>
        <v>30379</v>
      </c>
      <c r="CH11" s="928">
        <f t="shared" si="8"/>
        <v>33995</v>
      </c>
      <c r="CI11" s="928">
        <f t="shared" si="9"/>
        <v>39570</v>
      </c>
      <c r="CJ11" s="928">
        <f t="shared" si="10"/>
        <v>44037</v>
      </c>
      <c r="CK11" s="928">
        <f t="shared" si="11"/>
        <v>42969</v>
      </c>
      <c r="CL11" s="928">
        <f t="shared" si="12"/>
        <v>40914</v>
      </c>
      <c r="CM11" s="928">
        <f t="shared" si="13"/>
        <v>39996</v>
      </c>
      <c r="CN11" s="928">
        <f t="shared" si="14"/>
        <v>36110</v>
      </c>
      <c r="CO11" s="930">
        <f t="shared" si="15"/>
        <v>37648</v>
      </c>
      <c r="CP11" s="478">
        <f t="shared" si="6"/>
        <v>4.2592079756300194</v>
      </c>
      <c r="CQ11" s="42" t="s">
        <v>41</v>
      </c>
    </row>
    <row r="12" spans="2:95">
      <c r="B12" s="7" t="s">
        <v>46</v>
      </c>
      <c r="C12" s="874">
        <v>185541</v>
      </c>
      <c r="D12" s="875">
        <v>193736</v>
      </c>
      <c r="E12" s="902">
        <v>197513</v>
      </c>
      <c r="F12" s="902">
        <v>221769</v>
      </c>
      <c r="G12" s="902">
        <v>223525</v>
      </c>
      <c r="H12" s="902">
        <v>170067</v>
      </c>
      <c r="I12" s="902">
        <v>197270</v>
      </c>
      <c r="J12" s="902">
        <v>233617</v>
      </c>
      <c r="K12" s="923">
        <v>219508</v>
      </c>
      <c r="L12" s="902">
        <v>208132</v>
      </c>
      <c r="M12" s="902">
        <v>223537</v>
      </c>
      <c r="N12" s="902">
        <v>232768</v>
      </c>
      <c r="O12" s="902">
        <v>251904</v>
      </c>
      <c r="P12" s="902">
        <v>264060</v>
      </c>
      <c r="Q12" s="902">
        <v>278286</v>
      </c>
      <c r="R12" s="902">
        <v>297128</v>
      </c>
      <c r="S12" s="904">
        <v>259580</v>
      </c>
      <c r="T12" s="905">
        <v>257742</v>
      </c>
      <c r="U12" s="906">
        <v>0</v>
      </c>
      <c r="V12" s="906">
        <v>0.106</v>
      </c>
      <c r="W12" s="906">
        <v>0.14699999999999999</v>
      </c>
      <c r="X12" s="906">
        <v>1.1399999999999999</v>
      </c>
      <c r="Y12" s="906">
        <v>1.992</v>
      </c>
      <c r="Z12" s="906">
        <v>2.1379999999999999</v>
      </c>
      <c r="AA12" s="906">
        <v>2.2250000000000001</v>
      </c>
      <c r="AB12" s="906">
        <v>3.2709999999999999</v>
      </c>
      <c r="AC12" s="1035">
        <v>4.798</v>
      </c>
      <c r="AD12" s="924">
        <v>92463</v>
      </c>
      <c r="AE12" s="907">
        <v>101891</v>
      </c>
      <c r="AF12" s="907">
        <v>101210</v>
      </c>
      <c r="AG12" s="907">
        <v>106876</v>
      </c>
      <c r="AH12" s="907">
        <v>105589</v>
      </c>
      <c r="AI12" s="907">
        <v>66499</v>
      </c>
      <c r="AJ12" s="907">
        <v>79668</v>
      </c>
      <c r="AK12" s="907">
        <v>96161</v>
      </c>
      <c r="AL12" s="925">
        <v>86218</v>
      </c>
      <c r="AM12" s="907">
        <f t="shared" si="4"/>
        <v>75869</v>
      </c>
      <c r="AN12" s="907">
        <f t="shared" si="4"/>
        <v>75404</v>
      </c>
      <c r="AO12" s="907">
        <f t="shared" si="4"/>
        <v>78621</v>
      </c>
      <c r="AP12" s="907">
        <f t="shared" si="4"/>
        <v>80819</v>
      </c>
      <c r="AQ12" s="907">
        <f t="shared" si="4"/>
        <v>80149</v>
      </c>
      <c r="AR12" s="907">
        <f t="shared" si="4"/>
        <v>82208</v>
      </c>
      <c r="AS12" s="907">
        <f t="shared" si="4"/>
        <v>85130</v>
      </c>
      <c r="AT12" s="907">
        <f t="shared" si="4"/>
        <v>61454</v>
      </c>
      <c r="AU12" s="909">
        <f t="shared" si="4"/>
        <v>65200</v>
      </c>
      <c r="AV12" s="907">
        <v>45800</v>
      </c>
      <c r="AW12" s="907">
        <v>41074</v>
      </c>
      <c r="AX12" s="907">
        <v>42077</v>
      </c>
      <c r="AY12" s="907">
        <v>43852</v>
      </c>
      <c r="AZ12" s="907">
        <v>42543</v>
      </c>
      <c r="BA12" s="907">
        <v>43481</v>
      </c>
      <c r="BB12" s="907">
        <v>46510</v>
      </c>
      <c r="BC12" s="907">
        <v>35508</v>
      </c>
      <c r="BD12" s="909">
        <v>35502</v>
      </c>
      <c r="BE12" s="907">
        <v>30069</v>
      </c>
      <c r="BF12" s="907">
        <v>34330</v>
      </c>
      <c r="BG12" s="907">
        <v>36544</v>
      </c>
      <c r="BH12" s="907">
        <v>36967</v>
      </c>
      <c r="BI12" s="907">
        <v>37606</v>
      </c>
      <c r="BJ12" s="907">
        <v>38727</v>
      </c>
      <c r="BK12" s="907">
        <v>38620</v>
      </c>
      <c r="BL12" s="907">
        <v>25946</v>
      </c>
      <c r="BM12" s="909">
        <v>29698</v>
      </c>
      <c r="BN12" s="924">
        <v>2</v>
      </c>
      <c r="BO12" s="907">
        <v>4</v>
      </c>
      <c r="BP12" s="907">
        <v>0</v>
      </c>
      <c r="BQ12" s="907">
        <v>0</v>
      </c>
      <c r="BR12" s="907">
        <v>10</v>
      </c>
      <c r="BS12" s="907">
        <v>2</v>
      </c>
      <c r="BT12" s="907">
        <v>0</v>
      </c>
      <c r="BU12" s="907">
        <v>5</v>
      </c>
      <c r="BV12" s="909">
        <v>4</v>
      </c>
      <c r="BW12" s="1035">
        <v>6.1349693251533744E-3</v>
      </c>
      <c r="BX12" s="907">
        <f t="shared" si="16"/>
        <v>278004</v>
      </c>
      <c r="BY12" s="907">
        <f t="shared" si="16"/>
        <v>295627</v>
      </c>
      <c r="BZ12" s="907">
        <f t="shared" si="16"/>
        <v>298723</v>
      </c>
      <c r="CA12" s="907">
        <f t="shared" si="16"/>
        <v>328645</v>
      </c>
      <c r="CB12" s="907">
        <f t="shared" si="16"/>
        <v>329114</v>
      </c>
      <c r="CC12" s="907">
        <f t="shared" si="16"/>
        <v>236566</v>
      </c>
      <c r="CD12" s="907">
        <f t="shared" si="16"/>
        <v>276938</v>
      </c>
      <c r="CE12" s="907">
        <f t="shared" si="16"/>
        <v>329778</v>
      </c>
      <c r="CF12" s="925">
        <f t="shared" si="16"/>
        <v>305726</v>
      </c>
      <c r="CG12" s="907">
        <f t="shared" si="7"/>
        <v>284001</v>
      </c>
      <c r="CH12" s="907">
        <f t="shared" si="8"/>
        <v>298941</v>
      </c>
      <c r="CI12" s="907">
        <f t="shared" si="9"/>
        <v>311389</v>
      </c>
      <c r="CJ12" s="907">
        <f t="shared" si="10"/>
        <v>332723</v>
      </c>
      <c r="CK12" s="907">
        <f t="shared" si="11"/>
        <v>344209</v>
      </c>
      <c r="CL12" s="907">
        <f t="shared" si="12"/>
        <v>360494</v>
      </c>
      <c r="CM12" s="907">
        <f t="shared" si="13"/>
        <v>382258</v>
      </c>
      <c r="CN12" s="907">
        <f t="shared" si="14"/>
        <v>321034</v>
      </c>
      <c r="CO12" s="909">
        <f t="shared" si="15"/>
        <v>322942</v>
      </c>
      <c r="CP12" s="477">
        <f t="shared" si="6"/>
        <v>0.59432957256863972</v>
      </c>
      <c r="CQ12" s="44" t="s">
        <v>46</v>
      </c>
    </row>
    <row r="13" spans="2:95">
      <c r="B13" s="34" t="s">
        <v>31</v>
      </c>
      <c r="C13" s="562">
        <v>2365</v>
      </c>
      <c r="D13" s="878">
        <v>2896</v>
      </c>
      <c r="E13" s="912">
        <v>3696</v>
      </c>
      <c r="F13" s="912">
        <v>4610</v>
      </c>
      <c r="G13" s="912">
        <v>2976</v>
      </c>
      <c r="H13" s="912">
        <v>1175</v>
      </c>
      <c r="I13" s="912">
        <v>1370</v>
      </c>
      <c r="J13" s="912">
        <v>2435</v>
      </c>
      <c r="K13" s="926">
        <v>2752</v>
      </c>
      <c r="L13" s="912">
        <v>2888</v>
      </c>
      <c r="M13" s="912">
        <v>3243</v>
      </c>
      <c r="N13" s="912">
        <v>3915</v>
      </c>
      <c r="O13" s="912">
        <v>4355</v>
      </c>
      <c r="P13" s="912">
        <v>4744</v>
      </c>
      <c r="Q13" s="912">
        <v>5017</v>
      </c>
      <c r="R13" s="912">
        <v>4448</v>
      </c>
      <c r="S13" s="913">
        <v>3302</v>
      </c>
      <c r="T13" s="914">
        <v>4183</v>
      </c>
      <c r="U13" s="915">
        <v>0.13800000000000001</v>
      </c>
      <c r="V13" s="915">
        <v>0.215</v>
      </c>
      <c r="W13" s="915">
        <v>5.0999999999999997E-2</v>
      </c>
      <c r="X13" s="915">
        <v>6.8000000000000005E-2</v>
      </c>
      <c r="Y13" s="915">
        <v>0</v>
      </c>
      <c r="Z13" s="915">
        <v>1.9E-2</v>
      </c>
      <c r="AA13" s="915">
        <v>6.7000000000000004E-2</v>
      </c>
      <c r="AB13" s="915">
        <v>0.45400000000000001</v>
      </c>
      <c r="AC13" s="1036">
        <v>0.621</v>
      </c>
      <c r="AD13" s="927">
        <v>638</v>
      </c>
      <c r="AE13" s="928">
        <v>975</v>
      </c>
      <c r="AF13" s="928">
        <v>1534</v>
      </c>
      <c r="AG13" s="928">
        <v>1718</v>
      </c>
      <c r="AH13" s="928">
        <v>1301</v>
      </c>
      <c r="AI13" s="928">
        <v>256</v>
      </c>
      <c r="AJ13" s="928">
        <v>370</v>
      </c>
      <c r="AK13" s="928">
        <v>746</v>
      </c>
      <c r="AL13" s="929">
        <v>734</v>
      </c>
      <c r="AM13" s="928">
        <f t="shared" si="4"/>
        <v>856</v>
      </c>
      <c r="AN13" s="928">
        <f t="shared" si="4"/>
        <v>776</v>
      </c>
      <c r="AO13" s="928">
        <f t="shared" si="4"/>
        <v>769</v>
      </c>
      <c r="AP13" s="928">
        <f t="shared" si="4"/>
        <v>879</v>
      </c>
      <c r="AQ13" s="928">
        <f t="shared" si="4"/>
        <v>1086</v>
      </c>
      <c r="AR13" s="928">
        <f t="shared" si="4"/>
        <v>1083</v>
      </c>
      <c r="AS13" s="928">
        <f t="shared" si="4"/>
        <v>1043</v>
      </c>
      <c r="AT13" s="928">
        <f t="shared" si="4"/>
        <v>505</v>
      </c>
      <c r="AU13" s="930">
        <f t="shared" si="4"/>
        <v>775</v>
      </c>
      <c r="AV13" s="928">
        <v>215</v>
      </c>
      <c r="AW13" s="928">
        <v>247</v>
      </c>
      <c r="AX13" s="928">
        <v>218</v>
      </c>
      <c r="AY13" s="928">
        <v>250</v>
      </c>
      <c r="AZ13" s="928">
        <v>333</v>
      </c>
      <c r="BA13" s="928">
        <v>323</v>
      </c>
      <c r="BB13" s="928">
        <v>327</v>
      </c>
      <c r="BC13" s="928">
        <v>234</v>
      </c>
      <c r="BD13" s="930">
        <v>240</v>
      </c>
      <c r="BE13" s="928">
        <v>641</v>
      </c>
      <c r="BF13" s="928">
        <v>529</v>
      </c>
      <c r="BG13" s="928">
        <v>551</v>
      </c>
      <c r="BH13" s="928">
        <v>629</v>
      </c>
      <c r="BI13" s="928">
        <v>753</v>
      </c>
      <c r="BJ13" s="928">
        <v>760</v>
      </c>
      <c r="BK13" s="928">
        <v>716</v>
      </c>
      <c r="BL13" s="928">
        <v>271</v>
      </c>
      <c r="BM13" s="930">
        <v>535</v>
      </c>
      <c r="BN13" s="927">
        <v>0</v>
      </c>
      <c r="BO13" s="928">
        <v>0</v>
      </c>
      <c r="BP13" s="928">
        <v>0</v>
      </c>
      <c r="BQ13" s="928">
        <v>0</v>
      </c>
      <c r="BR13" s="928">
        <v>0</v>
      </c>
      <c r="BS13" s="928">
        <v>0</v>
      </c>
      <c r="BT13" s="928">
        <v>0</v>
      </c>
      <c r="BU13" s="928">
        <v>0</v>
      </c>
      <c r="BV13" s="930">
        <v>0</v>
      </c>
      <c r="BW13" s="1036">
        <v>0</v>
      </c>
      <c r="BX13" s="928">
        <f t="shared" si="16"/>
        <v>3003</v>
      </c>
      <c r="BY13" s="928">
        <f t="shared" si="16"/>
        <v>3871</v>
      </c>
      <c r="BZ13" s="928">
        <f t="shared" si="16"/>
        <v>5230</v>
      </c>
      <c r="CA13" s="928">
        <f t="shared" si="16"/>
        <v>6328</v>
      </c>
      <c r="CB13" s="928">
        <f t="shared" si="16"/>
        <v>4277</v>
      </c>
      <c r="CC13" s="928">
        <f t="shared" si="16"/>
        <v>1431</v>
      </c>
      <c r="CD13" s="928">
        <f t="shared" si="16"/>
        <v>1740</v>
      </c>
      <c r="CE13" s="928">
        <f t="shared" si="16"/>
        <v>3181</v>
      </c>
      <c r="CF13" s="929">
        <f t="shared" si="16"/>
        <v>3486</v>
      </c>
      <c r="CG13" s="928">
        <f t="shared" si="7"/>
        <v>3744</v>
      </c>
      <c r="CH13" s="928">
        <f t="shared" si="8"/>
        <v>4019</v>
      </c>
      <c r="CI13" s="928">
        <f t="shared" si="9"/>
        <v>4684</v>
      </c>
      <c r="CJ13" s="928">
        <f t="shared" si="10"/>
        <v>5234</v>
      </c>
      <c r="CK13" s="928">
        <f t="shared" si="11"/>
        <v>5830</v>
      </c>
      <c r="CL13" s="928">
        <f t="shared" si="12"/>
        <v>6100</v>
      </c>
      <c r="CM13" s="928">
        <f t="shared" si="13"/>
        <v>5491</v>
      </c>
      <c r="CN13" s="928">
        <f t="shared" si="14"/>
        <v>3807</v>
      </c>
      <c r="CO13" s="930">
        <f t="shared" si="15"/>
        <v>4958</v>
      </c>
      <c r="CP13" s="478">
        <f t="shared" si="6"/>
        <v>30.233779879169958</v>
      </c>
      <c r="CQ13" s="42" t="s">
        <v>31</v>
      </c>
    </row>
    <row r="14" spans="2:95">
      <c r="B14" s="7" t="s">
        <v>49</v>
      </c>
      <c r="C14" s="874">
        <v>29313</v>
      </c>
      <c r="D14" s="875">
        <v>36431</v>
      </c>
      <c r="E14" s="902">
        <v>39502</v>
      </c>
      <c r="F14" s="902">
        <v>42727</v>
      </c>
      <c r="G14" s="902">
        <v>28163</v>
      </c>
      <c r="H14" s="902">
        <v>8611</v>
      </c>
      <c r="I14" s="902">
        <v>9957</v>
      </c>
      <c r="J14" s="902">
        <v>10868</v>
      </c>
      <c r="K14" s="923">
        <v>10325</v>
      </c>
      <c r="L14" s="902">
        <v>10879</v>
      </c>
      <c r="M14" s="902">
        <v>15156</v>
      </c>
      <c r="N14" s="902">
        <v>24344</v>
      </c>
      <c r="O14" s="902">
        <v>28129</v>
      </c>
      <c r="P14" s="902">
        <v>23132</v>
      </c>
      <c r="Q14" s="902">
        <v>24056</v>
      </c>
      <c r="R14" s="902">
        <v>25592</v>
      </c>
      <c r="S14" s="904">
        <v>20191</v>
      </c>
      <c r="T14" s="905">
        <v>26914</v>
      </c>
      <c r="U14" s="906">
        <v>6.4000000000000001E-2</v>
      </c>
      <c r="V14" s="906">
        <v>7.1999999999999995E-2</v>
      </c>
      <c r="W14" s="906">
        <v>9.8000000000000004E-2</v>
      </c>
      <c r="X14" s="906">
        <v>3.9E-2</v>
      </c>
      <c r="Y14" s="906">
        <v>0.16800000000000001</v>
      </c>
      <c r="Z14" s="906">
        <v>0.374</v>
      </c>
      <c r="AA14" s="906">
        <v>1.5309999999999999</v>
      </c>
      <c r="AB14" s="906">
        <v>3.63</v>
      </c>
      <c r="AC14" s="1035">
        <v>2.4630000000000001</v>
      </c>
      <c r="AD14" s="924">
        <v>4274</v>
      </c>
      <c r="AE14" s="907">
        <v>5534</v>
      </c>
      <c r="AF14" s="907">
        <v>6789</v>
      </c>
      <c r="AG14" s="907">
        <v>6138</v>
      </c>
      <c r="AH14" s="907">
        <v>4688</v>
      </c>
      <c r="AI14" s="907">
        <v>1558</v>
      </c>
      <c r="AJ14" s="907">
        <v>1486</v>
      </c>
      <c r="AK14" s="907">
        <v>1497</v>
      </c>
      <c r="AL14" s="925">
        <v>1564</v>
      </c>
      <c r="AM14" s="907">
        <f t="shared" si="4"/>
        <v>1226</v>
      </c>
      <c r="AN14" s="907">
        <f t="shared" si="4"/>
        <v>1320</v>
      </c>
      <c r="AO14" s="907">
        <f t="shared" si="4"/>
        <v>1656</v>
      </c>
      <c r="AP14" s="907">
        <f t="shared" si="4"/>
        <v>2189</v>
      </c>
      <c r="AQ14" s="907">
        <f t="shared" si="4"/>
        <v>1949</v>
      </c>
      <c r="AR14" s="907">
        <f t="shared" si="4"/>
        <v>1971</v>
      </c>
      <c r="AS14" s="907">
        <f t="shared" si="4"/>
        <v>2070</v>
      </c>
      <c r="AT14" s="907">
        <f t="shared" si="4"/>
        <v>1768</v>
      </c>
      <c r="AU14" s="909">
        <f t="shared" si="4"/>
        <v>1840</v>
      </c>
      <c r="AV14" s="907">
        <v>328</v>
      </c>
      <c r="AW14" s="907">
        <v>471</v>
      </c>
      <c r="AX14" s="907">
        <v>655</v>
      </c>
      <c r="AY14" s="907">
        <v>946</v>
      </c>
      <c r="AZ14" s="907">
        <v>944</v>
      </c>
      <c r="BA14" s="907">
        <v>982</v>
      </c>
      <c r="BB14" s="907">
        <v>1034</v>
      </c>
      <c r="BC14" s="907">
        <v>739</v>
      </c>
      <c r="BD14" s="909">
        <v>738</v>
      </c>
      <c r="BE14" s="907">
        <v>898</v>
      </c>
      <c r="BF14" s="907">
        <v>849</v>
      </c>
      <c r="BG14" s="907">
        <v>1001</v>
      </c>
      <c r="BH14" s="907">
        <v>1243</v>
      </c>
      <c r="BI14" s="907">
        <v>1005</v>
      </c>
      <c r="BJ14" s="907">
        <v>989</v>
      </c>
      <c r="BK14" s="907">
        <v>1036</v>
      </c>
      <c r="BL14" s="907">
        <v>1029</v>
      </c>
      <c r="BM14" s="909">
        <v>1102</v>
      </c>
      <c r="BN14" s="924">
        <v>0</v>
      </c>
      <c r="BO14" s="907">
        <v>0</v>
      </c>
      <c r="BP14" s="907">
        <v>0</v>
      </c>
      <c r="BQ14" s="907">
        <v>0</v>
      </c>
      <c r="BR14" s="907">
        <v>0</v>
      </c>
      <c r="BS14" s="907">
        <v>0</v>
      </c>
      <c r="BT14" s="907">
        <v>0</v>
      </c>
      <c r="BU14" s="907">
        <v>3</v>
      </c>
      <c r="BV14" s="909">
        <v>4</v>
      </c>
      <c r="BW14" s="1035">
        <v>0.21739130434782608</v>
      </c>
      <c r="BX14" s="907">
        <f t="shared" si="16"/>
        <v>33587</v>
      </c>
      <c r="BY14" s="907">
        <f t="shared" si="16"/>
        <v>41965</v>
      </c>
      <c r="BZ14" s="907">
        <f t="shared" si="16"/>
        <v>46291</v>
      </c>
      <c r="CA14" s="907">
        <f t="shared" si="16"/>
        <v>48865</v>
      </c>
      <c r="CB14" s="907">
        <f t="shared" si="16"/>
        <v>32851</v>
      </c>
      <c r="CC14" s="907">
        <f t="shared" si="16"/>
        <v>10169</v>
      </c>
      <c r="CD14" s="907">
        <f t="shared" si="16"/>
        <v>11443</v>
      </c>
      <c r="CE14" s="907">
        <f t="shared" si="16"/>
        <v>12365</v>
      </c>
      <c r="CF14" s="925">
        <f t="shared" si="16"/>
        <v>11889</v>
      </c>
      <c r="CG14" s="907">
        <f t="shared" si="7"/>
        <v>12105</v>
      </c>
      <c r="CH14" s="907">
        <f t="shared" si="8"/>
        <v>16476</v>
      </c>
      <c r="CI14" s="907">
        <f t="shared" si="9"/>
        <v>26000</v>
      </c>
      <c r="CJ14" s="907">
        <f t="shared" si="10"/>
        <v>30318</v>
      </c>
      <c r="CK14" s="907">
        <f t="shared" si="11"/>
        <v>25081</v>
      </c>
      <c r="CL14" s="907">
        <f t="shared" si="12"/>
        <v>26027</v>
      </c>
      <c r="CM14" s="907">
        <f t="shared" si="13"/>
        <v>27662</v>
      </c>
      <c r="CN14" s="907">
        <f t="shared" si="14"/>
        <v>21959</v>
      </c>
      <c r="CO14" s="909">
        <f t="shared" si="15"/>
        <v>28754</v>
      </c>
      <c r="CP14" s="477">
        <f t="shared" si="6"/>
        <v>30.944032059747713</v>
      </c>
      <c r="CQ14" s="44" t="s">
        <v>49</v>
      </c>
    </row>
    <row r="15" spans="2:95">
      <c r="B15" s="34" t="s">
        <v>42</v>
      </c>
      <c r="C15" s="878">
        <v>22543</v>
      </c>
      <c r="D15" s="878">
        <v>23071</v>
      </c>
      <c r="E15" s="912">
        <v>23730</v>
      </c>
      <c r="F15" s="912">
        <v>24007</v>
      </c>
      <c r="G15" s="912">
        <v>22205</v>
      </c>
      <c r="H15" s="912">
        <v>14499</v>
      </c>
      <c r="I15" s="912">
        <v>10632</v>
      </c>
      <c r="J15" s="912">
        <v>6357</v>
      </c>
      <c r="K15" s="912">
        <v>3707</v>
      </c>
      <c r="L15" s="926">
        <v>3431</v>
      </c>
      <c r="M15" s="1011">
        <v>4707</v>
      </c>
      <c r="N15" s="912">
        <v>5653</v>
      </c>
      <c r="O15" s="912">
        <v>5623</v>
      </c>
      <c r="P15" s="912">
        <v>6000</v>
      </c>
      <c r="Q15" s="912">
        <v>6905</v>
      </c>
      <c r="R15" s="912">
        <v>7972</v>
      </c>
      <c r="S15" s="912">
        <v>6833</v>
      </c>
      <c r="T15" s="995">
        <v>10431</v>
      </c>
      <c r="U15" s="915">
        <v>0</v>
      </c>
      <c r="V15" s="915">
        <v>0</v>
      </c>
      <c r="W15" s="915">
        <v>0</v>
      </c>
      <c r="X15" s="915">
        <v>0</v>
      </c>
      <c r="Y15" s="915">
        <v>0</v>
      </c>
      <c r="Z15" s="915">
        <v>0.188</v>
      </c>
      <c r="AA15" s="915">
        <v>0.13700000000000001</v>
      </c>
      <c r="AB15" s="915">
        <v>0.13100000000000001</v>
      </c>
      <c r="AC15" s="1036">
        <v>0.14299999999999999</v>
      </c>
      <c r="AD15" s="927">
        <v>2232</v>
      </c>
      <c r="AE15" s="928">
        <v>2467</v>
      </c>
      <c r="AF15" s="928">
        <v>2187</v>
      </c>
      <c r="AG15" s="928">
        <v>2497</v>
      </c>
      <c r="AH15" s="928">
        <v>2790</v>
      </c>
      <c r="AI15" s="928">
        <v>1877</v>
      </c>
      <c r="AJ15" s="928">
        <v>1306</v>
      </c>
      <c r="AK15" s="928">
        <v>547</v>
      </c>
      <c r="AL15" s="928">
        <v>219</v>
      </c>
      <c r="AM15" s="940">
        <v>345</v>
      </c>
      <c r="AN15" s="940">
        <v>383</v>
      </c>
      <c r="AO15" s="940">
        <v>465</v>
      </c>
      <c r="AP15" s="940">
        <v>321</v>
      </c>
      <c r="AQ15" s="940">
        <v>424</v>
      </c>
      <c r="AR15" s="940">
        <v>352</v>
      </c>
      <c r="AS15" s="940">
        <v>434</v>
      </c>
      <c r="AT15" s="941">
        <v>563</v>
      </c>
      <c r="AU15" s="942">
        <v>568</v>
      </c>
      <c r="AV15" s="931" t="s">
        <v>167</v>
      </c>
      <c r="AW15" s="931" t="s">
        <v>167</v>
      </c>
      <c r="AX15" s="931" t="s">
        <v>167</v>
      </c>
      <c r="AY15" s="931" t="s">
        <v>167</v>
      </c>
      <c r="AZ15" s="931" t="s">
        <v>167</v>
      </c>
      <c r="BA15" s="931" t="s">
        <v>167</v>
      </c>
      <c r="BB15" s="931" t="s">
        <v>167</v>
      </c>
      <c r="BC15" s="931" t="s">
        <v>167</v>
      </c>
      <c r="BD15" s="996" t="s">
        <v>167</v>
      </c>
      <c r="BE15" s="931" t="s">
        <v>167</v>
      </c>
      <c r="BF15" s="931" t="s">
        <v>167</v>
      </c>
      <c r="BG15" s="931" t="s">
        <v>167</v>
      </c>
      <c r="BH15" s="931" t="s">
        <v>167</v>
      </c>
      <c r="BI15" s="931" t="s">
        <v>167</v>
      </c>
      <c r="BJ15" s="931" t="s">
        <v>167</v>
      </c>
      <c r="BK15" s="931" t="s">
        <v>167</v>
      </c>
      <c r="BL15" s="931" t="s">
        <v>167</v>
      </c>
      <c r="BM15" s="996" t="s">
        <v>167</v>
      </c>
      <c r="BN15" s="997">
        <v>0</v>
      </c>
      <c r="BO15" s="931">
        <v>0</v>
      </c>
      <c r="BP15" s="931">
        <v>0</v>
      </c>
      <c r="BQ15" s="931">
        <v>0</v>
      </c>
      <c r="BR15" s="931">
        <v>0</v>
      </c>
      <c r="BS15" s="931">
        <v>0</v>
      </c>
      <c r="BT15" s="931">
        <v>0</v>
      </c>
      <c r="BU15" s="931">
        <v>0</v>
      </c>
      <c r="BV15" s="996">
        <v>0</v>
      </c>
      <c r="BW15" s="1036">
        <v>0</v>
      </c>
      <c r="BX15" s="928">
        <f t="shared" si="16"/>
        <v>24775</v>
      </c>
      <c r="BY15" s="928">
        <f t="shared" si="16"/>
        <v>25538</v>
      </c>
      <c r="BZ15" s="928">
        <f t="shared" si="16"/>
        <v>25917</v>
      </c>
      <c r="CA15" s="928">
        <f t="shared" si="16"/>
        <v>26504</v>
      </c>
      <c r="CB15" s="928">
        <f t="shared" si="16"/>
        <v>24995</v>
      </c>
      <c r="CC15" s="928">
        <f t="shared" si="16"/>
        <v>16376</v>
      </c>
      <c r="CD15" s="928">
        <f t="shared" si="16"/>
        <v>11938</v>
      </c>
      <c r="CE15" s="928">
        <f t="shared" si="16"/>
        <v>6904</v>
      </c>
      <c r="CF15" s="929">
        <f t="shared" si="16"/>
        <v>3926</v>
      </c>
      <c r="CG15" s="928">
        <f t="shared" si="7"/>
        <v>3776</v>
      </c>
      <c r="CH15" s="928">
        <f t="shared" si="8"/>
        <v>5090</v>
      </c>
      <c r="CI15" s="928">
        <f t="shared" si="9"/>
        <v>6118</v>
      </c>
      <c r="CJ15" s="928">
        <f t="shared" si="10"/>
        <v>5944</v>
      </c>
      <c r="CK15" s="928">
        <f t="shared" si="11"/>
        <v>6424</v>
      </c>
      <c r="CL15" s="928">
        <f t="shared" si="12"/>
        <v>7257</v>
      </c>
      <c r="CM15" s="928">
        <f t="shared" si="13"/>
        <v>8406</v>
      </c>
      <c r="CN15" s="928">
        <f t="shared" si="14"/>
        <v>7396</v>
      </c>
      <c r="CO15" s="930">
        <f t="shared" si="15"/>
        <v>10999</v>
      </c>
      <c r="CP15" s="478">
        <f t="shared" si="6"/>
        <v>48.715521903731741</v>
      </c>
      <c r="CQ15" s="42" t="s">
        <v>42</v>
      </c>
    </row>
    <row r="16" spans="2:95">
      <c r="B16" s="7" t="s">
        <v>47</v>
      </c>
      <c r="C16" s="875">
        <v>333414</v>
      </c>
      <c r="D16" s="875">
        <v>386250</v>
      </c>
      <c r="E16" s="902">
        <v>273922</v>
      </c>
      <c r="F16" s="902">
        <v>275563</v>
      </c>
      <c r="G16" s="902">
        <v>165872</v>
      </c>
      <c r="H16" s="902">
        <v>106527</v>
      </c>
      <c r="I16" s="902">
        <v>116004</v>
      </c>
      <c r="J16" s="902">
        <v>104374</v>
      </c>
      <c r="K16" s="923">
        <v>76387</v>
      </c>
      <c r="L16" s="902">
        <v>85382</v>
      </c>
      <c r="M16" s="902">
        <v>118136</v>
      </c>
      <c r="N16" s="902">
        <v>146677</v>
      </c>
      <c r="O16" s="902">
        <v>152378</v>
      </c>
      <c r="P16" s="902">
        <v>166669</v>
      </c>
      <c r="Q16" s="902">
        <v>190749</v>
      </c>
      <c r="R16" s="902">
        <v>180614</v>
      </c>
      <c r="S16" s="904">
        <v>135170</v>
      </c>
      <c r="T16" s="905">
        <v>146263</v>
      </c>
      <c r="U16" s="906">
        <v>0.126</v>
      </c>
      <c r="V16" s="906">
        <v>0.33</v>
      </c>
      <c r="W16" s="906">
        <v>0.43</v>
      </c>
      <c r="X16" s="906">
        <v>0.69499999999999995</v>
      </c>
      <c r="Y16" s="906">
        <v>0.63100000000000001</v>
      </c>
      <c r="Z16" s="906">
        <v>0.93899999999999995</v>
      </c>
      <c r="AA16" s="906">
        <v>0.89500000000000002</v>
      </c>
      <c r="AB16" s="906">
        <v>1.33</v>
      </c>
      <c r="AC16" s="1035">
        <v>1.8240000000000001</v>
      </c>
      <c r="AD16" s="924">
        <v>37283</v>
      </c>
      <c r="AE16" s="907">
        <v>44361</v>
      </c>
      <c r="AF16" s="907">
        <v>40972</v>
      </c>
      <c r="AG16" s="907">
        <v>45097</v>
      </c>
      <c r="AH16" s="907">
        <v>32067</v>
      </c>
      <c r="AI16" s="907">
        <v>12279</v>
      </c>
      <c r="AJ16" s="907">
        <v>13690</v>
      </c>
      <c r="AK16" s="907">
        <v>16306</v>
      </c>
      <c r="AL16" s="907">
        <v>13040</v>
      </c>
      <c r="AM16" s="925">
        <v>13204</v>
      </c>
      <c r="AN16" s="907">
        <f t="shared" ref="AN16:AU29" si="17">AW16+BF16</f>
        <v>19406</v>
      </c>
      <c r="AO16" s="907">
        <f t="shared" si="17"/>
        <v>22878</v>
      </c>
      <c r="AP16" s="907">
        <f t="shared" si="17"/>
        <v>24776</v>
      </c>
      <c r="AQ16" s="907">
        <f t="shared" si="17"/>
        <v>24595</v>
      </c>
      <c r="AR16" s="907">
        <f t="shared" si="17"/>
        <v>24312</v>
      </c>
      <c r="AS16" s="907">
        <f t="shared" si="17"/>
        <v>24629</v>
      </c>
      <c r="AT16" s="907">
        <f t="shared" si="17"/>
        <v>19373</v>
      </c>
      <c r="AU16" s="909">
        <f t="shared" si="17"/>
        <v>20544</v>
      </c>
      <c r="AV16" s="932">
        <v>2680</v>
      </c>
      <c r="AW16" s="907">
        <v>4975</v>
      </c>
      <c r="AX16" s="907">
        <v>5940</v>
      </c>
      <c r="AY16" s="907">
        <v>6810</v>
      </c>
      <c r="AZ16" s="907">
        <v>7357</v>
      </c>
      <c r="BA16" s="907">
        <v>8615</v>
      </c>
      <c r="BB16" s="907">
        <v>8729</v>
      </c>
      <c r="BC16" s="907">
        <v>6610</v>
      </c>
      <c r="BD16" s="909">
        <v>6163</v>
      </c>
      <c r="BE16" s="907">
        <v>10524</v>
      </c>
      <c r="BF16" s="907">
        <v>14431</v>
      </c>
      <c r="BG16" s="907">
        <v>16938</v>
      </c>
      <c r="BH16" s="907">
        <v>17966</v>
      </c>
      <c r="BI16" s="907">
        <v>17238</v>
      </c>
      <c r="BJ16" s="907">
        <v>15697</v>
      </c>
      <c r="BK16" s="907">
        <v>15900</v>
      </c>
      <c r="BL16" s="907">
        <v>12763</v>
      </c>
      <c r="BM16" s="909">
        <v>14381</v>
      </c>
      <c r="BN16" s="924">
        <v>0</v>
      </c>
      <c r="BO16" s="907">
        <v>2</v>
      </c>
      <c r="BP16" s="907">
        <v>0</v>
      </c>
      <c r="BQ16" s="907">
        <v>13</v>
      </c>
      <c r="BR16" s="907">
        <v>14</v>
      </c>
      <c r="BS16" s="907">
        <v>28</v>
      </c>
      <c r="BT16" s="907">
        <v>63</v>
      </c>
      <c r="BU16" s="907">
        <v>20</v>
      </c>
      <c r="BV16" s="909">
        <v>35</v>
      </c>
      <c r="BW16" s="1035">
        <v>0.17036604361370716</v>
      </c>
      <c r="BX16" s="907">
        <f t="shared" si="16"/>
        <v>370697</v>
      </c>
      <c r="BY16" s="907">
        <f t="shared" si="16"/>
        <v>430611</v>
      </c>
      <c r="BZ16" s="907">
        <f t="shared" si="16"/>
        <v>314894</v>
      </c>
      <c r="CA16" s="907">
        <f t="shared" si="16"/>
        <v>320660</v>
      </c>
      <c r="CB16" s="907">
        <f t="shared" si="16"/>
        <v>197939</v>
      </c>
      <c r="CC16" s="907">
        <f t="shared" si="16"/>
        <v>118806</v>
      </c>
      <c r="CD16" s="907">
        <f t="shared" si="16"/>
        <v>129694</v>
      </c>
      <c r="CE16" s="907">
        <f t="shared" si="16"/>
        <v>120680</v>
      </c>
      <c r="CF16" s="925">
        <f t="shared" si="16"/>
        <v>89427</v>
      </c>
      <c r="CG16" s="907">
        <f t="shared" si="7"/>
        <v>98586</v>
      </c>
      <c r="CH16" s="907">
        <f t="shared" si="8"/>
        <v>137542</v>
      </c>
      <c r="CI16" s="907">
        <f t="shared" si="9"/>
        <v>169555</v>
      </c>
      <c r="CJ16" s="907">
        <f t="shared" si="10"/>
        <v>177154</v>
      </c>
      <c r="CK16" s="907">
        <f t="shared" si="11"/>
        <v>191264</v>
      </c>
      <c r="CL16" s="907">
        <f t="shared" si="12"/>
        <v>215061</v>
      </c>
      <c r="CM16" s="907">
        <f t="shared" si="13"/>
        <v>205243</v>
      </c>
      <c r="CN16" s="907">
        <f t="shared" si="14"/>
        <v>154543</v>
      </c>
      <c r="CO16" s="909">
        <f t="shared" si="15"/>
        <v>166807</v>
      </c>
      <c r="CP16" s="477">
        <f t="shared" si="6"/>
        <v>7.9356554486453632</v>
      </c>
      <c r="CQ16" s="44" t="s">
        <v>47</v>
      </c>
    </row>
    <row r="17" spans="2:98">
      <c r="B17" s="34" t="s">
        <v>48</v>
      </c>
      <c r="C17" s="878">
        <v>407515</v>
      </c>
      <c r="D17" s="878">
        <v>419043</v>
      </c>
      <c r="E17" s="912">
        <v>439194</v>
      </c>
      <c r="F17" s="912">
        <v>460513</v>
      </c>
      <c r="G17" s="912">
        <v>458937</v>
      </c>
      <c r="H17" s="912">
        <v>372590</v>
      </c>
      <c r="I17" s="912">
        <v>415448</v>
      </c>
      <c r="J17" s="912">
        <v>426652</v>
      </c>
      <c r="K17" s="926">
        <v>381233</v>
      </c>
      <c r="L17" s="912">
        <v>343396</v>
      </c>
      <c r="M17" s="912">
        <v>348766</v>
      </c>
      <c r="N17" s="912">
        <v>309620</v>
      </c>
      <c r="O17" s="912">
        <v>288298</v>
      </c>
      <c r="P17" s="912">
        <v>316520</v>
      </c>
      <c r="Q17" s="912">
        <v>336002</v>
      </c>
      <c r="R17" s="912">
        <v>357372</v>
      </c>
      <c r="S17" s="913">
        <v>302332</v>
      </c>
      <c r="T17" s="914">
        <v>321676</v>
      </c>
      <c r="U17" s="915">
        <v>1.484</v>
      </c>
      <c r="V17" s="915">
        <v>1.268</v>
      </c>
      <c r="W17" s="915">
        <v>1.538</v>
      </c>
      <c r="X17" s="915">
        <v>1.768</v>
      </c>
      <c r="Y17" s="915">
        <v>1.615</v>
      </c>
      <c r="Z17" s="915">
        <v>2.069</v>
      </c>
      <c r="AA17" s="915">
        <v>1.746</v>
      </c>
      <c r="AB17" s="915">
        <v>2.0579999999999998</v>
      </c>
      <c r="AC17" s="1036">
        <v>2.5219999999999998</v>
      </c>
      <c r="AD17" s="927">
        <v>47477</v>
      </c>
      <c r="AE17" s="928">
        <v>61079</v>
      </c>
      <c r="AF17" s="928">
        <v>53353</v>
      </c>
      <c r="AG17" s="928">
        <v>52808</v>
      </c>
      <c r="AH17" s="928">
        <v>57870</v>
      </c>
      <c r="AI17" s="928">
        <v>36175</v>
      </c>
      <c r="AJ17" s="928">
        <v>35859</v>
      </c>
      <c r="AK17" s="928">
        <v>49365</v>
      </c>
      <c r="AL17" s="929">
        <v>45673</v>
      </c>
      <c r="AM17" s="928">
        <f t="shared" ref="AM17:AM27" si="18">AV17+BE17</f>
        <v>38060</v>
      </c>
      <c r="AN17" s="928">
        <f t="shared" si="17"/>
        <v>34652</v>
      </c>
      <c r="AO17" s="928">
        <f t="shared" si="17"/>
        <v>38774</v>
      </c>
      <c r="AP17" s="928">
        <f t="shared" si="17"/>
        <v>43992</v>
      </c>
      <c r="AQ17" s="928">
        <f t="shared" si="17"/>
        <v>46934</v>
      </c>
      <c r="AR17" s="928">
        <f t="shared" si="17"/>
        <v>50321</v>
      </c>
      <c r="AS17" s="928">
        <f t="shared" si="17"/>
        <v>51127</v>
      </c>
      <c r="AT17" s="928">
        <f t="shared" si="17"/>
        <v>37989</v>
      </c>
      <c r="AU17" s="930">
        <f t="shared" si="17"/>
        <v>40173</v>
      </c>
      <c r="AV17" s="928">
        <v>13212</v>
      </c>
      <c r="AW17" s="928">
        <v>13867</v>
      </c>
      <c r="AX17" s="928">
        <v>13828</v>
      </c>
      <c r="AY17" s="928">
        <v>17087</v>
      </c>
      <c r="AZ17" s="928">
        <v>19281</v>
      </c>
      <c r="BA17" s="928">
        <v>20388</v>
      </c>
      <c r="BB17" s="928">
        <v>20436</v>
      </c>
      <c r="BC17" s="928">
        <v>17081</v>
      </c>
      <c r="BD17" s="930">
        <v>17386</v>
      </c>
      <c r="BE17" s="928">
        <v>24848</v>
      </c>
      <c r="BF17" s="928">
        <v>20785</v>
      </c>
      <c r="BG17" s="928">
        <v>24946</v>
      </c>
      <c r="BH17" s="928">
        <v>26905</v>
      </c>
      <c r="BI17" s="928">
        <v>27653</v>
      </c>
      <c r="BJ17" s="928">
        <v>29933</v>
      </c>
      <c r="BK17" s="928">
        <v>30691</v>
      </c>
      <c r="BL17" s="928">
        <v>20908</v>
      </c>
      <c r="BM17" s="930">
        <v>22787</v>
      </c>
      <c r="BN17" s="927">
        <v>3</v>
      </c>
      <c r="BO17" s="928">
        <v>10</v>
      </c>
      <c r="BP17" s="928">
        <v>1</v>
      </c>
      <c r="BQ17" s="928">
        <v>1</v>
      </c>
      <c r="BR17" s="928">
        <v>3</v>
      </c>
      <c r="BS17" s="928">
        <v>1</v>
      </c>
      <c r="BT17" s="928">
        <v>5</v>
      </c>
      <c r="BU17" s="928">
        <v>26</v>
      </c>
      <c r="BV17" s="930">
        <v>41</v>
      </c>
      <c r="BW17" s="1036">
        <v>0.10205859656983547</v>
      </c>
      <c r="BX17" s="928">
        <f t="shared" si="16"/>
        <v>454992</v>
      </c>
      <c r="BY17" s="928">
        <f t="shared" si="16"/>
        <v>480122</v>
      </c>
      <c r="BZ17" s="928">
        <f t="shared" si="16"/>
        <v>492547</v>
      </c>
      <c r="CA17" s="928">
        <f t="shared" si="16"/>
        <v>513321</v>
      </c>
      <c r="CB17" s="928">
        <f t="shared" si="16"/>
        <v>516807</v>
      </c>
      <c r="CC17" s="928">
        <f t="shared" si="16"/>
        <v>408765</v>
      </c>
      <c r="CD17" s="928">
        <f t="shared" si="16"/>
        <v>451307</v>
      </c>
      <c r="CE17" s="928">
        <f t="shared" si="16"/>
        <v>476017</v>
      </c>
      <c r="CF17" s="929">
        <f t="shared" si="16"/>
        <v>426906</v>
      </c>
      <c r="CG17" s="928">
        <f t="shared" si="7"/>
        <v>381456</v>
      </c>
      <c r="CH17" s="928">
        <f t="shared" si="8"/>
        <v>383418</v>
      </c>
      <c r="CI17" s="928">
        <f t="shared" si="9"/>
        <v>348394</v>
      </c>
      <c r="CJ17" s="928">
        <f t="shared" si="10"/>
        <v>332290</v>
      </c>
      <c r="CK17" s="928">
        <f t="shared" si="11"/>
        <v>363454</v>
      </c>
      <c r="CL17" s="928">
        <f t="shared" si="12"/>
        <v>386323</v>
      </c>
      <c r="CM17" s="928">
        <f t="shared" si="13"/>
        <v>408499</v>
      </c>
      <c r="CN17" s="928">
        <f t="shared" si="14"/>
        <v>340321</v>
      </c>
      <c r="CO17" s="930">
        <f t="shared" si="15"/>
        <v>361849</v>
      </c>
      <c r="CP17" s="478">
        <f t="shared" si="6"/>
        <v>6.3257924136329962</v>
      </c>
      <c r="CQ17" s="42" t="s">
        <v>48</v>
      </c>
    </row>
    <row r="18" spans="2:98">
      <c r="B18" s="7" t="s">
        <v>59</v>
      </c>
      <c r="C18" s="998" t="s">
        <v>63</v>
      </c>
      <c r="D18" s="998" t="s">
        <v>63</v>
      </c>
      <c r="E18" s="998" t="s">
        <v>63</v>
      </c>
      <c r="F18" s="998" t="s">
        <v>63</v>
      </c>
      <c r="G18" s="998" t="s">
        <v>63</v>
      </c>
      <c r="H18" s="998" t="s">
        <v>63</v>
      </c>
      <c r="I18" s="998" t="s">
        <v>63</v>
      </c>
      <c r="J18" s="998" t="s">
        <v>63</v>
      </c>
      <c r="K18" s="998" t="s">
        <v>63</v>
      </c>
      <c r="L18" s="933">
        <v>5268</v>
      </c>
      <c r="M18" s="902">
        <v>5214</v>
      </c>
      <c r="N18" s="902">
        <v>6695</v>
      </c>
      <c r="O18" s="902">
        <v>8173</v>
      </c>
      <c r="P18" s="902">
        <v>8800</v>
      </c>
      <c r="Q18" s="902">
        <v>8900</v>
      </c>
      <c r="R18" s="902">
        <v>8982</v>
      </c>
      <c r="S18" s="902">
        <v>6756</v>
      </c>
      <c r="T18" s="1020">
        <v>4763</v>
      </c>
      <c r="U18" s="906">
        <v>0</v>
      </c>
      <c r="V18" s="906">
        <v>0</v>
      </c>
      <c r="W18" s="906">
        <v>0</v>
      </c>
      <c r="X18" s="906">
        <v>2.4E-2</v>
      </c>
      <c r="Y18" s="906">
        <v>0</v>
      </c>
      <c r="Z18" s="906">
        <v>0.10100000000000001</v>
      </c>
      <c r="AA18" s="906">
        <v>0</v>
      </c>
      <c r="AB18" s="906">
        <v>4.3999999999999997E-2</v>
      </c>
      <c r="AC18" s="1035">
        <v>0</v>
      </c>
      <c r="AD18" s="943" t="s">
        <v>63</v>
      </c>
      <c r="AE18" s="943" t="s">
        <v>63</v>
      </c>
      <c r="AF18" s="943" t="s">
        <v>63</v>
      </c>
      <c r="AG18" s="943" t="s">
        <v>63</v>
      </c>
      <c r="AH18" s="943" t="s">
        <v>63</v>
      </c>
      <c r="AI18" s="943" t="s">
        <v>63</v>
      </c>
      <c r="AJ18" s="943" t="s">
        <v>63</v>
      </c>
      <c r="AK18" s="943" t="s">
        <v>63</v>
      </c>
      <c r="AL18" s="999" t="s">
        <v>63</v>
      </c>
      <c r="AM18" s="907">
        <v>638</v>
      </c>
      <c r="AN18" s="907">
        <v>917</v>
      </c>
      <c r="AO18" s="907">
        <v>977</v>
      </c>
      <c r="AP18" s="907">
        <v>1325</v>
      </c>
      <c r="AQ18" s="907">
        <v>1313</v>
      </c>
      <c r="AR18" s="907">
        <v>1396</v>
      </c>
      <c r="AS18" s="907">
        <v>1411</v>
      </c>
      <c r="AT18" s="925">
        <v>906</v>
      </c>
      <c r="AU18" s="909">
        <f t="shared" si="17"/>
        <v>957</v>
      </c>
      <c r="AV18" s="934">
        <v>6288</v>
      </c>
      <c r="AW18" s="934">
        <v>7068</v>
      </c>
      <c r="AX18" s="934">
        <v>1475</v>
      </c>
      <c r="AY18" s="934">
        <v>1903</v>
      </c>
      <c r="AZ18" s="934">
        <v>2081</v>
      </c>
      <c r="BA18" s="934">
        <v>2482</v>
      </c>
      <c r="BB18" s="934">
        <v>2718</v>
      </c>
      <c r="BC18" s="934">
        <v>2245</v>
      </c>
      <c r="BD18" s="935">
        <v>544</v>
      </c>
      <c r="BE18" s="907">
        <v>893</v>
      </c>
      <c r="BF18" s="907">
        <v>1256</v>
      </c>
      <c r="BG18" s="907">
        <v>1386</v>
      </c>
      <c r="BH18" s="907">
        <v>1702</v>
      </c>
      <c r="BI18" s="907">
        <v>1624</v>
      </c>
      <c r="BJ18" s="907">
        <v>1648</v>
      </c>
      <c r="BK18" s="907">
        <v>1842</v>
      </c>
      <c r="BL18" s="907">
        <v>1719</v>
      </c>
      <c r="BM18" s="909">
        <v>413</v>
      </c>
      <c r="BN18" s="924">
        <v>0</v>
      </c>
      <c r="BO18" s="907">
        <v>5</v>
      </c>
      <c r="BP18" s="907">
        <v>0</v>
      </c>
      <c r="BQ18" s="907">
        <v>0</v>
      </c>
      <c r="BR18" s="907">
        <v>0</v>
      </c>
      <c r="BS18" s="907">
        <v>0</v>
      </c>
      <c r="BT18" s="907">
        <v>0</v>
      </c>
      <c r="BU18" s="907">
        <v>0</v>
      </c>
      <c r="BV18" s="909">
        <v>0</v>
      </c>
      <c r="BW18" s="1035">
        <v>0</v>
      </c>
      <c r="BX18" s="907">
        <v>12598</v>
      </c>
      <c r="BY18" s="907">
        <v>12650</v>
      </c>
      <c r="BZ18" s="907">
        <v>13607</v>
      </c>
      <c r="CA18" s="907">
        <v>13782</v>
      </c>
      <c r="CB18" s="907">
        <v>13148</v>
      </c>
      <c r="CC18" s="907">
        <v>6780</v>
      </c>
      <c r="CD18" s="907">
        <v>4996</v>
      </c>
      <c r="CE18" s="907">
        <v>5198</v>
      </c>
      <c r="CF18" s="925">
        <v>5218</v>
      </c>
      <c r="CG18" s="907">
        <f t="shared" si="7"/>
        <v>5906</v>
      </c>
      <c r="CH18" s="907">
        <f t="shared" si="8"/>
        <v>6131</v>
      </c>
      <c r="CI18" s="907">
        <f t="shared" si="9"/>
        <v>7672</v>
      </c>
      <c r="CJ18" s="907">
        <f t="shared" si="10"/>
        <v>9498</v>
      </c>
      <c r="CK18" s="907">
        <f t="shared" si="11"/>
        <v>10113</v>
      </c>
      <c r="CL18" s="907">
        <f t="shared" si="12"/>
        <v>10296</v>
      </c>
      <c r="CM18" s="907">
        <f t="shared" si="13"/>
        <v>10393</v>
      </c>
      <c r="CN18" s="907">
        <f t="shared" si="14"/>
        <v>7662</v>
      </c>
      <c r="CO18" s="909">
        <f t="shared" si="15"/>
        <v>5720</v>
      </c>
      <c r="CP18" s="477">
        <f t="shared" si="6"/>
        <v>-25.3458626990342</v>
      </c>
      <c r="CQ18" s="44" t="s">
        <v>59</v>
      </c>
    </row>
    <row r="19" spans="2:98">
      <c r="B19" s="107" t="s">
        <v>50</v>
      </c>
      <c r="C19" s="879">
        <v>214009</v>
      </c>
      <c r="D19" s="879">
        <v>207400</v>
      </c>
      <c r="E19" s="936">
        <v>231436</v>
      </c>
      <c r="F19" s="936">
        <v>242626</v>
      </c>
      <c r="G19" s="936">
        <v>223885</v>
      </c>
      <c r="H19" s="936">
        <v>175405</v>
      </c>
      <c r="I19" s="936">
        <v>179502</v>
      </c>
      <c r="J19" s="936">
        <v>172265</v>
      </c>
      <c r="K19" s="937">
        <v>116673</v>
      </c>
      <c r="L19" s="938">
        <v>89959</v>
      </c>
      <c r="M19" s="936">
        <v>108483</v>
      </c>
      <c r="N19" s="936">
        <v>120048</v>
      </c>
      <c r="O19" s="936">
        <v>181878</v>
      </c>
      <c r="P19" s="936">
        <v>178383</v>
      </c>
      <c r="Q19" s="912">
        <v>165021</v>
      </c>
      <c r="R19" s="912">
        <v>171007</v>
      </c>
      <c r="S19" s="913">
        <v>140783</v>
      </c>
      <c r="T19" s="914">
        <v>172259</v>
      </c>
      <c r="U19" s="915">
        <v>0.20499999999999999</v>
      </c>
      <c r="V19" s="915">
        <v>0.28799999999999998</v>
      </c>
      <c r="W19" s="915">
        <v>0.378</v>
      </c>
      <c r="X19" s="915">
        <v>0.26800000000000002</v>
      </c>
      <c r="Y19" s="915">
        <v>0.29099999999999998</v>
      </c>
      <c r="Z19" s="915">
        <v>0.37</v>
      </c>
      <c r="AA19" s="915">
        <v>0.59399999999999997</v>
      </c>
      <c r="AB19" s="915">
        <v>0.71799999999999997</v>
      </c>
      <c r="AC19" s="1036">
        <v>2.0190000000000001</v>
      </c>
      <c r="AD19" s="939">
        <v>36193</v>
      </c>
      <c r="AE19" s="940">
        <v>40767</v>
      </c>
      <c r="AF19" s="940">
        <v>35748</v>
      </c>
      <c r="AG19" s="940">
        <v>35820</v>
      </c>
      <c r="AH19" s="940">
        <v>34477</v>
      </c>
      <c r="AI19" s="940">
        <v>19086</v>
      </c>
      <c r="AJ19" s="940">
        <v>17847</v>
      </c>
      <c r="AK19" s="940">
        <v>20747</v>
      </c>
      <c r="AL19" s="941">
        <v>13611</v>
      </c>
      <c r="AM19" s="940">
        <f t="shared" si="18"/>
        <v>8733</v>
      </c>
      <c r="AN19" s="940">
        <f t="shared" si="17"/>
        <v>9580</v>
      </c>
      <c r="AO19" s="940">
        <f t="shared" si="17"/>
        <v>10794</v>
      </c>
      <c r="AP19" s="940">
        <f t="shared" si="17"/>
        <v>14435</v>
      </c>
      <c r="AQ19" s="940">
        <f t="shared" si="17"/>
        <v>18167</v>
      </c>
      <c r="AR19" s="940">
        <f t="shared" si="17"/>
        <v>19473</v>
      </c>
      <c r="AS19" s="940">
        <f t="shared" si="17"/>
        <v>17425</v>
      </c>
      <c r="AT19" s="940">
        <f t="shared" si="17"/>
        <v>14999</v>
      </c>
      <c r="AU19" s="942">
        <f t="shared" si="17"/>
        <v>21903</v>
      </c>
      <c r="AV19" s="940">
        <v>2774</v>
      </c>
      <c r="AW19" s="940">
        <v>2848</v>
      </c>
      <c r="AX19" s="940">
        <v>3107</v>
      </c>
      <c r="AY19" s="940">
        <v>4340</v>
      </c>
      <c r="AZ19" s="940">
        <v>5633</v>
      </c>
      <c r="BA19" s="940">
        <v>6018</v>
      </c>
      <c r="BB19" s="940">
        <v>6025</v>
      </c>
      <c r="BC19" s="940">
        <v>5485</v>
      </c>
      <c r="BD19" s="942">
        <v>7785</v>
      </c>
      <c r="BE19" s="940">
        <v>5959</v>
      </c>
      <c r="BF19" s="940">
        <v>6732</v>
      </c>
      <c r="BG19" s="940">
        <v>7687</v>
      </c>
      <c r="BH19" s="940">
        <v>10095</v>
      </c>
      <c r="BI19" s="940">
        <v>12534</v>
      </c>
      <c r="BJ19" s="940">
        <v>13455</v>
      </c>
      <c r="BK19" s="940">
        <v>11400</v>
      </c>
      <c r="BL19" s="940">
        <v>9514</v>
      </c>
      <c r="BM19" s="942">
        <v>14118</v>
      </c>
      <c r="BN19" s="939">
        <v>0</v>
      </c>
      <c r="BO19" s="940">
        <v>0</v>
      </c>
      <c r="BP19" s="940">
        <v>0</v>
      </c>
      <c r="BQ19" s="940">
        <v>0</v>
      </c>
      <c r="BR19" s="940">
        <v>0</v>
      </c>
      <c r="BS19" s="940">
        <v>0</v>
      </c>
      <c r="BT19" s="940">
        <v>7</v>
      </c>
      <c r="BU19" s="940">
        <v>1</v>
      </c>
      <c r="BV19" s="942">
        <v>3</v>
      </c>
      <c r="BW19" s="1036">
        <v>1.3696753869332967E-2</v>
      </c>
      <c r="BX19" s="940">
        <f t="shared" ref="BX19:CF19" si="19">C19+AD19</f>
        <v>250202</v>
      </c>
      <c r="BY19" s="940">
        <f t="shared" si="19"/>
        <v>248167</v>
      </c>
      <c r="BZ19" s="940">
        <f t="shared" si="19"/>
        <v>267184</v>
      </c>
      <c r="CA19" s="940">
        <f t="shared" si="19"/>
        <v>278446</v>
      </c>
      <c r="CB19" s="940">
        <f t="shared" si="19"/>
        <v>258362</v>
      </c>
      <c r="CC19" s="940">
        <f t="shared" si="19"/>
        <v>194491</v>
      </c>
      <c r="CD19" s="940">
        <f t="shared" si="19"/>
        <v>197349</v>
      </c>
      <c r="CE19" s="940">
        <f t="shared" si="19"/>
        <v>193012</v>
      </c>
      <c r="CF19" s="941">
        <f t="shared" si="19"/>
        <v>130284</v>
      </c>
      <c r="CG19" s="940">
        <f t="shared" si="7"/>
        <v>98692</v>
      </c>
      <c r="CH19" s="940">
        <f t="shared" si="8"/>
        <v>118063</v>
      </c>
      <c r="CI19" s="940">
        <f t="shared" si="9"/>
        <v>130842</v>
      </c>
      <c r="CJ19" s="940">
        <f t="shared" si="10"/>
        <v>196313</v>
      </c>
      <c r="CK19" s="940">
        <f t="shared" si="11"/>
        <v>196550</v>
      </c>
      <c r="CL19" s="940">
        <f t="shared" si="12"/>
        <v>184494</v>
      </c>
      <c r="CM19" s="940">
        <f t="shared" si="13"/>
        <v>188432</v>
      </c>
      <c r="CN19" s="940">
        <f t="shared" si="14"/>
        <v>155782</v>
      </c>
      <c r="CO19" s="942">
        <f t="shared" si="15"/>
        <v>194162</v>
      </c>
      <c r="CP19" s="553">
        <f t="shared" si="6"/>
        <v>24.636992720596737</v>
      </c>
      <c r="CQ19" s="194" t="s">
        <v>50</v>
      </c>
    </row>
    <row r="20" spans="2:98">
      <c r="B20" s="7" t="s">
        <v>29</v>
      </c>
      <c r="C20" s="998" t="s">
        <v>63</v>
      </c>
      <c r="D20" s="998" t="s">
        <v>63</v>
      </c>
      <c r="E20" s="998" t="s">
        <v>63</v>
      </c>
      <c r="F20" s="998" t="s">
        <v>63</v>
      </c>
      <c r="G20" s="998" t="s">
        <v>63</v>
      </c>
      <c r="H20" s="998" t="s">
        <v>63</v>
      </c>
      <c r="I20" s="998" t="s">
        <v>63</v>
      </c>
      <c r="J20" s="998" t="s">
        <v>63</v>
      </c>
      <c r="K20" s="998" t="s">
        <v>63</v>
      </c>
      <c r="L20" s="933">
        <v>901</v>
      </c>
      <c r="M20" s="902">
        <v>1151</v>
      </c>
      <c r="N20" s="933">
        <v>1442</v>
      </c>
      <c r="O20" s="902">
        <v>1764</v>
      </c>
      <c r="P20" s="902">
        <v>1990</v>
      </c>
      <c r="Q20" s="902">
        <v>1645</v>
      </c>
      <c r="R20" s="902">
        <v>1894</v>
      </c>
      <c r="S20" s="904">
        <v>1440</v>
      </c>
      <c r="T20" s="905">
        <v>1940</v>
      </c>
      <c r="U20" s="906">
        <v>0</v>
      </c>
      <c r="V20" s="906">
        <v>0</v>
      </c>
      <c r="W20" s="906">
        <v>0</v>
      </c>
      <c r="X20" s="906">
        <v>0</v>
      </c>
      <c r="Y20" s="906">
        <v>0</v>
      </c>
      <c r="Z20" s="906">
        <v>0</v>
      </c>
      <c r="AA20" s="906">
        <v>0.105</v>
      </c>
      <c r="AB20" s="906">
        <v>0</v>
      </c>
      <c r="AC20" s="1035">
        <v>5.0999999999999997E-2</v>
      </c>
      <c r="AD20" s="943" t="s">
        <v>63</v>
      </c>
      <c r="AE20" s="943" t="s">
        <v>63</v>
      </c>
      <c r="AF20" s="943" t="s">
        <v>63</v>
      </c>
      <c r="AG20" s="943" t="s">
        <v>63</v>
      </c>
      <c r="AH20" s="943" t="s">
        <v>63</v>
      </c>
      <c r="AI20" s="943" t="s">
        <v>63</v>
      </c>
      <c r="AJ20" s="943" t="s">
        <v>63</v>
      </c>
      <c r="AK20" s="943" t="s">
        <v>63</v>
      </c>
      <c r="AL20" s="999" t="s">
        <v>63</v>
      </c>
      <c r="AM20" s="907">
        <f t="shared" si="18"/>
        <v>65</v>
      </c>
      <c r="AN20" s="907">
        <f t="shared" si="17"/>
        <v>25</v>
      </c>
      <c r="AO20" s="907">
        <f t="shared" si="17"/>
        <v>47</v>
      </c>
      <c r="AP20" s="907">
        <f t="shared" si="17"/>
        <v>70</v>
      </c>
      <c r="AQ20" s="907">
        <f t="shared" si="17"/>
        <v>103</v>
      </c>
      <c r="AR20" s="907">
        <f t="shared" si="17"/>
        <v>121</v>
      </c>
      <c r="AS20" s="907">
        <f t="shared" si="17"/>
        <v>120</v>
      </c>
      <c r="AT20" s="907">
        <f t="shared" si="17"/>
        <v>85</v>
      </c>
      <c r="AU20" s="909">
        <f t="shared" si="17"/>
        <v>83</v>
      </c>
      <c r="AV20" s="943">
        <v>52</v>
      </c>
      <c r="AW20" s="934">
        <v>20</v>
      </c>
      <c r="AX20" s="934">
        <v>36</v>
      </c>
      <c r="AY20" s="934">
        <v>58</v>
      </c>
      <c r="AZ20" s="934">
        <v>74</v>
      </c>
      <c r="BA20" s="934">
        <v>112</v>
      </c>
      <c r="BB20" s="934">
        <v>108</v>
      </c>
      <c r="BC20" s="934">
        <v>73</v>
      </c>
      <c r="BD20" s="935">
        <v>58</v>
      </c>
      <c r="BE20" s="907">
        <v>13</v>
      </c>
      <c r="BF20" s="907">
        <v>5</v>
      </c>
      <c r="BG20" s="907">
        <v>11</v>
      </c>
      <c r="BH20" s="907">
        <v>12</v>
      </c>
      <c r="BI20" s="907">
        <v>29</v>
      </c>
      <c r="BJ20" s="907">
        <v>9</v>
      </c>
      <c r="BK20" s="907">
        <v>12</v>
      </c>
      <c r="BL20" s="907">
        <v>12</v>
      </c>
      <c r="BM20" s="909">
        <v>25</v>
      </c>
      <c r="BN20" s="924">
        <v>0</v>
      </c>
      <c r="BO20" s="907">
        <v>0</v>
      </c>
      <c r="BP20" s="907">
        <v>0</v>
      </c>
      <c r="BQ20" s="907">
        <v>0</v>
      </c>
      <c r="BR20" s="907">
        <v>0</v>
      </c>
      <c r="BS20" s="907">
        <v>0</v>
      </c>
      <c r="BT20" s="907">
        <v>0</v>
      </c>
      <c r="BU20" s="907">
        <v>0</v>
      </c>
      <c r="BV20" s="909">
        <v>0</v>
      </c>
      <c r="BW20" s="1035">
        <v>0</v>
      </c>
      <c r="BX20" s="924">
        <v>3479</v>
      </c>
      <c r="BY20" s="907">
        <v>3233</v>
      </c>
      <c r="BZ20" s="907">
        <v>3697</v>
      </c>
      <c r="CA20" s="907">
        <v>4578</v>
      </c>
      <c r="CB20" s="907">
        <v>5228</v>
      </c>
      <c r="CC20" s="907">
        <v>3397</v>
      </c>
      <c r="CD20" s="907">
        <v>3584</v>
      </c>
      <c r="CE20" s="907">
        <v>2596</v>
      </c>
      <c r="CF20" s="925">
        <v>1395</v>
      </c>
      <c r="CG20" s="907">
        <f t="shared" si="7"/>
        <v>966</v>
      </c>
      <c r="CH20" s="907">
        <f t="shared" si="8"/>
        <v>1176</v>
      </c>
      <c r="CI20" s="907">
        <f t="shared" si="9"/>
        <v>1489</v>
      </c>
      <c r="CJ20" s="907">
        <f t="shared" si="10"/>
        <v>1834</v>
      </c>
      <c r="CK20" s="907">
        <f t="shared" si="11"/>
        <v>2093</v>
      </c>
      <c r="CL20" s="907">
        <f t="shared" si="12"/>
        <v>1766</v>
      </c>
      <c r="CM20" s="907">
        <f t="shared" si="13"/>
        <v>2014</v>
      </c>
      <c r="CN20" s="907">
        <f t="shared" si="14"/>
        <v>1525</v>
      </c>
      <c r="CO20" s="909">
        <f t="shared" si="15"/>
        <v>2023</v>
      </c>
      <c r="CP20" s="477">
        <f t="shared" si="6"/>
        <v>32.655737704918039</v>
      </c>
      <c r="CQ20" s="44" t="s">
        <v>29</v>
      </c>
    </row>
    <row r="21" spans="2:98">
      <c r="B21" s="107" t="s">
        <v>33</v>
      </c>
      <c r="C21" s="879">
        <v>1404</v>
      </c>
      <c r="D21" s="879">
        <v>1728</v>
      </c>
      <c r="E21" s="936">
        <v>2508</v>
      </c>
      <c r="F21" s="936">
        <v>3458</v>
      </c>
      <c r="G21" s="936">
        <v>2041</v>
      </c>
      <c r="H21" s="936">
        <v>520</v>
      </c>
      <c r="I21" s="936">
        <v>571</v>
      </c>
      <c r="J21" s="936">
        <v>1755</v>
      </c>
      <c r="K21" s="937">
        <v>2236</v>
      </c>
      <c r="L21" s="936">
        <v>5708</v>
      </c>
      <c r="M21" s="936">
        <v>2618</v>
      </c>
      <c r="N21" s="936">
        <v>2415</v>
      </c>
      <c r="O21" s="936">
        <v>2282</v>
      </c>
      <c r="P21" s="936">
        <v>2299</v>
      </c>
      <c r="Q21" s="912">
        <v>2439</v>
      </c>
      <c r="R21" s="912">
        <v>2744</v>
      </c>
      <c r="S21" s="913">
        <v>2164</v>
      </c>
      <c r="T21" s="914">
        <v>2604</v>
      </c>
      <c r="U21" s="915">
        <v>0</v>
      </c>
      <c r="V21" s="915">
        <v>0.114</v>
      </c>
      <c r="W21" s="915">
        <v>4.1000000000000002E-2</v>
      </c>
      <c r="X21" s="915">
        <v>0.17499999999999999</v>
      </c>
      <c r="Y21" s="915">
        <v>4.2999999999999997E-2</v>
      </c>
      <c r="Z21" s="915">
        <v>0</v>
      </c>
      <c r="AA21" s="915">
        <v>7.1999999999999995E-2</v>
      </c>
      <c r="AB21" s="915">
        <v>0.73899999999999999</v>
      </c>
      <c r="AC21" s="1036">
        <v>0.998</v>
      </c>
      <c r="AD21" s="939">
        <v>886</v>
      </c>
      <c r="AE21" s="940">
        <v>1309</v>
      </c>
      <c r="AF21" s="940">
        <v>2147</v>
      </c>
      <c r="AG21" s="940">
        <v>3261</v>
      </c>
      <c r="AH21" s="940">
        <v>1990</v>
      </c>
      <c r="AI21" s="940">
        <v>300</v>
      </c>
      <c r="AJ21" s="940">
        <v>469</v>
      </c>
      <c r="AK21" s="940">
        <v>1390</v>
      </c>
      <c r="AL21" s="941">
        <v>1509</v>
      </c>
      <c r="AM21" s="940">
        <f t="shared" si="18"/>
        <v>5507</v>
      </c>
      <c r="AN21" s="940">
        <f t="shared" si="17"/>
        <v>1077</v>
      </c>
      <c r="AO21" s="940">
        <f t="shared" si="17"/>
        <v>1479</v>
      </c>
      <c r="AP21" s="940">
        <f t="shared" si="17"/>
        <v>1848</v>
      </c>
      <c r="AQ21" s="940">
        <f t="shared" si="17"/>
        <v>1803</v>
      </c>
      <c r="AR21" s="940">
        <f t="shared" si="17"/>
        <v>1905</v>
      </c>
      <c r="AS21" s="940">
        <f t="shared" si="17"/>
        <v>1346</v>
      </c>
      <c r="AT21" s="940">
        <f t="shared" si="17"/>
        <v>778</v>
      </c>
      <c r="AU21" s="942">
        <f t="shared" si="17"/>
        <v>1500</v>
      </c>
      <c r="AV21" s="940">
        <v>3491</v>
      </c>
      <c r="AW21" s="940">
        <v>349</v>
      </c>
      <c r="AX21" s="940">
        <v>222</v>
      </c>
      <c r="AY21" s="940">
        <v>284</v>
      </c>
      <c r="AZ21" s="940">
        <v>326</v>
      </c>
      <c r="BA21" s="940">
        <v>393</v>
      </c>
      <c r="BB21" s="940">
        <v>389</v>
      </c>
      <c r="BC21" s="940">
        <v>268</v>
      </c>
      <c r="BD21" s="942">
        <v>362</v>
      </c>
      <c r="BE21" s="940">
        <v>2016</v>
      </c>
      <c r="BF21" s="940">
        <v>728</v>
      </c>
      <c r="BG21" s="940">
        <v>1257</v>
      </c>
      <c r="BH21" s="940">
        <v>1564</v>
      </c>
      <c r="BI21" s="940">
        <v>1477</v>
      </c>
      <c r="BJ21" s="940">
        <v>1512</v>
      </c>
      <c r="BK21" s="940">
        <v>957</v>
      </c>
      <c r="BL21" s="940">
        <v>510</v>
      </c>
      <c r="BM21" s="942">
        <v>1138</v>
      </c>
      <c r="BN21" s="939">
        <v>0</v>
      </c>
      <c r="BO21" s="940">
        <v>0</v>
      </c>
      <c r="BP21" s="940">
        <v>0</v>
      </c>
      <c r="BQ21" s="940">
        <v>0</v>
      </c>
      <c r="BR21" s="940">
        <v>0</v>
      </c>
      <c r="BS21" s="940">
        <v>0</v>
      </c>
      <c r="BT21" s="940">
        <v>0</v>
      </c>
      <c r="BU21" s="940">
        <v>0</v>
      </c>
      <c r="BV21" s="942">
        <v>0</v>
      </c>
      <c r="BW21" s="1036">
        <v>0</v>
      </c>
      <c r="BX21" s="939">
        <f t="shared" ref="BX21:CF24" si="20">C21+AD21</f>
        <v>2290</v>
      </c>
      <c r="BY21" s="940">
        <f t="shared" si="20"/>
        <v>3037</v>
      </c>
      <c r="BZ21" s="940">
        <f t="shared" si="20"/>
        <v>4655</v>
      </c>
      <c r="CA21" s="940">
        <f t="shared" si="20"/>
        <v>6719</v>
      </c>
      <c r="CB21" s="940">
        <f t="shared" si="20"/>
        <v>4031</v>
      </c>
      <c r="CC21" s="940">
        <f t="shared" si="20"/>
        <v>820</v>
      </c>
      <c r="CD21" s="940">
        <f t="shared" si="20"/>
        <v>1040</v>
      </c>
      <c r="CE21" s="940">
        <f t="shared" si="20"/>
        <v>3145</v>
      </c>
      <c r="CF21" s="941">
        <f t="shared" si="20"/>
        <v>3745</v>
      </c>
      <c r="CG21" s="940">
        <f t="shared" si="7"/>
        <v>11215</v>
      </c>
      <c r="CH21" s="940">
        <f t="shared" si="8"/>
        <v>3695</v>
      </c>
      <c r="CI21" s="940">
        <f t="shared" si="9"/>
        <v>3894</v>
      </c>
      <c r="CJ21" s="940">
        <f t="shared" si="10"/>
        <v>4130</v>
      </c>
      <c r="CK21" s="940">
        <f t="shared" si="11"/>
        <v>4102</v>
      </c>
      <c r="CL21" s="940">
        <f t="shared" si="12"/>
        <v>4344</v>
      </c>
      <c r="CM21" s="940">
        <f t="shared" si="13"/>
        <v>4090</v>
      </c>
      <c r="CN21" s="940">
        <f t="shared" si="14"/>
        <v>2942</v>
      </c>
      <c r="CO21" s="942">
        <f t="shared" si="15"/>
        <v>4104</v>
      </c>
      <c r="CP21" s="553">
        <f t="shared" si="6"/>
        <v>39.496940856560173</v>
      </c>
      <c r="CQ21" s="194" t="s">
        <v>33</v>
      </c>
    </row>
    <row r="22" spans="2:98">
      <c r="B22" s="7" t="s">
        <v>34</v>
      </c>
      <c r="C22" s="875">
        <v>2064</v>
      </c>
      <c r="D22" s="875">
        <v>3303</v>
      </c>
      <c r="E22" s="902">
        <v>4107</v>
      </c>
      <c r="F22" s="902">
        <v>4251</v>
      </c>
      <c r="G22" s="902">
        <v>3000</v>
      </c>
      <c r="H22" s="902">
        <v>776</v>
      </c>
      <c r="I22" s="902">
        <v>936</v>
      </c>
      <c r="J22" s="902">
        <v>1824</v>
      </c>
      <c r="K22" s="902">
        <v>1600</v>
      </c>
      <c r="L22" s="1024">
        <v>1823</v>
      </c>
      <c r="M22" s="933">
        <v>1991</v>
      </c>
      <c r="N22" s="902">
        <v>2367</v>
      </c>
      <c r="O22" s="902">
        <v>2793</v>
      </c>
      <c r="P22" s="902">
        <v>3000</v>
      </c>
      <c r="Q22" s="902">
        <v>3577</v>
      </c>
      <c r="R22" s="902">
        <v>4228</v>
      </c>
      <c r="S22" s="1021">
        <v>2239</v>
      </c>
      <c r="T22" s="905">
        <v>3139</v>
      </c>
      <c r="U22" s="906">
        <v>0</v>
      </c>
      <c r="V22" s="906">
        <v>0.05</v>
      </c>
      <c r="W22" s="906">
        <v>0.126</v>
      </c>
      <c r="X22" s="906">
        <v>0.107</v>
      </c>
      <c r="Y22" s="906">
        <v>6.6000000000000003E-2</v>
      </c>
      <c r="Z22" s="906">
        <v>8.3000000000000004E-2</v>
      </c>
      <c r="AA22" s="906">
        <v>0.52</v>
      </c>
      <c r="AB22" s="906">
        <v>0.26700000000000002</v>
      </c>
      <c r="AC22" s="1035">
        <v>0.28599999999999998</v>
      </c>
      <c r="AD22" s="924">
        <v>1658</v>
      </c>
      <c r="AE22" s="907">
        <v>2365</v>
      </c>
      <c r="AF22" s="907">
        <v>3124</v>
      </c>
      <c r="AG22" s="907">
        <v>5006</v>
      </c>
      <c r="AH22" s="907">
        <v>3474</v>
      </c>
      <c r="AI22" s="907">
        <v>514</v>
      </c>
      <c r="AJ22" s="907">
        <v>1369</v>
      </c>
      <c r="AK22" s="907">
        <v>2762</v>
      </c>
      <c r="AL22" s="925">
        <v>2759</v>
      </c>
      <c r="AM22" s="907">
        <f t="shared" si="18"/>
        <v>6934</v>
      </c>
      <c r="AN22" s="907">
        <f t="shared" si="17"/>
        <v>4801</v>
      </c>
      <c r="AO22" s="907">
        <f t="shared" si="17"/>
        <v>5898</v>
      </c>
      <c r="AP22" s="907">
        <f t="shared" si="17"/>
        <v>8554</v>
      </c>
      <c r="AQ22" s="907">
        <f t="shared" si="17"/>
        <v>9308</v>
      </c>
      <c r="AR22" s="907">
        <f t="shared" si="17"/>
        <v>11351</v>
      </c>
      <c r="AS22" s="907">
        <f t="shared" si="17"/>
        <v>10465</v>
      </c>
      <c r="AT22" s="907">
        <f t="shared" si="17"/>
        <v>4597</v>
      </c>
      <c r="AU22" s="909">
        <f t="shared" si="17"/>
        <v>7806</v>
      </c>
      <c r="AV22" s="907">
        <v>2062</v>
      </c>
      <c r="AW22" s="907">
        <v>1822</v>
      </c>
      <c r="AX22" s="907">
        <v>2041</v>
      </c>
      <c r="AY22" s="907">
        <v>2545</v>
      </c>
      <c r="AZ22" s="907">
        <v>3017</v>
      </c>
      <c r="BA22" s="907">
        <v>3343</v>
      </c>
      <c r="BB22" s="907">
        <v>2928</v>
      </c>
      <c r="BC22" s="907">
        <v>937</v>
      </c>
      <c r="BD22" s="909">
        <v>501</v>
      </c>
      <c r="BE22" s="907">
        <v>4872</v>
      </c>
      <c r="BF22" s="907">
        <v>2979</v>
      </c>
      <c r="BG22" s="907">
        <v>3857</v>
      </c>
      <c r="BH22" s="907">
        <v>6009</v>
      </c>
      <c r="BI22" s="907">
        <v>6291</v>
      </c>
      <c r="BJ22" s="907">
        <v>8008</v>
      </c>
      <c r="BK22" s="907">
        <v>7537</v>
      </c>
      <c r="BL22" s="907">
        <v>3660</v>
      </c>
      <c r="BM22" s="909">
        <v>7305</v>
      </c>
      <c r="BN22" s="924">
        <v>0</v>
      </c>
      <c r="BO22" s="907">
        <v>0</v>
      </c>
      <c r="BP22" s="907">
        <v>4</v>
      </c>
      <c r="BQ22" s="907">
        <v>0</v>
      </c>
      <c r="BR22" s="907">
        <v>0</v>
      </c>
      <c r="BS22" s="907">
        <v>0</v>
      </c>
      <c r="BT22" s="907">
        <v>0</v>
      </c>
      <c r="BU22" s="907">
        <v>0</v>
      </c>
      <c r="BV22" s="909">
        <v>0</v>
      </c>
      <c r="BW22" s="1035">
        <v>0</v>
      </c>
      <c r="BX22" s="924">
        <f t="shared" si="20"/>
        <v>3722</v>
      </c>
      <c r="BY22" s="907">
        <f t="shared" si="20"/>
        <v>5668</v>
      </c>
      <c r="BZ22" s="907">
        <f t="shared" si="20"/>
        <v>7231</v>
      </c>
      <c r="CA22" s="907">
        <f t="shared" si="20"/>
        <v>9257</v>
      </c>
      <c r="CB22" s="907">
        <f t="shared" si="20"/>
        <v>6474</v>
      </c>
      <c r="CC22" s="907">
        <f t="shared" si="20"/>
        <v>1290</v>
      </c>
      <c r="CD22" s="907">
        <f t="shared" si="20"/>
        <v>2305</v>
      </c>
      <c r="CE22" s="907">
        <f t="shared" si="20"/>
        <v>4586</v>
      </c>
      <c r="CF22" s="925">
        <f t="shared" si="20"/>
        <v>4359</v>
      </c>
      <c r="CG22" s="907">
        <f t="shared" si="7"/>
        <v>8757</v>
      </c>
      <c r="CH22" s="907">
        <f t="shared" si="8"/>
        <v>6792</v>
      </c>
      <c r="CI22" s="907">
        <f t="shared" si="9"/>
        <v>8265</v>
      </c>
      <c r="CJ22" s="907">
        <f t="shared" si="10"/>
        <v>11347</v>
      </c>
      <c r="CK22" s="907">
        <f t="shared" si="11"/>
        <v>12308</v>
      </c>
      <c r="CL22" s="907">
        <f t="shared" si="12"/>
        <v>14928</v>
      </c>
      <c r="CM22" s="907">
        <f t="shared" si="13"/>
        <v>14693</v>
      </c>
      <c r="CN22" s="907">
        <f t="shared" si="14"/>
        <v>6836</v>
      </c>
      <c r="CO22" s="909">
        <f t="shared" si="15"/>
        <v>10945</v>
      </c>
      <c r="CP22" s="477">
        <f t="shared" si="6"/>
        <v>60.108250438853133</v>
      </c>
      <c r="CQ22" s="44" t="s">
        <v>34</v>
      </c>
    </row>
    <row r="23" spans="2:98">
      <c r="B23" s="107" t="s">
        <v>51</v>
      </c>
      <c r="C23" s="879">
        <v>2670</v>
      </c>
      <c r="D23" s="879">
        <v>3025</v>
      </c>
      <c r="E23" s="936">
        <v>3083</v>
      </c>
      <c r="F23" s="936">
        <v>3492</v>
      </c>
      <c r="G23" s="936">
        <v>4028</v>
      </c>
      <c r="H23" s="936">
        <v>3063</v>
      </c>
      <c r="I23" s="936">
        <v>3246</v>
      </c>
      <c r="J23" s="936">
        <v>3592</v>
      </c>
      <c r="K23" s="937">
        <v>3424</v>
      </c>
      <c r="L23" s="936">
        <v>3142</v>
      </c>
      <c r="M23" s="936">
        <v>3357</v>
      </c>
      <c r="N23" s="936">
        <v>3807</v>
      </c>
      <c r="O23" s="936">
        <v>4376</v>
      </c>
      <c r="P23" s="936">
        <v>4754</v>
      </c>
      <c r="Q23" s="912">
        <v>4855</v>
      </c>
      <c r="R23" s="912">
        <v>5005</v>
      </c>
      <c r="S23" s="913">
        <v>4420</v>
      </c>
      <c r="T23" s="914">
        <v>4560</v>
      </c>
      <c r="U23" s="915">
        <v>0</v>
      </c>
      <c r="V23" s="915">
        <v>0</v>
      </c>
      <c r="W23" s="915">
        <v>7.8E-2</v>
      </c>
      <c r="X23" s="915">
        <v>0.20499999999999999</v>
      </c>
      <c r="Y23" s="915">
        <v>0.79900000000000004</v>
      </c>
      <c r="Z23" s="915">
        <v>0.96799999999999997</v>
      </c>
      <c r="AA23" s="915">
        <v>1.718</v>
      </c>
      <c r="AB23" s="915">
        <v>1.38</v>
      </c>
      <c r="AC23" s="1036">
        <v>2.456</v>
      </c>
      <c r="AD23" s="939">
        <v>1038</v>
      </c>
      <c r="AE23" s="940">
        <v>1580</v>
      </c>
      <c r="AF23" s="940">
        <v>1424</v>
      </c>
      <c r="AG23" s="940">
        <v>1647</v>
      </c>
      <c r="AH23" s="940">
        <v>1793</v>
      </c>
      <c r="AI23" s="940">
        <v>925</v>
      </c>
      <c r="AJ23" s="940">
        <v>847</v>
      </c>
      <c r="AK23" s="940">
        <v>1346</v>
      </c>
      <c r="AL23" s="941">
        <v>1068</v>
      </c>
      <c r="AM23" s="940">
        <f t="shared" si="18"/>
        <v>949</v>
      </c>
      <c r="AN23" s="940">
        <f t="shared" si="17"/>
        <v>1013</v>
      </c>
      <c r="AO23" s="940">
        <f t="shared" si="17"/>
        <v>1076</v>
      </c>
      <c r="AP23" s="940">
        <f t="shared" si="17"/>
        <v>1227</v>
      </c>
      <c r="AQ23" s="940">
        <f t="shared" si="17"/>
        <v>1138</v>
      </c>
      <c r="AR23" s="940">
        <f t="shared" si="17"/>
        <v>1042</v>
      </c>
      <c r="AS23" s="940">
        <f t="shared" si="17"/>
        <v>1196</v>
      </c>
      <c r="AT23" s="940">
        <f t="shared" si="17"/>
        <v>991</v>
      </c>
      <c r="AU23" s="942">
        <f t="shared" si="17"/>
        <v>1054</v>
      </c>
      <c r="AV23" s="940">
        <v>378</v>
      </c>
      <c r="AW23" s="940">
        <v>380</v>
      </c>
      <c r="AX23" s="940">
        <v>342</v>
      </c>
      <c r="AY23" s="940">
        <v>463</v>
      </c>
      <c r="AZ23" s="940">
        <v>341</v>
      </c>
      <c r="BA23" s="940">
        <v>196</v>
      </c>
      <c r="BB23" s="940">
        <v>281</v>
      </c>
      <c r="BC23" s="940">
        <v>422</v>
      </c>
      <c r="BD23" s="942">
        <v>400</v>
      </c>
      <c r="BE23" s="940">
        <v>571</v>
      </c>
      <c r="BF23" s="940">
        <v>633</v>
      </c>
      <c r="BG23" s="940">
        <v>734</v>
      </c>
      <c r="BH23" s="940">
        <v>764</v>
      </c>
      <c r="BI23" s="940">
        <v>797</v>
      </c>
      <c r="BJ23" s="940">
        <v>846</v>
      </c>
      <c r="BK23" s="940">
        <v>915</v>
      </c>
      <c r="BL23" s="940">
        <v>569</v>
      </c>
      <c r="BM23" s="942">
        <v>654</v>
      </c>
      <c r="BN23" s="939">
        <v>0</v>
      </c>
      <c r="BO23" s="940">
        <v>0</v>
      </c>
      <c r="BP23" s="940">
        <v>0</v>
      </c>
      <c r="BQ23" s="940">
        <v>0</v>
      </c>
      <c r="BR23" s="940">
        <v>0</v>
      </c>
      <c r="BS23" s="940">
        <v>0</v>
      </c>
      <c r="BT23" s="940">
        <v>0</v>
      </c>
      <c r="BU23" s="940">
        <v>0</v>
      </c>
      <c r="BV23" s="942">
        <v>0</v>
      </c>
      <c r="BW23" s="1036">
        <v>0</v>
      </c>
      <c r="BX23" s="939">
        <f t="shared" si="20"/>
        <v>3708</v>
      </c>
      <c r="BY23" s="940">
        <f t="shared" si="20"/>
        <v>4605</v>
      </c>
      <c r="BZ23" s="940">
        <f t="shared" si="20"/>
        <v>4507</v>
      </c>
      <c r="CA23" s="940">
        <f t="shared" si="20"/>
        <v>5139</v>
      </c>
      <c r="CB23" s="940">
        <f t="shared" si="20"/>
        <v>5821</v>
      </c>
      <c r="CC23" s="940">
        <f t="shared" si="20"/>
        <v>3988</v>
      </c>
      <c r="CD23" s="940">
        <f t="shared" si="20"/>
        <v>4093</v>
      </c>
      <c r="CE23" s="940">
        <f t="shared" si="20"/>
        <v>4938</v>
      </c>
      <c r="CF23" s="941">
        <f t="shared" si="20"/>
        <v>4492</v>
      </c>
      <c r="CG23" s="940">
        <f t="shared" si="7"/>
        <v>4091</v>
      </c>
      <c r="CH23" s="940">
        <f t="shared" si="8"/>
        <v>4370</v>
      </c>
      <c r="CI23" s="940">
        <f t="shared" si="9"/>
        <v>4883</v>
      </c>
      <c r="CJ23" s="940">
        <f t="shared" si="10"/>
        <v>5603</v>
      </c>
      <c r="CK23" s="940">
        <f t="shared" si="11"/>
        <v>5892</v>
      </c>
      <c r="CL23" s="940">
        <f t="shared" si="12"/>
        <v>5897</v>
      </c>
      <c r="CM23" s="940">
        <f t="shared" si="13"/>
        <v>6201</v>
      </c>
      <c r="CN23" s="940">
        <f t="shared" si="14"/>
        <v>5411</v>
      </c>
      <c r="CO23" s="942">
        <f t="shared" si="15"/>
        <v>5614</v>
      </c>
      <c r="CP23" s="553">
        <f t="shared" si="6"/>
        <v>3.7516170763260135</v>
      </c>
      <c r="CQ23" s="194" t="s">
        <v>51</v>
      </c>
    </row>
    <row r="24" spans="2:98">
      <c r="B24" s="7" t="s">
        <v>32</v>
      </c>
      <c r="C24" s="875">
        <v>29641</v>
      </c>
      <c r="D24" s="875">
        <v>35500</v>
      </c>
      <c r="E24" s="902">
        <v>21604</v>
      </c>
      <c r="F24" s="902">
        <v>21920</v>
      </c>
      <c r="G24" s="902">
        <v>21559</v>
      </c>
      <c r="H24" s="902">
        <v>10619</v>
      </c>
      <c r="I24" s="902">
        <v>9187</v>
      </c>
      <c r="J24" s="902">
        <v>11446</v>
      </c>
      <c r="K24" s="923">
        <v>10952</v>
      </c>
      <c r="L24" s="902">
        <v>11376</v>
      </c>
      <c r="M24" s="902">
        <v>15804</v>
      </c>
      <c r="N24" s="902">
        <v>17467</v>
      </c>
      <c r="O24" s="902">
        <v>21242</v>
      </c>
      <c r="P24" s="902">
        <v>19483</v>
      </c>
      <c r="Q24" s="902">
        <v>22710</v>
      </c>
      <c r="R24" s="902">
        <v>26129</v>
      </c>
      <c r="S24" s="904">
        <v>21972</v>
      </c>
      <c r="T24" s="905">
        <v>22932</v>
      </c>
      <c r="U24" s="906">
        <v>0</v>
      </c>
      <c r="V24" s="906">
        <v>1.2E-2</v>
      </c>
      <c r="W24" s="906">
        <v>0.08</v>
      </c>
      <c r="X24" s="906">
        <v>0.183</v>
      </c>
      <c r="Y24" s="906">
        <v>0.33300000000000002</v>
      </c>
      <c r="Z24" s="906">
        <v>0.54100000000000004</v>
      </c>
      <c r="AA24" s="906">
        <v>0.28699999999999998</v>
      </c>
      <c r="AB24" s="906">
        <v>0.59599999999999997</v>
      </c>
      <c r="AC24" s="1035">
        <v>1.2030000000000001</v>
      </c>
      <c r="AD24" s="924" t="s">
        <v>63</v>
      </c>
      <c r="AE24" s="907" t="s">
        <v>63</v>
      </c>
      <c r="AF24" s="907" t="s">
        <v>63</v>
      </c>
      <c r="AG24" s="907" t="s">
        <v>63</v>
      </c>
      <c r="AH24" s="907" t="s">
        <v>63</v>
      </c>
      <c r="AI24" s="907" t="s">
        <v>63</v>
      </c>
      <c r="AJ24" s="907">
        <v>2278</v>
      </c>
      <c r="AK24" s="907">
        <v>4301</v>
      </c>
      <c r="AL24" s="925">
        <v>4320</v>
      </c>
      <c r="AM24" s="907">
        <f t="shared" si="18"/>
        <v>6452</v>
      </c>
      <c r="AN24" s="907">
        <f t="shared" si="17"/>
        <v>7683</v>
      </c>
      <c r="AO24" s="907">
        <f t="shared" si="17"/>
        <v>7520</v>
      </c>
      <c r="AP24" s="907">
        <f t="shared" si="17"/>
        <v>7064</v>
      </c>
      <c r="AQ24" s="907">
        <f t="shared" si="17"/>
        <v>7823</v>
      </c>
      <c r="AR24" s="907">
        <f t="shared" si="17"/>
        <v>8167</v>
      </c>
      <c r="AS24" s="907">
        <f t="shared" si="17"/>
        <v>7176</v>
      </c>
      <c r="AT24" s="907">
        <f t="shared" si="17"/>
        <v>5419</v>
      </c>
      <c r="AU24" s="909">
        <f t="shared" si="17"/>
        <v>7059</v>
      </c>
      <c r="AV24" s="907">
        <v>703</v>
      </c>
      <c r="AW24" s="907">
        <v>711</v>
      </c>
      <c r="AX24" s="907">
        <v>1098</v>
      </c>
      <c r="AY24" s="907">
        <v>932</v>
      </c>
      <c r="AZ24" s="907">
        <v>1382</v>
      </c>
      <c r="BA24" s="907">
        <v>1526</v>
      </c>
      <c r="BB24" s="907">
        <v>1554</v>
      </c>
      <c r="BC24" s="907">
        <v>764</v>
      </c>
      <c r="BD24" s="909">
        <v>967</v>
      </c>
      <c r="BE24" s="907">
        <v>5749</v>
      </c>
      <c r="BF24" s="907">
        <v>6972</v>
      </c>
      <c r="BG24" s="907">
        <v>6422</v>
      </c>
      <c r="BH24" s="907">
        <v>6132</v>
      </c>
      <c r="BI24" s="907">
        <v>6441</v>
      </c>
      <c r="BJ24" s="907">
        <v>6641</v>
      </c>
      <c r="BK24" s="907">
        <v>5622</v>
      </c>
      <c r="BL24" s="907">
        <v>4655</v>
      </c>
      <c r="BM24" s="909">
        <v>6092</v>
      </c>
      <c r="BN24" s="924">
        <v>0</v>
      </c>
      <c r="BO24" s="907">
        <v>0</v>
      </c>
      <c r="BP24" s="907">
        <v>0</v>
      </c>
      <c r="BQ24" s="907">
        <v>0</v>
      </c>
      <c r="BR24" s="907">
        <v>2</v>
      </c>
      <c r="BS24" s="907">
        <v>5</v>
      </c>
      <c r="BT24" s="907">
        <v>0</v>
      </c>
      <c r="BU24" s="907">
        <v>1</v>
      </c>
      <c r="BV24" s="909">
        <v>17</v>
      </c>
      <c r="BW24" s="1035">
        <v>0.24082731265051707</v>
      </c>
      <c r="BX24" s="924">
        <f t="shared" si="20"/>
        <v>29640</v>
      </c>
      <c r="BY24" s="907">
        <f t="shared" si="20"/>
        <v>35499</v>
      </c>
      <c r="BZ24" s="907">
        <f t="shared" si="20"/>
        <v>21603</v>
      </c>
      <c r="CA24" s="907">
        <f t="shared" si="20"/>
        <v>21919</v>
      </c>
      <c r="CB24" s="907">
        <f t="shared" si="20"/>
        <v>21558</v>
      </c>
      <c r="CC24" s="907">
        <f t="shared" si="20"/>
        <v>10618</v>
      </c>
      <c r="CD24" s="907">
        <f t="shared" si="20"/>
        <v>11465</v>
      </c>
      <c r="CE24" s="907">
        <f t="shared" si="20"/>
        <v>15747</v>
      </c>
      <c r="CF24" s="925">
        <f t="shared" si="20"/>
        <v>15272</v>
      </c>
      <c r="CG24" s="907">
        <f t="shared" ref="CG24:CM24" si="21">L24+AM24</f>
        <v>17828</v>
      </c>
      <c r="CH24" s="907">
        <f t="shared" si="21"/>
        <v>23487</v>
      </c>
      <c r="CI24" s="907">
        <f t="shared" si="21"/>
        <v>24987</v>
      </c>
      <c r="CJ24" s="907">
        <f t="shared" si="21"/>
        <v>28306</v>
      </c>
      <c r="CK24" s="907">
        <f t="shared" si="21"/>
        <v>27306</v>
      </c>
      <c r="CL24" s="907">
        <f t="shared" si="21"/>
        <v>30877</v>
      </c>
      <c r="CM24" s="907">
        <f t="shared" si="21"/>
        <v>33305</v>
      </c>
      <c r="CN24" s="907">
        <f t="shared" ref="CN24:CO38" si="22">S24+AT24</f>
        <v>27391</v>
      </c>
      <c r="CO24" s="909">
        <f t="shared" si="22"/>
        <v>29991</v>
      </c>
      <c r="CP24" s="477">
        <f t="shared" si="6"/>
        <v>9.4921689606075006</v>
      </c>
      <c r="CQ24" s="44" t="s">
        <v>32</v>
      </c>
      <c r="CT24" s="1042"/>
    </row>
    <row r="25" spans="2:98">
      <c r="B25" s="1022" t="s">
        <v>35</v>
      </c>
      <c r="C25" s="1000" t="s">
        <v>63</v>
      </c>
      <c r="D25" s="1000" t="s">
        <v>63</v>
      </c>
      <c r="E25" s="1000" t="s">
        <v>63</v>
      </c>
      <c r="F25" s="1000" t="s">
        <v>63</v>
      </c>
      <c r="G25" s="1000" t="s">
        <v>63</v>
      </c>
      <c r="H25" s="1000" t="s">
        <v>63</v>
      </c>
      <c r="I25" s="1000" t="s">
        <v>63</v>
      </c>
      <c r="J25" s="1000" t="s">
        <v>63</v>
      </c>
      <c r="K25" s="1000" t="s">
        <v>63</v>
      </c>
      <c r="L25" s="1000" t="s">
        <v>63</v>
      </c>
      <c r="M25" s="1000" t="s">
        <v>63</v>
      </c>
      <c r="N25" s="938">
        <v>543</v>
      </c>
      <c r="O25" s="936">
        <v>671</v>
      </c>
      <c r="P25" s="936">
        <v>669</v>
      </c>
      <c r="Q25" s="936">
        <v>827</v>
      </c>
      <c r="R25" s="936">
        <v>713</v>
      </c>
      <c r="S25" s="944">
        <v>557</v>
      </c>
      <c r="T25" s="945">
        <v>604</v>
      </c>
      <c r="U25" s="946">
        <v>0</v>
      </c>
      <c r="V25" s="946">
        <v>0</v>
      </c>
      <c r="W25" s="946">
        <v>0</v>
      </c>
      <c r="X25" s="946">
        <v>0.745</v>
      </c>
      <c r="Y25" s="946">
        <v>0.747</v>
      </c>
      <c r="Z25" s="946">
        <v>0.48299999999999998</v>
      </c>
      <c r="AA25" s="946">
        <v>3.6459999999999999</v>
      </c>
      <c r="AB25" s="946">
        <v>2.6920000000000002</v>
      </c>
      <c r="AC25" s="1037">
        <v>6.6219999999999999</v>
      </c>
      <c r="AD25" s="971" t="s">
        <v>63</v>
      </c>
      <c r="AE25" s="918" t="s">
        <v>63</v>
      </c>
      <c r="AF25" s="918" t="s">
        <v>63</v>
      </c>
      <c r="AG25" s="918" t="s">
        <v>63</v>
      </c>
      <c r="AH25" s="918" t="s">
        <v>63</v>
      </c>
      <c r="AI25" s="918" t="s">
        <v>63</v>
      </c>
      <c r="AJ25" s="918" t="s">
        <v>63</v>
      </c>
      <c r="AK25" s="918" t="s">
        <v>63</v>
      </c>
      <c r="AL25" s="918" t="s">
        <v>63</v>
      </c>
      <c r="AM25" s="918" t="s">
        <v>63</v>
      </c>
      <c r="AN25" s="972" t="s">
        <v>63</v>
      </c>
      <c r="AO25" s="918">
        <f t="shared" si="17"/>
        <v>59</v>
      </c>
      <c r="AP25" s="918">
        <f t="shared" si="17"/>
        <v>80</v>
      </c>
      <c r="AQ25" s="918">
        <f t="shared" si="17"/>
        <v>80</v>
      </c>
      <c r="AR25" s="918">
        <f t="shared" si="17"/>
        <v>85</v>
      </c>
      <c r="AS25" s="918">
        <f t="shared" si="17"/>
        <v>72</v>
      </c>
      <c r="AT25" s="918">
        <f t="shared" si="17"/>
        <v>79</v>
      </c>
      <c r="AU25" s="919">
        <f t="shared" si="17"/>
        <v>13</v>
      </c>
      <c r="AV25" s="918">
        <v>264</v>
      </c>
      <c r="AW25" s="918">
        <v>250</v>
      </c>
      <c r="AX25" s="918">
        <v>51</v>
      </c>
      <c r="AY25" s="918">
        <v>71</v>
      </c>
      <c r="AZ25" s="918">
        <v>69</v>
      </c>
      <c r="BA25" s="918">
        <v>78</v>
      </c>
      <c r="BB25" s="918">
        <v>66</v>
      </c>
      <c r="BC25" s="918">
        <v>73</v>
      </c>
      <c r="BD25" s="919">
        <v>12</v>
      </c>
      <c r="BE25" s="918">
        <v>58</v>
      </c>
      <c r="BF25" s="918">
        <v>67</v>
      </c>
      <c r="BG25" s="918">
        <v>8</v>
      </c>
      <c r="BH25" s="918">
        <v>9</v>
      </c>
      <c r="BI25" s="918">
        <v>11</v>
      </c>
      <c r="BJ25" s="918">
        <v>7</v>
      </c>
      <c r="BK25" s="918">
        <v>6</v>
      </c>
      <c r="BL25" s="918">
        <v>6</v>
      </c>
      <c r="BM25" s="919">
        <v>1</v>
      </c>
      <c r="BN25" s="971">
        <v>0</v>
      </c>
      <c r="BO25" s="918">
        <v>0</v>
      </c>
      <c r="BP25" s="918">
        <v>0</v>
      </c>
      <c r="BQ25" s="918">
        <v>0</v>
      </c>
      <c r="BR25" s="918">
        <v>0</v>
      </c>
      <c r="BS25" s="918">
        <v>0</v>
      </c>
      <c r="BT25" s="918">
        <v>0</v>
      </c>
      <c r="BU25" s="918">
        <v>0</v>
      </c>
      <c r="BV25" s="919">
        <v>0</v>
      </c>
      <c r="BW25" s="1037">
        <v>0</v>
      </c>
      <c r="BX25" s="971">
        <v>375</v>
      </c>
      <c r="BY25" s="918">
        <v>652</v>
      </c>
      <c r="BZ25" s="918">
        <v>564</v>
      </c>
      <c r="CA25" s="918">
        <v>865</v>
      </c>
      <c r="CB25" s="918">
        <v>783</v>
      </c>
      <c r="CC25" s="918">
        <v>471</v>
      </c>
      <c r="CD25" s="918">
        <v>924</v>
      </c>
      <c r="CE25" s="918">
        <v>1392</v>
      </c>
      <c r="CF25" s="918">
        <v>552</v>
      </c>
      <c r="CG25" s="918">
        <v>536</v>
      </c>
      <c r="CH25" s="918">
        <v>536</v>
      </c>
      <c r="CI25" s="1023" t="s">
        <v>362</v>
      </c>
      <c r="CJ25" s="918">
        <f t="shared" ref="CJ25:CM29" si="23">O25+AP25</f>
        <v>751</v>
      </c>
      <c r="CK25" s="918">
        <f t="shared" si="23"/>
        <v>749</v>
      </c>
      <c r="CL25" s="918">
        <f t="shared" si="23"/>
        <v>912</v>
      </c>
      <c r="CM25" s="918">
        <f t="shared" si="23"/>
        <v>785</v>
      </c>
      <c r="CN25" s="918">
        <f t="shared" si="22"/>
        <v>636</v>
      </c>
      <c r="CO25" s="919">
        <f t="shared" si="22"/>
        <v>617</v>
      </c>
      <c r="CP25" s="553">
        <f t="shared" si="6"/>
        <v>-2.9874213836477992</v>
      </c>
      <c r="CQ25" s="194" t="s">
        <v>35</v>
      </c>
    </row>
    <row r="26" spans="2:98">
      <c r="B26" s="7" t="s">
        <v>43</v>
      </c>
      <c r="C26" s="875">
        <v>86126</v>
      </c>
      <c r="D26" s="875">
        <v>65224</v>
      </c>
      <c r="E26" s="902">
        <v>63913</v>
      </c>
      <c r="F26" s="902">
        <v>80830</v>
      </c>
      <c r="G26" s="902">
        <v>84654</v>
      </c>
      <c r="H26" s="902">
        <v>51281</v>
      </c>
      <c r="I26" s="902">
        <v>49564</v>
      </c>
      <c r="J26" s="902">
        <v>58653</v>
      </c>
      <c r="K26" s="923">
        <v>56543</v>
      </c>
      <c r="L26" s="902">
        <v>50568</v>
      </c>
      <c r="M26" s="902">
        <v>51761</v>
      </c>
      <c r="N26" s="902">
        <v>57696</v>
      </c>
      <c r="O26" s="902">
        <v>70429</v>
      </c>
      <c r="P26" s="902">
        <v>73469</v>
      </c>
      <c r="Q26" s="902">
        <v>79173</v>
      </c>
      <c r="R26" s="902">
        <v>76251</v>
      </c>
      <c r="S26" s="904">
        <v>60395</v>
      </c>
      <c r="T26" s="905">
        <v>68405</v>
      </c>
      <c r="U26" s="906">
        <v>0.32800000000000001</v>
      </c>
      <c r="V26" s="906">
        <v>1.159</v>
      </c>
      <c r="W26" s="906">
        <v>0.46600000000000003</v>
      </c>
      <c r="X26" s="906">
        <v>0.43</v>
      </c>
      <c r="Y26" s="906">
        <v>0.69099999999999995</v>
      </c>
      <c r="Z26" s="906">
        <v>1.232</v>
      </c>
      <c r="AA26" s="906">
        <v>1.673</v>
      </c>
      <c r="AB26" s="906">
        <v>2.78</v>
      </c>
      <c r="AC26" s="1035">
        <v>4.641</v>
      </c>
      <c r="AD26" s="924">
        <v>14387</v>
      </c>
      <c r="AE26" s="907">
        <v>15545</v>
      </c>
      <c r="AF26" s="907">
        <v>20004</v>
      </c>
      <c r="AG26" s="907">
        <v>15284</v>
      </c>
      <c r="AH26" s="907">
        <v>18274</v>
      </c>
      <c r="AI26" s="907">
        <v>11757</v>
      </c>
      <c r="AJ26" s="907">
        <v>10648</v>
      </c>
      <c r="AK26" s="907">
        <v>12925</v>
      </c>
      <c r="AL26" s="925">
        <v>12347</v>
      </c>
      <c r="AM26" s="907">
        <f t="shared" si="18"/>
        <v>12423</v>
      </c>
      <c r="AN26" s="907">
        <f t="shared" si="17"/>
        <v>9732</v>
      </c>
      <c r="AO26" s="907">
        <f t="shared" si="17"/>
        <v>12997</v>
      </c>
      <c r="AP26" s="907">
        <f t="shared" si="17"/>
        <v>14254</v>
      </c>
      <c r="AQ26" s="907">
        <f t="shared" si="17"/>
        <v>13503</v>
      </c>
      <c r="AR26" s="907">
        <f t="shared" si="17"/>
        <v>14660</v>
      </c>
      <c r="AS26" s="907">
        <f t="shared" si="17"/>
        <v>13922</v>
      </c>
      <c r="AT26" s="907">
        <f t="shared" si="17"/>
        <v>9402</v>
      </c>
      <c r="AU26" s="909">
        <f t="shared" si="17"/>
        <v>10700</v>
      </c>
      <c r="AV26" s="907">
        <v>3561</v>
      </c>
      <c r="AW26" s="907">
        <v>2722</v>
      </c>
      <c r="AX26" s="907">
        <v>3558</v>
      </c>
      <c r="AY26" s="907">
        <v>4156</v>
      </c>
      <c r="AZ26" s="907">
        <v>4159</v>
      </c>
      <c r="BA26" s="907">
        <v>4609</v>
      </c>
      <c r="BB26" s="907">
        <v>4680</v>
      </c>
      <c r="BC26" s="907">
        <v>3456</v>
      </c>
      <c r="BD26" s="909">
        <v>3363</v>
      </c>
      <c r="BE26" s="907">
        <v>8862</v>
      </c>
      <c r="BF26" s="907">
        <v>7010</v>
      </c>
      <c r="BG26" s="907">
        <v>9439</v>
      </c>
      <c r="BH26" s="907">
        <v>10098</v>
      </c>
      <c r="BI26" s="907">
        <v>9344</v>
      </c>
      <c r="BJ26" s="907">
        <v>10051</v>
      </c>
      <c r="BK26" s="907">
        <v>9242</v>
      </c>
      <c r="BL26" s="907">
        <v>5946</v>
      </c>
      <c r="BM26" s="909">
        <v>7337</v>
      </c>
      <c r="BN26" s="924">
        <v>12</v>
      </c>
      <c r="BO26" s="907">
        <v>5</v>
      </c>
      <c r="BP26" s="907">
        <v>5</v>
      </c>
      <c r="BQ26" s="907">
        <v>15</v>
      </c>
      <c r="BR26" s="907">
        <v>14</v>
      </c>
      <c r="BS26" s="907">
        <v>25</v>
      </c>
      <c r="BT26" s="907">
        <v>37</v>
      </c>
      <c r="BU26" s="907">
        <v>29</v>
      </c>
      <c r="BV26" s="909">
        <v>52</v>
      </c>
      <c r="BW26" s="1035">
        <v>0.48598130841121495</v>
      </c>
      <c r="BX26" s="924">
        <f t="shared" ref="BX26:CI28" si="24">C26+AD26</f>
        <v>100513</v>
      </c>
      <c r="BY26" s="907">
        <f t="shared" si="24"/>
        <v>80769</v>
      </c>
      <c r="BZ26" s="907">
        <f t="shared" si="24"/>
        <v>83917</v>
      </c>
      <c r="CA26" s="907">
        <f t="shared" si="24"/>
        <v>96114</v>
      </c>
      <c r="CB26" s="907">
        <f t="shared" si="24"/>
        <v>102928</v>
      </c>
      <c r="CC26" s="907">
        <f t="shared" si="24"/>
        <v>63038</v>
      </c>
      <c r="CD26" s="907">
        <f t="shared" si="24"/>
        <v>60212</v>
      </c>
      <c r="CE26" s="907">
        <f t="shared" si="24"/>
        <v>71578</v>
      </c>
      <c r="CF26" s="925">
        <f t="shared" si="24"/>
        <v>68890</v>
      </c>
      <c r="CG26" s="907">
        <f t="shared" si="24"/>
        <v>62991</v>
      </c>
      <c r="CH26" s="907">
        <f t="shared" si="24"/>
        <v>61493</v>
      </c>
      <c r="CI26" s="907">
        <f t="shared" si="24"/>
        <v>70693</v>
      </c>
      <c r="CJ26" s="907">
        <f t="shared" si="23"/>
        <v>84683</v>
      </c>
      <c r="CK26" s="907">
        <f t="shared" si="23"/>
        <v>86972</v>
      </c>
      <c r="CL26" s="907">
        <f t="shared" si="23"/>
        <v>93833</v>
      </c>
      <c r="CM26" s="907">
        <f t="shared" si="23"/>
        <v>90173</v>
      </c>
      <c r="CN26" s="907">
        <f t="shared" si="22"/>
        <v>69797</v>
      </c>
      <c r="CO26" s="909">
        <f t="shared" si="22"/>
        <v>79105</v>
      </c>
      <c r="CP26" s="477">
        <f t="shared" si="6"/>
        <v>13.335816725647234</v>
      </c>
      <c r="CQ26" s="44" t="s">
        <v>43</v>
      </c>
    </row>
    <row r="27" spans="2:98">
      <c r="B27" s="107" t="s">
        <v>52</v>
      </c>
      <c r="C27" s="879">
        <v>28888</v>
      </c>
      <c r="D27" s="879">
        <v>28752</v>
      </c>
      <c r="E27" s="936">
        <v>30357</v>
      </c>
      <c r="F27" s="936">
        <v>32322</v>
      </c>
      <c r="G27" s="936">
        <v>32763</v>
      </c>
      <c r="H27" s="936">
        <v>25582</v>
      </c>
      <c r="I27" s="936">
        <v>27992</v>
      </c>
      <c r="J27" s="936">
        <v>32563</v>
      </c>
      <c r="K27" s="937">
        <v>31505</v>
      </c>
      <c r="L27" s="936">
        <v>30701</v>
      </c>
      <c r="M27" s="936">
        <v>31168</v>
      </c>
      <c r="N27" s="936">
        <v>32862</v>
      </c>
      <c r="O27" s="936">
        <v>35919</v>
      </c>
      <c r="P27" s="936">
        <v>40174</v>
      </c>
      <c r="Q27" s="936">
        <v>43641</v>
      </c>
      <c r="R27" s="936">
        <v>43425</v>
      </c>
      <c r="S27" s="944">
        <v>36545</v>
      </c>
      <c r="T27" s="945">
        <v>58806</v>
      </c>
      <c r="U27" s="946">
        <v>0.622</v>
      </c>
      <c r="V27" s="946">
        <v>0.65100000000000002</v>
      </c>
      <c r="W27" s="946">
        <v>0.81200000000000006</v>
      </c>
      <c r="X27" s="946">
        <v>1.25</v>
      </c>
      <c r="Y27" s="946">
        <v>0.58899999999999997</v>
      </c>
      <c r="Z27" s="946">
        <v>1.0209999999999999</v>
      </c>
      <c r="AA27" s="946">
        <v>1.151</v>
      </c>
      <c r="AB27" s="946">
        <v>2.0219999999999998</v>
      </c>
      <c r="AC27" s="1037">
        <v>3.98</v>
      </c>
      <c r="AD27" s="939">
        <v>9690</v>
      </c>
      <c r="AE27" s="940">
        <v>8926</v>
      </c>
      <c r="AF27" s="940">
        <v>7609</v>
      </c>
      <c r="AG27" s="940">
        <v>8417</v>
      </c>
      <c r="AH27" s="940">
        <v>8590</v>
      </c>
      <c r="AI27" s="940">
        <v>4790</v>
      </c>
      <c r="AJ27" s="940">
        <v>5185</v>
      </c>
      <c r="AK27" s="940">
        <v>7345</v>
      </c>
      <c r="AL27" s="941">
        <v>6654</v>
      </c>
      <c r="AM27" s="940">
        <f t="shared" si="18"/>
        <v>7443</v>
      </c>
      <c r="AN27" s="940">
        <f t="shared" si="17"/>
        <v>6829</v>
      </c>
      <c r="AO27" s="940">
        <f t="shared" si="17"/>
        <v>7281</v>
      </c>
      <c r="AP27" s="940">
        <f t="shared" si="17"/>
        <v>7979</v>
      </c>
      <c r="AQ27" s="940">
        <f t="shared" si="17"/>
        <v>8186</v>
      </c>
      <c r="AR27" s="940">
        <f t="shared" si="17"/>
        <v>8204</v>
      </c>
      <c r="AS27" s="940">
        <f t="shared" si="17"/>
        <v>8082</v>
      </c>
      <c r="AT27" s="940">
        <f t="shared" si="17"/>
        <v>5676</v>
      </c>
      <c r="AU27" s="942">
        <f t="shared" si="17"/>
        <v>6680</v>
      </c>
      <c r="AV27" s="940">
        <v>3470</v>
      </c>
      <c r="AW27" s="940">
        <v>3601</v>
      </c>
      <c r="AX27" s="940">
        <v>3511</v>
      </c>
      <c r="AY27" s="940">
        <v>4039</v>
      </c>
      <c r="AZ27" s="940">
        <v>3953</v>
      </c>
      <c r="BA27" s="940">
        <v>4306</v>
      </c>
      <c r="BB27" s="940">
        <v>4617</v>
      </c>
      <c r="BC27" s="940">
        <v>3497</v>
      </c>
      <c r="BD27" s="942">
        <v>3755</v>
      </c>
      <c r="BE27" s="940">
        <v>3973</v>
      </c>
      <c r="BF27" s="940">
        <v>3228</v>
      </c>
      <c r="BG27" s="940">
        <v>3770</v>
      </c>
      <c r="BH27" s="940">
        <v>3940</v>
      </c>
      <c r="BI27" s="940">
        <v>4233</v>
      </c>
      <c r="BJ27" s="940">
        <v>3898</v>
      </c>
      <c r="BK27" s="940">
        <v>3465</v>
      </c>
      <c r="BL27" s="940">
        <v>2179</v>
      </c>
      <c r="BM27" s="942">
        <v>2925</v>
      </c>
      <c r="BN27" s="939">
        <v>0</v>
      </c>
      <c r="BO27" s="940">
        <v>0</v>
      </c>
      <c r="BP27" s="940">
        <v>0</v>
      </c>
      <c r="BQ27" s="940">
        <v>0</v>
      </c>
      <c r="BR27" s="940">
        <v>1</v>
      </c>
      <c r="BS27" s="940">
        <v>13</v>
      </c>
      <c r="BT27" s="940">
        <v>2</v>
      </c>
      <c r="BU27" s="940">
        <v>0</v>
      </c>
      <c r="BV27" s="942">
        <v>38</v>
      </c>
      <c r="BW27" s="1037">
        <v>0.56886227544910184</v>
      </c>
      <c r="BX27" s="939">
        <f t="shared" si="24"/>
        <v>38578</v>
      </c>
      <c r="BY27" s="940">
        <f t="shared" si="24"/>
        <v>37678</v>
      </c>
      <c r="BZ27" s="940">
        <f t="shared" si="24"/>
        <v>37966</v>
      </c>
      <c r="CA27" s="940">
        <f t="shared" si="24"/>
        <v>40739</v>
      </c>
      <c r="CB27" s="940">
        <f t="shared" si="24"/>
        <v>41353</v>
      </c>
      <c r="CC27" s="940">
        <f t="shared" si="24"/>
        <v>30372</v>
      </c>
      <c r="CD27" s="940">
        <f t="shared" si="24"/>
        <v>33177</v>
      </c>
      <c r="CE27" s="940">
        <f t="shared" si="24"/>
        <v>39908</v>
      </c>
      <c r="CF27" s="941">
        <f t="shared" si="24"/>
        <v>38159</v>
      </c>
      <c r="CG27" s="940">
        <f t="shared" si="24"/>
        <v>38144</v>
      </c>
      <c r="CH27" s="940">
        <f t="shared" si="24"/>
        <v>37997</v>
      </c>
      <c r="CI27" s="940">
        <f t="shared" si="24"/>
        <v>40143</v>
      </c>
      <c r="CJ27" s="940">
        <f t="shared" si="23"/>
        <v>43898</v>
      </c>
      <c r="CK27" s="940">
        <f t="shared" si="23"/>
        <v>48360</v>
      </c>
      <c r="CL27" s="940">
        <f t="shared" si="23"/>
        <v>51845</v>
      </c>
      <c r="CM27" s="940">
        <f t="shared" si="23"/>
        <v>51507</v>
      </c>
      <c r="CN27" s="940">
        <f t="shared" si="22"/>
        <v>42221</v>
      </c>
      <c r="CO27" s="942">
        <f t="shared" si="22"/>
        <v>65486</v>
      </c>
      <c r="CP27" s="553">
        <f t="shared" si="6"/>
        <v>55.102910873735823</v>
      </c>
      <c r="CQ27" s="194" t="s">
        <v>52</v>
      </c>
    </row>
    <row r="28" spans="2:98">
      <c r="B28" s="7" t="s">
        <v>36</v>
      </c>
      <c r="C28" s="875">
        <v>34508</v>
      </c>
      <c r="D28" s="875">
        <v>35270</v>
      </c>
      <c r="E28" s="902">
        <v>38618</v>
      </c>
      <c r="F28" s="902">
        <v>52048</v>
      </c>
      <c r="G28" s="902">
        <v>55896</v>
      </c>
      <c r="H28" s="902">
        <v>40232</v>
      </c>
      <c r="I28" s="902">
        <v>38647</v>
      </c>
      <c r="J28" s="902">
        <v>45511</v>
      </c>
      <c r="K28" s="923">
        <v>38425</v>
      </c>
      <c r="L28" s="902">
        <v>39509</v>
      </c>
      <c r="M28" s="902">
        <v>43986</v>
      </c>
      <c r="N28" s="902">
        <v>53285</v>
      </c>
      <c r="O28" s="902">
        <v>59812</v>
      </c>
      <c r="P28" s="902">
        <v>60000</v>
      </c>
      <c r="Q28" s="902">
        <v>68821</v>
      </c>
      <c r="R28" s="902">
        <v>69872</v>
      </c>
      <c r="S28" s="904">
        <v>59649</v>
      </c>
      <c r="T28" s="905">
        <v>74290</v>
      </c>
      <c r="U28" s="906">
        <v>1.4999999999999999E-2</v>
      </c>
      <c r="V28" s="906">
        <v>8.9999999999999993E-3</v>
      </c>
      <c r="W28" s="906">
        <v>2.1999999999999999E-2</v>
      </c>
      <c r="X28" s="906">
        <v>1.7999999999999999E-2</v>
      </c>
      <c r="Y28" s="906">
        <v>6.3E-2</v>
      </c>
      <c r="Z28" s="906">
        <v>6.8000000000000005E-2</v>
      </c>
      <c r="AA28" s="906">
        <v>0.186</v>
      </c>
      <c r="AB28" s="906">
        <v>0.122</v>
      </c>
      <c r="AC28" s="1035">
        <v>0.129</v>
      </c>
      <c r="AD28" s="924">
        <v>12541</v>
      </c>
      <c r="AE28" s="907">
        <v>11794</v>
      </c>
      <c r="AF28" s="907">
        <v>15896</v>
      </c>
      <c r="AG28" s="907">
        <v>24573</v>
      </c>
      <c r="AH28" s="907">
        <v>22405</v>
      </c>
      <c r="AI28" s="907">
        <v>9885</v>
      </c>
      <c r="AJ28" s="907">
        <v>13013</v>
      </c>
      <c r="AK28" s="907">
        <v>17105</v>
      </c>
      <c r="AL28" s="925">
        <v>16638</v>
      </c>
      <c r="AM28" s="907">
        <v>19703</v>
      </c>
      <c r="AN28" s="907">
        <v>17711</v>
      </c>
      <c r="AO28" s="907">
        <v>22430</v>
      </c>
      <c r="AP28" s="907">
        <v>26613</v>
      </c>
      <c r="AQ28" s="907">
        <v>26891</v>
      </c>
      <c r="AR28" s="907">
        <v>30696</v>
      </c>
      <c r="AS28" s="907">
        <v>28634</v>
      </c>
      <c r="AT28" s="907">
        <v>20686</v>
      </c>
      <c r="AU28" s="909">
        <v>32684</v>
      </c>
      <c r="AV28" s="907">
        <v>18786</v>
      </c>
      <c r="AW28" s="907">
        <v>18857</v>
      </c>
      <c r="AX28" s="907">
        <v>21148</v>
      </c>
      <c r="AY28" s="907">
        <v>21386</v>
      </c>
      <c r="AZ28" s="907">
        <v>20126</v>
      </c>
      <c r="BA28" s="907">
        <v>22468</v>
      </c>
      <c r="BB28" s="907">
        <v>21543</v>
      </c>
      <c r="BC28" s="907">
        <v>18016</v>
      </c>
      <c r="BD28" s="909">
        <v>20151</v>
      </c>
      <c r="BE28" s="907">
        <v>26588</v>
      </c>
      <c r="BF28" s="907">
        <v>26122</v>
      </c>
      <c r="BG28" s="907">
        <v>30943</v>
      </c>
      <c r="BH28" s="907">
        <v>36552</v>
      </c>
      <c r="BI28" s="907">
        <v>34555</v>
      </c>
      <c r="BJ28" s="907">
        <v>35997</v>
      </c>
      <c r="BK28" s="907">
        <v>33243</v>
      </c>
      <c r="BL28" s="907">
        <v>27422</v>
      </c>
      <c r="BM28" s="909">
        <v>41895</v>
      </c>
      <c r="BN28" s="924">
        <v>0</v>
      </c>
      <c r="BO28" s="907">
        <v>0</v>
      </c>
      <c r="BP28" s="907">
        <v>2</v>
      </c>
      <c r="BQ28" s="907">
        <v>0</v>
      </c>
      <c r="BR28" s="907">
        <v>0</v>
      </c>
      <c r="BS28" s="907">
        <v>0</v>
      </c>
      <c r="BT28" s="907">
        <v>1</v>
      </c>
      <c r="BU28" s="907">
        <v>0</v>
      </c>
      <c r="BV28" s="909">
        <v>5</v>
      </c>
      <c r="BW28" s="1035">
        <v>1.5298005140129727E-2</v>
      </c>
      <c r="BX28" s="924">
        <f t="shared" si="24"/>
        <v>47049</v>
      </c>
      <c r="BY28" s="907">
        <f t="shared" si="24"/>
        <v>47064</v>
      </c>
      <c r="BZ28" s="907">
        <f t="shared" si="24"/>
        <v>54514</v>
      </c>
      <c r="CA28" s="907">
        <f t="shared" si="24"/>
        <v>76621</v>
      </c>
      <c r="CB28" s="907">
        <f t="shared" si="24"/>
        <v>78301</v>
      </c>
      <c r="CC28" s="907">
        <f t="shared" si="24"/>
        <v>50117</v>
      </c>
      <c r="CD28" s="907">
        <f t="shared" si="24"/>
        <v>51660</v>
      </c>
      <c r="CE28" s="907">
        <f t="shared" si="24"/>
        <v>62616</v>
      </c>
      <c r="CF28" s="925">
        <f t="shared" si="24"/>
        <v>55063</v>
      </c>
      <c r="CG28" s="907">
        <f t="shared" si="24"/>
        <v>59212</v>
      </c>
      <c r="CH28" s="907">
        <f t="shared" si="24"/>
        <v>61697</v>
      </c>
      <c r="CI28" s="907">
        <f t="shared" si="24"/>
        <v>75715</v>
      </c>
      <c r="CJ28" s="907">
        <f t="shared" si="23"/>
        <v>86425</v>
      </c>
      <c r="CK28" s="907">
        <f t="shared" si="23"/>
        <v>86891</v>
      </c>
      <c r="CL28" s="907">
        <f t="shared" si="23"/>
        <v>99517</v>
      </c>
      <c r="CM28" s="907">
        <f t="shared" si="23"/>
        <v>98506</v>
      </c>
      <c r="CN28" s="907">
        <f t="shared" si="22"/>
        <v>80335</v>
      </c>
      <c r="CO28" s="909">
        <f t="shared" si="22"/>
        <v>106974</v>
      </c>
      <c r="CP28" s="477">
        <f t="shared" si="6"/>
        <v>33.159892948279094</v>
      </c>
      <c r="CQ28" s="44" t="s">
        <v>36</v>
      </c>
    </row>
    <row r="29" spans="2:98">
      <c r="B29" s="107" t="s">
        <v>53</v>
      </c>
      <c r="C29" s="879">
        <v>70890</v>
      </c>
      <c r="D29" s="879">
        <v>66632</v>
      </c>
      <c r="E29" s="936">
        <v>64342</v>
      </c>
      <c r="F29" s="936">
        <v>68418</v>
      </c>
      <c r="G29" s="936">
        <v>55398</v>
      </c>
      <c r="H29" s="936">
        <v>38905</v>
      </c>
      <c r="I29" s="936">
        <v>45650</v>
      </c>
      <c r="J29" s="936">
        <v>34877</v>
      </c>
      <c r="K29" s="936">
        <v>16002</v>
      </c>
      <c r="L29" s="937">
        <v>18202</v>
      </c>
      <c r="M29" s="936">
        <v>25970</v>
      </c>
      <c r="N29" s="936">
        <v>30276</v>
      </c>
      <c r="O29" s="936">
        <v>33765</v>
      </c>
      <c r="P29" s="936">
        <v>35332</v>
      </c>
      <c r="Q29" s="936">
        <v>38172</v>
      </c>
      <c r="R29" s="936">
        <v>37622</v>
      </c>
      <c r="S29" s="944">
        <v>26993</v>
      </c>
      <c r="T29" s="945">
        <v>28097</v>
      </c>
      <c r="U29" s="946">
        <v>0.14799999999999999</v>
      </c>
      <c r="V29" s="946">
        <v>9.1999999999999998E-2</v>
      </c>
      <c r="W29" s="946">
        <v>0.217</v>
      </c>
      <c r="X29" s="946">
        <v>0.16800000000000001</v>
      </c>
      <c r="Y29" s="946">
        <v>0.56000000000000005</v>
      </c>
      <c r="Z29" s="946">
        <v>0.66200000000000003</v>
      </c>
      <c r="AA29" s="946">
        <v>0.61899999999999999</v>
      </c>
      <c r="AB29" s="946">
        <v>0.98899999999999999</v>
      </c>
      <c r="AC29" s="1037">
        <v>1.3129999999999999</v>
      </c>
      <c r="AD29" s="939">
        <v>4687</v>
      </c>
      <c r="AE29" s="940">
        <v>5350</v>
      </c>
      <c r="AF29" s="940">
        <v>5411</v>
      </c>
      <c r="AG29" s="940">
        <v>5645</v>
      </c>
      <c r="AH29" s="940">
        <v>5534</v>
      </c>
      <c r="AI29" s="940">
        <v>3211</v>
      </c>
      <c r="AJ29" s="940">
        <v>3134</v>
      </c>
      <c r="AK29" s="940">
        <v>2739</v>
      </c>
      <c r="AL29" s="940">
        <v>1894</v>
      </c>
      <c r="AM29" s="940">
        <v>2394</v>
      </c>
      <c r="AN29" s="940">
        <v>3128</v>
      </c>
      <c r="AO29" s="940">
        <v>4041</v>
      </c>
      <c r="AP29" s="940">
        <v>4828</v>
      </c>
      <c r="AQ29" s="940">
        <v>5481</v>
      </c>
      <c r="AR29" s="940">
        <v>5317</v>
      </c>
      <c r="AS29" s="940">
        <v>4802</v>
      </c>
      <c r="AT29" s="940">
        <v>4635</v>
      </c>
      <c r="AU29" s="942">
        <f t="shared" si="17"/>
        <v>4457</v>
      </c>
      <c r="AV29" s="940" t="s">
        <v>167</v>
      </c>
      <c r="AW29" s="940">
        <v>1524</v>
      </c>
      <c r="AX29" s="940">
        <v>1894</v>
      </c>
      <c r="AY29" s="940">
        <v>2094</v>
      </c>
      <c r="AZ29" s="940">
        <v>1281</v>
      </c>
      <c r="BA29" s="940">
        <v>1335</v>
      </c>
      <c r="BB29" s="940">
        <v>1417</v>
      </c>
      <c r="BC29" s="940">
        <v>1060</v>
      </c>
      <c r="BD29" s="942">
        <v>1188</v>
      </c>
      <c r="BE29" s="947" t="s">
        <v>360</v>
      </c>
      <c r="BF29" s="940">
        <v>4283</v>
      </c>
      <c r="BG29" s="940">
        <v>5269</v>
      </c>
      <c r="BH29" s="940">
        <v>5746</v>
      </c>
      <c r="BI29" s="940">
        <v>4463</v>
      </c>
      <c r="BJ29" s="940">
        <v>3620</v>
      </c>
      <c r="BK29" s="940">
        <v>3585</v>
      </c>
      <c r="BL29" s="940">
        <v>2871</v>
      </c>
      <c r="BM29" s="942">
        <v>3269</v>
      </c>
      <c r="BN29" s="939">
        <v>0</v>
      </c>
      <c r="BO29" s="940">
        <v>0</v>
      </c>
      <c r="BP29" s="940">
        <v>0</v>
      </c>
      <c r="BQ29" s="940">
        <v>0</v>
      </c>
      <c r="BR29" s="940">
        <v>0</v>
      </c>
      <c r="BS29" s="940">
        <v>10</v>
      </c>
      <c r="BT29" s="940">
        <v>0</v>
      </c>
      <c r="BU29" s="940">
        <v>0</v>
      </c>
      <c r="BV29" s="942">
        <v>2</v>
      </c>
      <c r="BW29" s="1037">
        <v>4.4873233116446039E-2</v>
      </c>
      <c r="BX29" s="939">
        <f t="shared" ref="BX29:CF29" si="25">C29+AD29</f>
        <v>75577</v>
      </c>
      <c r="BY29" s="940">
        <f t="shared" si="25"/>
        <v>71982</v>
      </c>
      <c r="BZ29" s="940">
        <f t="shared" si="25"/>
        <v>69753</v>
      </c>
      <c r="CA29" s="940">
        <f t="shared" si="25"/>
        <v>74063</v>
      </c>
      <c r="CB29" s="940">
        <f t="shared" si="25"/>
        <v>60932</v>
      </c>
      <c r="CC29" s="940">
        <f t="shared" si="25"/>
        <v>42116</v>
      </c>
      <c r="CD29" s="940">
        <f t="shared" si="25"/>
        <v>48784</v>
      </c>
      <c r="CE29" s="940">
        <f t="shared" si="25"/>
        <v>37616</v>
      </c>
      <c r="CF29" s="941">
        <f t="shared" si="25"/>
        <v>17896</v>
      </c>
      <c r="CG29" s="940"/>
      <c r="CH29" s="940">
        <f>M29+AN29</f>
        <v>29098</v>
      </c>
      <c r="CI29" s="940">
        <f>N29+AO29</f>
        <v>34317</v>
      </c>
      <c r="CJ29" s="940">
        <f t="shared" si="23"/>
        <v>38593</v>
      </c>
      <c r="CK29" s="940">
        <f t="shared" si="23"/>
        <v>40813</v>
      </c>
      <c r="CL29" s="940">
        <f t="shared" si="23"/>
        <v>43489</v>
      </c>
      <c r="CM29" s="940">
        <f t="shared" si="23"/>
        <v>42424</v>
      </c>
      <c r="CN29" s="940">
        <f t="shared" si="22"/>
        <v>31628</v>
      </c>
      <c r="CO29" s="942">
        <f t="shared" si="22"/>
        <v>32554</v>
      </c>
      <c r="CP29" s="553">
        <f t="shared" si="6"/>
        <v>2.9277855065132314</v>
      </c>
      <c r="CQ29" s="194" t="s">
        <v>53</v>
      </c>
    </row>
    <row r="30" spans="2:98">
      <c r="B30" s="7" t="s">
        <v>37</v>
      </c>
      <c r="C30" s="874"/>
      <c r="D30" s="875"/>
      <c r="E30" s="902">
        <v>30508</v>
      </c>
      <c r="F30" s="902">
        <v>33229</v>
      </c>
      <c r="G30" s="902">
        <v>36414</v>
      </c>
      <c r="H30" s="902">
        <v>14086</v>
      </c>
      <c r="I30" s="902">
        <v>9238</v>
      </c>
      <c r="J30" s="902">
        <v>10531</v>
      </c>
      <c r="K30" s="923">
        <v>10741</v>
      </c>
      <c r="L30" s="902">
        <v>8578</v>
      </c>
      <c r="M30" s="902">
        <v>10252</v>
      </c>
      <c r="N30" s="902">
        <v>11066</v>
      </c>
      <c r="O30" s="902">
        <v>14127</v>
      </c>
      <c r="P30" s="902">
        <v>15000</v>
      </c>
      <c r="Q30" s="902">
        <v>17585</v>
      </c>
      <c r="R30" s="902">
        <v>16985</v>
      </c>
      <c r="S30" s="904">
        <v>13730</v>
      </c>
      <c r="T30" s="905">
        <v>16168</v>
      </c>
      <c r="U30" s="906">
        <v>6.9000000000000006E-2</v>
      </c>
      <c r="V30" s="906">
        <v>4.8000000000000001E-2</v>
      </c>
      <c r="W30" s="906">
        <v>1.7999999999999999E-2</v>
      </c>
      <c r="X30" s="906">
        <v>1.4E-2</v>
      </c>
      <c r="Y30" s="906">
        <v>0.1</v>
      </c>
      <c r="Z30" s="906">
        <v>0.13600000000000001</v>
      </c>
      <c r="AA30" s="906">
        <v>0.317</v>
      </c>
      <c r="AB30" s="906">
        <v>0.16</v>
      </c>
      <c r="AC30" s="1035">
        <v>0.17899999999999999</v>
      </c>
      <c r="AD30" s="924"/>
      <c r="AE30" s="907"/>
      <c r="AF30" s="907">
        <v>7782</v>
      </c>
      <c r="AG30" s="907">
        <v>14979</v>
      </c>
      <c r="AH30" s="907">
        <v>12506</v>
      </c>
      <c r="AI30" s="907">
        <v>2592</v>
      </c>
      <c r="AJ30" s="907">
        <v>2906</v>
      </c>
      <c r="AK30" s="907">
        <v>2135</v>
      </c>
      <c r="AL30" s="907">
        <v>3478</v>
      </c>
      <c r="AM30" s="907">
        <v>3331</v>
      </c>
      <c r="AN30" s="907">
        <v>4186</v>
      </c>
      <c r="AO30" s="907">
        <v>6125</v>
      </c>
      <c r="AP30" s="907">
        <v>8032</v>
      </c>
      <c r="AQ30" s="907">
        <v>6353</v>
      </c>
      <c r="AR30" s="907">
        <v>7255</v>
      </c>
      <c r="AS30" s="907">
        <v>6947</v>
      </c>
      <c r="AT30" s="907">
        <v>4504</v>
      </c>
      <c r="AU30" s="909">
        <v>6389</v>
      </c>
      <c r="AV30" s="934" t="s">
        <v>167</v>
      </c>
      <c r="AW30" s="934" t="s">
        <v>167</v>
      </c>
      <c r="AX30" s="934" t="s">
        <v>167</v>
      </c>
      <c r="AY30" s="934" t="s">
        <v>167</v>
      </c>
      <c r="AZ30" s="934" t="s">
        <v>167</v>
      </c>
      <c r="BA30" s="934" t="s">
        <v>167</v>
      </c>
      <c r="BB30" s="934" t="s">
        <v>167</v>
      </c>
      <c r="BC30" s="934" t="s">
        <v>167</v>
      </c>
      <c r="BD30" s="934" t="s">
        <v>167</v>
      </c>
      <c r="BE30" s="907" t="s">
        <v>167</v>
      </c>
      <c r="BF30" s="907" t="s">
        <v>167</v>
      </c>
      <c r="BG30" s="907" t="s">
        <v>167</v>
      </c>
      <c r="BH30" s="907" t="s">
        <v>167</v>
      </c>
      <c r="BI30" s="907" t="s">
        <v>167</v>
      </c>
      <c r="BJ30" s="907" t="s">
        <v>167</v>
      </c>
      <c r="BK30" s="907" t="s">
        <v>167</v>
      </c>
      <c r="BL30" s="907" t="s">
        <v>167</v>
      </c>
      <c r="BM30" s="909" t="s">
        <v>167</v>
      </c>
      <c r="BN30" s="1001">
        <v>0</v>
      </c>
      <c r="BO30" s="934">
        <v>0</v>
      </c>
      <c r="BP30" s="934">
        <v>0</v>
      </c>
      <c r="BQ30" s="934">
        <v>0</v>
      </c>
      <c r="BR30" s="934">
        <v>0</v>
      </c>
      <c r="BS30" s="934">
        <v>0</v>
      </c>
      <c r="BT30" s="934">
        <v>0</v>
      </c>
      <c r="BU30" s="934">
        <v>0</v>
      </c>
      <c r="BV30" s="935">
        <v>0</v>
      </c>
      <c r="BW30" s="1035">
        <v>0</v>
      </c>
      <c r="BX30" s="924"/>
      <c r="BY30" s="907"/>
      <c r="BZ30" s="907">
        <f t="shared" ref="BZ30:CM38" si="26">E30+AF30</f>
        <v>38290</v>
      </c>
      <c r="CA30" s="907">
        <f t="shared" si="26"/>
        <v>48208</v>
      </c>
      <c r="CB30" s="907">
        <f t="shared" si="26"/>
        <v>48920</v>
      </c>
      <c r="CC30" s="907">
        <f t="shared" si="26"/>
        <v>16678</v>
      </c>
      <c r="CD30" s="907">
        <f t="shared" si="26"/>
        <v>12144</v>
      </c>
      <c r="CE30" s="907">
        <f t="shared" si="26"/>
        <v>12666</v>
      </c>
      <c r="CF30" s="925">
        <f t="shared" si="26"/>
        <v>14219</v>
      </c>
      <c r="CG30" s="907">
        <f t="shared" si="26"/>
        <v>11909</v>
      </c>
      <c r="CH30" s="907">
        <f t="shared" si="26"/>
        <v>14438</v>
      </c>
      <c r="CI30" s="907">
        <f t="shared" si="26"/>
        <v>17191</v>
      </c>
      <c r="CJ30" s="907">
        <f t="shared" si="26"/>
        <v>22159</v>
      </c>
      <c r="CK30" s="907">
        <f t="shared" si="26"/>
        <v>21353</v>
      </c>
      <c r="CL30" s="907">
        <f t="shared" si="26"/>
        <v>24840</v>
      </c>
      <c r="CM30" s="907">
        <f t="shared" si="26"/>
        <v>23932</v>
      </c>
      <c r="CN30" s="907">
        <f t="shared" si="22"/>
        <v>18234</v>
      </c>
      <c r="CO30" s="909">
        <f t="shared" si="22"/>
        <v>22557</v>
      </c>
      <c r="CP30" s="477">
        <f t="shared" si="6"/>
        <v>23.708456729187219</v>
      </c>
      <c r="CQ30" s="44" t="s">
        <v>37</v>
      </c>
    </row>
    <row r="31" spans="2:98">
      <c r="B31" s="107" t="s">
        <v>39</v>
      </c>
      <c r="C31" s="563">
        <v>6998</v>
      </c>
      <c r="D31" s="879">
        <v>6881</v>
      </c>
      <c r="E31" s="936">
        <v>6048</v>
      </c>
      <c r="F31" s="936">
        <v>6813</v>
      </c>
      <c r="G31" s="936">
        <v>7282</v>
      </c>
      <c r="H31" s="936">
        <v>4426</v>
      </c>
      <c r="I31" s="936">
        <v>4703</v>
      </c>
      <c r="J31" s="936">
        <v>5753</v>
      </c>
      <c r="K31" s="937">
        <v>5760</v>
      </c>
      <c r="L31" s="936">
        <v>6028</v>
      </c>
      <c r="M31" s="936">
        <v>6318</v>
      </c>
      <c r="N31" s="936">
        <v>7452</v>
      </c>
      <c r="O31" s="936">
        <v>9959</v>
      </c>
      <c r="P31" s="936">
        <v>10000</v>
      </c>
      <c r="Q31" s="936">
        <v>12709</v>
      </c>
      <c r="R31" s="936">
        <v>11161</v>
      </c>
      <c r="S31" s="944">
        <v>8033</v>
      </c>
      <c r="T31" s="945">
        <v>9688</v>
      </c>
      <c r="U31" s="946">
        <v>0</v>
      </c>
      <c r="V31" s="946">
        <v>0</v>
      </c>
      <c r="W31" s="946">
        <v>0.20100000000000001</v>
      </c>
      <c r="X31" s="946">
        <v>0.22</v>
      </c>
      <c r="Y31" s="946">
        <v>0.37</v>
      </c>
      <c r="Z31" s="946">
        <v>0.27500000000000002</v>
      </c>
      <c r="AA31" s="946">
        <v>0.36699999999999999</v>
      </c>
      <c r="AB31" s="946">
        <v>0.224</v>
      </c>
      <c r="AC31" s="1037">
        <v>0.48499999999999999</v>
      </c>
      <c r="AD31" s="939">
        <v>1474</v>
      </c>
      <c r="AE31" s="940">
        <v>1651</v>
      </c>
      <c r="AF31" s="940">
        <v>2062</v>
      </c>
      <c r="AG31" s="940">
        <v>2717</v>
      </c>
      <c r="AH31" s="940">
        <v>2576</v>
      </c>
      <c r="AI31" s="940">
        <v>758</v>
      </c>
      <c r="AJ31" s="940">
        <v>883</v>
      </c>
      <c r="AK31" s="940">
        <v>1382</v>
      </c>
      <c r="AL31" s="940">
        <v>1097</v>
      </c>
      <c r="AM31" s="940">
        <v>1195</v>
      </c>
      <c r="AN31" s="940">
        <v>1492</v>
      </c>
      <c r="AO31" s="940">
        <v>1907</v>
      </c>
      <c r="AP31" s="940">
        <v>2392</v>
      </c>
      <c r="AQ31" s="940">
        <v>2346</v>
      </c>
      <c r="AR31" s="940">
        <v>2761</v>
      </c>
      <c r="AS31" s="940">
        <v>2265</v>
      </c>
      <c r="AT31" s="940">
        <v>1346</v>
      </c>
      <c r="AU31" s="942">
        <v>1925</v>
      </c>
      <c r="AV31" s="947" t="s">
        <v>167</v>
      </c>
      <c r="AW31" s="947" t="s">
        <v>167</v>
      </c>
      <c r="AX31" s="947" t="s">
        <v>167</v>
      </c>
      <c r="AY31" s="947" t="s">
        <v>167</v>
      </c>
      <c r="AZ31" s="947" t="s">
        <v>167</v>
      </c>
      <c r="BA31" s="947" t="s">
        <v>167</v>
      </c>
      <c r="BB31" s="947" t="s">
        <v>167</v>
      </c>
      <c r="BC31" s="947" t="s">
        <v>167</v>
      </c>
      <c r="BD31" s="947" t="s">
        <v>167</v>
      </c>
      <c r="BE31" s="947" t="s">
        <v>167</v>
      </c>
      <c r="BF31" s="947" t="s">
        <v>167</v>
      </c>
      <c r="BG31" s="947" t="s">
        <v>167</v>
      </c>
      <c r="BH31" s="947" t="s">
        <v>167</v>
      </c>
      <c r="BI31" s="947" t="s">
        <v>167</v>
      </c>
      <c r="BJ31" s="947" t="s">
        <v>167</v>
      </c>
      <c r="BK31" s="947" t="s">
        <v>167</v>
      </c>
      <c r="BL31" s="947" t="s">
        <v>167</v>
      </c>
      <c r="BM31" s="947" t="s">
        <v>167</v>
      </c>
      <c r="BN31" s="939">
        <v>0</v>
      </c>
      <c r="BO31" s="940">
        <v>0</v>
      </c>
      <c r="BP31" s="940">
        <v>0</v>
      </c>
      <c r="BQ31" s="940">
        <v>0</v>
      </c>
      <c r="BR31" s="940">
        <v>0</v>
      </c>
      <c r="BS31" s="940">
        <v>0</v>
      </c>
      <c r="BT31" s="940">
        <v>0</v>
      </c>
      <c r="BU31" s="940">
        <v>0</v>
      </c>
      <c r="BV31" s="942">
        <v>0</v>
      </c>
      <c r="BW31" s="1037">
        <v>0</v>
      </c>
      <c r="BX31" s="939">
        <f t="shared" ref="BX31:BY35" si="27">C31+AD31</f>
        <v>8472</v>
      </c>
      <c r="BY31" s="940">
        <f t="shared" si="27"/>
        <v>8532</v>
      </c>
      <c r="BZ31" s="940">
        <f t="shared" si="26"/>
        <v>8110</v>
      </c>
      <c r="CA31" s="940">
        <f t="shared" si="26"/>
        <v>9530</v>
      </c>
      <c r="CB31" s="940">
        <f t="shared" si="26"/>
        <v>9858</v>
      </c>
      <c r="CC31" s="940">
        <f t="shared" si="26"/>
        <v>5184</v>
      </c>
      <c r="CD31" s="940">
        <f t="shared" si="26"/>
        <v>5586</v>
      </c>
      <c r="CE31" s="940">
        <f t="shared" si="26"/>
        <v>7135</v>
      </c>
      <c r="CF31" s="941">
        <f t="shared" si="26"/>
        <v>6857</v>
      </c>
      <c r="CG31" s="940">
        <f t="shared" si="26"/>
        <v>7223</v>
      </c>
      <c r="CH31" s="940">
        <f t="shared" si="26"/>
        <v>7810</v>
      </c>
      <c r="CI31" s="940">
        <f t="shared" si="26"/>
        <v>9359</v>
      </c>
      <c r="CJ31" s="940">
        <f t="shared" si="26"/>
        <v>12351</v>
      </c>
      <c r="CK31" s="940">
        <f t="shared" si="26"/>
        <v>12346</v>
      </c>
      <c r="CL31" s="940">
        <f t="shared" si="26"/>
        <v>15470</v>
      </c>
      <c r="CM31" s="940">
        <f t="shared" si="26"/>
        <v>13426</v>
      </c>
      <c r="CN31" s="940">
        <f t="shared" si="22"/>
        <v>9379</v>
      </c>
      <c r="CO31" s="942">
        <f t="shared" si="22"/>
        <v>11613</v>
      </c>
      <c r="CP31" s="553">
        <f t="shared" si="6"/>
        <v>23.819170487258774</v>
      </c>
      <c r="CQ31" s="194" t="s">
        <v>39</v>
      </c>
    </row>
    <row r="32" spans="2:98">
      <c r="B32" s="7" t="s">
        <v>38</v>
      </c>
      <c r="C32" s="874">
        <v>10204</v>
      </c>
      <c r="D32" s="875">
        <v>14425</v>
      </c>
      <c r="E32" s="902">
        <v>19502</v>
      </c>
      <c r="F32" s="902">
        <v>23618</v>
      </c>
      <c r="G32" s="902">
        <v>26900</v>
      </c>
      <c r="H32" s="902">
        <v>15709</v>
      </c>
      <c r="I32" s="902">
        <v>6952</v>
      </c>
      <c r="J32" s="902">
        <v>5716</v>
      </c>
      <c r="K32" s="902">
        <v>5165</v>
      </c>
      <c r="L32" s="902">
        <v>5076</v>
      </c>
      <c r="M32" s="902">
        <v>5628</v>
      </c>
      <c r="N32" s="902">
        <v>7297</v>
      </c>
      <c r="O32" s="902">
        <v>7459</v>
      </c>
      <c r="P32" s="902">
        <v>7500</v>
      </c>
      <c r="Q32" s="902">
        <v>9126</v>
      </c>
      <c r="R32" s="902">
        <v>8508</v>
      </c>
      <c r="S32" s="904">
        <v>6371</v>
      </c>
      <c r="T32" s="905">
        <v>8252</v>
      </c>
      <c r="U32" s="906">
        <v>3.9E-2</v>
      </c>
      <c r="V32" s="906">
        <v>7.0999999999999994E-2</v>
      </c>
      <c r="W32" s="906">
        <v>0.123</v>
      </c>
      <c r="X32" s="906">
        <v>0.16</v>
      </c>
      <c r="Y32" s="906">
        <v>0.42599999999999999</v>
      </c>
      <c r="Z32" s="906">
        <v>0.19700000000000001</v>
      </c>
      <c r="AA32" s="906">
        <v>0.27</v>
      </c>
      <c r="AB32" s="906">
        <v>0.29799999999999999</v>
      </c>
      <c r="AC32" s="1035">
        <v>0.50800000000000001</v>
      </c>
      <c r="AD32" s="924">
        <v>2849</v>
      </c>
      <c r="AE32" s="907">
        <v>3757</v>
      </c>
      <c r="AF32" s="907">
        <v>4413</v>
      </c>
      <c r="AG32" s="907">
        <v>5443</v>
      </c>
      <c r="AH32" s="907">
        <v>4842</v>
      </c>
      <c r="AI32" s="907">
        <v>1661</v>
      </c>
      <c r="AJ32" s="907">
        <v>2451</v>
      </c>
      <c r="AK32" s="907">
        <v>3807</v>
      </c>
      <c r="AL32" s="907">
        <v>3533</v>
      </c>
      <c r="AM32" s="907">
        <v>3883</v>
      </c>
      <c r="AN32" s="907">
        <v>3649</v>
      </c>
      <c r="AO32" s="907">
        <v>4447</v>
      </c>
      <c r="AP32" s="907">
        <v>4483</v>
      </c>
      <c r="AQ32" s="907">
        <v>4266</v>
      </c>
      <c r="AR32" s="907">
        <v>4266</v>
      </c>
      <c r="AS32" s="907">
        <v>3369</v>
      </c>
      <c r="AT32" s="907">
        <v>1719</v>
      </c>
      <c r="AU32" s="909">
        <v>2868</v>
      </c>
      <c r="AV32" s="934" t="s">
        <v>167</v>
      </c>
      <c r="AW32" s="934" t="s">
        <v>167</v>
      </c>
      <c r="AX32" s="934" t="s">
        <v>167</v>
      </c>
      <c r="AY32" s="934" t="s">
        <v>167</v>
      </c>
      <c r="AZ32" s="934" t="s">
        <v>167</v>
      </c>
      <c r="BA32" s="934" t="s">
        <v>167</v>
      </c>
      <c r="BB32" s="934" t="s">
        <v>167</v>
      </c>
      <c r="BC32" s="934" t="s">
        <v>167</v>
      </c>
      <c r="BD32" s="934" t="s">
        <v>167</v>
      </c>
      <c r="BE32" s="907" t="s">
        <v>167</v>
      </c>
      <c r="BF32" s="907" t="s">
        <v>167</v>
      </c>
      <c r="BG32" s="907" t="s">
        <v>167</v>
      </c>
      <c r="BH32" s="907" t="s">
        <v>167</v>
      </c>
      <c r="BI32" s="907" t="s">
        <v>167</v>
      </c>
      <c r="BJ32" s="907" t="s">
        <v>167</v>
      </c>
      <c r="BK32" s="907" t="s">
        <v>167</v>
      </c>
      <c r="BL32" s="907" t="s">
        <v>167</v>
      </c>
      <c r="BM32" s="909" t="s">
        <v>167</v>
      </c>
      <c r="BN32" s="924">
        <v>0</v>
      </c>
      <c r="BO32" s="907">
        <v>0</v>
      </c>
      <c r="BP32" s="907">
        <v>0</v>
      </c>
      <c r="BQ32" s="907">
        <v>0</v>
      </c>
      <c r="BR32" s="907">
        <v>0</v>
      </c>
      <c r="BS32" s="907">
        <v>0</v>
      </c>
      <c r="BT32" s="907">
        <v>0</v>
      </c>
      <c r="BU32" s="907">
        <v>0</v>
      </c>
      <c r="BV32" s="909">
        <v>0</v>
      </c>
      <c r="BW32" s="1035">
        <v>0</v>
      </c>
      <c r="BX32" s="924">
        <f t="shared" si="27"/>
        <v>13053</v>
      </c>
      <c r="BY32" s="907">
        <f t="shared" si="27"/>
        <v>18182</v>
      </c>
      <c r="BZ32" s="907">
        <f t="shared" si="26"/>
        <v>23915</v>
      </c>
      <c r="CA32" s="907">
        <f t="shared" si="26"/>
        <v>29061</v>
      </c>
      <c r="CB32" s="907">
        <f t="shared" si="26"/>
        <v>31742</v>
      </c>
      <c r="CC32" s="907">
        <f t="shared" si="26"/>
        <v>17370</v>
      </c>
      <c r="CD32" s="907">
        <f t="shared" si="26"/>
        <v>9403</v>
      </c>
      <c r="CE32" s="907">
        <f t="shared" si="26"/>
        <v>9523</v>
      </c>
      <c r="CF32" s="925">
        <f t="shared" si="26"/>
        <v>8698</v>
      </c>
      <c r="CG32" s="907">
        <f t="shared" si="26"/>
        <v>8959</v>
      </c>
      <c r="CH32" s="907">
        <f t="shared" si="26"/>
        <v>9277</v>
      </c>
      <c r="CI32" s="907">
        <f t="shared" si="26"/>
        <v>11744</v>
      </c>
      <c r="CJ32" s="907">
        <f t="shared" si="26"/>
        <v>11942</v>
      </c>
      <c r="CK32" s="907">
        <f t="shared" si="26"/>
        <v>11766</v>
      </c>
      <c r="CL32" s="907">
        <f t="shared" si="26"/>
        <v>13392</v>
      </c>
      <c r="CM32" s="907">
        <f t="shared" si="26"/>
        <v>11877</v>
      </c>
      <c r="CN32" s="907">
        <f t="shared" si="22"/>
        <v>8090</v>
      </c>
      <c r="CO32" s="909">
        <f t="shared" si="22"/>
        <v>11120</v>
      </c>
      <c r="CP32" s="477">
        <f t="shared" si="6"/>
        <v>37.453646477132253</v>
      </c>
      <c r="CQ32" s="44" t="s">
        <v>38</v>
      </c>
    </row>
    <row r="33" spans="2:95">
      <c r="B33" s="34" t="s">
        <v>54</v>
      </c>
      <c r="C33" s="562">
        <v>17068</v>
      </c>
      <c r="D33" s="878">
        <v>15353</v>
      </c>
      <c r="E33" s="912">
        <v>16472</v>
      </c>
      <c r="F33" s="912">
        <v>17507</v>
      </c>
      <c r="G33" s="912">
        <v>16395</v>
      </c>
      <c r="H33" s="912">
        <v>8693</v>
      </c>
      <c r="I33" s="912">
        <v>10821</v>
      </c>
      <c r="J33" s="912">
        <v>14346</v>
      </c>
      <c r="K33" s="926">
        <v>11463</v>
      </c>
      <c r="L33" s="912">
        <v>10405</v>
      </c>
      <c r="M33" s="912">
        <v>10625</v>
      </c>
      <c r="N33" s="912">
        <v>11431</v>
      </c>
      <c r="O33" s="912">
        <v>13525</v>
      </c>
      <c r="P33" s="912">
        <v>15525</v>
      </c>
      <c r="Q33" s="912">
        <v>15515</v>
      </c>
      <c r="R33" s="912">
        <v>14702</v>
      </c>
      <c r="S33" s="913">
        <v>12842</v>
      </c>
      <c r="T33" s="914">
        <v>12893</v>
      </c>
      <c r="U33" s="915">
        <v>2.8000000000000001E-2</v>
      </c>
      <c r="V33" s="915">
        <v>0.188</v>
      </c>
      <c r="W33" s="915">
        <v>0.376</v>
      </c>
      <c r="X33" s="915">
        <v>0.436</v>
      </c>
      <c r="Y33" s="915">
        <v>0.28299999999999997</v>
      </c>
      <c r="Z33" s="915">
        <v>0.29599999999999999</v>
      </c>
      <c r="AA33" s="915">
        <v>0.39400000000000002</v>
      </c>
      <c r="AB33" s="915">
        <v>1.004</v>
      </c>
      <c r="AC33" s="1036">
        <v>2.637</v>
      </c>
      <c r="AD33" s="922">
        <v>4519</v>
      </c>
      <c r="AE33" s="920">
        <v>4602</v>
      </c>
      <c r="AF33" s="920">
        <v>4031</v>
      </c>
      <c r="AG33" s="920">
        <v>4174</v>
      </c>
      <c r="AH33" s="920">
        <v>4634</v>
      </c>
      <c r="AI33" s="920">
        <v>3169</v>
      </c>
      <c r="AJ33" s="920">
        <v>2878</v>
      </c>
      <c r="AK33" s="921">
        <v>3430</v>
      </c>
      <c r="AL33" s="948">
        <v>3252</v>
      </c>
      <c r="AM33" s="918">
        <f t="shared" ref="AM33:AU38" si="28">AV33+BE33</f>
        <v>4019</v>
      </c>
      <c r="AN33" s="918">
        <f t="shared" si="28"/>
        <v>2893</v>
      </c>
      <c r="AO33" s="918">
        <f t="shared" si="28"/>
        <v>3030</v>
      </c>
      <c r="AP33" s="918">
        <f t="shared" si="28"/>
        <v>3795</v>
      </c>
      <c r="AQ33" s="918">
        <f t="shared" si="28"/>
        <v>4013</v>
      </c>
      <c r="AR33" s="918">
        <f t="shared" si="28"/>
        <v>4441</v>
      </c>
      <c r="AS33" s="918">
        <f t="shared" si="28"/>
        <v>4640</v>
      </c>
      <c r="AT33" s="918">
        <f t="shared" si="28"/>
        <v>3808</v>
      </c>
      <c r="AU33" s="919">
        <f t="shared" si="28"/>
        <v>3936</v>
      </c>
      <c r="AV33" s="920">
        <v>3508</v>
      </c>
      <c r="AW33" s="920">
        <v>2560</v>
      </c>
      <c r="AX33" s="920">
        <v>2707</v>
      </c>
      <c r="AY33" s="920">
        <v>3330</v>
      </c>
      <c r="AZ33" s="918">
        <v>3473</v>
      </c>
      <c r="BA33" s="918">
        <v>3898</v>
      </c>
      <c r="BB33" s="918">
        <v>4020</v>
      </c>
      <c r="BC33" s="918">
        <v>3430</v>
      </c>
      <c r="BD33" s="919">
        <v>3536</v>
      </c>
      <c r="BE33" s="921">
        <v>511</v>
      </c>
      <c r="BF33" s="921">
        <v>333</v>
      </c>
      <c r="BG33" s="921">
        <v>323</v>
      </c>
      <c r="BH33" s="921">
        <v>465</v>
      </c>
      <c r="BI33" s="918">
        <v>540</v>
      </c>
      <c r="BJ33" s="918">
        <v>543</v>
      </c>
      <c r="BK33" s="918">
        <v>620</v>
      </c>
      <c r="BL33" s="918">
        <v>378</v>
      </c>
      <c r="BM33" s="919">
        <v>400</v>
      </c>
      <c r="BN33" s="971">
        <v>0</v>
      </c>
      <c r="BO33" s="918">
        <v>0</v>
      </c>
      <c r="BP33" s="918">
        <v>1</v>
      </c>
      <c r="BQ33" s="918">
        <v>0</v>
      </c>
      <c r="BR33" s="918">
        <v>0</v>
      </c>
      <c r="BS33" s="918">
        <v>0</v>
      </c>
      <c r="BT33" s="918">
        <v>0</v>
      </c>
      <c r="BU33" s="918">
        <v>5</v>
      </c>
      <c r="BV33" s="919">
        <v>2</v>
      </c>
      <c r="BW33" s="1036">
        <v>5.0813008130081307E-2</v>
      </c>
      <c r="BX33" s="922">
        <f t="shared" si="27"/>
        <v>21587</v>
      </c>
      <c r="BY33" s="920">
        <f t="shared" si="27"/>
        <v>19955</v>
      </c>
      <c r="BZ33" s="920">
        <f t="shared" si="26"/>
        <v>20503</v>
      </c>
      <c r="CA33" s="920">
        <f t="shared" si="26"/>
        <v>21681</v>
      </c>
      <c r="CB33" s="920">
        <f t="shared" si="26"/>
        <v>21029</v>
      </c>
      <c r="CC33" s="920">
        <f t="shared" si="26"/>
        <v>11862</v>
      </c>
      <c r="CD33" s="920">
        <f t="shared" si="26"/>
        <v>13699</v>
      </c>
      <c r="CE33" s="921">
        <f t="shared" si="26"/>
        <v>17776</v>
      </c>
      <c r="CF33" s="948">
        <f t="shared" si="26"/>
        <v>14715</v>
      </c>
      <c r="CG33" s="921">
        <f t="shared" si="26"/>
        <v>14424</v>
      </c>
      <c r="CH33" s="921">
        <f t="shared" si="26"/>
        <v>13518</v>
      </c>
      <c r="CI33" s="921">
        <f t="shared" si="26"/>
        <v>14461</v>
      </c>
      <c r="CJ33" s="921">
        <f t="shared" si="26"/>
        <v>17320</v>
      </c>
      <c r="CK33" s="918">
        <f t="shared" si="26"/>
        <v>19538</v>
      </c>
      <c r="CL33" s="918">
        <f t="shared" si="26"/>
        <v>19956</v>
      </c>
      <c r="CM33" s="918">
        <f t="shared" si="26"/>
        <v>19342</v>
      </c>
      <c r="CN33" s="918">
        <f t="shared" si="22"/>
        <v>16650</v>
      </c>
      <c r="CO33" s="919">
        <f t="shared" si="22"/>
        <v>16829</v>
      </c>
      <c r="CP33" s="478">
        <f t="shared" si="6"/>
        <v>1.0750750750750768</v>
      </c>
      <c r="CQ33" s="42" t="s">
        <v>54</v>
      </c>
    </row>
    <row r="34" spans="2:95">
      <c r="B34" s="8" t="s">
        <v>55</v>
      </c>
      <c r="C34" s="880">
        <v>31002</v>
      </c>
      <c r="D34" s="881">
        <v>34789</v>
      </c>
      <c r="E34" s="949">
        <v>39618</v>
      </c>
      <c r="F34" s="949">
        <v>44222</v>
      </c>
      <c r="G34" s="949">
        <v>39269</v>
      </c>
      <c r="H34" s="949">
        <v>27432</v>
      </c>
      <c r="I34" s="949">
        <v>37778</v>
      </c>
      <c r="J34" s="949">
        <v>46280</v>
      </c>
      <c r="K34" s="950">
        <v>39294</v>
      </c>
      <c r="L34" s="949">
        <v>38491</v>
      </c>
      <c r="M34" s="949">
        <v>42952</v>
      </c>
      <c r="N34" s="949">
        <v>45829</v>
      </c>
      <c r="O34" s="949">
        <v>53470</v>
      </c>
      <c r="P34" s="949">
        <v>57231</v>
      </c>
      <c r="Q34" s="949">
        <v>58574</v>
      </c>
      <c r="R34" s="949">
        <v>55513</v>
      </c>
      <c r="S34" s="951">
        <v>32540</v>
      </c>
      <c r="T34" s="952">
        <v>37305</v>
      </c>
      <c r="U34" s="953">
        <v>0.55500000000000005</v>
      </c>
      <c r="V34" s="953">
        <v>0.7</v>
      </c>
      <c r="W34" s="953">
        <v>0.879</v>
      </c>
      <c r="X34" s="953">
        <v>0.68799999999999994</v>
      </c>
      <c r="Y34" s="953">
        <v>0.82799999999999996</v>
      </c>
      <c r="Z34" s="953">
        <v>1.304</v>
      </c>
      <c r="AA34" s="953">
        <v>2.5249999999999999</v>
      </c>
      <c r="AB34" s="953">
        <v>6.0570000000000004</v>
      </c>
      <c r="AC34" s="1038">
        <v>7.2850000000000001</v>
      </c>
      <c r="AD34" s="954">
        <v>5236</v>
      </c>
      <c r="AE34" s="955">
        <v>7018</v>
      </c>
      <c r="AF34" s="955">
        <v>6228</v>
      </c>
      <c r="AG34" s="955">
        <v>6710</v>
      </c>
      <c r="AH34" s="955">
        <v>6998</v>
      </c>
      <c r="AI34" s="955">
        <v>5497</v>
      </c>
      <c r="AJ34" s="955">
        <v>4835</v>
      </c>
      <c r="AK34" s="955">
        <v>5952</v>
      </c>
      <c r="AL34" s="956">
        <v>5564</v>
      </c>
      <c r="AM34" s="955">
        <f t="shared" si="28"/>
        <v>5535</v>
      </c>
      <c r="AN34" s="955">
        <f t="shared" si="28"/>
        <v>5918</v>
      </c>
      <c r="AO34" s="955">
        <f t="shared" si="28"/>
        <v>6105</v>
      </c>
      <c r="AP34" s="955">
        <f t="shared" si="28"/>
        <v>7339</v>
      </c>
      <c r="AQ34" s="955">
        <f t="shared" si="28"/>
        <v>7491</v>
      </c>
      <c r="AR34" s="955">
        <f t="shared" si="28"/>
        <v>7436</v>
      </c>
      <c r="AS34" s="955">
        <f t="shared" si="28"/>
        <v>7841</v>
      </c>
      <c r="AT34" s="955">
        <f t="shared" si="28"/>
        <v>5576</v>
      </c>
      <c r="AU34" s="957">
        <f t="shared" si="28"/>
        <v>6020</v>
      </c>
      <c r="AV34" s="955">
        <v>4657</v>
      </c>
      <c r="AW34" s="955">
        <v>4853</v>
      </c>
      <c r="AX34" s="955">
        <v>5048</v>
      </c>
      <c r="AY34" s="955">
        <v>6105</v>
      </c>
      <c r="AZ34" s="955">
        <v>6065</v>
      </c>
      <c r="BA34" s="955">
        <v>6152</v>
      </c>
      <c r="BB34" s="955">
        <v>6474</v>
      </c>
      <c r="BC34" s="955">
        <v>4890</v>
      </c>
      <c r="BD34" s="957">
        <v>5217</v>
      </c>
      <c r="BE34" s="955">
        <v>878</v>
      </c>
      <c r="BF34" s="955">
        <v>1065</v>
      </c>
      <c r="BG34" s="955">
        <v>1057</v>
      </c>
      <c r="BH34" s="955">
        <v>1234</v>
      </c>
      <c r="BI34" s="955">
        <v>1426</v>
      </c>
      <c r="BJ34" s="955">
        <v>1284</v>
      </c>
      <c r="BK34" s="955">
        <v>1367</v>
      </c>
      <c r="BL34" s="955">
        <v>686</v>
      </c>
      <c r="BM34" s="957">
        <v>803</v>
      </c>
      <c r="BN34" s="954">
        <v>0</v>
      </c>
      <c r="BO34" s="955">
        <v>0</v>
      </c>
      <c r="BP34" s="955">
        <v>0</v>
      </c>
      <c r="BQ34" s="955">
        <v>0</v>
      </c>
      <c r="BR34" s="955">
        <v>1</v>
      </c>
      <c r="BS34" s="955">
        <v>4</v>
      </c>
      <c r="BT34" s="955">
        <v>8</v>
      </c>
      <c r="BU34" s="955">
        <v>17</v>
      </c>
      <c r="BV34" s="957">
        <v>48</v>
      </c>
      <c r="BW34" s="1038">
        <v>0.79734219269102979</v>
      </c>
      <c r="BX34" s="954">
        <f t="shared" si="27"/>
        <v>36238</v>
      </c>
      <c r="BY34" s="955">
        <f t="shared" si="27"/>
        <v>41807</v>
      </c>
      <c r="BZ34" s="955">
        <f t="shared" si="26"/>
        <v>45846</v>
      </c>
      <c r="CA34" s="955">
        <f t="shared" si="26"/>
        <v>50932</v>
      </c>
      <c r="CB34" s="955">
        <f t="shared" si="26"/>
        <v>46267</v>
      </c>
      <c r="CC34" s="955">
        <f t="shared" si="26"/>
        <v>32929</v>
      </c>
      <c r="CD34" s="955">
        <f t="shared" si="26"/>
        <v>42613</v>
      </c>
      <c r="CE34" s="955">
        <f t="shared" si="26"/>
        <v>52232</v>
      </c>
      <c r="CF34" s="956">
        <f t="shared" si="26"/>
        <v>44858</v>
      </c>
      <c r="CG34" s="955">
        <f t="shared" si="26"/>
        <v>44026</v>
      </c>
      <c r="CH34" s="955">
        <f t="shared" si="26"/>
        <v>48870</v>
      </c>
      <c r="CI34" s="955">
        <f t="shared" si="26"/>
        <v>51934</v>
      </c>
      <c r="CJ34" s="955">
        <f t="shared" si="26"/>
        <v>60809</v>
      </c>
      <c r="CK34" s="955">
        <f t="shared" si="26"/>
        <v>64722</v>
      </c>
      <c r="CL34" s="955">
        <f t="shared" si="26"/>
        <v>66010</v>
      </c>
      <c r="CM34" s="955">
        <f t="shared" si="26"/>
        <v>63354</v>
      </c>
      <c r="CN34" s="955">
        <f t="shared" si="22"/>
        <v>38116</v>
      </c>
      <c r="CO34" s="957">
        <f t="shared" si="22"/>
        <v>43325</v>
      </c>
      <c r="CP34" s="174">
        <f t="shared" si="6"/>
        <v>13.666176933571194</v>
      </c>
      <c r="CQ34" s="8" t="s">
        <v>55</v>
      </c>
    </row>
    <row r="35" spans="2:95">
      <c r="B35" s="34" t="s">
        <v>26</v>
      </c>
      <c r="C35" s="562">
        <v>1627</v>
      </c>
      <c r="D35" s="878">
        <v>2172</v>
      </c>
      <c r="E35" s="912">
        <v>2490</v>
      </c>
      <c r="F35" s="912">
        <v>2782</v>
      </c>
      <c r="G35" s="912">
        <v>1227</v>
      </c>
      <c r="H35" s="912">
        <v>302</v>
      </c>
      <c r="I35" s="912">
        <v>220</v>
      </c>
      <c r="J35" s="912">
        <v>344</v>
      </c>
      <c r="K35" s="912">
        <v>417</v>
      </c>
      <c r="L35" s="959">
        <v>583</v>
      </c>
      <c r="M35" s="912">
        <v>851</v>
      </c>
      <c r="N35" s="912">
        <v>1355</v>
      </c>
      <c r="O35" s="912">
        <v>1773</v>
      </c>
      <c r="P35" s="958">
        <v>2860</v>
      </c>
      <c r="Q35" s="912">
        <v>2453</v>
      </c>
      <c r="R35" s="912">
        <v>1815</v>
      </c>
      <c r="S35" s="913">
        <v>1326</v>
      </c>
      <c r="T35" s="914">
        <v>1595</v>
      </c>
      <c r="U35" s="915">
        <v>0</v>
      </c>
      <c r="V35" s="915">
        <v>3.4077555816686247</v>
      </c>
      <c r="W35" s="915">
        <v>0.66420664206642066</v>
      </c>
      <c r="X35" s="915">
        <v>1.1280315848843767</v>
      </c>
      <c r="Y35" s="915">
        <v>1.048951048951049</v>
      </c>
      <c r="Z35" s="915">
        <v>1.9160211985324094</v>
      </c>
      <c r="AA35" s="915">
        <v>2.9201101928374653</v>
      </c>
      <c r="AB35" s="915">
        <v>3.9215686274509802</v>
      </c>
      <c r="AC35" s="1036">
        <v>5.9561128526645764</v>
      </c>
      <c r="AD35" s="922">
        <v>300</v>
      </c>
      <c r="AE35" s="920">
        <v>638</v>
      </c>
      <c r="AF35" s="920">
        <v>523</v>
      </c>
      <c r="AG35" s="920">
        <v>535</v>
      </c>
      <c r="AH35" s="920">
        <v>275</v>
      </c>
      <c r="AI35" s="920">
        <v>48</v>
      </c>
      <c r="AJ35" s="920">
        <v>41</v>
      </c>
      <c r="AK35" s="921">
        <v>46</v>
      </c>
      <c r="AL35" s="921">
        <v>86</v>
      </c>
      <c r="AM35" s="970">
        <v>91</v>
      </c>
      <c r="AN35" s="970">
        <v>138</v>
      </c>
      <c r="AO35" s="970">
        <v>220</v>
      </c>
      <c r="AP35" s="970">
        <v>308</v>
      </c>
      <c r="AQ35" s="918">
        <f t="shared" si="28"/>
        <v>814</v>
      </c>
      <c r="AR35" s="918">
        <f t="shared" si="28"/>
        <v>743</v>
      </c>
      <c r="AS35" s="918">
        <f t="shared" si="28"/>
        <v>481</v>
      </c>
      <c r="AT35" s="918">
        <f t="shared" si="28"/>
        <v>425</v>
      </c>
      <c r="AU35" s="919">
        <f t="shared" si="28"/>
        <v>513</v>
      </c>
      <c r="AV35" s="920"/>
      <c r="AW35" s="920"/>
      <c r="AX35" s="920"/>
      <c r="AY35" s="920"/>
      <c r="AZ35" s="918">
        <v>814</v>
      </c>
      <c r="BA35" s="918">
        <v>743</v>
      </c>
      <c r="BB35" s="918">
        <v>481</v>
      </c>
      <c r="BC35" s="918">
        <v>425</v>
      </c>
      <c r="BD35" s="919">
        <v>513</v>
      </c>
      <c r="BE35" s="921"/>
      <c r="BF35" s="921"/>
      <c r="BG35" s="921"/>
      <c r="BH35" s="921"/>
      <c r="BI35" s="918"/>
      <c r="BJ35" s="918"/>
      <c r="BK35" s="918"/>
      <c r="BL35" s="918"/>
      <c r="BM35" s="919"/>
      <c r="BN35" s="971"/>
      <c r="BO35" s="918"/>
      <c r="BP35" s="918"/>
      <c r="BQ35" s="918"/>
      <c r="BR35" s="918"/>
      <c r="BS35" s="918"/>
      <c r="BT35" s="918"/>
      <c r="BU35" s="918"/>
      <c r="BV35" s="919"/>
      <c r="BW35" s="1037">
        <v>0</v>
      </c>
      <c r="BX35" s="922">
        <f t="shared" si="27"/>
        <v>1927</v>
      </c>
      <c r="BY35" s="920">
        <f t="shared" si="27"/>
        <v>2810</v>
      </c>
      <c r="BZ35" s="920">
        <f t="shared" si="26"/>
        <v>3013</v>
      </c>
      <c r="CA35" s="920">
        <f t="shared" si="26"/>
        <v>3317</v>
      </c>
      <c r="CB35" s="920">
        <f t="shared" si="26"/>
        <v>1502</v>
      </c>
      <c r="CC35" s="920">
        <f t="shared" si="26"/>
        <v>350</v>
      </c>
      <c r="CD35" s="920">
        <f t="shared" si="26"/>
        <v>261</v>
      </c>
      <c r="CE35" s="921">
        <f t="shared" si="26"/>
        <v>390</v>
      </c>
      <c r="CF35" s="948">
        <f t="shared" si="26"/>
        <v>503</v>
      </c>
      <c r="CG35" s="970">
        <f t="shared" si="26"/>
        <v>674</v>
      </c>
      <c r="CH35" s="970">
        <f t="shared" si="26"/>
        <v>989</v>
      </c>
      <c r="CI35" s="970">
        <f t="shared" si="26"/>
        <v>1575</v>
      </c>
      <c r="CJ35" s="970">
        <f t="shared" si="26"/>
        <v>2081</v>
      </c>
      <c r="CK35" s="918">
        <f t="shared" si="26"/>
        <v>3674</v>
      </c>
      <c r="CL35" s="918">
        <f t="shared" si="26"/>
        <v>3196</v>
      </c>
      <c r="CM35" s="918">
        <f t="shared" si="26"/>
        <v>2296</v>
      </c>
      <c r="CN35" s="918">
        <f t="shared" si="22"/>
        <v>1751</v>
      </c>
      <c r="CO35" s="919">
        <f t="shared" si="22"/>
        <v>2108</v>
      </c>
      <c r="CP35" s="478">
        <f t="shared" si="6"/>
        <v>20.388349514563103</v>
      </c>
      <c r="CQ35" s="42" t="s">
        <v>26</v>
      </c>
    </row>
    <row r="36" spans="2:95">
      <c r="B36" s="7" t="s">
        <v>65</v>
      </c>
      <c r="C36" s="874"/>
      <c r="D36" s="875"/>
      <c r="E36" s="902"/>
      <c r="F36" s="902"/>
      <c r="G36" s="902"/>
      <c r="H36" s="902"/>
      <c r="I36" s="902"/>
      <c r="J36" s="902"/>
      <c r="K36" s="923"/>
      <c r="L36" s="902">
        <v>167</v>
      </c>
      <c r="M36" s="902">
        <v>208</v>
      </c>
      <c r="N36" s="902">
        <v>243</v>
      </c>
      <c r="O36" s="902">
        <v>211</v>
      </c>
      <c r="P36" s="902">
        <v>204</v>
      </c>
      <c r="Q36" s="902">
        <v>254</v>
      </c>
      <c r="R36" s="902">
        <v>235</v>
      </c>
      <c r="S36" s="904">
        <v>194</v>
      </c>
      <c r="T36" s="905">
        <v>208</v>
      </c>
      <c r="U36" s="906">
        <v>0</v>
      </c>
      <c r="V36" s="906">
        <v>0</v>
      </c>
      <c r="W36" s="906">
        <v>0.82304526748971196</v>
      </c>
      <c r="X36" s="906">
        <v>1.4218009478672986</v>
      </c>
      <c r="Y36" s="906">
        <v>0.98039215686274506</v>
      </c>
      <c r="Z36" s="906">
        <v>0.39370078740157477</v>
      </c>
      <c r="AA36" s="906">
        <v>1.7021276595744681</v>
      </c>
      <c r="AB36" s="906">
        <v>3.0927835051546393</v>
      </c>
      <c r="AC36" s="1035">
        <v>4.8076923076923084</v>
      </c>
      <c r="AD36" s="960"/>
      <c r="AE36" s="961"/>
      <c r="AF36" s="961"/>
      <c r="AG36" s="961"/>
      <c r="AH36" s="961"/>
      <c r="AI36" s="961"/>
      <c r="AJ36" s="961"/>
      <c r="AK36" s="961"/>
      <c r="AL36" s="961"/>
      <c r="AM36" s="943">
        <f t="shared" ref="AM36:AP38" si="29">AV36+BE36</f>
        <v>38</v>
      </c>
      <c r="AN36" s="943">
        <f t="shared" si="29"/>
        <v>30</v>
      </c>
      <c r="AO36" s="943">
        <f t="shared" si="29"/>
        <v>61</v>
      </c>
      <c r="AP36" s="943">
        <f t="shared" si="29"/>
        <v>69</v>
      </c>
      <c r="AQ36" s="943">
        <f t="shared" si="28"/>
        <v>68</v>
      </c>
      <c r="AR36" s="943">
        <f t="shared" si="28"/>
        <v>42</v>
      </c>
      <c r="AS36" s="943">
        <f t="shared" si="28"/>
        <v>37</v>
      </c>
      <c r="AT36" s="943">
        <f t="shared" si="28"/>
        <v>36</v>
      </c>
      <c r="AU36" s="962">
        <f t="shared" si="28"/>
        <v>30</v>
      </c>
      <c r="AV36" s="961">
        <v>20</v>
      </c>
      <c r="AW36" s="961">
        <v>15</v>
      </c>
      <c r="AX36" s="961">
        <v>19</v>
      </c>
      <c r="AY36" s="961">
        <v>20</v>
      </c>
      <c r="AZ36" s="943">
        <v>22</v>
      </c>
      <c r="BA36" s="943">
        <v>12</v>
      </c>
      <c r="BB36" s="943">
        <v>16</v>
      </c>
      <c r="BC36" s="943">
        <v>15</v>
      </c>
      <c r="BD36" s="962">
        <v>18</v>
      </c>
      <c r="BE36" s="961">
        <v>18</v>
      </c>
      <c r="BF36" s="961">
        <v>15</v>
      </c>
      <c r="BG36" s="961">
        <v>42</v>
      </c>
      <c r="BH36" s="961">
        <v>49</v>
      </c>
      <c r="BI36" s="943">
        <v>46</v>
      </c>
      <c r="BJ36" s="943">
        <v>30</v>
      </c>
      <c r="BK36" s="943">
        <v>21</v>
      </c>
      <c r="BL36" s="943">
        <v>21</v>
      </c>
      <c r="BM36" s="962">
        <v>12</v>
      </c>
      <c r="BN36" s="1002"/>
      <c r="BO36" s="943"/>
      <c r="BP36" s="943"/>
      <c r="BQ36" s="943"/>
      <c r="BR36" s="943"/>
      <c r="BS36" s="943"/>
      <c r="BT36" s="943"/>
      <c r="BU36" s="943"/>
      <c r="BV36" s="1003"/>
      <c r="BW36" s="1035">
        <v>0</v>
      </c>
      <c r="BX36" s="960"/>
      <c r="BY36" s="961"/>
      <c r="BZ36" s="961"/>
      <c r="CA36" s="961"/>
      <c r="CB36" s="961"/>
      <c r="CC36" s="961"/>
      <c r="CD36" s="961"/>
      <c r="CE36" s="961"/>
      <c r="CF36" s="1006"/>
      <c r="CG36" s="961">
        <f>L36+AM36</f>
        <v>205</v>
      </c>
      <c r="CH36" s="961">
        <f t="shared" si="26"/>
        <v>238</v>
      </c>
      <c r="CI36" s="961">
        <f t="shared" si="26"/>
        <v>304</v>
      </c>
      <c r="CJ36" s="961">
        <f t="shared" si="26"/>
        <v>280</v>
      </c>
      <c r="CK36" s="943">
        <f t="shared" si="26"/>
        <v>272</v>
      </c>
      <c r="CL36" s="943">
        <f t="shared" si="26"/>
        <v>296</v>
      </c>
      <c r="CM36" s="943">
        <f t="shared" si="26"/>
        <v>272</v>
      </c>
      <c r="CN36" s="943">
        <f t="shared" si="22"/>
        <v>230</v>
      </c>
      <c r="CO36" s="962">
        <f t="shared" si="22"/>
        <v>238</v>
      </c>
      <c r="CP36" s="477">
        <f t="shared" si="6"/>
        <v>3.4782608695652186</v>
      </c>
      <c r="CQ36" s="44" t="s">
        <v>65</v>
      </c>
    </row>
    <row r="37" spans="2:95">
      <c r="B37" s="107" t="s">
        <v>56</v>
      </c>
      <c r="C37" s="563">
        <v>31114</v>
      </c>
      <c r="D37" s="879">
        <v>35185</v>
      </c>
      <c r="E37" s="936">
        <v>42611</v>
      </c>
      <c r="F37" s="936">
        <v>45609</v>
      </c>
      <c r="G37" s="936">
        <v>34870</v>
      </c>
      <c r="H37" s="936">
        <v>23504</v>
      </c>
      <c r="I37" s="936">
        <v>29040</v>
      </c>
      <c r="J37" s="936">
        <v>35513</v>
      </c>
      <c r="K37" s="937">
        <v>31848</v>
      </c>
      <c r="L37" s="936">
        <v>28754</v>
      </c>
      <c r="M37" s="936">
        <v>28012</v>
      </c>
      <c r="N37" s="936">
        <v>31355</v>
      </c>
      <c r="O37" s="936">
        <v>33929</v>
      </c>
      <c r="P37" s="936">
        <v>34694</v>
      </c>
      <c r="Q37" s="936">
        <v>34758</v>
      </c>
      <c r="R37" s="936">
        <v>35521</v>
      </c>
      <c r="S37" s="944">
        <v>30807</v>
      </c>
      <c r="T37" s="945">
        <v>32723</v>
      </c>
      <c r="U37" s="946">
        <v>1.1998330667037629</v>
      </c>
      <c r="V37" s="946">
        <v>2.009852920177067</v>
      </c>
      <c r="W37" s="946">
        <v>2.2835273481103493</v>
      </c>
      <c r="X37" s="946">
        <v>1.9010286185858705</v>
      </c>
      <c r="Y37" s="946">
        <v>2.7295786014872889</v>
      </c>
      <c r="Z37" s="946">
        <v>5.1556476206916386</v>
      </c>
      <c r="AA37" s="946">
        <v>5.6867768362377182</v>
      </c>
      <c r="AB37" s="946">
        <v>8.400688155289382</v>
      </c>
      <c r="AC37" s="1037">
        <v>16.991107172325275</v>
      </c>
      <c r="AD37" s="939">
        <v>6357</v>
      </c>
      <c r="AE37" s="940">
        <v>7496</v>
      </c>
      <c r="AF37" s="940">
        <v>5789</v>
      </c>
      <c r="AG37" s="940">
        <v>6261</v>
      </c>
      <c r="AH37" s="940">
        <v>6528</v>
      </c>
      <c r="AI37" s="940">
        <v>4098</v>
      </c>
      <c r="AJ37" s="940">
        <v>4078</v>
      </c>
      <c r="AK37" s="940">
        <v>5110</v>
      </c>
      <c r="AL37" s="940">
        <v>5793</v>
      </c>
      <c r="AM37" s="940">
        <f t="shared" si="29"/>
        <v>1282</v>
      </c>
      <c r="AN37" s="969">
        <v>5443</v>
      </c>
      <c r="AO37" s="969">
        <v>5215</v>
      </c>
      <c r="AP37" s="940">
        <f t="shared" si="29"/>
        <v>5262</v>
      </c>
      <c r="AQ37" s="940">
        <f t="shared" si="28"/>
        <v>5287</v>
      </c>
      <c r="AR37" s="940">
        <f t="shared" si="28"/>
        <v>5704</v>
      </c>
      <c r="AS37" s="940">
        <f t="shared" si="28"/>
        <v>6174</v>
      </c>
      <c r="AT37" s="940">
        <f t="shared" si="28"/>
        <v>5919</v>
      </c>
      <c r="AU37" s="942">
        <f t="shared" si="28"/>
        <v>5751</v>
      </c>
      <c r="AV37" s="940"/>
      <c r="AW37" s="940"/>
      <c r="AX37" s="940"/>
      <c r="AY37" s="940">
        <v>4005</v>
      </c>
      <c r="AZ37" s="940">
        <v>4029</v>
      </c>
      <c r="BA37" s="940">
        <v>4156</v>
      </c>
      <c r="BB37" s="940">
        <v>4630</v>
      </c>
      <c r="BC37" s="940">
        <v>4815</v>
      </c>
      <c r="BD37" s="942">
        <v>4457</v>
      </c>
      <c r="BE37" s="940">
        <v>1282</v>
      </c>
      <c r="BF37" s="940">
        <v>1367</v>
      </c>
      <c r="BG37" s="940">
        <v>1403</v>
      </c>
      <c r="BH37" s="940">
        <v>1257</v>
      </c>
      <c r="BI37" s="940">
        <v>1258</v>
      </c>
      <c r="BJ37" s="940">
        <v>1548</v>
      </c>
      <c r="BK37" s="940">
        <v>1544</v>
      </c>
      <c r="BL37" s="940">
        <v>1104</v>
      </c>
      <c r="BM37" s="942">
        <v>1294</v>
      </c>
      <c r="BN37" s="939"/>
      <c r="BO37" s="940"/>
      <c r="BP37" s="940"/>
      <c r="BQ37" s="940"/>
      <c r="BR37" s="940"/>
      <c r="BS37" s="940"/>
      <c r="BT37" s="940"/>
      <c r="BU37" s="940"/>
      <c r="BV37" s="1004"/>
      <c r="BW37" s="1037">
        <v>0</v>
      </c>
      <c r="BX37" s="939">
        <f t="shared" ref="BX37:CF38" si="30">C37+AD37</f>
        <v>37471</v>
      </c>
      <c r="BY37" s="940">
        <f t="shared" si="30"/>
        <v>42681</v>
      </c>
      <c r="BZ37" s="940">
        <f t="shared" si="30"/>
        <v>48400</v>
      </c>
      <c r="CA37" s="940">
        <f t="shared" si="30"/>
        <v>51870</v>
      </c>
      <c r="CB37" s="940">
        <f t="shared" si="30"/>
        <v>41398</v>
      </c>
      <c r="CC37" s="940">
        <f t="shared" si="30"/>
        <v>27602</v>
      </c>
      <c r="CD37" s="940">
        <f t="shared" si="30"/>
        <v>33118</v>
      </c>
      <c r="CE37" s="940">
        <f t="shared" si="30"/>
        <v>40623</v>
      </c>
      <c r="CF37" s="941">
        <f t="shared" si="30"/>
        <v>37641</v>
      </c>
      <c r="CG37" s="940">
        <f>L37+AM37</f>
        <v>30036</v>
      </c>
      <c r="CH37" s="921">
        <f t="shared" si="26"/>
        <v>33455</v>
      </c>
      <c r="CI37" s="921">
        <f t="shared" si="26"/>
        <v>36570</v>
      </c>
      <c r="CJ37" s="940">
        <f t="shared" si="26"/>
        <v>39191</v>
      </c>
      <c r="CK37" s="940">
        <f t="shared" si="26"/>
        <v>39981</v>
      </c>
      <c r="CL37" s="940">
        <f t="shared" si="26"/>
        <v>40462</v>
      </c>
      <c r="CM37" s="940">
        <f t="shared" si="26"/>
        <v>41695</v>
      </c>
      <c r="CN37" s="940">
        <f t="shared" si="22"/>
        <v>36726</v>
      </c>
      <c r="CO37" s="942">
        <f t="shared" si="22"/>
        <v>38474</v>
      </c>
      <c r="CP37" s="553">
        <f t="shared" si="6"/>
        <v>4.7595708762184756</v>
      </c>
      <c r="CQ37" s="194" t="s">
        <v>56</v>
      </c>
    </row>
    <row r="38" spans="2:95" ht="12" customHeight="1">
      <c r="B38" s="8" t="s">
        <v>27</v>
      </c>
      <c r="C38" s="880">
        <v>20602</v>
      </c>
      <c r="D38" s="881">
        <v>22254</v>
      </c>
      <c r="E38" s="949">
        <v>23015</v>
      </c>
      <c r="F38" s="949">
        <v>25386</v>
      </c>
      <c r="G38" s="949">
        <v>26275</v>
      </c>
      <c r="H38" s="949">
        <v>23110</v>
      </c>
      <c r="I38" s="949">
        <v>25697</v>
      </c>
      <c r="J38" s="949">
        <v>30387</v>
      </c>
      <c r="K38" s="950">
        <v>32509</v>
      </c>
      <c r="L38" s="949">
        <v>28931</v>
      </c>
      <c r="M38" s="949">
        <v>28754</v>
      </c>
      <c r="N38" s="949">
        <v>31006</v>
      </c>
      <c r="O38" s="949">
        <v>30433</v>
      </c>
      <c r="P38" s="949">
        <v>32699</v>
      </c>
      <c r="Q38" s="949">
        <v>32941</v>
      </c>
      <c r="R38" s="949">
        <v>35480</v>
      </c>
      <c r="S38" s="951">
        <v>28504</v>
      </c>
      <c r="T38" s="952">
        <v>29502</v>
      </c>
      <c r="U38" s="953">
        <v>0.4147799937783001</v>
      </c>
      <c r="V38" s="953">
        <v>0.31647770744939835</v>
      </c>
      <c r="W38" s="953">
        <v>0.51602915564729401</v>
      </c>
      <c r="X38" s="953">
        <v>0.57503368054414616</v>
      </c>
      <c r="Y38" s="953">
        <v>0.57494112969815592</v>
      </c>
      <c r="Z38" s="953">
        <v>0.89554051182417038</v>
      </c>
      <c r="AA38" s="953">
        <v>1.6290868094701241</v>
      </c>
      <c r="AB38" s="953">
        <v>2.6873421274207128</v>
      </c>
      <c r="AC38" s="1038">
        <v>5.3182835062029694</v>
      </c>
      <c r="AD38" s="963">
        <v>3629</v>
      </c>
      <c r="AE38" s="964">
        <v>4448</v>
      </c>
      <c r="AF38" s="964">
        <v>4841</v>
      </c>
      <c r="AG38" s="964">
        <v>4396</v>
      </c>
      <c r="AH38" s="964">
        <v>5163</v>
      </c>
      <c r="AI38" s="964">
        <v>4442</v>
      </c>
      <c r="AJ38" s="964">
        <v>3604</v>
      </c>
      <c r="AK38" s="964">
        <v>4480</v>
      </c>
      <c r="AL38" s="964">
        <v>4221</v>
      </c>
      <c r="AM38" s="965">
        <f t="shared" si="29"/>
        <v>3702</v>
      </c>
      <c r="AN38" s="965">
        <f t="shared" si="29"/>
        <v>4651</v>
      </c>
      <c r="AO38" s="965">
        <f t="shared" si="29"/>
        <v>4284</v>
      </c>
      <c r="AP38" s="965">
        <f t="shared" si="29"/>
        <v>4348</v>
      </c>
      <c r="AQ38" s="965">
        <f t="shared" si="28"/>
        <v>4800</v>
      </c>
      <c r="AR38" s="965">
        <f t="shared" si="28"/>
        <v>4597</v>
      </c>
      <c r="AS38" s="965">
        <f t="shared" si="28"/>
        <v>4528</v>
      </c>
      <c r="AT38" s="965">
        <f t="shared" si="28"/>
        <v>3926</v>
      </c>
      <c r="AU38" s="966">
        <f t="shared" si="28"/>
        <v>3912</v>
      </c>
      <c r="AV38" s="964">
        <v>2776</v>
      </c>
      <c r="AW38" s="964">
        <v>3458</v>
      </c>
      <c r="AX38" s="964">
        <v>3195</v>
      </c>
      <c r="AY38" s="964">
        <v>3167</v>
      </c>
      <c r="AZ38" s="965">
        <v>3205</v>
      </c>
      <c r="BA38" s="965">
        <v>3331</v>
      </c>
      <c r="BB38" s="965">
        <v>3226</v>
      </c>
      <c r="BC38" s="965">
        <v>2921</v>
      </c>
      <c r="BD38" s="966">
        <v>2935</v>
      </c>
      <c r="BE38" s="964">
        <v>926</v>
      </c>
      <c r="BF38" s="964">
        <v>1193</v>
      </c>
      <c r="BG38" s="964">
        <v>1089</v>
      </c>
      <c r="BH38" s="964">
        <v>1181</v>
      </c>
      <c r="BI38" s="965">
        <v>1595</v>
      </c>
      <c r="BJ38" s="965">
        <v>1266</v>
      </c>
      <c r="BK38" s="965">
        <v>1302</v>
      </c>
      <c r="BL38" s="965">
        <v>1005</v>
      </c>
      <c r="BM38" s="966">
        <v>977</v>
      </c>
      <c r="BN38" s="965"/>
      <c r="BO38" s="965"/>
      <c r="BP38" s="965"/>
      <c r="BQ38" s="965"/>
      <c r="BR38" s="965"/>
      <c r="BS38" s="965"/>
      <c r="BT38" s="965"/>
      <c r="BU38" s="965" t="s">
        <v>348</v>
      </c>
      <c r="BV38" s="1005" t="s">
        <v>349</v>
      </c>
      <c r="BW38" s="1035">
        <v>1.5337423312883436</v>
      </c>
      <c r="BX38" s="963">
        <f t="shared" si="30"/>
        <v>24231</v>
      </c>
      <c r="BY38" s="964">
        <f t="shared" si="30"/>
        <v>26702</v>
      </c>
      <c r="BZ38" s="964">
        <f t="shared" si="30"/>
        <v>27856</v>
      </c>
      <c r="CA38" s="964">
        <f t="shared" si="30"/>
        <v>29782</v>
      </c>
      <c r="CB38" s="964">
        <f t="shared" si="30"/>
        <v>31438</v>
      </c>
      <c r="CC38" s="964">
        <f t="shared" si="30"/>
        <v>27552</v>
      </c>
      <c r="CD38" s="964">
        <f t="shared" si="30"/>
        <v>29301</v>
      </c>
      <c r="CE38" s="964">
        <f t="shared" si="30"/>
        <v>34867</v>
      </c>
      <c r="CF38" s="1008">
        <f t="shared" si="30"/>
        <v>36730</v>
      </c>
      <c r="CG38" s="964">
        <f>L38+AM38</f>
        <v>32633</v>
      </c>
      <c r="CH38" s="964">
        <f t="shared" si="26"/>
        <v>33405</v>
      </c>
      <c r="CI38" s="964">
        <f t="shared" si="26"/>
        <v>35290</v>
      </c>
      <c r="CJ38" s="964">
        <f t="shared" si="26"/>
        <v>34781</v>
      </c>
      <c r="CK38" s="965">
        <f t="shared" si="26"/>
        <v>37499</v>
      </c>
      <c r="CL38" s="965">
        <f t="shared" si="26"/>
        <v>37538</v>
      </c>
      <c r="CM38" s="965">
        <f t="shared" si="26"/>
        <v>40008</v>
      </c>
      <c r="CN38" s="965">
        <f t="shared" si="22"/>
        <v>32430</v>
      </c>
      <c r="CO38" s="966">
        <f t="shared" si="22"/>
        <v>33414</v>
      </c>
      <c r="CP38" s="489">
        <f>CO38/CN38*100-100</f>
        <v>3.034227567067532</v>
      </c>
      <c r="CQ38" s="45" t="s">
        <v>27</v>
      </c>
    </row>
    <row r="39" spans="2:95" ht="25.5" customHeight="1">
      <c r="B39" s="1095" t="s">
        <v>365</v>
      </c>
      <c r="C39" s="1095"/>
      <c r="D39" s="1095"/>
      <c r="E39" s="1095"/>
      <c r="F39" s="1095"/>
      <c r="G39" s="1095"/>
      <c r="H39" s="1095"/>
      <c r="I39" s="1095"/>
      <c r="J39" s="1095"/>
      <c r="K39" s="1095"/>
      <c r="L39" s="1095"/>
      <c r="M39" s="1095"/>
      <c r="N39" s="1095"/>
      <c r="O39" s="1095"/>
      <c r="P39" s="1095"/>
      <c r="Q39" s="1095"/>
      <c r="R39" s="1095"/>
      <c r="S39" s="1095"/>
      <c r="T39" s="1095"/>
      <c r="U39" s="1095"/>
      <c r="V39" s="1095"/>
      <c r="W39" s="1095"/>
      <c r="X39" s="1095"/>
      <c r="Y39" s="1095"/>
      <c r="Z39" s="1095"/>
      <c r="AA39" s="1095"/>
      <c r="AB39" s="1095"/>
      <c r="AC39" s="1095"/>
      <c r="AD39" s="1095"/>
      <c r="AE39" s="1095"/>
      <c r="AF39" s="1095"/>
      <c r="AG39" s="1095"/>
      <c r="AH39" s="1095"/>
      <c r="AI39" s="1095"/>
      <c r="AJ39" s="1095"/>
      <c r="AK39" s="1095"/>
      <c r="AL39" s="1095"/>
      <c r="AM39" s="1095"/>
      <c r="AN39" s="1095"/>
      <c r="AO39" s="1095"/>
      <c r="AP39" s="1095"/>
      <c r="AQ39" s="1095"/>
      <c r="AR39" s="1095"/>
      <c r="AS39" s="1095"/>
      <c r="AT39" s="1095"/>
      <c r="AU39" s="1095"/>
      <c r="AV39" s="1095"/>
      <c r="AW39" s="1095"/>
      <c r="AX39" s="1095"/>
      <c r="AY39" s="1095"/>
      <c r="AZ39" s="1095"/>
      <c r="BA39" s="1095"/>
      <c r="BB39" s="1095"/>
      <c r="BC39" s="1095"/>
      <c r="BD39" s="1095"/>
      <c r="BE39" s="1095"/>
      <c r="BF39" s="1095"/>
      <c r="BG39" s="1095"/>
      <c r="BH39" s="1095"/>
      <c r="BI39" s="1095"/>
      <c r="BJ39" s="1095"/>
      <c r="BK39" s="1095"/>
      <c r="BL39" s="1095"/>
      <c r="BM39" s="1095"/>
      <c r="BN39" s="1095"/>
      <c r="BO39" s="1095"/>
      <c r="BP39" s="1095"/>
      <c r="BQ39" s="1095"/>
      <c r="BR39" s="1095"/>
      <c r="BS39" s="1095"/>
      <c r="BT39" s="1095"/>
      <c r="BU39" s="1095"/>
      <c r="BV39" s="1095"/>
      <c r="BW39" s="1095"/>
      <c r="BX39" s="1095"/>
      <c r="BY39" s="1095"/>
      <c r="BZ39" s="1095"/>
      <c r="CA39" s="1095"/>
      <c r="CB39" s="1095"/>
      <c r="CC39" s="1095"/>
      <c r="CD39" s="1095"/>
      <c r="CE39" s="1095"/>
      <c r="CF39" s="1095"/>
      <c r="CG39" s="1095"/>
      <c r="CH39" s="1095"/>
      <c r="CI39" s="1095"/>
      <c r="CJ39" s="1095"/>
      <c r="CK39" s="1095"/>
      <c r="CL39" s="1095"/>
      <c r="CM39" s="1095"/>
      <c r="CN39" s="1095"/>
    </row>
    <row r="40" spans="2:95">
      <c r="B40" s="100" t="s">
        <v>289</v>
      </c>
    </row>
    <row r="41" spans="2:95">
      <c r="B41" s="1" t="s">
        <v>344</v>
      </c>
      <c r="CL41" s="967"/>
      <c r="CM41" s="967"/>
      <c r="CN41" s="967"/>
      <c r="CO41" s="967"/>
    </row>
    <row r="42" spans="2:95">
      <c r="B42" s="1" t="s">
        <v>347</v>
      </c>
    </row>
    <row r="43" spans="2:95" ht="14.25">
      <c r="B43" s="1" t="s">
        <v>350</v>
      </c>
      <c r="N43" s="968"/>
      <c r="AW43" s="911"/>
    </row>
    <row r="44" spans="2:95" ht="14.25">
      <c r="N44" s="968"/>
      <c r="O44" s="968"/>
    </row>
  </sheetData>
  <mergeCells count="13">
    <mergeCell ref="B39:CN39"/>
    <mergeCell ref="BX4:CO4"/>
    <mergeCell ref="C4:AC4"/>
    <mergeCell ref="B2:CP2"/>
    <mergeCell ref="B3:CP3"/>
    <mergeCell ref="CP4:CP6"/>
    <mergeCell ref="BN5:BV5"/>
    <mergeCell ref="AD4:BV4"/>
    <mergeCell ref="U5:AC5"/>
    <mergeCell ref="AD5:AR5"/>
    <mergeCell ref="AV5:BD5"/>
    <mergeCell ref="BE5:BM5"/>
    <mergeCell ref="C5:Q5"/>
  </mergeCells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E A A B Q S w M E F A A C A A g A P V n k V s v 0 C a u l A A A A 9 g A A A B I A H A B D b 2 5 m a W c v U G F j a 2 F n Z S 5 4 b W w g o h g A K K A U A A A A A A A A A A A A A A A A A A A A A A A A A A A A h Y / R C o I w G I V f R X b v N g 3 C 5 H d C 0 V 1 C E E S 3 Y y 4 d 6 Y x t N t + t i x 6 p V 8 g o q 7 s u z 3 e + i 3 P u 1 x v k Q 9 s E F 2 m s 6 n S G I k x R I L X o S q W r D P X u G C Y o Z 7 D l 4 s Q r G Y y y t u l g y w z V z p 1 T Q r z 3 2 M 9 w Z y o S U x q R Q 7 H Z i V q 2 H H 1 k 9 V 8 O l b a O a y E R g / 1 r D I t x R B O 8 S O a Y A p k g F E p / h X j c + 2 x / I K z 6 x v V G s q M J l 2 s g U w T y / s A e U E s D B B Q A A g A I A D 1 Z 5 F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9 W e R W n y k t c B A B A A C c A Q A A E w A c A E Z v c m 1 1 b G F z L 1 N l Y 3 R p b 2 4 x L m 0 g o h g A K K A U A A A A A A A A A A A A A A A A A A A A A A A A A A A A d Z B B S 8 N A E I X v g f y H I V 5 a W J Y 0 V Q + W H C S N x 6 K k n o x I u p 2 2 S 5 M d y U y q p f S / u 2 U R E X Q v + / a b x 8 y 8 Z T R i y U E V 7 s k s j u K I d 0 2 P a y j L + 7 d F B j m 0 K H E E / l Q 0 9 A Y 9 K f i g 5 2 S G D p 2 M H m y L u i A n / s G j 5 P m u T j M N p S F H n T X Q M C P z x V l f a 6 i k E c t i D X s X P J L Z o 8 C K a F 8 H f Z G Q p d k U P q j f w 8 b 3 5 j r T t 3 X Y R h s + J G P 1 M s f W d l a w z 5 N Z o q C g d u g c 5 1 M F p T O 0 t m 6 b 3 9 6 k 6 U T B 0 0 C C l R x b z H + k X p D D 1 7 E K s a 6 S Y t e 4 r Y + 8 P L 5 j 4 v M t m 5 U 3 L f v G 8 Y b 6 L r S / F H k U / k C d T k m g E z 9 e f A U E P + W s 4 J t n / / D p L 3 4 e x 5 F 1 f 6 4 x + w J Q S w E C L Q A U A A I A C A A 9 W e R W y / Q J q 6 U A A A D 2 A A A A E g A A A A A A A A A A A A A A A A A A A A A A Q 2 9 u Z m l n L 1 B h Y 2 t h Z 2 U u e G 1 s U E s B A i 0 A F A A C A A g A P V n k V g / K 6 a u k A A A A 6 Q A A A B M A A A A A A A A A A A A A A A A A 8 Q A A A F t D b 2 5 0 Z W 5 0 X 1 R 5 c G V z X S 5 4 b W x Q S w E C L Q A U A A I A C A A 9 W e R W n y k t c B A B A A C c A Q A A E w A A A A A A A A A A A A A A A A D i A Q A A R m 9 y b X V s Y X M v U 2 V j d G l v b j E u b V B L B Q Y A A A A A A w A D A M I A A A A /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m C A A A A A A A A M Q I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F R U F f T j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T k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y 0 w N F Q w O T o w O T o 0 N i 4 z N D E 5 M D A z W i I g L z 4 8 R W 5 0 c n k g V H l w Z T 0 i R m l s b E N v b H V t b l R 5 c G V z I i B W Y W x 1 Z T 0 i c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R U F f T j I v Q X V 0 b 1 J l b W 9 2 Z W R D b 2 x 1 b W 5 z M S 5 7 Q 2 9 s d W 1 u M S w w f S Z x d W 9 0 O y w m c X V v d D t T Z W N 0 a W 9 u M S 9 F R U F f T j I v Q X V 0 b 1 J l b W 9 2 Z W R D b 2 x 1 b W 5 z M S 5 7 Q 2 9 s d W 1 u M i w x f S Z x d W 9 0 O y w m c X V v d D t T Z W N 0 a W 9 u M S 9 F R U F f T j I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F R U F f T j I v Q X V 0 b 1 J l b W 9 2 Z W R D b 2 x 1 b W 5 z M S 5 7 Q 2 9 s d W 1 u M S w w f S Z x d W 9 0 O y w m c X V v d D t T Z W N 0 a W 9 u M S 9 F R U F f T j I v Q X V 0 b 1 J l b W 9 2 Z W R D b 2 x 1 b W 5 z M S 5 7 Q 2 9 s d W 1 u M i w x f S Z x d W 9 0 O y w m c X V v d D t T Z W N 0 a W 9 u M S 9 F R U F f T j I v Q X V 0 b 1 J l b W 9 2 Z W R D b 2 x 1 b W 5 z M S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U V B X 0 4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F Q V 9 O M i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A z z D 1 J I W Z M R 6 N G Z w H N u c x r A A A A A A I A A A A A A A N m A A D A A A A A E A A A A J / l e + y q u h D i D u F L r O l 1 u M I A A A A A B I A A A K A A A A A Q A A A A x g Z E z L a M S g M J Q 8 e h M 5 D S n F A A A A C E 7 i x Z + K 8 8 Y E D h O l h I t Z F f E o z I U h 7 U 4 b O v I 7 7 y 5 J 3 J y W b Z H 0 C w O 6 i 8 Q x V w P + G c J R + N O s i w g E / U 0 T a u z 2 c 9 h / D 1 S G l / 9 4 X r q E o Z A b 0 L y 9 e J K B Q A A A B W 3 J l O I v b 5 V b p i 6 1 0 l 8 a n K R o Q t W w = = < / D a t a M a s h u p > 
</file>

<file path=customXml/itemProps1.xml><?xml version="1.0" encoding="utf-8"?>
<ds:datastoreItem xmlns:ds="http://schemas.openxmlformats.org/officeDocument/2006/customXml" ds:itemID="{96FF4019-7572-47E8-8BAC-E15CABFA1CE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Работни листове</vt:lpstr>
      </vt:variant>
      <vt:variant>
        <vt:i4>20</vt:i4>
      </vt:variant>
      <vt:variant>
        <vt:lpstr>Наименувани диапазони</vt:lpstr>
      </vt:variant>
      <vt:variant>
        <vt:i4>14</vt:i4>
      </vt:variant>
    </vt:vector>
  </HeadingPairs>
  <TitlesOfParts>
    <vt:vector size="34" baseType="lpstr">
      <vt:lpstr>T2.6</vt:lpstr>
      <vt:lpstr>motorisation</vt:lpstr>
      <vt:lpstr>stock_cars</vt:lpstr>
      <vt:lpstr>stock_bus</vt:lpstr>
      <vt:lpstr>stock_busses</vt:lpstr>
      <vt:lpstr>stock_goods</vt:lpstr>
      <vt:lpstr>stock_mbike</vt:lpstr>
      <vt:lpstr>car_reg_new</vt:lpstr>
      <vt:lpstr>com_reg</vt:lpstr>
      <vt:lpstr>bus_reg</vt:lpstr>
      <vt:lpstr>mbike_reg</vt:lpstr>
      <vt:lpstr>moped_del</vt:lpstr>
      <vt:lpstr>sea_fleet_eu</vt:lpstr>
      <vt:lpstr>sea_world_region</vt:lpstr>
      <vt:lpstr>sea_world_type</vt:lpstr>
      <vt:lpstr>aircraft_passeng</vt:lpstr>
      <vt:lpstr>aircraft_other</vt:lpstr>
      <vt:lpstr>stock_loco</vt:lpstr>
      <vt:lpstr>stock_railcar</vt:lpstr>
      <vt:lpstr>stock_railgood</vt:lpstr>
      <vt:lpstr>T2.6!A</vt:lpstr>
      <vt:lpstr>aircraft_passeng!Област_печат</vt:lpstr>
      <vt:lpstr>mbike_reg!Област_печат</vt:lpstr>
      <vt:lpstr>moped_del!Област_печат</vt:lpstr>
      <vt:lpstr>motorisation!Област_печат</vt:lpstr>
      <vt:lpstr>sea_fleet_eu!Област_печат</vt:lpstr>
      <vt:lpstr>sea_world_region!Област_печат</vt:lpstr>
      <vt:lpstr>stock_bus!Област_печат</vt:lpstr>
      <vt:lpstr>stock_cars!Област_печат</vt:lpstr>
      <vt:lpstr>stock_goods!Област_печат</vt:lpstr>
      <vt:lpstr>stock_mbike!Област_печат</vt:lpstr>
      <vt:lpstr>stock_railcar!Област_печат</vt:lpstr>
      <vt:lpstr>stock_railgood!Област_печат</vt:lpstr>
      <vt:lpstr>T2.6!Област_печат</vt:lpstr>
    </vt:vector>
  </TitlesOfParts>
  <Company>European Commission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georgpi</dc:creator>
  <cp:lastModifiedBy>Masha B</cp:lastModifiedBy>
  <cp:lastPrinted>2013-02-18T14:00:29Z</cp:lastPrinted>
  <dcterms:created xsi:type="dcterms:W3CDTF">2003-09-05T14:33:05Z</dcterms:created>
  <dcterms:modified xsi:type="dcterms:W3CDTF">2024-01-20T23:44:59Z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bd9ddd1-4d20-43f6-abfa-fc3c07406f94_Enabled">
    <vt:lpwstr>true</vt:lpwstr>
  </property>
  <property fmtid="{D5CDD505-2E9C-101B-9397-08002B2CF9AE}" pid="3" name="MSIP_Label_6bd9ddd1-4d20-43f6-abfa-fc3c07406f94_SetDate">
    <vt:lpwstr>2023-03-24T15:41:05Z</vt:lpwstr>
  </property>
  <property fmtid="{D5CDD505-2E9C-101B-9397-08002B2CF9AE}" pid="4" name="MSIP_Label_6bd9ddd1-4d20-43f6-abfa-fc3c07406f94_Method">
    <vt:lpwstr>Standard</vt:lpwstr>
  </property>
  <property fmtid="{D5CDD505-2E9C-101B-9397-08002B2CF9AE}" pid="5" name="MSIP_Label_6bd9ddd1-4d20-43f6-abfa-fc3c07406f94_Name">
    <vt:lpwstr>Commission Use</vt:lpwstr>
  </property>
  <property fmtid="{D5CDD505-2E9C-101B-9397-08002B2CF9AE}" pid="6" name="MSIP_Label_6bd9ddd1-4d20-43f6-abfa-fc3c07406f94_SiteId">
    <vt:lpwstr>b24c8b06-522c-46fe-9080-70926f8dddb1</vt:lpwstr>
  </property>
  <property fmtid="{D5CDD505-2E9C-101B-9397-08002B2CF9AE}" pid="7" name="MSIP_Label_6bd9ddd1-4d20-43f6-abfa-fc3c07406f94_ActionId">
    <vt:lpwstr>ef5d0604-d184-4371-b7c4-accea2f3984b</vt:lpwstr>
  </property>
  <property fmtid="{D5CDD505-2E9C-101B-9397-08002B2CF9AE}" pid="8" name="MSIP_Label_6bd9ddd1-4d20-43f6-abfa-fc3c07406f94_ContentBits">
    <vt:lpwstr>0</vt:lpwstr>
  </property>
</Properties>
</file>