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pivotTables/pivotTable2.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C:\Users\v7720\OneDrive\Desktop\learn-excel\"/>
    </mc:Choice>
  </mc:AlternateContent>
  <xr:revisionPtr revIDLastSave="0" documentId="13_ncr:1_{F9A2D868-1432-4E3C-AEEC-62EB0F94717B}" xr6:coauthVersionLast="47" xr6:coauthVersionMax="47" xr10:uidLastSave="{00000000-0000-0000-0000-000000000000}"/>
  <bookViews>
    <workbookView xWindow="-108" yWindow="-108" windowWidth="23256" windowHeight="12456" firstSheet="2" activeTab="8" xr2:uid="{26D4546B-D2A1-4444-8EAF-A6228F96F0C1}"/>
  </bookViews>
  <sheets>
    <sheet name="Data" sheetId="1" r:id="rId1"/>
    <sheet name="All Staff" sheetId="5" r:id="rId2"/>
    <sheet name="salary spread" sheetId="8" r:id="rId3"/>
    <sheet name="salary vs rating" sheetId="9" r:id="rId4"/>
    <sheet name="India Staff" sheetId="2" r:id="rId5"/>
    <sheet name="info_2.0" sheetId="6" r:id="rId6"/>
    <sheet name="employee trend" sheetId="10" r:id="rId7"/>
    <sheet name="final report" sheetId="11" r:id="rId8"/>
    <sheet name="male vs female" sheetId="7" r:id="rId9"/>
  </sheets>
  <definedNames>
    <definedName name="_xlnm._FilterDatabase" localSheetId="0" hidden="1">Data!$C$5:$I$105</definedName>
    <definedName name="_xlnm._FilterDatabase" localSheetId="4" hidden="1">'India Staff'!$B$2:$H$114</definedName>
    <definedName name="_xlchart.v1.0" hidden="1">'All Staff'!$H$4:$H$187</definedName>
    <definedName name="_xlchart.v1.1" hidden="1">'All Staff'!$H$4:$H$187</definedName>
    <definedName name="_xlcn.WorksheetConnection_completedataanalyticsproject1.xlsxstaff1" hidden="1">staff[]</definedName>
    <definedName name="ExternalData_1" localSheetId="1" hidden="1">'All Staff'!$B$3:$I$187</definedName>
    <definedName name="india_staff">ind_staff[]</definedName>
    <definedName name="Slicer_Country">#N/A</definedName>
  </definedNames>
  <calcPr calcId="191029"/>
  <pivotCaches>
    <pivotCache cacheId="10" r:id="rId10"/>
    <pivotCache cacheId="25" r:id="rId11"/>
    <pivotCache cacheId="199" r:id="rId12"/>
    <pivotCache cacheId="245" r:id="rId13"/>
    <pivotCache cacheId="251" r:id="rId14"/>
  </pivotCaches>
  <extLst>
    <ext xmlns:x14="http://schemas.microsoft.com/office/spreadsheetml/2009/9/main" uri="{876F7934-8845-4945-9796-88D515C7AA90}">
      <x14:pivotCaches>
        <pivotCache cacheId="24"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complete-data-analytics-project-1.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5" i="11" l="1"/>
  <c r="F6" i="11"/>
  <c r="P5" i="11"/>
  <c r="D6" i="11"/>
  <c r="N5" i="11"/>
  <c r="B6" i="11"/>
  <c r="J4" i="5"/>
  <c r="K4" i="5" s="1"/>
  <c r="L4" i="5"/>
  <c r="P4" i="5"/>
  <c r="M4" i="10" a="1"/>
  <c r="M4" i="10" s="1"/>
  <c r="N4" i="10" s="1"/>
  <c r="N6" i="10"/>
  <c r="N7" i="10"/>
  <c r="N8" i="10"/>
  <c r="N9" i="10"/>
  <c r="N10" i="10"/>
  <c r="N11" i="10"/>
  <c r="O11" i="10" s="1"/>
  <c r="N12" i="10"/>
  <c r="N13" i="10"/>
  <c r="O13" i="10" s="1"/>
  <c r="N14" i="10"/>
  <c r="O14" i="10" s="1"/>
  <c r="N15" i="10"/>
  <c r="N16" i="10"/>
  <c r="O16" i="10" s="1"/>
  <c r="N17" i="10"/>
  <c r="O17" i="10" s="1"/>
  <c r="N18" i="10"/>
  <c r="O18" i="10" s="1"/>
  <c r="N19" i="10"/>
  <c r="N20" i="10"/>
  <c r="O20" i="10" s="1"/>
  <c r="N21" i="10"/>
  <c r="N22" i="10"/>
  <c r="N23" i="10"/>
  <c r="N24" i="10"/>
  <c r="N25" i="10"/>
  <c r="O25" i="10" s="1"/>
  <c r="N26" i="10"/>
  <c r="O26" i="10" s="1"/>
  <c r="N27" i="10"/>
  <c r="N28" i="10"/>
  <c r="O28" i="10" s="1"/>
  <c r="N29" i="10"/>
  <c r="O29" i="10" s="1"/>
  <c r="N30" i="10"/>
  <c r="O30" i="10" s="1"/>
  <c r="N31" i="10"/>
  <c r="N32" i="10"/>
  <c r="N33" i="10"/>
  <c r="N34" i="10"/>
  <c r="N35" i="10"/>
  <c r="N36" i="10"/>
  <c r="N37" i="10"/>
  <c r="O37" i="10" s="1"/>
  <c r="N38" i="10"/>
  <c r="O38" i="10" s="1"/>
  <c r="N39" i="10"/>
  <c r="O39" i="10" s="1"/>
  <c r="N40" i="10"/>
  <c r="O40" i="10" s="1"/>
  <c r="N41" i="10"/>
  <c r="O41" i="10" s="1"/>
  <c r="N42" i="10"/>
  <c r="O42" i="10" s="1"/>
  <c r="N43" i="10"/>
  <c r="N5" i="10"/>
  <c r="O5" i="10" s="1"/>
  <c r="O12" i="10"/>
  <c r="O10" i="10"/>
  <c r="O9" i="10"/>
  <c r="O8" i="10"/>
  <c r="O7" i="10"/>
  <c r="O6" i="10"/>
  <c r="O15" i="10"/>
  <c r="O27" i="10"/>
  <c r="O19" i="10"/>
  <c r="O21" i="10"/>
  <c r="O22" i="10"/>
  <c r="O23" i="10"/>
  <c r="O24" i="10"/>
  <c r="O31" i="10"/>
  <c r="O32" i="10"/>
  <c r="O33" i="10"/>
  <c r="O34" i="10"/>
  <c r="O35" i="10"/>
  <c r="O36" i="10"/>
  <c r="O43" i="10"/>
  <c r="J9" i="5"/>
  <c r="K9" i="5" s="1"/>
  <c r="J29" i="5"/>
  <c r="K29" i="5" s="1"/>
  <c r="J30" i="5"/>
  <c r="K30" i="5" s="1"/>
  <c r="J166" i="5"/>
  <c r="K166" i="5" s="1"/>
  <c r="J31" i="5"/>
  <c r="K31" i="5" s="1"/>
  <c r="J32" i="5"/>
  <c r="K32" i="5" s="1"/>
  <c r="J10" i="5"/>
  <c r="K10" i="5" s="1"/>
  <c r="J33" i="5"/>
  <c r="K33" i="5" s="1"/>
  <c r="J34" i="5"/>
  <c r="K34" i="5" s="1"/>
  <c r="J35" i="5"/>
  <c r="K35" i="5" s="1"/>
  <c r="J167" i="5"/>
  <c r="K167" i="5" s="1"/>
  <c r="J36" i="5"/>
  <c r="K36" i="5" s="1"/>
  <c r="J37" i="5"/>
  <c r="K37" i="5" s="1"/>
  <c r="J38" i="5"/>
  <c r="K38" i="5" s="1"/>
  <c r="J11" i="5"/>
  <c r="K11" i="5" s="1"/>
  <c r="J39" i="5"/>
  <c r="K39" i="5" s="1"/>
  <c r="J40" i="5"/>
  <c r="K40" i="5" s="1"/>
  <c r="J41" i="5"/>
  <c r="K41" i="5" s="1"/>
  <c r="J42" i="5"/>
  <c r="K42" i="5" s="1"/>
  <c r="J43" i="5"/>
  <c r="K43" i="5" s="1"/>
  <c r="J44" i="5"/>
  <c r="K44" i="5" s="1"/>
  <c r="J168" i="5"/>
  <c r="K168" i="5" s="1"/>
  <c r="J45" i="5"/>
  <c r="K45" i="5" s="1"/>
  <c r="J46" i="5"/>
  <c r="K46" i="5" s="1"/>
  <c r="J47" i="5"/>
  <c r="K47" i="5" s="1"/>
  <c r="J5" i="5"/>
  <c r="K5" i="5" s="1"/>
  <c r="J48" i="5"/>
  <c r="K48" i="5" s="1"/>
  <c r="J49" i="5"/>
  <c r="K49" i="5" s="1"/>
  <c r="J50" i="5"/>
  <c r="K50" i="5" s="1"/>
  <c r="J51" i="5"/>
  <c r="K51" i="5" s="1"/>
  <c r="J182" i="5"/>
  <c r="K182" i="5" s="1"/>
  <c r="J52" i="5"/>
  <c r="K52" i="5" s="1"/>
  <c r="J53" i="5"/>
  <c r="K53" i="5" s="1"/>
  <c r="J12" i="5"/>
  <c r="K12" i="5" s="1"/>
  <c r="J169" i="5"/>
  <c r="K169" i="5" s="1"/>
  <c r="J54" i="5"/>
  <c r="K54" i="5" s="1"/>
  <c r="J55" i="5"/>
  <c r="K55" i="5" s="1"/>
  <c r="J56" i="5"/>
  <c r="K56" i="5" s="1"/>
  <c r="J57" i="5"/>
  <c r="K57" i="5" s="1"/>
  <c r="J170" i="5"/>
  <c r="K170" i="5" s="1"/>
  <c r="J58" i="5"/>
  <c r="K58" i="5" s="1"/>
  <c r="J59" i="5"/>
  <c r="K59" i="5" s="1"/>
  <c r="J60" i="5"/>
  <c r="K60" i="5" s="1"/>
  <c r="J61" i="5"/>
  <c r="K61" i="5" s="1"/>
  <c r="J62" i="5"/>
  <c r="K62" i="5" s="1"/>
  <c r="J63" i="5"/>
  <c r="K63" i="5" s="1"/>
  <c r="J171" i="5"/>
  <c r="K171" i="5" s="1"/>
  <c r="J13" i="5"/>
  <c r="K13" i="5" s="1"/>
  <c r="J64" i="5"/>
  <c r="K64" i="5" s="1"/>
  <c r="J65" i="5"/>
  <c r="K65" i="5" s="1"/>
  <c r="J14" i="5"/>
  <c r="K14" i="5" s="1"/>
  <c r="J66" i="5"/>
  <c r="K66" i="5" s="1"/>
  <c r="J67" i="5"/>
  <c r="K67" i="5" s="1"/>
  <c r="J68" i="5"/>
  <c r="K68" i="5" s="1"/>
  <c r="J69" i="5"/>
  <c r="K69" i="5" s="1"/>
  <c r="J6" i="5"/>
  <c r="K6" i="5" s="1"/>
  <c r="J183" i="5"/>
  <c r="K183" i="5" s="1"/>
  <c r="J70" i="5"/>
  <c r="K70" i="5" s="1"/>
  <c r="J71" i="5"/>
  <c r="K71" i="5" s="1"/>
  <c r="J15" i="5"/>
  <c r="K15" i="5" s="1"/>
  <c r="J72" i="5"/>
  <c r="K72" i="5" s="1"/>
  <c r="J73" i="5"/>
  <c r="K73" i="5" s="1"/>
  <c r="J74" i="5"/>
  <c r="K74" i="5" s="1"/>
  <c r="J75" i="5"/>
  <c r="K75" i="5" s="1"/>
  <c r="J16" i="5"/>
  <c r="K16" i="5" s="1"/>
  <c r="J17" i="5"/>
  <c r="K17" i="5" s="1"/>
  <c r="J76" i="5"/>
  <c r="K76" i="5" s="1"/>
  <c r="J77" i="5"/>
  <c r="K77" i="5" s="1"/>
  <c r="J78" i="5"/>
  <c r="K78" i="5" s="1"/>
  <c r="J79" i="5"/>
  <c r="K79" i="5" s="1"/>
  <c r="J80" i="5"/>
  <c r="K80" i="5" s="1"/>
  <c r="J172" i="5"/>
  <c r="K172" i="5" s="1"/>
  <c r="J81" i="5"/>
  <c r="K81" i="5" s="1"/>
  <c r="J82" i="5"/>
  <c r="K82" i="5" s="1"/>
  <c r="J83" i="5"/>
  <c r="K83" i="5" s="1"/>
  <c r="J84" i="5"/>
  <c r="K84" i="5" s="1"/>
  <c r="J85" i="5"/>
  <c r="K85" i="5" s="1"/>
  <c r="J18" i="5"/>
  <c r="K18" i="5" s="1"/>
  <c r="J86" i="5"/>
  <c r="K86" i="5" s="1"/>
  <c r="J87" i="5"/>
  <c r="K87" i="5" s="1"/>
  <c r="J88" i="5"/>
  <c r="K88" i="5" s="1"/>
  <c r="J89" i="5"/>
  <c r="K89" i="5" s="1"/>
  <c r="J184" i="5"/>
  <c r="K184" i="5" s="1"/>
  <c r="J90" i="5"/>
  <c r="K90" i="5" s="1"/>
  <c r="J91" i="5"/>
  <c r="K91" i="5" s="1"/>
  <c r="J92" i="5"/>
  <c r="K92" i="5" s="1"/>
  <c r="J93" i="5"/>
  <c r="K93" i="5" s="1"/>
  <c r="J94" i="5"/>
  <c r="K94" i="5" s="1"/>
  <c r="J95" i="5"/>
  <c r="K95" i="5" s="1"/>
  <c r="J173" i="5"/>
  <c r="K173" i="5" s="1"/>
  <c r="J96" i="5"/>
  <c r="K96" i="5" s="1"/>
  <c r="J97" i="5"/>
  <c r="K97" i="5" s="1"/>
  <c r="J19" i="5"/>
  <c r="K19" i="5" s="1"/>
  <c r="J98" i="5"/>
  <c r="K98" i="5" s="1"/>
  <c r="J99" i="5"/>
  <c r="K99" i="5" s="1"/>
  <c r="J174" i="5"/>
  <c r="K174" i="5" s="1"/>
  <c r="J20" i="5"/>
  <c r="K20" i="5" s="1"/>
  <c r="J100" i="5"/>
  <c r="K100" i="5" s="1"/>
  <c r="J101" i="5"/>
  <c r="K101" i="5" s="1"/>
  <c r="J102" i="5"/>
  <c r="K102" i="5" s="1"/>
  <c r="J21" i="5"/>
  <c r="K21" i="5" s="1"/>
  <c r="J103" i="5"/>
  <c r="K103" i="5" s="1"/>
  <c r="J104" i="5"/>
  <c r="K104" i="5" s="1"/>
  <c r="J22" i="5"/>
  <c r="K22" i="5" s="1"/>
  <c r="J105" i="5"/>
  <c r="K105" i="5" s="1"/>
  <c r="J106" i="5"/>
  <c r="K106" i="5" s="1"/>
  <c r="J175" i="5"/>
  <c r="K175" i="5" s="1"/>
  <c r="J107" i="5"/>
  <c r="K107" i="5" s="1"/>
  <c r="J108" i="5"/>
  <c r="K108" i="5" s="1"/>
  <c r="J109" i="5"/>
  <c r="K109" i="5" s="1"/>
  <c r="J23" i="5"/>
  <c r="K23" i="5" s="1"/>
  <c r="J110" i="5"/>
  <c r="K110" i="5" s="1"/>
  <c r="J176" i="5"/>
  <c r="K176" i="5" s="1"/>
  <c r="J111" i="5"/>
  <c r="K111" i="5" s="1"/>
  <c r="J7" i="5"/>
  <c r="K7" i="5" s="1"/>
  <c r="J112" i="5"/>
  <c r="K112" i="5" s="1"/>
  <c r="J113" i="5"/>
  <c r="K113" i="5" s="1"/>
  <c r="J114" i="5"/>
  <c r="K114" i="5" s="1"/>
  <c r="J115" i="5"/>
  <c r="K115" i="5" s="1"/>
  <c r="J116" i="5"/>
  <c r="K116" i="5" s="1"/>
  <c r="J117" i="5"/>
  <c r="K117" i="5" s="1"/>
  <c r="J118" i="5"/>
  <c r="K118" i="5" s="1"/>
  <c r="J119" i="5"/>
  <c r="K119" i="5" s="1"/>
  <c r="J120" i="5"/>
  <c r="K120" i="5" s="1"/>
  <c r="J24" i="5"/>
  <c r="K24" i="5" s="1"/>
  <c r="J177" i="5"/>
  <c r="K177" i="5" s="1"/>
  <c r="J178" i="5"/>
  <c r="K178" i="5" s="1"/>
  <c r="J121" i="5"/>
  <c r="K121" i="5" s="1"/>
  <c r="J25" i="5"/>
  <c r="K25" i="5" s="1"/>
  <c r="J122" i="5"/>
  <c r="K122" i="5" s="1"/>
  <c r="J123" i="5"/>
  <c r="K123" i="5" s="1"/>
  <c r="J124" i="5"/>
  <c r="K124" i="5" s="1"/>
  <c r="J125" i="5"/>
  <c r="K125" i="5" s="1"/>
  <c r="J126" i="5"/>
  <c r="K126" i="5" s="1"/>
  <c r="J127" i="5"/>
  <c r="K127" i="5" s="1"/>
  <c r="J128" i="5"/>
  <c r="K128" i="5" s="1"/>
  <c r="J129" i="5"/>
  <c r="K129" i="5" s="1"/>
  <c r="J130" i="5"/>
  <c r="K130" i="5" s="1"/>
  <c r="J131" i="5"/>
  <c r="K131" i="5" s="1"/>
  <c r="J26" i="5"/>
  <c r="K26" i="5" s="1"/>
  <c r="J179" i="5"/>
  <c r="K179" i="5" s="1"/>
  <c r="J132" i="5"/>
  <c r="K132" i="5" s="1"/>
  <c r="J27" i="5"/>
  <c r="K27" i="5" s="1"/>
  <c r="J133" i="5"/>
  <c r="K133" i="5" s="1"/>
  <c r="J134" i="5"/>
  <c r="K134" i="5" s="1"/>
  <c r="J135" i="5"/>
  <c r="K135" i="5" s="1"/>
  <c r="J136" i="5"/>
  <c r="K136" i="5" s="1"/>
  <c r="J137" i="5"/>
  <c r="K137" i="5" s="1"/>
  <c r="J138" i="5"/>
  <c r="K138" i="5" s="1"/>
  <c r="J139" i="5"/>
  <c r="K139" i="5" s="1"/>
  <c r="J140" i="5"/>
  <c r="K140" i="5" s="1"/>
  <c r="J180" i="5"/>
  <c r="K180" i="5" s="1"/>
  <c r="J141" i="5"/>
  <c r="K141" i="5" s="1"/>
  <c r="J185" i="5"/>
  <c r="K185" i="5" s="1"/>
  <c r="J8" i="5"/>
  <c r="K8" i="5" s="1"/>
  <c r="J142" i="5"/>
  <c r="K142" i="5" s="1"/>
  <c r="J143" i="5"/>
  <c r="K143" i="5" s="1"/>
  <c r="J144" i="5"/>
  <c r="K144" i="5" s="1"/>
  <c r="J186" i="5"/>
  <c r="K186" i="5" s="1"/>
  <c r="J145" i="5"/>
  <c r="K145" i="5" s="1"/>
  <c r="J146" i="5"/>
  <c r="K146" i="5" s="1"/>
  <c r="J147" i="5"/>
  <c r="K147" i="5" s="1"/>
  <c r="J181" i="5"/>
  <c r="K181" i="5" s="1"/>
  <c r="J148" i="5"/>
  <c r="K148" i="5" s="1"/>
  <c r="J149" i="5"/>
  <c r="K149" i="5" s="1"/>
  <c r="J150" i="5"/>
  <c r="K150" i="5" s="1"/>
  <c r="J151" i="5"/>
  <c r="K151" i="5" s="1"/>
  <c r="J152" i="5"/>
  <c r="K152" i="5" s="1"/>
  <c r="J153" i="5"/>
  <c r="K153" i="5" s="1"/>
  <c r="J154" i="5"/>
  <c r="K154" i="5" s="1"/>
  <c r="J155" i="5"/>
  <c r="K155" i="5" s="1"/>
  <c r="J156" i="5"/>
  <c r="K156" i="5" s="1"/>
  <c r="J157" i="5"/>
  <c r="K157" i="5" s="1"/>
  <c r="J158" i="5"/>
  <c r="K158" i="5" s="1"/>
  <c r="J159" i="5"/>
  <c r="K159" i="5" s="1"/>
  <c r="J187" i="5"/>
  <c r="K187" i="5" s="1"/>
  <c r="J160" i="5"/>
  <c r="K160" i="5" s="1"/>
  <c r="J161" i="5"/>
  <c r="K161" i="5" s="1"/>
  <c r="J162" i="5"/>
  <c r="K162" i="5" s="1"/>
  <c r="J163" i="5"/>
  <c r="K163" i="5" s="1"/>
  <c r="J164" i="5"/>
  <c r="K164" i="5" s="1"/>
  <c r="J28" i="5"/>
  <c r="K28" i="5" s="1"/>
  <c r="J165" i="5"/>
  <c r="K165" i="5" s="1"/>
  <c r="L9" i="5"/>
  <c r="L29" i="5"/>
  <c r="L30" i="5"/>
  <c r="L166" i="5"/>
  <c r="L31" i="5"/>
  <c r="L32" i="5"/>
  <c r="L10" i="5"/>
  <c r="L33" i="5"/>
  <c r="L34" i="5"/>
  <c r="L35" i="5"/>
  <c r="L167" i="5"/>
  <c r="L36" i="5"/>
  <c r="L37" i="5"/>
  <c r="L38" i="5"/>
  <c r="L11" i="5"/>
  <c r="L39" i="5"/>
  <c r="L40" i="5"/>
  <c r="L41" i="5"/>
  <c r="L42" i="5"/>
  <c r="L43" i="5"/>
  <c r="L44" i="5"/>
  <c r="L168" i="5"/>
  <c r="L45" i="5"/>
  <c r="L46" i="5"/>
  <c r="L47" i="5"/>
  <c r="L5" i="5"/>
  <c r="L48" i="5"/>
  <c r="L49" i="5"/>
  <c r="L50" i="5"/>
  <c r="L51" i="5"/>
  <c r="L182" i="5"/>
  <c r="L52" i="5"/>
  <c r="L53" i="5"/>
  <c r="L12" i="5"/>
  <c r="L169" i="5"/>
  <c r="L54" i="5"/>
  <c r="L55" i="5"/>
  <c r="L56" i="5"/>
  <c r="L57" i="5"/>
  <c r="L170" i="5"/>
  <c r="L58" i="5"/>
  <c r="L59" i="5"/>
  <c r="L60" i="5"/>
  <c r="L61" i="5"/>
  <c r="L62" i="5"/>
  <c r="L63" i="5"/>
  <c r="L171" i="5"/>
  <c r="L13" i="5"/>
  <c r="L64" i="5"/>
  <c r="L65" i="5"/>
  <c r="L14" i="5"/>
  <c r="L66" i="5"/>
  <c r="L67" i="5"/>
  <c r="L68" i="5"/>
  <c r="L69" i="5"/>
  <c r="L6" i="5"/>
  <c r="L183" i="5"/>
  <c r="L70" i="5"/>
  <c r="L71" i="5"/>
  <c r="L15" i="5"/>
  <c r="L72" i="5"/>
  <c r="L73" i="5"/>
  <c r="L74" i="5"/>
  <c r="L75" i="5"/>
  <c r="L16" i="5"/>
  <c r="L17" i="5"/>
  <c r="L76" i="5"/>
  <c r="L77" i="5"/>
  <c r="L78" i="5"/>
  <c r="L79" i="5"/>
  <c r="L80" i="5"/>
  <c r="L172" i="5"/>
  <c r="L81" i="5"/>
  <c r="L82" i="5"/>
  <c r="L83" i="5"/>
  <c r="L84" i="5"/>
  <c r="L85" i="5"/>
  <c r="L18" i="5"/>
  <c r="L86" i="5"/>
  <c r="L87" i="5"/>
  <c r="L88" i="5"/>
  <c r="L89" i="5"/>
  <c r="L184" i="5"/>
  <c r="L90" i="5"/>
  <c r="L91" i="5"/>
  <c r="L92" i="5"/>
  <c r="L93" i="5"/>
  <c r="L94" i="5"/>
  <c r="L95" i="5"/>
  <c r="L173" i="5"/>
  <c r="L96" i="5"/>
  <c r="L97" i="5"/>
  <c r="L19" i="5"/>
  <c r="L98" i="5"/>
  <c r="L99" i="5"/>
  <c r="L174" i="5"/>
  <c r="L20" i="5"/>
  <c r="L100" i="5"/>
  <c r="L101" i="5"/>
  <c r="L102" i="5"/>
  <c r="L21" i="5"/>
  <c r="L103" i="5"/>
  <c r="L104" i="5"/>
  <c r="L22" i="5"/>
  <c r="L105" i="5"/>
  <c r="L106" i="5"/>
  <c r="L175" i="5"/>
  <c r="L107" i="5"/>
  <c r="L108" i="5"/>
  <c r="L109" i="5"/>
  <c r="L23" i="5"/>
  <c r="L110" i="5"/>
  <c r="L176" i="5"/>
  <c r="L111" i="5"/>
  <c r="L7" i="5"/>
  <c r="L112" i="5"/>
  <c r="L113" i="5"/>
  <c r="L114" i="5"/>
  <c r="L115" i="5"/>
  <c r="L116" i="5"/>
  <c r="L117" i="5"/>
  <c r="L118" i="5"/>
  <c r="L119" i="5"/>
  <c r="L120" i="5"/>
  <c r="L24" i="5"/>
  <c r="L177" i="5"/>
  <c r="L178" i="5"/>
  <c r="L121" i="5"/>
  <c r="L25" i="5"/>
  <c r="L122" i="5"/>
  <c r="L123" i="5"/>
  <c r="L124" i="5"/>
  <c r="L125" i="5"/>
  <c r="L126" i="5"/>
  <c r="L127" i="5"/>
  <c r="L128" i="5"/>
  <c r="L129" i="5"/>
  <c r="L130" i="5"/>
  <c r="L131" i="5"/>
  <c r="L26" i="5"/>
  <c r="L179" i="5"/>
  <c r="L132" i="5"/>
  <c r="L27" i="5"/>
  <c r="L133" i="5"/>
  <c r="L134" i="5"/>
  <c r="L135" i="5"/>
  <c r="L136" i="5"/>
  <c r="L137" i="5"/>
  <c r="L138" i="5"/>
  <c r="L139" i="5"/>
  <c r="L140" i="5"/>
  <c r="L180" i="5"/>
  <c r="L141" i="5"/>
  <c r="L185" i="5"/>
  <c r="L8" i="5"/>
  <c r="L142" i="5"/>
  <c r="L143" i="5"/>
  <c r="L144" i="5"/>
  <c r="L186" i="5"/>
  <c r="L145" i="5"/>
  <c r="L146" i="5"/>
  <c r="L147" i="5"/>
  <c r="L181" i="5"/>
  <c r="L148" i="5"/>
  <c r="L149" i="5"/>
  <c r="L150" i="5"/>
  <c r="L151" i="5"/>
  <c r="L152" i="5"/>
  <c r="L153" i="5"/>
  <c r="L154" i="5"/>
  <c r="L155" i="5"/>
  <c r="L156" i="5"/>
  <c r="L157" i="5"/>
  <c r="L158" i="5"/>
  <c r="L159" i="5"/>
  <c r="L187" i="5"/>
  <c r="L160" i="5"/>
  <c r="L161" i="5"/>
  <c r="L162" i="5"/>
  <c r="L163" i="5"/>
  <c r="L164" i="5"/>
  <c r="L28" i="5"/>
  <c r="L165" i="5"/>
  <c r="O4" i="10" l="1"/>
  <c r="B5" i="6" a="1"/>
  <c r="B5" i="6" s="1"/>
  <c r="M7" i="6"/>
  <c r="M6" i="6"/>
  <c r="M5" i="6"/>
  <c r="Q6" i="5"/>
  <c r="Q5" i="5"/>
  <c r="P9" i="5"/>
  <c r="P6" i="5"/>
  <c r="P5" i="5"/>
  <c r="J6" i="1"/>
  <c r="E106" i="1"/>
  <c r="G106" i="1"/>
  <c r="H106" i="1"/>
  <c r="I106" i="1"/>
  <c r="P4" i="10" l="1"/>
  <c r="P9" i="10"/>
  <c r="P21" i="10"/>
  <c r="P33" i="10"/>
  <c r="P18" i="10"/>
  <c r="P20" i="10"/>
  <c r="P10" i="10"/>
  <c r="P22" i="10"/>
  <c r="P34" i="10"/>
  <c r="P42" i="10"/>
  <c r="P11" i="10"/>
  <c r="P23" i="10"/>
  <c r="P35" i="10"/>
  <c r="P12" i="10"/>
  <c r="P24" i="10"/>
  <c r="P36" i="10"/>
  <c r="P13" i="10"/>
  <c r="P25" i="10"/>
  <c r="P37" i="10"/>
  <c r="P30" i="10"/>
  <c r="P32" i="10"/>
  <c r="P14" i="10"/>
  <c r="P26" i="10"/>
  <c r="P38" i="10"/>
  <c r="P15" i="10"/>
  <c r="P27" i="10"/>
  <c r="P39" i="10"/>
  <c r="P16" i="10"/>
  <c r="P28" i="10"/>
  <c r="P40" i="10"/>
  <c r="P17" i="10"/>
  <c r="P29" i="10"/>
  <c r="P41" i="10"/>
  <c r="P19" i="10"/>
  <c r="P31" i="10"/>
  <c r="P43" i="10"/>
  <c r="P8" i="10"/>
  <c r="P6" i="10"/>
  <c r="P5" i="10"/>
  <c r="P7" i="10"/>
  <c r="P15" i="5" a="1"/>
  <c r="P15" i="5" s="1"/>
  <c r="P8" i="5"/>
  <c r="M8" i="6"/>
  <c r="P7"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2C51EF-9DBA-471D-9C39-125AE1A88D91}" keepAlive="1" name="Query - ind_staff" description="Connection to the 'ind_staff' query in the workbook." type="5" refreshedVersion="0" background="1">
    <dbPr connection="Provider=Microsoft.Mashup.OleDb.1;Data Source=$Workbook$;Location=ind_staff;Extended Properties=&quot;&quot;" command="SELECT * FROM [ind_staff]"/>
  </connection>
  <connection id="2" xr16:uid="{484DBCA2-782C-4805-8B28-E8628772FF38}"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41858348-2913-46CC-962B-D5FC483C4FFE}"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ECECF2F0-97FD-4128-9AAB-202228B9AF7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D5F5B6D9-A38A-4236-A5A3-5B3069DC42A8}" name="WorksheetConnection_complete-data-analytics-project-1.xlsx!staff" type="102" refreshedVersion="8" minRefreshableVersion="5">
    <extLst>
      <ext xmlns:x15="http://schemas.microsoft.com/office/spreadsheetml/2010/11/main" uri="{DE250136-89BD-433C-8126-D09CA5730AF9}">
        <x15:connection id="staff" autoDelete="1">
          <x15:rangePr sourceName="_xlcn.WorksheetConnection_completedataanalyticsproject1.xlsxstaff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<sst xmlns="http://schemas.openxmlformats.org/spreadsheetml/2006/main" count="1898" uniqueCount="262">
  <si>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</si>
  <si>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</si>
  <si>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</si>
  <si>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</si>
  <si>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</si>
  <si>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</si>
  <si>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</si>
  <si>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</si>
  <si>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</si>
  <si>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</si>
  <si>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</si>
  <si>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</si>
  <si>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</si>
  <si>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</si>
  <si>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</si>
  <si>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</si>
  <si>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</si>
  <si>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</si>
  <si>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</si>
  <si>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</si>
  <si>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</si>
  <si>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</si>
  <si>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</si>
  <si>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</si>
  <si>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</si>
  <si>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</si>
  <si>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</si>
  <si>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</si>
  <si>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</si>
  <si>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</si>
  <si>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</si>
  <si>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</si>
  <si>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</si>
  <si>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</si>
  <si>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</si>
  <si>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</si>
  <si>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</si>
  <si>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</si>
  <si>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</si>
  <si>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</si>
  <si>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</si>
  <si>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</si>
  <si>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</si>
  <si>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</si>
  <si>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</si>
  <si>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</si>
  <si>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</si>
  <si>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</si>
  <si>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</si>
  <si>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</si>
  <si>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</si>
  <si>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</si>
  <si>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</si>
  <si>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</si>
  <si>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</si>
  <si>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</si>
  <si>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</si>
  <si>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</si>
  <si>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</si>
  <si>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</si>
  <si>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</si>
  <si>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</si>
  <si>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</si>
  <si>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</si>
  <si>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</si>
  <si>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</si>
  <si>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</si>
  <si>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</si>
  <si>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</si>
  <si>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</si>
  <si>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</si>
  <si>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</si>
  <si>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</si>
  <si>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</si>
  <si>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</si>
  <si>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</si>
  <si>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</si>
  <si>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</si>
  <si>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</si>
  <si>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</si>
  <si>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</si>
  <si>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</si>
  <si>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</si>
  <si>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</si>
  <si>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</si>
  <si>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</si>
  <si>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</si>
  <si>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</si>
  <si>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</si>
  <si>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</si>
  <si>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</si>
  <si>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</si>
  <si>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</si>
  <si>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</si>
  <si>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</si>
  <si>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</si>
  <si>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</si>
  <si>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</si>
  <si>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</si>
  <si>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</si>
  <si>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</si>
  <si>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</si>
  <si>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</si>
  <si>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</si>
  <si>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</si>
  <si>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</si>
  <si>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</si>
  <si>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</si>
  <si>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</si>
  <si>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</si>
  <si>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</si>
  <si>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</si>
  <si>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</si>
  <si>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</si>
  <si>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</si>
  <si>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</si>
  <si>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</si>
  <si>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</si>
  <si>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</si>
  <si>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</si>
  <si>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</si>
  <si>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</si>
  <si>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</si>
  <si>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</si>
  <si>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</si>
  <si>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</si>
  <si>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</si>
  <si>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</si>
  <si>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</si>
  <si>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</si>
  <si>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</si>
  <si>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</si>
  <si>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</si>
  <si>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</si>
  <si>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</si>
  <si>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</si>
  <si>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</si>
  <si>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</si>
  <si>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</si>
  <si>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</si>
  <si>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</si>
  <si>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</si>
  <si>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</si>
  <si>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</si>
  <si>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</si>
  <si>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</si>
  <si>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</si>
  <si>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</si>
  <si>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</si>
  <si>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</si>
  <si>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</si>
  <si>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</si>
  <si>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</si>
  <si>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</si>
  <si>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</si>
  <si>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</si>
  <si>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</si>
  <si>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</si>
  <si>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</si>
  <si>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</si>
  <si>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</si>
  <si>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</si>
  <si>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</si>
  <si>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</si>
  <si>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</si>
  <si>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</si>
  <si>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</si>
  <si>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</si>
  <si>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</si>
  <si>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</si>
  <si>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</si>
  <si>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</si>
  <si>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</si>
  <si>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</si>
  <si>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</si>
  <si>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</si>
  <si>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</si>
  <si>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</si>
  <si>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</si>
  <si>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</si>
  <si>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</si>
  <si>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</si>
  <si>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</si>
  <si>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</si>
  <si>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</si>
  <si>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</si>
  <si>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</si>
  <si>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</si>
  <si>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</si>
  <si>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</si>
  <si>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</si>
  <si>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</si>
  <si>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</si>
  <si>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</si>
  <si>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</si>
  <si>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</si>
  <si>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</si>
  <si>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</si>
  <si>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</si>
  <si>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</si>
  <si>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</si>
  <si>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</si>
  <si>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</si>
  <si>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</si>
  <si>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</si>
  <si>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NZ</t>
  </si>
  <si>
    <t>Others</t>
  </si>
  <si>
    <t>IND</t>
  </si>
  <si>
    <t>number of employees</t>
  </si>
  <si>
    <t>average salary</t>
  </si>
  <si>
    <t>average age</t>
  </si>
  <si>
    <t>average tenure</t>
  </si>
  <si>
    <t>female retio%</t>
  </si>
  <si>
    <t>tenure</t>
  </si>
  <si>
    <t>salary greater than 90000</t>
  </si>
  <si>
    <t>Search=</t>
  </si>
  <si>
    <t>gender</t>
  </si>
  <si>
    <t>age</t>
  </si>
  <si>
    <t>rating</t>
  </si>
  <si>
    <t>date joined</t>
  </si>
  <si>
    <t>department</t>
  </si>
  <si>
    <t>salary</t>
  </si>
  <si>
    <t>country</t>
  </si>
  <si>
    <t>search the department</t>
  </si>
  <si>
    <t>average salary of department</t>
  </si>
  <si>
    <t>average salary of age</t>
  </si>
  <si>
    <t>average tenure of department</t>
  </si>
  <si>
    <t>male vs female</t>
  </si>
  <si>
    <t>Column Labels</t>
  </si>
  <si>
    <t>Grand Total</t>
  </si>
  <si>
    <t>Count of Name</t>
  </si>
  <si>
    <t>Row Labels</t>
  </si>
  <si>
    <t>Values</t>
  </si>
  <si>
    <t>Average of Salary</t>
  </si>
  <si>
    <t>Average of Age</t>
  </si>
  <si>
    <t>Average of tenure</t>
  </si>
  <si>
    <t>bonus</t>
  </si>
  <si>
    <t>rating as number</t>
  </si>
  <si>
    <t>sales</t>
  </si>
  <si>
    <t>2020</t>
  </si>
  <si>
    <t>May</t>
  </si>
  <si>
    <t>Jun</t>
  </si>
  <si>
    <t>Jul</t>
  </si>
  <si>
    <t>Aug</t>
  </si>
  <si>
    <t>Sep</t>
  </si>
  <si>
    <t>Oct</t>
  </si>
  <si>
    <t>Nov</t>
  </si>
  <si>
    <t>Dec</t>
  </si>
  <si>
    <t>2021</t>
  </si>
  <si>
    <t>Jan</t>
  </si>
  <si>
    <t>Feb</t>
  </si>
  <si>
    <t>Mar</t>
  </si>
  <si>
    <t>Apr</t>
  </si>
  <si>
    <t>2022</t>
  </si>
  <si>
    <t>2023</t>
  </si>
  <si>
    <t>month</t>
  </si>
  <si>
    <t>head count</t>
  </si>
  <si>
    <t>running sum</t>
  </si>
  <si>
    <t>Head count</t>
  </si>
  <si>
    <t>trent boult</t>
  </si>
  <si>
    <t>female%</t>
  </si>
  <si>
    <t>final report card- NZ vs 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</si>
</sst>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 #,##0;[Red]&quot;₹&quot;\ \-#,##0"/>
    <numFmt numFmtId="8" formatCode="&quot;₹&quot;\ #,##0.00;[Red]&quot;₹&quot;\ \-#,##0.00"/>
    <numFmt numFmtId="164" formatCode="0.0"/>
  </numFmts>
  <fonts count="8" x14ac:knownFonts="1">
    <font>
      <sz val="11"/>
      <color theme="1"/>
      <name val="Calibri"/>
      <family val="2"/>
      <scheme val="minor"/>
    </font>
    <font>
      <sz val="28"/>
      <color theme="1"/>
      <name val="Segoe UI Light"/>
      <family val="2"/>
    </font>
    <font>
      <sz val="11"/>
      <color theme="5" tint="-0.249977111117893"/>
      <name val="Calibri"/>
      <family val="2"/>
      <scheme val="minor"/>
    </font>
    <font>
      <sz val="11"/>
      <color theme="9" tint="-0.249977111117893"/>
      <name val="Calibri"/>
      <family val="2"/>
      <scheme val="minor"/>
    </font>
    <font>
      <b/>
      <sz val="11"/>
      <color theme="1"/>
      <name val="Calibri"/>
      <family val="2"/>
      <scheme val="minor"/>
    </font>
    <font>
      <b/>
      <sz val="20"/>
      <color theme="1"/>
      <name val="Calibri"/>
      <family val="2"/>
      <scheme val="minor"/>
    </font>
    <font>
      <b/>
      <sz val="18"/>
      <color theme="1"/>
      <name val="Calibri"/>
      <family val="2"/>
      <scheme val="minor"/>
    </font>
    <font>
      <b/>
      <sz val="11"/>
      <color theme="2"/>
      <name val="Algerian"/>
      <family val="5"/>
    </font>
  </fonts>
  <fills count="1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7" tint="0.39997558519241921"/>
        <bgColor indexed="64"/>
      </patternFill>
    </fill>
    <fill>
      <patternFill patternType="solid">
        <fgColor rgb="FFC00000"/>
        <bgColor indexed="64"/>
      </patternFill>
    </fill>
    <fill>
      <patternFill patternType="solid">
        <fgColor rgb="FFFFFF00"/>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4" tint="0.79998168889431442"/>
        <bgColor theme="4" tint="0.79998168889431442"/>
      </patternFill>
    </fill>
    <fill>
      <patternFill patternType="solid">
        <fgColor theme="7" tint="0.59999389629810485"/>
        <bgColor indexed="64"/>
      </patternFill>
    </fill>
    <fill>
      <patternFill patternType="solid">
        <fgColor rgb="FF92D050"/>
        <bgColor indexed="64"/>
      </patternFill>
    </fill>
    <fill>
      <patternFill patternType="solid">
        <fgColor theme="5" tint="-0.249977111117893"/>
        <bgColor indexed="64"/>
      </patternFill>
    </fill>
    <fill>
      <patternFill patternType="solid">
        <fgColor rgb="FF00B050"/>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4" fontId="0" fillId="0" borderId="0" xfId="0" applyNumberFormat="1"/>
    <xf numFmtId="2" fontId="0" fillId="0" borderId="0" xfId="0" applyNumberFormat="1"/>
    <xf numFmtId="8" fontId="0" fillId="0" borderId="0" xfId="0" applyNumberFormat="1"/>
    <xf numFmtId="0" fontId="0" fillId="4" borderId="0" xfId="0" applyFill="1"/>
    <xf numFmtId="8" fontId="0" fillId="4" borderId="0" xfId="0" applyNumberFormat="1" applyFill="1"/>
    <xf numFmtId="1" fontId="0" fillId="4" borderId="0" xfId="0" applyNumberFormat="1" applyFill="1"/>
    <xf numFmtId="10" fontId="0" fillId="4" borderId="0" xfId="0" applyNumberFormat="1" applyFill="1"/>
    <xf numFmtId="9" fontId="0" fillId="0" borderId="0" xfId="0" applyNumberFormat="1"/>
    <xf numFmtId="0" fontId="0" fillId="5" borderId="0" xfId="0" applyFill="1"/>
    <xf numFmtId="0" fontId="0" fillId="0" borderId="2" xfId="0" applyBorder="1"/>
    <xf numFmtId="0" fontId="0" fillId="0" borderId="2" xfId="0" applyBorder="1" applyAlignment="1">
      <alignment horizontal="center"/>
    </xf>
    <xf numFmtId="14" fontId="0" fillId="0" borderId="2" xfId="0" applyNumberFormat="1" applyBorder="1" applyAlignment="1">
      <alignment horizontal="center"/>
    </xf>
    <xf numFmtId="164" fontId="0" fillId="0" borderId="0" xfId="0" applyNumberFormat="1"/>
    <xf numFmtId="2" fontId="0" fillId="0" borderId="2" xfId="0" applyNumberFormat="1" applyBorder="1"/>
    <xf numFmtId="0" fontId="0" fillId="6" borderId="2" xfId="0" applyFill="1" applyBorder="1"/>
    <xf numFmtId="0" fontId="2" fillId="7" borderId="2" xfId="0" applyFont="1" applyFill="1" applyBorder="1"/>
    <xf numFmtId="0" fontId="0" fillId="0" borderId="0" xfId="0" pivotButton="1"/>
    <xf numFmtId="0" fontId="0" fillId="0" borderId="0" xfId="0" applyAlignment="1">
      <alignment horizontal="left"/>
    </xf>
    <xf numFmtId="0" fontId="0" fillId="8" borderId="0" xfId="0" applyFill="1"/>
    <xf numFmtId="0" fontId="3" fillId="9" borderId="0" xfId="0" applyFont="1" applyFill="1"/>
    <xf numFmtId="6" fontId="0" fillId="0" borderId="0" xfId="0" applyNumberFormat="1"/>
    <xf numFmtId="1" fontId="0" fillId="0" borderId="0" xfId="0" applyNumberFormat="1"/>
    <xf numFmtId="0" fontId="0" fillId="10" borderId="1" xfId="0" applyFont="1" applyFill="1" applyBorder="1"/>
    <xf numFmtId="0" fontId="0" fillId="0" borderId="0" xfId="0" applyNumberFormat="1"/>
    <xf numFmtId="0" fontId="0" fillId="0" borderId="0" xfId="0" applyAlignment="1">
      <alignment horizontal="left" indent="1"/>
    </xf>
    <xf numFmtId="17" fontId="0" fillId="0" borderId="0" xfId="0" applyNumberFormat="1"/>
    <xf numFmtId="0" fontId="0" fillId="11" borderId="0" xfId="0" applyFill="1"/>
    <xf numFmtId="0" fontId="4" fillId="9" borderId="0" xfId="0" applyFont="1" applyFill="1"/>
    <xf numFmtId="0" fontId="4" fillId="11" borderId="0" xfId="0" applyFont="1" applyFill="1"/>
    <xf numFmtId="0" fontId="4" fillId="7" borderId="0" xfId="0" applyFont="1" applyFill="1"/>
    <xf numFmtId="0" fontId="4" fillId="0" borderId="0" xfId="0" applyFont="1"/>
    <xf numFmtId="0" fontId="5" fillId="9" borderId="0" xfId="0" applyFont="1" applyFill="1"/>
    <xf numFmtId="0" fontId="6" fillId="11" borderId="0" xfId="0" applyFont="1" applyFill="1"/>
    <xf numFmtId="0" fontId="6" fillId="7" borderId="0" xfId="0" applyFont="1" applyFill="1"/>
    <xf numFmtId="0" fontId="4" fillId="12" borderId="0" xfId="0" applyFont="1" applyFill="1" applyAlignment="1">
      <alignment horizontal="left" indent="1"/>
    </xf>
    <xf numFmtId="0" fontId="4" fillId="12" borderId="0" xfId="0" applyFont="1" applyFill="1"/>
    <xf numFmtId="0" fontId="4" fillId="14" borderId="0" xfId="0" applyFont="1" applyFill="1"/>
    <xf numFmtId="0" fontId="7" fillId="13" borderId="0" xfId="0" applyFont="1" applyFill="1" applyAlignment="1">
      <alignment horizontal="center" vertical="center"/>
    </xf>
    <xf numFmtId="0" fontId="7" fillId="11" borderId="0" xfId="0" applyFont="1" applyFill="1" applyAlignment="1">
      <alignment horizontal="center" vertical="center"/>
    </xf>
    <xf numFmtId="9" fontId="7" fillId="13" borderId="0" xfId="0" applyNumberFormat="1" applyFont="1" applyFill="1" applyAlignment="1">
      <alignment horizontal="center" vertical="center"/>
    </xf>
    <xf numFmtId="2" fontId="7" fillId="13" borderId="0" xfId="0" applyNumberFormat="1" applyFont="1" applyFill="1" applyAlignment="1">
      <alignment horizontal="center" vertical="center"/>
    </xf>
  </cellXfs>
  <cellStyles count="1">
    <cellStyle name="Normal" xfId="0" builtinId="0"/>
  </cellStyles>
  <dxfs count="27">
    <dxf>
      <numFmt numFmtId="2" formatCode="0.00"/>
    </dxf>
    <dxf>
      <numFmt numFmtId="2" formatCode="0.00"/>
    </dxf>
    <dxf>
      <numFmt numFmtId="2" formatCode="0.00"/>
    </dxf>
    <dxf>
      <numFmt numFmtId="2" formatCode="0.00"/>
    </dxf>
    <dxf>
      <numFmt numFmtId="165" formatCode="0.000"/>
    </dxf>
    <dxf>
      <numFmt numFmtId="166" formatCode="0.0000"/>
    </dxf>
    <dxf>
      <font>
        <color rgb="FF9C0006"/>
      </font>
      <fill>
        <patternFill>
          <bgColor rgb="FFFFC7CE"/>
        </patternFill>
      </fill>
    </dxf>
    <dxf>
      <numFmt numFmtId="0" formatCode="General"/>
    </dxf>
    <dxf>
      <numFmt numFmtId="10" formatCode="&quot;₹&quot;\ #,##0;[Red]&quot;₹&quot;\ \-#,##0"/>
    </dxf>
    <dxf>
      <numFmt numFmtId="2" formatCode="0.00"/>
    </dxf>
    <dxf>
      <numFmt numFmtId="12" formatCode="&quot;₹&quot;\ #,##0.00;[Red]&quot;₹&quot;\ \-#,##0.00"/>
    </dxf>
    <dxf>
      <numFmt numFmtId="19" formatCode="dd/mm/yyyy"/>
    </dxf>
    <dxf>
      <numFmt numFmtId="0" formatCode="General"/>
    </dxf>
    <dxf>
      <numFmt numFmtId="0" formatCode="General"/>
    </dxf>
    <dxf>
      <numFmt numFmtId="12" formatCode="&quot;₹&quot;\ #,##0.00;[Red]&quot;₹&quot;\ \-#,##0.00"/>
    </dxf>
    <dxf>
      <numFmt numFmtId="164" formatCode="0.0"/>
    </dxf>
    <dxf>
      <numFmt numFmtId="164" formatCode="0.0"/>
    </dxf>
    <dxf>
      <numFmt numFmtId="164" formatCode="0.0"/>
    </dxf>
    <dxf>
      <numFmt numFmtId="164" formatCode="0.0"/>
    </dxf>
    <dxf>
      <numFmt numFmtId="164" formatCode="0.0"/>
    </dxf>
    <dxf>
      <numFmt numFmtId="164" formatCode="0.0"/>
    </dxf>
    <dxf>
      <numFmt numFmtId="20" formatCode="dd/mmm/yy"/>
    </dxf>
    <dxf>
      <numFmt numFmtId="1" formatCode="0"/>
    </dxf>
    <dxf>
      <numFmt numFmtId="1" formatCode="0"/>
    </dxf>
    <dxf>
      <numFmt numFmtId="1" formatCode="0"/>
    </dxf>
    <dxf>
      <numFmt numFmtId="19" formatCode="dd/mm/yyyy"/>
    </dxf>
    <dxf>
      <numFmt numFmtId="20" formatCode="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6.xml"/><Relationship Id="rId23" Type="http://schemas.openxmlformats.org/officeDocument/2006/relationships/calcChain" Target="calcChain.xml"/><Relationship Id="rId10" Type="http://schemas.openxmlformats.org/officeDocument/2006/relationships/pivotCacheDefinition" Target="pivotCache/pivotCacheDefinition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scatterChart>
        <c:scatterStyle val="lineMarker"/>
        <c:varyColors val="0"/>
        <c:ser>
          <c:idx val="0"/>
          <c:order val="0"/>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xVal>
            <c:numRef>
              <c:f>'All Staff'!$H$4:$H$187</c:f>
              <c:numCache>
                <c:formatCode>"₹"#,##0.00_);[Red]\("₹"#,##0.00\)</c:formatCode>
                <c:ptCount val="184"/>
                <c:pt idx="0">
                  <c:v>77472.100000000006</c:v>
                </c:pt>
                <c:pt idx="1">
                  <c:v>75000</c:v>
                </c:pt>
                <c:pt idx="2">
                  <c:v>109160</c:v>
                </c:pt>
                <c:pt idx="3">
                  <c:v>75000</c:v>
                </c:pt>
                <c:pt idx="4">
                  <c:v>109160</c:v>
                </c:pt>
                <c:pt idx="5">
                  <c:v>112780</c:v>
                </c:pt>
                <c:pt idx="6">
                  <c:v>48530</c:v>
                </c:pt>
                <c:pt idx="7">
                  <c:v>43840</c:v>
                </c:pt>
                <c:pt idx="8">
                  <c:v>109190</c:v>
                </c:pt>
                <c:pt idx="9">
                  <c:v>80700</c:v>
                </c:pt>
                <c:pt idx="10">
                  <c:v>48170</c:v>
                </c:pt>
                <c:pt idx="11">
                  <c:v>76900</c:v>
                </c:pt>
                <c:pt idx="12">
                  <c:v>90700</c:v>
                </c:pt>
                <c:pt idx="13">
                  <c:v>56870</c:v>
                </c:pt>
                <c:pt idx="14">
                  <c:v>91650</c:v>
                </c:pt>
                <c:pt idx="15">
                  <c:v>43840</c:v>
                </c:pt>
                <c:pt idx="16">
                  <c:v>56870</c:v>
                </c:pt>
                <c:pt idx="17">
                  <c:v>109190</c:v>
                </c:pt>
                <c:pt idx="18">
                  <c:v>48170</c:v>
                </c:pt>
                <c:pt idx="19">
                  <c:v>76900</c:v>
                </c:pt>
                <c:pt idx="20">
                  <c:v>80700</c:v>
                </c:pt>
                <c:pt idx="21">
                  <c:v>112780</c:v>
                </c:pt>
                <c:pt idx="22">
                  <c:v>91650</c:v>
                </c:pt>
                <c:pt idx="23">
                  <c:v>90700</c:v>
                </c:pt>
                <c:pt idx="24">
                  <c:v>48530</c:v>
                </c:pt>
                <c:pt idx="25">
                  <c:v>70610</c:v>
                </c:pt>
                <c:pt idx="26">
                  <c:v>53240</c:v>
                </c:pt>
                <c:pt idx="27">
                  <c:v>53540</c:v>
                </c:pt>
                <c:pt idx="28">
                  <c:v>112570</c:v>
                </c:pt>
                <c:pt idx="29">
                  <c:v>62780</c:v>
                </c:pt>
                <c:pt idx="30">
                  <c:v>53870</c:v>
                </c:pt>
                <c:pt idx="31">
                  <c:v>119110</c:v>
                </c:pt>
                <c:pt idx="32">
                  <c:v>65700</c:v>
                </c:pt>
                <c:pt idx="33">
                  <c:v>69070</c:v>
                </c:pt>
                <c:pt idx="34">
                  <c:v>107700</c:v>
                </c:pt>
                <c:pt idx="35">
                  <c:v>99750</c:v>
                </c:pt>
                <c:pt idx="36">
                  <c:v>37920</c:v>
                </c:pt>
                <c:pt idx="37">
                  <c:v>57090</c:v>
                </c:pt>
                <c:pt idx="38">
                  <c:v>41980</c:v>
                </c:pt>
                <c:pt idx="39">
                  <c:v>75880</c:v>
                </c:pt>
                <c:pt idx="40">
                  <c:v>58940</c:v>
                </c:pt>
                <c:pt idx="41">
                  <c:v>58100</c:v>
                </c:pt>
                <c:pt idx="42">
                  <c:v>48980</c:v>
                </c:pt>
                <c:pt idx="43">
                  <c:v>64000</c:v>
                </c:pt>
                <c:pt idx="44">
                  <c:v>87620</c:v>
                </c:pt>
                <c:pt idx="45">
                  <c:v>34980</c:v>
                </c:pt>
                <c:pt idx="46">
                  <c:v>75970</c:v>
                </c:pt>
                <c:pt idx="47">
                  <c:v>60130</c:v>
                </c:pt>
                <c:pt idx="48">
                  <c:v>115920</c:v>
                </c:pt>
                <c:pt idx="49">
                  <c:v>78540</c:v>
                </c:pt>
                <c:pt idx="50">
                  <c:v>99970</c:v>
                </c:pt>
                <c:pt idx="51">
                  <c:v>96140</c:v>
                </c:pt>
                <c:pt idx="52">
                  <c:v>103550</c:v>
                </c:pt>
                <c:pt idx="53">
                  <c:v>48950</c:v>
                </c:pt>
                <c:pt idx="54">
                  <c:v>78390</c:v>
                </c:pt>
                <c:pt idx="55">
                  <c:v>86570</c:v>
                </c:pt>
                <c:pt idx="56">
                  <c:v>83750</c:v>
                </c:pt>
                <c:pt idx="57">
                  <c:v>92450</c:v>
                </c:pt>
                <c:pt idx="58">
                  <c:v>112650</c:v>
                </c:pt>
                <c:pt idx="59">
                  <c:v>79570</c:v>
                </c:pt>
                <c:pt idx="60">
                  <c:v>58960</c:v>
                </c:pt>
                <c:pt idx="61">
                  <c:v>118840</c:v>
                </c:pt>
                <c:pt idx="62">
                  <c:v>45510</c:v>
                </c:pt>
                <c:pt idx="63">
                  <c:v>114890</c:v>
                </c:pt>
                <c:pt idx="64">
                  <c:v>69710</c:v>
                </c:pt>
                <c:pt idx="65">
                  <c:v>71380</c:v>
                </c:pt>
                <c:pt idx="66">
                  <c:v>69120</c:v>
                </c:pt>
                <c:pt idx="67">
                  <c:v>118100</c:v>
                </c:pt>
                <c:pt idx="68">
                  <c:v>114870</c:v>
                </c:pt>
                <c:pt idx="69">
                  <c:v>91310</c:v>
                </c:pt>
                <c:pt idx="70">
                  <c:v>104770</c:v>
                </c:pt>
                <c:pt idx="71">
                  <c:v>54970</c:v>
                </c:pt>
                <c:pt idx="72">
                  <c:v>92700</c:v>
                </c:pt>
                <c:pt idx="73">
                  <c:v>65920</c:v>
                </c:pt>
                <c:pt idx="74">
                  <c:v>47360</c:v>
                </c:pt>
                <c:pt idx="75">
                  <c:v>60570</c:v>
                </c:pt>
                <c:pt idx="76">
                  <c:v>104120</c:v>
                </c:pt>
                <c:pt idx="77">
                  <c:v>100420</c:v>
                </c:pt>
                <c:pt idx="78">
                  <c:v>114180</c:v>
                </c:pt>
                <c:pt idx="79">
                  <c:v>33920</c:v>
                </c:pt>
                <c:pt idx="80">
                  <c:v>106460</c:v>
                </c:pt>
                <c:pt idx="81">
                  <c:v>40400</c:v>
                </c:pt>
                <c:pt idx="82">
                  <c:v>36040</c:v>
                </c:pt>
                <c:pt idx="83">
                  <c:v>104410</c:v>
                </c:pt>
                <c:pt idx="84">
                  <c:v>96800</c:v>
                </c:pt>
                <c:pt idx="85">
                  <c:v>85000</c:v>
                </c:pt>
                <c:pt idx="86">
                  <c:v>59430</c:v>
                </c:pt>
                <c:pt idx="87">
                  <c:v>65360</c:v>
                </c:pt>
                <c:pt idx="88">
                  <c:v>41570</c:v>
                </c:pt>
                <c:pt idx="89">
                  <c:v>75280</c:v>
                </c:pt>
                <c:pt idx="90">
                  <c:v>74550</c:v>
                </c:pt>
                <c:pt idx="91">
                  <c:v>67950</c:v>
                </c:pt>
                <c:pt idx="92">
                  <c:v>53540</c:v>
                </c:pt>
                <c:pt idx="93">
                  <c:v>112650</c:v>
                </c:pt>
                <c:pt idx="94">
                  <c:v>103550</c:v>
                </c:pt>
                <c:pt idx="95">
                  <c:v>45510</c:v>
                </c:pt>
                <c:pt idx="96">
                  <c:v>92700</c:v>
                </c:pt>
                <c:pt idx="97">
                  <c:v>91310</c:v>
                </c:pt>
                <c:pt idx="98">
                  <c:v>74550</c:v>
                </c:pt>
                <c:pt idx="99">
                  <c:v>104410</c:v>
                </c:pt>
                <c:pt idx="100">
                  <c:v>96800</c:v>
                </c:pt>
                <c:pt idx="101">
                  <c:v>37920</c:v>
                </c:pt>
                <c:pt idx="102">
                  <c:v>112650</c:v>
                </c:pt>
                <c:pt idx="103">
                  <c:v>118840</c:v>
                </c:pt>
                <c:pt idx="104">
                  <c:v>69710</c:v>
                </c:pt>
                <c:pt idx="105">
                  <c:v>79570</c:v>
                </c:pt>
                <c:pt idx="106">
                  <c:v>54970</c:v>
                </c:pt>
                <c:pt idx="107">
                  <c:v>36040</c:v>
                </c:pt>
                <c:pt idx="108">
                  <c:v>40400</c:v>
                </c:pt>
                <c:pt idx="109">
                  <c:v>100420</c:v>
                </c:pt>
                <c:pt idx="110">
                  <c:v>58100</c:v>
                </c:pt>
                <c:pt idx="111">
                  <c:v>114870</c:v>
                </c:pt>
                <c:pt idx="112">
                  <c:v>41570</c:v>
                </c:pt>
                <c:pt idx="113">
                  <c:v>112570</c:v>
                </c:pt>
                <c:pt idx="114">
                  <c:v>47360</c:v>
                </c:pt>
                <c:pt idx="115">
                  <c:v>65920</c:v>
                </c:pt>
                <c:pt idx="116">
                  <c:v>99970</c:v>
                </c:pt>
                <c:pt idx="117">
                  <c:v>119110</c:v>
                </c:pt>
                <c:pt idx="118">
                  <c:v>114890</c:v>
                </c:pt>
                <c:pt idx="119">
                  <c:v>48980</c:v>
                </c:pt>
                <c:pt idx="120">
                  <c:v>75880</c:v>
                </c:pt>
                <c:pt idx="121">
                  <c:v>53240</c:v>
                </c:pt>
                <c:pt idx="122">
                  <c:v>85000</c:v>
                </c:pt>
                <c:pt idx="123">
                  <c:v>33920</c:v>
                </c:pt>
                <c:pt idx="124">
                  <c:v>75280</c:v>
                </c:pt>
                <c:pt idx="125">
                  <c:v>58940</c:v>
                </c:pt>
                <c:pt idx="126">
                  <c:v>104770</c:v>
                </c:pt>
                <c:pt idx="127">
                  <c:v>57090</c:v>
                </c:pt>
                <c:pt idx="128">
                  <c:v>75970</c:v>
                </c:pt>
                <c:pt idx="129">
                  <c:v>60570</c:v>
                </c:pt>
                <c:pt idx="130">
                  <c:v>115920</c:v>
                </c:pt>
                <c:pt idx="131">
                  <c:v>65360</c:v>
                </c:pt>
                <c:pt idx="132">
                  <c:v>64000</c:v>
                </c:pt>
                <c:pt idx="133">
                  <c:v>92450</c:v>
                </c:pt>
                <c:pt idx="134">
                  <c:v>48950</c:v>
                </c:pt>
                <c:pt idx="135">
                  <c:v>83750</c:v>
                </c:pt>
                <c:pt idx="136">
                  <c:v>87620</c:v>
                </c:pt>
                <c:pt idx="137">
                  <c:v>53540</c:v>
                </c:pt>
                <c:pt idx="138">
                  <c:v>99750</c:v>
                </c:pt>
                <c:pt idx="139">
                  <c:v>41980</c:v>
                </c:pt>
                <c:pt idx="140">
                  <c:v>71380</c:v>
                </c:pt>
                <c:pt idx="141">
                  <c:v>86570</c:v>
                </c:pt>
                <c:pt idx="142">
                  <c:v>53540</c:v>
                </c:pt>
                <c:pt idx="143">
                  <c:v>69070</c:v>
                </c:pt>
                <c:pt idx="144">
                  <c:v>69120</c:v>
                </c:pt>
                <c:pt idx="145">
                  <c:v>60130</c:v>
                </c:pt>
                <c:pt idx="146">
                  <c:v>106460</c:v>
                </c:pt>
                <c:pt idx="147">
                  <c:v>118100</c:v>
                </c:pt>
                <c:pt idx="148">
                  <c:v>78390</c:v>
                </c:pt>
                <c:pt idx="149">
                  <c:v>114180</c:v>
                </c:pt>
                <c:pt idx="150">
                  <c:v>104120</c:v>
                </c:pt>
                <c:pt idx="151">
                  <c:v>67950</c:v>
                </c:pt>
                <c:pt idx="152">
                  <c:v>34980</c:v>
                </c:pt>
                <c:pt idx="153">
                  <c:v>62780</c:v>
                </c:pt>
                <c:pt idx="154">
                  <c:v>107700</c:v>
                </c:pt>
                <c:pt idx="155">
                  <c:v>65700</c:v>
                </c:pt>
                <c:pt idx="156">
                  <c:v>53870</c:v>
                </c:pt>
                <c:pt idx="157">
                  <c:v>78540</c:v>
                </c:pt>
                <c:pt idx="158">
                  <c:v>58960</c:v>
                </c:pt>
                <c:pt idx="159">
                  <c:v>70610</c:v>
                </c:pt>
                <c:pt idx="160">
                  <c:v>59430</c:v>
                </c:pt>
                <c:pt idx="161">
                  <c:v>96140</c:v>
                </c:pt>
                <c:pt idx="162">
                  <c:v>115440</c:v>
                </c:pt>
                <c:pt idx="163">
                  <c:v>112110</c:v>
                </c:pt>
                <c:pt idx="164">
                  <c:v>67910</c:v>
                </c:pt>
                <c:pt idx="165">
                  <c:v>49630</c:v>
                </c:pt>
                <c:pt idx="166">
                  <c:v>52610</c:v>
                </c:pt>
                <c:pt idx="167">
                  <c:v>68900</c:v>
                </c:pt>
                <c:pt idx="168">
                  <c:v>88050</c:v>
                </c:pt>
                <c:pt idx="169">
                  <c:v>70270</c:v>
                </c:pt>
                <c:pt idx="170">
                  <c:v>115440</c:v>
                </c:pt>
                <c:pt idx="171">
                  <c:v>49630</c:v>
                </c:pt>
                <c:pt idx="172">
                  <c:v>88050</c:v>
                </c:pt>
                <c:pt idx="173">
                  <c:v>52610</c:v>
                </c:pt>
                <c:pt idx="174">
                  <c:v>112110</c:v>
                </c:pt>
                <c:pt idx="175">
                  <c:v>70270</c:v>
                </c:pt>
                <c:pt idx="176">
                  <c:v>68900</c:v>
                </c:pt>
                <c:pt idx="177">
                  <c:v>67910</c:v>
                </c:pt>
                <c:pt idx="178">
                  <c:v>75480</c:v>
                </c:pt>
                <c:pt idx="179">
                  <c:v>113280</c:v>
                </c:pt>
                <c:pt idx="180">
                  <c:v>43510</c:v>
                </c:pt>
                <c:pt idx="181">
                  <c:v>43510</c:v>
                </c:pt>
                <c:pt idx="182">
                  <c:v>113280</c:v>
                </c:pt>
                <c:pt idx="183">
                  <c:v>75480</c:v>
                </c:pt>
              </c:numCache>
            </c:numRef>
          </c:xVal>
          <c:yVal>
            <c:numRef>
              <c:f>'All Staff'!$L$4:$L$187</c:f>
              <c:numCache>
                <c:formatCode>General</c:formatCode>
                <c:ptCount val="184"/>
                <c:pt idx="0">
                  <c:v>3</c:v>
                </c:pt>
                <c:pt idx="1">
                  <c:v>5</c:v>
                </c:pt>
                <c:pt idx="2">
                  <c:v>5</c:v>
                </c:pt>
                <c:pt idx="3">
                  <c:v>5</c:v>
                </c:pt>
                <c:pt idx="4">
                  <c:v>5</c:v>
                </c:pt>
                <c:pt idx="5">
                  <c:v>4</c:v>
                </c:pt>
                <c:pt idx="6">
                  <c:v>4</c:v>
                </c:pt>
                <c:pt idx="7">
                  <c:v>4</c:v>
                </c:pt>
                <c:pt idx="8">
                  <c:v>4</c:v>
                </c:pt>
                <c:pt idx="9">
                  <c:v>4</c:v>
                </c:pt>
                <c:pt idx="10">
                  <c:v>4</c:v>
                </c:pt>
                <c:pt idx="11">
                  <c:v>4</c:v>
                </c:pt>
                <c:pt idx="12">
                  <c:v>4</c:v>
                </c:pt>
                <c:pt idx="13">
                  <c:v>4</c:v>
                </c:pt>
                <c:pt idx="14">
                  <c:v>4</c:v>
                </c:pt>
                <c:pt idx="15">
                  <c:v>4</c:v>
                </c:pt>
                <c:pt idx="16">
                  <c:v>4</c:v>
                </c:pt>
                <c:pt idx="17">
                  <c:v>4</c:v>
                </c:pt>
                <c:pt idx="18">
                  <c:v>4</c:v>
                </c:pt>
                <c:pt idx="19">
                  <c:v>4</c:v>
                </c:pt>
                <c:pt idx="20">
                  <c:v>4</c:v>
                </c:pt>
                <c:pt idx="21">
                  <c:v>4</c:v>
                </c:pt>
                <c:pt idx="22">
                  <c:v>4</c:v>
                </c:pt>
                <c:pt idx="23">
                  <c:v>4</c:v>
                </c:pt>
                <c:pt idx="24">
                  <c:v>4</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3</c:v>
                </c:pt>
                <c:pt idx="71">
                  <c:v>3</c:v>
                </c:pt>
                <c:pt idx="72">
                  <c:v>3</c:v>
                </c:pt>
                <c:pt idx="73">
                  <c:v>3</c:v>
                </c:pt>
                <c:pt idx="74">
                  <c:v>3</c:v>
                </c:pt>
                <c:pt idx="75">
                  <c:v>3</c:v>
                </c:pt>
                <c:pt idx="76">
                  <c:v>3</c:v>
                </c:pt>
                <c:pt idx="77">
                  <c:v>3</c:v>
                </c:pt>
                <c:pt idx="78">
                  <c:v>3</c:v>
                </c:pt>
                <c:pt idx="79">
                  <c:v>3</c:v>
                </c:pt>
                <c:pt idx="80">
                  <c:v>3</c:v>
                </c:pt>
                <c:pt idx="81">
                  <c:v>3</c:v>
                </c:pt>
                <c:pt idx="82">
                  <c:v>3</c:v>
                </c:pt>
                <c:pt idx="83">
                  <c:v>3</c:v>
                </c:pt>
                <c:pt idx="84">
                  <c:v>3</c:v>
                </c:pt>
                <c:pt idx="85">
                  <c:v>3</c:v>
                </c:pt>
                <c:pt idx="86">
                  <c:v>3</c:v>
                </c:pt>
                <c:pt idx="87">
                  <c:v>3</c:v>
                </c:pt>
                <c:pt idx="88">
                  <c:v>3</c:v>
                </c:pt>
                <c:pt idx="89">
                  <c:v>3</c:v>
                </c:pt>
                <c:pt idx="90">
                  <c:v>3</c:v>
                </c:pt>
                <c:pt idx="91">
                  <c:v>3</c:v>
                </c:pt>
                <c:pt idx="92">
                  <c:v>3</c:v>
                </c:pt>
                <c:pt idx="93">
                  <c:v>3</c:v>
                </c:pt>
                <c:pt idx="94">
                  <c:v>3</c:v>
                </c:pt>
                <c:pt idx="95">
                  <c:v>3</c:v>
                </c:pt>
                <c:pt idx="96">
                  <c:v>3</c:v>
                </c:pt>
                <c:pt idx="97">
                  <c:v>3</c:v>
                </c:pt>
                <c:pt idx="98">
                  <c:v>3</c:v>
                </c:pt>
                <c:pt idx="99">
                  <c:v>3</c:v>
                </c:pt>
                <c:pt idx="100">
                  <c:v>3</c:v>
                </c:pt>
                <c:pt idx="101">
                  <c:v>3</c:v>
                </c:pt>
                <c:pt idx="102">
                  <c:v>3</c:v>
                </c:pt>
                <c:pt idx="103">
                  <c:v>3</c:v>
                </c:pt>
                <c:pt idx="104">
                  <c:v>3</c:v>
                </c:pt>
                <c:pt idx="105">
                  <c:v>3</c:v>
                </c:pt>
                <c:pt idx="106">
                  <c:v>3</c:v>
                </c:pt>
                <c:pt idx="107">
                  <c:v>3</c:v>
                </c:pt>
                <c:pt idx="108">
                  <c:v>3</c:v>
                </c:pt>
                <c:pt idx="109">
                  <c:v>3</c:v>
                </c:pt>
                <c:pt idx="110">
                  <c:v>3</c:v>
                </c:pt>
                <c:pt idx="111">
                  <c:v>3</c:v>
                </c:pt>
                <c:pt idx="112">
                  <c:v>3</c:v>
                </c:pt>
                <c:pt idx="113">
                  <c:v>3</c:v>
                </c:pt>
                <c:pt idx="114">
                  <c:v>3</c:v>
                </c:pt>
                <c:pt idx="115">
                  <c:v>3</c:v>
                </c:pt>
                <c:pt idx="116">
                  <c:v>3</c:v>
                </c:pt>
                <c:pt idx="117">
                  <c:v>3</c:v>
                </c:pt>
                <c:pt idx="118">
                  <c:v>3</c:v>
                </c:pt>
                <c:pt idx="119">
                  <c:v>3</c:v>
                </c:pt>
                <c:pt idx="120">
                  <c:v>3</c:v>
                </c:pt>
                <c:pt idx="121">
                  <c:v>3</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3</c:v>
                </c:pt>
                <c:pt idx="160">
                  <c:v>3</c:v>
                </c:pt>
                <c:pt idx="161">
                  <c:v>3</c:v>
                </c:pt>
                <c:pt idx="162">
                  <c:v>2</c:v>
                </c:pt>
                <c:pt idx="163">
                  <c:v>2</c:v>
                </c:pt>
                <c:pt idx="164">
                  <c:v>2</c:v>
                </c:pt>
                <c:pt idx="165">
                  <c:v>2</c:v>
                </c:pt>
                <c:pt idx="166">
                  <c:v>2</c:v>
                </c:pt>
                <c:pt idx="167">
                  <c:v>2</c:v>
                </c:pt>
                <c:pt idx="168">
                  <c:v>2</c:v>
                </c:pt>
                <c:pt idx="169">
                  <c:v>2</c:v>
                </c:pt>
                <c:pt idx="170">
                  <c:v>2</c:v>
                </c:pt>
                <c:pt idx="171">
                  <c:v>2</c:v>
                </c:pt>
                <c:pt idx="172">
                  <c:v>2</c:v>
                </c:pt>
                <c:pt idx="173">
                  <c:v>2</c:v>
                </c:pt>
                <c:pt idx="174">
                  <c:v>2</c:v>
                </c:pt>
                <c:pt idx="175">
                  <c:v>2</c:v>
                </c:pt>
                <c:pt idx="176">
                  <c:v>2</c:v>
                </c:pt>
                <c:pt idx="177">
                  <c:v>2</c:v>
                </c:pt>
                <c:pt idx="178">
                  <c:v>1</c:v>
                </c:pt>
                <c:pt idx="179">
                  <c:v>1</c:v>
                </c:pt>
                <c:pt idx="180">
                  <c:v>1</c:v>
                </c:pt>
                <c:pt idx="181">
                  <c:v>1</c:v>
                </c:pt>
                <c:pt idx="182">
                  <c:v>1</c:v>
                </c:pt>
                <c:pt idx="183">
                  <c:v>1</c:v>
                </c:pt>
              </c:numCache>
            </c:numRef>
          </c:yVal>
          <c:smooth val="0"/>
          <c:extLst>
            <c:ext xmlns:c16="http://schemas.microsoft.com/office/drawing/2014/chart" uri="{C3380CC4-5D6E-409C-BE32-E72D297353CC}">
              <c16:uniqueId val="{00000000-9625-480C-A198-30C453291349}"/>
            </c:ext>
          </c:extLst>
        </c:ser>
        <c:dLbls>
          <c:showLegendKey val="0"/>
          <c:showVal val="0"/>
          <c:showCatName val="0"/>
          <c:showSerName val="0"/>
          <c:showPercent val="0"/>
          <c:showBubbleSize val="0"/>
        </c:dLbls>
        <c:axId val="1529914479"/>
        <c:axId val="1529914959"/>
      </c:scatterChart>
      <c:valAx>
        <c:axId val="1529914479"/>
        <c:scaling>
          <c:orientation val="minMax"/>
        </c:scaling>
        <c:delete val="0"/>
        <c:axPos val="b"/>
        <c:majorGridlines>
          <c:spPr>
            <a:ln w="9525" cap="flat" cmpd="sng" algn="ctr">
              <a:solidFill>
                <a:schemeClr val="dk1">
                  <a:lumMod val="15000"/>
                  <a:lumOff val="85000"/>
                </a:schemeClr>
              </a:solidFill>
              <a:round/>
            </a:ln>
            <a:effectLst/>
          </c:spPr>
        </c:majorGridlines>
        <c:numFmt formatCode="&quot;₹&quot;#,##0.00_);[Red]\(&quot;₹&quot;#,##0.00\)" sourceLinked="1"/>
        <c:majorTickMark val="none"/>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1529914959"/>
        <c:crosses val="autoZero"/>
        <c:crossBetween val="midCat"/>
      </c:valAx>
      <c:valAx>
        <c:axId val="1529914959"/>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1529914479"/>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[complete-data-analytics-project-1.xlsx]employee trend!PivotTable1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trend'!$C$3</c:f>
              <c:strCache>
                <c:ptCount val="1"/>
                <c:pt idx="0">
                  <c:v>Total</c:v>
                </c:pt>
              </c:strCache>
            </c:strRef>
          </c:tx>
          <c:spPr>
            <a:ln w="28575" cap="rnd">
              <a:solidFill>
                <a:schemeClr val="accent1"/>
              </a:solidFill>
              <a:round/>
            </a:ln>
            <a:effectLst/>
          </c:spPr>
          <c:marker>
            <c:symbol val="none"/>
          </c:marker>
          <c:cat>
            <c:multiLvlStrRef>
              <c:f>'employee trend'!$B$4:$B$40</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trend'!$C$4:$C$40</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4341-4E3B-95AE-1B0DC21B216D}"/>
            </c:ext>
          </c:extLst>
        </c:ser>
        <c:dLbls>
          <c:showLegendKey val="0"/>
          <c:showVal val="0"/>
          <c:showCatName val="0"/>
          <c:showSerName val="0"/>
          <c:showPercent val="0"/>
          <c:showBubbleSize val="0"/>
        </c:dLbls>
        <c:smooth val="0"/>
        <c:axId val="1844212240"/>
        <c:axId val="1094386048"/>
      </c:lineChart>
      <c:catAx>
        <c:axId val="1844212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386048"/>
        <c:crosses val="autoZero"/>
        <c:auto val="1"/>
        <c:lblAlgn val="ctr"/>
        <c:lblOffset val="100"/>
        <c:noMultiLvlLbl val="0"/>
      </c:catAx>
      <c:valAx>
        <c:axId val="1094386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4212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trend'!$N$4:$N$43</c:f>
              <c:numCache>
                <c:formatCode>mmm\-yy</c:formatCode>
                <c:ptCount val="40"/>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pt idx="36">
                  <c:v>45047</c:v>
                </c:pt>
                <c:pt idx="37">
                  <c:v>45078</c:v>
                </c:pt>
                <c:pt idx="38">
                  <c:v>45108</c:v>
                </c:pt>
                <c:pt idx="39">
                  <c:v>45139</c:v>
                </c:pt>
              </c:numCache>
            </c:numRef>
          </c:cat>
          <c:val>
            <c:numRef>
              <c:f>'employee trend'!$P$4:$P$43</c:f>
              <c:numCache>
                <c:formatCode>General</c:formatCode>
                <c:ptCount val="40"/>
                <c:pt idx="0">
                  <c:v>3</c:v>
                </c:pt>
                <c:pt idx="1">
                  <c:v>4</c:v>
                </c:pt>
                <c:pt idx="2">
                  <c:v>10</c:v>
                </c:pt>
                <c:pt idx="3">
                  <c:v>13</c:v>
                </c:pt>
                <c:pt idx="4">
                  <c:v>19</c:v>
                </c:pt>
                <c:pt idx="5">
                  <c:v>25</c:v>
                </c:pt>
                <c:pt idx="6">
                  <c:v>31</c:v>
                </c:pt>
                <c:pt idx="7">
                  <c:v>38</c:v>
                </c:pt>
                <c:pt idx="8">
                  <c:v>44</c:v>
                </c:pt>
                <c:pt idx="9">
                  <c:v>48</c:v>
                </c:pt>
                <c:pt idx="10">
                  <c:v>57</c:v>
                </c:pt>
                <c:pt idx="11">
                  <c:v>62</c:v>
                </c:pt>
                <c:pt idx="12">
                  <c:v>72</c:v>
                </c:pt>
                <c:pt idx="13">
                  <c:v>78</c:v>
                </c:pt>
                <c:pt idx="14">
                  <c:v>91</c:v>
                </c:pt>
                <c:pt idx="15">
                  <c:v>95</c:v>
                </c:pt>
                <c:pt idx="16">
                  <c:v>106</c:v>
                </c:pt>
                <c:pt idx="17">
                  <c:v>109</c:v>
                </c:pt>
                <c:pt idx="18">
                  <c:v>113</c:v>
                </c:pt>
                <c:pt idx="19">
                  <c:v>120</c:v>
                </c:pt>
                <c:pt idx="20">
                  <c:v>123</c:v>
                </c:pt>
                <c:pt idx="21">
                  <c:v>133</c:v>
                </c:pt>
                <c:pt idx="22">
                  <c:v>142</c:v>
                </c:pt>
                <c:pt idx="23">
                  <c:v>151</c:v>
                </c:pt>
                <c:pt idx="24">
                  <c:v>160</c:v>
                </c:pt>
                <c:pt idx="25">
                  <c:v>167</c:v>
                </c:pt>
                <c:pt idx="26">
                  <c:v>172</c:v>
                </c:pt>
                <c:pt idx="27">
                  <c:v>177</c:v>
                </c:pt>
                <c:pt idx="28">
                  <c:v>179</c:v>
                </c:pt>
                <c:pt idx="29">
                  <c:v>182</c:v>
                </c:pt>
                <c:pt idx="30">
                  <c:v>182</c:v>
                </c:pt>
                <c:pt idx="31">
                  <c:v>182</c:v>
                </c:pt>
                <c:pt idx="32">
                  <c:v>182</c:v>
                </c:pt>
                <c:pt idx="33">
                  <c:v>183</c:v>
                </c:pt>
                <c:pt idx="34">
                  <c:v>183</c:v>
                </c:pt>
                <c:pt idx="35">
                  <c:v>184</c:v>
                </c:pt>
                <c:pt idx="36">
                  <c:v>184</c:v>
                </c:pt>
                <c:pt idx="37">
                  <c:v>184</c:v>
                </c:pt>
                <c:pt idx="38">
                  <c:v>184</c:v>
                </c:pt>
                <c:pt idx="39">
                  <c:v>184</c:v>
                </c:pt>
              </c:numCache>
            </c:numRef>
          </c:val>
          <c:smooth val="0"/>
          <c:extLst>
            <c:ext xmlns:c16="http://schemas.microsoft.com/office/drawing/2014/chart" uri="{C3380CC4-5D6E-409C-BE32-E72D297353CC}">
              <c16:uniqueId val="{00000000-AB3D-48D8-9A81-93BF4B96395F}"/>
            </c:ext>
          </c:extLst>
        </c:ser>
        <c:dLbls>
          <c:showLegendKey val="0"/>
          <c:showVal val="0"/>
          <c:showCatName val="0"/>
          <c:showSerName val="0"/>
          <c:showPercent val="0"/>
          <c:showBubbleSize val="0"/>
        </c:dLbls>
        <c:marker val="1"/>
        <c:smooth val="0"/>
        <c:axId val="1229580064"/>
        <c:axId val="1229569504"/>
      </c:lineChart>
      <c:dateAx>
        <c:axId val="1229580064"/>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569504"/>
        <c:crosses val="autoZero"/>
        <c:auto val="1"/>
        <c:lblOffset val="100"/>
        <c:baseTimeUnit val="months"/>
      </c:dateAx>
      <c:valAx>
        <c:axId val="1229569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58006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distribution</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salary distribution</a:t>
          </a:r>
        </a:p>
      </cx:txPr>
    </cx:title>
    <cx:plotArea>
      <cx:plotAreaRegion>
        <cx:series layoutId="clusteredColumn" uniqueId="{1201C07B-88CF-48D9-B576-08DFE4430FA4}">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spread-box plot</a:t>
          </a:r>
        </a:p>
      </cx:txPr>
    </cx:title>
    <cx:plotArea>
      <cx:plotAreaRegion>
        <cx:series layoutId="boxWhisker" uniqueId="{690E5240-98F8-45BA-9DF3-73104CB52C87}">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6">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effectRef idx="1"/>
    <cs:fontRef idx="minor">
      <a:schemeClr val="dk1"/>
    </cs:fontRef>
    <cs:spPr>
      <a:ln w="9525" cap="flat" cmpd="sng" algn="ctr">
        <a:solidFill>
          <a:schemeClr val="phClr">
            <a:alpha val="70000"/>
          </a:schemeClr>
        </a:solidFill>
        <a:prstDash val="sysDot"/>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rnd">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rnd">
        <a:solidFill>
          <a:schemeClr val="dk1">
            <a:lumMod val="65000"/>
            <a:lumOff val="35000"/>
          </a:schemeClr>
        </a:solidFill>
        <a:round/>
      </a:ln>
    </cs:spPr>
  </cs:downBar>
  <cs:dropLine>
    <cs:lnRef idx="0"/>
    <cs:fillRef idx="0"/>
    <cs:effectRef idx="0"/>
    <cs:fontRef idx="minor">
      <a:schemeClr val="dk1"/>
    </cs:fontRef>
    <cs:spPr>
      <a:ln w="9525" cap="rnd">
        <a:solidFill>
          <a:schemeClr val="dk1">
            <a:lumMod val="35000"/>
            <a:lumOff val="65000"/>
          </a:schemeClr>
        </a:solidFill>
        <a:round/>
      </a:ln>
    </cs:spPr>
  </cs:dropLine>
  <cs:errorBar>
    <cs:lnRef idx="0"/>
    <cs:fillRef idx="0"/>
    <cs:effectRef idx="0"/>
    <cs:fontRef idx="minor">
      <a:schemeClr val="dk1"/>
    </cs:fontRef>
    <cs:spPr>
      <a:ln w="9525" cap="rnd">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rnd">
        <a:solidFill>
          <a:schemeClr val="dk1">
            <a:lumMod val="35000"/>
            <a:lumOff val="65000"/>
          </a:schemeClr>
        </a:solidFill>
        <a:round/>
      </a:ln>
    </cs:spPr>
  </cs:hiLoLine>
  <cs:leaderLine>
    <cs:lnRef idx="0"/>
    <cs:fillRef idx="0"/>
    <cs:effectRef idx="0"/>
    <cs:fontRef idx="minor">
      <a:schemeClr val="dk1"/>
    </cs:fontRef>
    <cs:spPr>
      <a:ln w="9525" cap="rnd">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spc="0" baseline="0"/>
  </cs:legend>
  <cs:plotArea>
    <cs:lnRef idx="0"/>
    <cs:fillRef idx="0"/>
    <cs:effectRef idx="0"/>
    <cs:fontRef idx="minor">
      <a:schemeClr val="dk1"/>
    </cs:fontRef>
    <cs:spPr>
      <a:gradFill>
        <a:gsLst>
          <a:gs pos="100000">
            <a:schemeClr val="lt1">
              <a:lumMod val="95000"/>
            </a:schemeClr>
          </a:gs>
          <a:gs pos="0">
            <a:schemeClr val="lt1">
              <a:alpha val="0"/>
            </a:schemeClr>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seriesAxis>
  <cs:seriesLine>
    <cs:lnRef idx="0"/>
    <cs:fillRef idx="0"/>
    <cs:effectRef idx="0"/>
    <cs:fontRef idx="minor">
      <a:schemeClr val="dk1"/>
    </cs:fontRef>
    <cs:spPr>
      <a:ln w="9525" cap="rnd">
        <a:solidFill>
          <a:schemeClr val="dk1">
            <a:lumMod val="35000"/>
            <a:lumOff val="65000"/>
          </a:schemeClr>
        </a:solidFill>
        <a:round/>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spPr>
      <a:ln w="9525" cap="rnd">
        <a:solidFill>
          <a:schemeClr val="dk1">
            <a:lumMod val="25000"/>
            <a:lumOff val="75000"/>
          </a:schemeClr>
        </a:solidFill>
        <a:round/>
      </a:ln>
    </cs:spPr>
    <cs:defRPr sz="900" kern="1200" spc="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https://youtu.be/H6k28jhclwI" TargetMode="External"/><Relationship Id="rId2" Type="http://schemas.openxmlformats.org/officeDocument/2006/relationships/image" Target="../media/image1.png"/><Relationship Id="rId1" Type="http://schemas.openxmlformats.org/officeDocument/2006/relationships/hyperlink" Target="https://chandoo.org/wp/" TargetMode="External"/><Relationship Id="rId6" Type="http://schemas.openxmlformats.org/officeDocument/2006/relationships/image" Target="../media/image3.png"/><Relationship Id="rId5" Type="http://schemas.openxmlformats.org/officeDocument/2006/relationships/hyperlink" Target="https://chandoo.org/wp/excel-school-program/" TargetMode="Externa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149958</xdr:rowOff>
    </xdr:from>
    <xdr:to>
      <xdr:col>16</xdr:col>
      <xdr:colOff>47625</xdr:colOff>
      <xdr:row>2</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F92F0C86-81F4-8FF2-79D4-1A937B0920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67550" y="149958"/>
          <a:ext cx="2486025" cy="707292"/>
        </a:xfrm>
        <a:prstGeom prst="rect">
          <a:avLst/>
        </a:prstGeom>
      </xdr:spPr>
    </xdr:pic>
    <xdr:clientData/>
  </xdr:twoCellAnchor>
  <xdr:twoCellAnchor editAs="oneCell">
    <xdr:from>
      <xdr:col>12</xdr:col>
      <xdr:colOff>0</xdr:colOff>
      <xdr:row>4</xdr:row>
      <xdr:rowOff>0</xdr:rowOff>
    </xdr:from>
    <xdr:to>
      <xdr:col>16</xdr:col>
      <xdr:colOff>6350</xdr:colOff>
      <xdr:row>11</xdr:row>
      <xdr:rowOff>41055</xdr:rowOff>
    </xdr:to>
    <xdr:pic>
      <xdr:nvPicPr>
        <xdr:cNvPr id="2" name="Picture 1">
          <a:hlinkClick xmlns:r="http://schemas.openxmlformats.org/officeDocument/2006/relationships" r:id="rId3"/>
          <a:extLst>
            <a:ext uri="{FF2B5EF4-FFF2-40B4-BE49-F238E27FC236}">
              <a16:creationId xmlns:a16="http://schemas.microsoft.com/office/drawing/2014/main" id="{57E6FE93-84F3-45D7-B277-295969E51D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524625" y="1238250"/>
          <a:ext cx="2444750" cy="1374555"/>
        </a:xfrm>
        <a:prstGeom prst="rect">
          <a:avLst/>
        </a:prstGeom>
        <a:ln>
          <a:solidFill>
            <a:schemeClr val="tx1"/>
          </a:solidFill>
        </a:ln>
      </xdr:spPr>
    </xdr:pic>
    <xdr:clientData/>
  </xdr:twoCellAnchor>
  <xdr:twoCellAnchor>
    <xdr:from>
      <xdr:col>12</xdr:col>
      <xdr:colOff>548508</xdr:colOff>
      <xdr:row>10</xdr:row>
      <xdr:rowOff>124811</xdr:rowOff>
    </xdr:from>
    <xdr:to>
      <xdr:col>15</xdr:col>
      <xdr:colOff>67167</xdr:colOff>
      <xdr:row>12</xdr:row>
      <xdr:rowOff>19707</xdr:rowOff>
    </xdr:to>
    <xdr:sp macro="" textlink="">
      <xdr:nvSpPr>
        <xdr:cNvPr id="3" name="Rectangle: Rounded Corners 2">
          <a:hlinkClick xmlns:r="http://schemas.openxmlformats.org/officeDocument/2006/relationships" r:id="rId3"/>
          <a:extLst>
            <a:ext uri="{FF2B5EF4-FFF2-40B4-BE49-F238E27FC236}">
              <a16:creationId xmlns:a16="http://schemas.microsoft.com/office/drawing/2014/main" id="{FB0C10A5-873E-49A5-819F-85042883FE66}"/>
            </a:ext>
          </a:extLst>
        </xdr:cNvPr>
        <xdr:cNvSpPr/>
      </xdr:nvSpPr>
      <xdr:spPr>
        <a:xfrm>
          <a:off x="7073133" y="2506061"/>
          <a:ext cx="1347459" cy="275896"/>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latin typeface="Roboto" panose="02000000000000000000" pitchFamily="2" charset="0"/>
              <a:ea typeface="Roboto" panose="02000000000000000000" pitchFamily="2" charset="0"/>
            </a:rPr>
            <a:t>Watch the video</a:t>
          </a:r>
        </a:p>
      </xdr:txBody>
    </xdr:sp>
    <xdr:clientData/>
  </xdr:twoCellAnchor>
  <xdr:twoCellAnchor editAs="oneCell">
    <xdr:from>
      <xdr:col>12</xdr:col>
      <xdr:colOff>0</xdr:colOff>
      <xdr:row>13</xdr:row>
      <xdr:rowOff>0</xdr:rowOff>
    </xdr:from>
    <xdr:to>
      <xdr:col>16</xdr:col>
      <xdr:colOff>19488</xdr:colOff>
      <xdr:row>25</xdr:row>
      <xdr:rowOff>170793</xdr:rowOff>
    </xdr:to>
    <xdr:pic>
      <xdr:nvPicPr>
        <xdr:cNvPr id="5" name="Picture 4">
          <a:hlinkClick xmlns:r="http://schemas.openxmlformats.org/officeDocument/2006/relationships" r:id="rId5"/>
          <a:extLst>
            <a:ext uri="{FF2B5EF4-FFF2-40B4-BE49-F238E27FC236}">
              <a16:creationId xmlns:a16="http://schemas.microsoft.com/office/drawing/2014/main" id="{B36909BE-7360-4913-9D8E-2CCF602982C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24625" y="2952750"/>
          <a:ext cx="2457888" cy="2456793"/>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3</xdr:row>
      <xdr:rowOff>0</xdr:rowOff>
    </xdr:from>
    <xdr:to>
      <xdr:col>14</xdr:col>
      <xdr:colOff>405144</xdr:colOff>
      <xdr:row>27</xdr:row>
      <xdr:rowOff>5638</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A5A26D3-5966-41BF-8B6D-8977A8D1C91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19200" y="548640"/>
              <a:ext cx="7720344" cy="439475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434339</xdr:colOff>
      <xdr:row>5</xdr:row>
      <xdr:rowOff>60960</xdr:rowOff>
    </xdr:from>
    <xdr:to>
      <xdr:col>26</xdr:col>
      <xdr:colOff>268940</xdr:colOff>
      <xdr:row>34</xdr:row>
      <xdr:rowOff>44824</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F7DA5B0-4B56-4BEA-ADA1-E82214332F1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187939" y="975360"/>
              <a:ext cx="5930601" cy="528738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9</xdr:row>
      <xdr:rowOff>0</xdr:rowOff>
    </xdr:from>
    <xdr:to>
      <xdr:col>14</xdr:col>
      <xdr:colOff>318745</xdr:colOff>
      <xdr:row>23</xdr:row>
      <xdr:rowOff>163357</xdr:rowOff>
    </xdr:to>
    <xdr:graphicFrame macro="">
      <xdr:nvGraphicFramePr>
        <xdr:cNvPr id="2" name="Chart 1">
          <a:extLst>
            <a:ext uri="{FF2B5EF4-FFF2-40B4-BE49-F238E27FC236}">
              <a16:creationId xmlns:a16="http://schemas.microsoft.com/office/drawing/2014/main" id="{FEABB91E-F113-4B9A-A892-48A6520078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708660</xdr:colOff>
      <xdr:row>6</xdr:row>
      <xdr:rowOff>41910</xdr:rowOff>
    </xdr:from>
    <xdr:to>
      <xdr:col>10</xdr:col>
      <xdr:colOff>68580</xdr:colOff>
      <xdr:row>21</xdr:row>
      <xdr:rowOff>41910</xdr:rowOff>
    </xdr:to>
    <xdr:graphicFrame macro="">
      <xdr:nvGraphicFramePr>
        <xdr:cNvPr id="2" name="Chart 1">
          <a:extLst>
            <a:ext uri="{FF2B5EF4-FFF2-40B4-BE49-F238E27FC236}">
              <a16:creationId xmlns:a16="http://schemas.microsoft.com/office/drawing/2014/main" id="{963458BF-9082-2F8A-ED6A-7098D0308F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357399</xdr:colOff>
      <xdr:row>26</xdr:row>
      <xdr:rowOff>34391</xdr:rowOff>
    </xdr:from>
    <xdr:to>
      <xdr:col>11</xdr:col>
      <xdr:colOff>209045</xdr:colOff>
      <xdr:row>41</xdr:row>
      <xdr:rowOff>46529</xdr:rowOff>
    </xdr:to>
    <xdr:graphicFrame macro="">
      <xdr:nvGraphicFramePr>
        <xdr:cNvPr id="5" name="Chart 4">
          <a:extLst>
            <a:ext uri="{FF2B5EF4-FFF2-40B4-BE49-F238E27FC236}">
              <a16:creationId xmlns:a16="http://schemas.microsoft.com/office/drawing/2014/main" id="{30B8891A-556E-E41C-E71A-8927DE577E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22860</xdr:colOff>
      <xdr:row>5</xdr:row>
      <xdr:rowOff>7621</xdr:rowOff>
    </xdr:from>
    <xdr:to>
      <xdr:col>7</xdr:col>
      <xdr:colOff>1013460</xdr:colOff>
      <xdr:row>9</xdr:row>
      <xdr:rowOff>152401</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2967A84C-A125-96FB-3441-F8C8E80D7C4F}"/>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922520" y="922021"/>
              <a:ext cx="1813560" cy="876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NGATESH K" refreshedDate="45432.368828472223" createdVersion="8" refreshedVersion="8" minRefreshableVersion="3" recordCount="183" xr:uid="{A0E56414-F670-4510-B433-342F38DF59D5}">
  <cacheSource type="worksheet">
    <worksheetSource name="staff"/>
  </cacheSource>
  <cacheFields count="11">
    <cacheField name="Name" numFmtId="0">
      <sharedItems/>
    </cacheField>
    <cacheField name="Gender" numFmtId="0">
      <sharedItems/>
    </cacheField>
    <cacheField name="Age" numFmtId="0">
      <sharedItems containsSemiMixedTypes="0" containsString="0" containsNumber="1" containsInteger="1" minValue="19" maxValue="46"/>
    </cacheField>
    <cacheField name="Rating" numFmtId="0">
      <sharedItems containsMixedTypes="1" containsNumber="1" containsInteger="1" minValue="100" maxValue="100" count="6">
        <s v="Exceptional"/>
        <s v="Above average"/>
        <s v="Average"/>
        <s v="Poor"/>
        <s v="Very poor"/>
        <n v="100" u="1"/>
      </sharedItems>
    </cacheField>
    <cacheField name="Date Joined" numFmtId="14">
      <sharedItems containsSemiMixedTypes="0" containsNonDate="0" containsDate="1" containsString="0" minDate="2020-05-07T00:00:00" maxDate="2023-04-30T00:00:00"/>
    </cacheField>
    <cacheField name="Department" numFmtId="0">
      <sharedItems/>
    </cacheField>
    <cacheField name="Salary" numFmtId="8">
      <sharedItems containsSemiMixedTypes="0" containsString="0" containsNumber="1" containsInteger="1" minValue="33920" maxValue="119110"/>
    </cacheField>
    <cacheField name="Country" numFmtId="0">
      <sharedItems/>
    </cacheField>
    <cacheField name="tenure" numFmtId="2">
      <sharedItems containsSemiMixedTypes="0" containsString="0" containsNumber="1" minValue="1.0602739726027397" maxValue="4.0383561643835613"/>
    </cacheField>
    <cacheField name="bonus" numFmtId="6">
      <sharedItems containsSemiMixedTypes="0" containsString="0" containsNumber="1" minValue="808" maxValue="3573.2999999999997"/>
    </cacheField>
    <cacheField name="rating as number" numFmtId="0">
      <sharedItems containsSemiMixedTypes="0" containsString="0" containsNumber="1" containsInteger="1" minValue="1" maxValue="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NGATESH K" refreshedDate="45432.37518171296" backgroundQuery="1" createdVersion="8" refreshedVersion="8" minRefreshableVersion="3" recordCount="0" supportSubquery="1" supportAdvancedDrill="1" xr:uid="{16152890-2221-477E-9837-4D9A56055DB0}">
  <cacheSource type="external" connectionId="4"/>
  <cacheFields count="6">
    <cacheField name="[staff].[Gender].[Gender]" caption="Gender" numFmtId="0" hierarchy="1" level="1">
      <sharedItems count="2">
        <s v="Female"/>
        <s v="Male"/>
      </sharedItems>
    </cacheField>
    <cacheField name="[Measures].[Count of Name]" caption="Count of Name" numFmtId="0" hierarchy="17" level="32767"/>
    <cacheField name="[Measures].[Average of Salary]" caption="Average of Salary" numFmtId="0" hierarchy="21" level="32767"/>
    <cacheField name="[Measures].[Average of Age]" caption="Average of Age" numFmtId="0" hierarchy="22" level="32767"/>
    <cacheField name="[Measures].[Average of tenure]" caption="Average of tenure" numFmtId="0" hierarchy="23" level="32767"/>
    <cacheField name="[staff].[Country].[Country]" caption="Country" numFmtId="0" hierarchy="7" level="1">
      <sharedItems containsSemiMixedTypes="0" containsNonDate="0" containsString="0"/>
    </cacheField>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5"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Average of Age]" caption="Average of Age" measure="1" displayFolder="" measureGroup="staff" count="0" oneField="1" hidden="1">
      <fieldsUsage count="1">
        <fieldUsage x="3"/>
      </fieldsUsage>
      <extLst>
        <ext xmlns:x15="http://schemas.microsoft.com/office/spreadsheetml/2010/11/main" uri="{B97F6D7D-B522-45F9-BDA1-12C45D357490}">
          <x15:cacheHierarchy aggregatedColumn="2"/>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NGATESH K" refreshedDate="45432.393580787037" backgroundQuery="1" createdVersion="8" refreshedVersion="8" minRefreshableVersion="3" recordCount="0" supportSubquery="1" supportAdvancedDrill="1" xr:uid="{7087E3F6-141E-4821-9577-CECE27D4D3C1}">
  <cacheSource type="external" connectionId="4"/>
  <cacheFields count="3">
    <cacheField name="[Measures].[Count of Name]" caption="Count of Name" numFmtId="0" hierarchy="17" level="32767"/>
    <cacheField name="[staff].[Date Joined (Year)].[Date Joined (Year)]" caption="Date Joined (Year)" numFmtId="0" hierarchy="11" level="1">
      <sharedItems count="4">
        <s v="2020"/>
        <s v="2021"/>
        <s v="2022"/>
        <s v="2023"/>
      </sharedItems>
    </cacheField>
    <cacheField name="[staff].[Date Joined (Month)].[Date Joined (Month)]" caption="Date Joined (Month)" numFmtId="0" hierarchy="13" level="1">
      <sharedItems count="12">
        <s v="May"/>
        <s v="Jun"/>
        <s v="Jul"/>
        <s v="Aug"/>
        <s v="Sep"/>
        <s v="Oct"/>
        <s v="Nov"/>
        <s v="Dec"/>
        <s v="Jan"/>
        <s v="Feb"/>
        <s v="Mar"/>
        <s v="Apr"/>
      </sharedItems>
    </cacheField>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2"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5"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2"/>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NGATESH K" refreshedDate="45432.431258217592" backgroundQuery="1" createdVersion="8" refreshedVersion="8" minRefreshableVersion="3" recordCount="0" supportSubquery="1" supportAdvancedDrill="1" xr:uid="{C1C9C173-47CB-4FEB-AD1C-8A81E20164B4}">
  <cacheSource type="external" connectionId="4"/>
  <cacheFields count="4">
    <cacheField name="[Measures].[Count of Name]" caption="Count of Name" numFmtId="0" hierarchy="17" level="32767"/>
    <cacheField name="[staff].[Department].[Department]" caption="Department" numFmtId="0" hierarchy="5" level="1">
      <sharedItems count="5">
        <s v="Finance"/>
        <s v="HR"/>
        <s v="Procurement"/>
        <s v="Sales"/>
        <s v="Website"/>
      </sharedItems>
    </cacheField>
    <cacheField name="[staff].[Country].[Country]" caption="Country" numFmtId="0" hierarchy="7" level="1">
      <sharedItems count="1">
        <s v="IND"/>
      </sharedItems>
    </cacheField>
    <cacheField name="[Measures].[Average of Salary]" caption="Average of Salary" numFmtId="0" hierarchy="21"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1"/>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5"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NGATESH K" refreshedDate="45432.431503009262" backgroundQuery="1" createdVersion="8" refreshedVersion="8" minRefreshableVersion="3" recordCount="0" supportSubquery="1" supportAdvancedDrill="1" xr:uid="{3D4072F4-331D-427B-9F41-67E726AD4AA2}">
  <cacheSource type="external" connectionId="4"/>
  <cacheFields count="4">
    <cacheField name="[Measures].[Count of Name]" caption="Count of Name" numFmtId="0" hierarchy="17" level="32767"/>
    <cacheField name="[staff].[Department].[Department]" caption="Department" numFmtId="0" hierarchy="5" level="1">
      <sharedItems count="5">
        <s v="Finance"/>
        <s v="HR"/>
        <s v="Procurement"/>
        <s v="Sales"/>
        <s v="Website"/>
      </sharedItems>
    </cacheField>
    <cacheField name="[staff].[Country].[Country]" caption="Country" numFmtId="0" hierarchy="7" level="1">
      <sharedItems count="1">
        <s v="NZ"/>
      </sharedItems>
    </cacheField>
    <cacheField name="[Measures].[Average of Salary]" caption="Average of Salary" numFmtId="0" hierarchy="21" level="32767"/>
  </cacheFields>
  <cacheHierarchies count="24">
    <cacheHierarchy uniqueName="[staff].[Name]" caption="Name" attribute="1" defaultMemberUniqueName="[staff].[Name].[All]" allUniqueName="[staff].[Name].[All]" dimensionUniqueName="[staff]" displayFolder="" count="2" memberValueDatatype="130" unbalanced="0"/>
    <cacheHierarchy uniqueName="[staff].[Gender]" caption="Gender" attribute="1" defaultMemberUniqueName="[staff].[Gender].[All]" allUniqueName="[staff].[Gender].[All]" dimensionUniqueName="[staff]" displayFolder="" count="2" memberValueDatatype="130" unbalanced="0"/>
    <cacheHierarchy uniqueName="[staff].[Age]" caption="Age" attribute="1" defaultMemberUniqueName="[staff].[Age].[All]" allUniqueName="[staff].[Age].[All]" dimensionUniqueName="[staff]" displayFolder="" count="2" memberValueDatatype="20" unbalanced="0"/>
    <cacheHierarchy uniqueName="[staff].[Rating]" caption="Rating" attribute="1" defaultMemberUniqueName="[staff].[Rating].[All]" allUniqueName="[staff].[Rating].[All]" dimensionUniqueName="[staff]" displayFolder="" count="2" memberValueDatatype="130" unbalanced="0"/>
    <cacheHierarchy uniqueName="[staff].[Date Joined]" caption="Date Joined" attribute="1" time="1" defaultMemberUniqueName="[staff].[Date Joined].[All]" allUniqueName="[staff].[Date Joined].[All]" dimensionUniqueName="[staff]" displayFolder="" count="2"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1"/>
      </fieldsUsage>
    </cacheHierarchy>
    <cacheHierarchy uniqueName="[staff].[Salary]" caption="Salary" attribute="1" defaultMemberUniqueName="[staff].[Salary].[All]" allUniqueName="[staff].[Salary].[All]" dimensionUniqueName="[staff]" displayFolder="" count="2"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2" memberValueDatatype="5" unbalanced="0"/>
    <cacheHierarchy uniqueName="[staff].[bonus]" caption="bonus" attribute="1" defaultMemberUniqueName="[staff].[bonus].[All]" allUniqueName="[staff].[bonus].[All]" dimensionUniqueName="[staff]" displayFolder="" count="2" memberValueDatatype="5" unbalanced="0"/>
    <cacheHierarchy uniqueName="[staff].[rating as number]" caption="rating as number" attribute="1" defaultMemberUniqueName="[staff].[rating as number].[All]" allUniqueName="[staff].[rating as number].[All]" dimensionUniqueName="[staff]" displayFolder="" count="2" memberValueDatatype="20" unbalanced="0"/>
    <cacheHierarchy uniqueName="[staff].[Date Joined (Year)]" caption="Date Joined (Year)" attribute="1" defaultMemberUniqueName="[staff].[Date Joined (Year)].[All]" allUniqueName="[staff].[Date Joined (Year)].[All]" dimensionUniqueName="[staff]" displayFolder="" count="2" memberValueDatatype="130" unbalanced="0"/>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cacheHierarchy uniqueName="[staff].[Date Joined (Month Index)]" caption="Date Joined (Month Index)" attribute="1" defaultMemberUniqueName="[staff].[Date Joined (Month Index)].[All]" allUniqueName="[staff].[Date Joined (Month Index)].[All]" dimensionUniqueName="[staff]" displayFolder="" count="2"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NGATESH K" refreshedDate="45432.375180902774" backgroundQuery="1" createdVersion="3" refreshedVersion="8" minRefreshableVersion="3" recordCount="0" supportSubquery="1" supportAdvancedDrill="1" xr:uid="{668A3765-6A57-47A8-AD27-F0DB1BE71B36}">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5"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669465266"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s v="Rafaelita Blaksland"/>
    <s v="Female"/>
    <n v="38"/>
    <x v="0"/>
    <d v="2021-06-30T00:00:00"/>
    <s v="Sales"/>
    <n v="109160"/>
    <s v="NZ"/>
    <n v="2.8904109589041096"/>
    <n v="3274.7999999999997"/>
    <n v="5"/>
  </r>
  <r>
    <s v="Sawini Chandan"/>
    <s v="Female"/>
    <n v="38"/>
    <x v="0"/>
    <d v="2021-04-30T00:00:00"/>
    <s v="Sales"/>
    <n v="109160"/>
    <s v="IND"/>
    <n v="3.0575342465753423"/>
    <n v="3274.7999999999997"/>
    <n v="5"/>
  </r>
  <r>
    <s v="Barr Faughny"/>
    <s v="Female"/>
    <n v="42"/>
    <x v="0"/>
    <d v="2022-08-06T00:00:00"/>
    <s v="Procurement"/>
    <n v="75000"/>
    <s v="NZ"/>
    <n v="1.789041095890411"/>
    <n v="1500"/>
    <n v="5"/>
  </r>
  <r>
    <s v="Nanak Sapna"/>
    <s v="Female"/>
    <n v="42"/>
    <x v="0"/>
    <d v="2022-06-06T00:00:00"/>
    <s v="Procurement"/>
    <n v="75000"/>
    <s v="IND"/>
    <n v="1.9561643835616438"/>
    <n v="1500"/>
    <n v="5"/>
  </r>
  <r>
    <s v="Lindy Guillet"/>
    <s v="Male"/>
    <n v="22"/>
    <x v="1"/>
    <d v="2021-09-07T00:00:00"/>
    <s v="Sales"/>
    <n v="112780"/>
    <s v="NZ"/>
    <n v="2.7013698630136984"/>
    <n v="3383.3999999999996"/>
    <n v="4"/>
  </r>
  <r>
    <s v="Krishnakanta Vellanki"/>
    <s v="Male"/>
    <n v="22"/>
    <x v="1"/>
    <d v="2021-07-07T00:00:00"/>
    <s v="Sales"/>
    <n v="112780"/>
    <s v="IND"/>
    <n v="2.871232876712329"/>
    <n v="3383.3999999999996"/>
    <n v="4"/>
  </r>
  <r>
    <s v="Damayanti Thangavadivelu"/>
    <s v="Male"/>
    <n v="25"/>
    <x v="1"/>
    <d v="2022-04-14T00:00:00"/>
    <s v="Procurement"/>
    <n v="109190"/>
    <s v="IND"/>
    <n v="2.1013698630136988"/>
    <n v="3275.7000000000003"/>
    <n v="4"/>
  </r>
  <r>
    <s v="Enoch Dowrey"/>
    <s v="Male"/>
    <n v="27"/>
    <x v="1"/>
    <d v="2021-02-09T00:00:00"/>
    <s v="Finance"/>
    <n v="91650"/>
    <s v="NZ"/>
    <n v="3.2767123287671232"/>
    <n v="2749.5"/>
    <n v="4"/>
  </r>
  <r>
    <s v="Kamalakshi Mukundan"/>
    <s v="Male"/>
    <n v="27"/>
    <x v="1"/>
    <d v="2020-12-09T00:00:00"/>
    <s v="Finance"/>
    <n v="91650"/>
    <s v="IND"/>
    <n v="3.4465753424657533"/>
    <n v="2749.5"/>
    <n v="4"/>
  </r>
  <r>
    <s v="Dennison Crosswaite"/>
    <s v="Others"/>
    <n v="26"/>
    <x v="1"/>
    <d v="2021-03-16T00:00:00"/>
    <s v="Website"/>
    <n v="90700"/>
    <s v="NZ"/>
    <n v="3.1808219178082191"/>
    <n v="2721"/>
    <n v="4"/>
  </r>
  <r>
    <s v="Karuna Pashupathy"/>
    <s v="Others"/>
    <n v="27"/>
    <x v="1"/>
    <d v="2021-01-16T00:00:00"/>
    <s v="Website"/>
    <n v="90700"/>
    <s v="IND"/>
    <n v="3.3424657534246576"/>
    <n v="2721"/>
    <n v="4"/>
  </r>
  <r>
    <s v="Van Tuxwell"/>
    <s v="Female"/>
    <n v="25"/>
    <x v="1"/>
    <d v="2022-05-13T00:00:00"/>
    <s v="Website"/>
    <n v="80700"/>
    <s v="NZ"/>
    <n v="2.021917808219178"/>
    <n v="2421"/>
    <n v="4"/>
  </r>
  <r>
    <s v="Bhuvan Pals"/>
    <s v="Female"/>
    <n v="25"/>
    <x v="1"/>
    <d v="2022-03-13T00:00:00"/>
    <s v="Website"/>
    <n v="80700"/>
    <s v="IND"/>
    <n v="2.1890410958904107"/>
    <n v="2421"/>
    <n v="4"/>
  </r>
  <r>
    <s v="Virginia McConville"/>
    <s v="Female"/>
    <n v="22"/>
    <x v="1"/>
    <d v="2021-09-11T00:00:00"/>
    <s v="Procurement"/>
    <n v="76900"/>
    <s v="NZ"/>
    <n v="2.6904109589041094"/>
    <n v="2307"/>
    <n v="4"/>
  </r>
  <r>
    <s v="Shreela Ramasubraman"/>
    <s v="Female"/>
    <n v="22"/>
    <x v="1"/>
    <d v="2021-07-11T00:00:00"/>
    <s v="Procurement"/>
    <n v="76900"/>
    <s v="IND"/>
    <n v="2.8602739726027395"/>
    <n v="2307"/>
    <n v="4"/>
  </r>
  <r>
    <s v="Madelene Upcott"/>
    <s v="Male"/>
    <n v="25"/>
    <x v="1"/>
    <d v="2022-06-14T00:00:00"/>
    <s v="Procurement"/>
    <n v="109190"/>
    <s v="NZ"/>
    <n v="1.9342465753424658"/>
    <n v="2183.8000000000002"/>
    <n v="4"/>
  </r>
  <r>
    <s v="Oran Buxcy"/>
    <s v="Female"/>
    <n v="38"/>
    <x v="1"/>
    <d v="2021-05-13T00:00:00"/>
    <s v="Sales"/>
    <n v="56870"/>
    <s v="NZ"/>
    <n v="3.021917808219178"/>
    <n v="1706.1000000000001"/>
    <n v="4"/>
  </r>
  <r>
    <s v="Mirium Seemantini Shivakumar"/>
    <s v="Female"/>
    <n v="38"/>
    <x v="1"/>
    <d v="2021-03-13T00:00:00"/>
    <s v="Sales"/>
    <n v="56870"/>
    <s v="IND"/>
    <n v="3.1890410958904107"/>
    <n v="1706.1000000000001"/>
    <n v="4"/>
  </r>
  <r>
    <s v="Piyali Mahanthapa"/>
    <s v="Male"/>
    <n v="33"/>
    <x v="1"/>
    <d v="2022-03-20T00:00:00"/>
    <s v="Procurement"/>
    <n v="48530"/>
    <s v="IND"/>
    <n v="2.1698630136986301"/>
    <n v="1455.9"/>
    <n v="4"/>
  </r>
  <r>
    <s v="Jan Morforth"/>
    <s v="Male"/>
    <n v="28"/>
    <x v="1"/>
    <d v="2020-07-29T00:00:00"/>
    <s v="Finance"/>
    <n v="48170"/>
    <s v="NZ"/>
    <n v="3.8109589041095893"/>
    <n v="1445.1"/>
    <n v="4"/>
  </r>
  <r>
    <s v="Ardhendu Abhichandra Jayakar"/>
    <s v="Male"/>
    <n v="28"/>
    <x v="1"/>
    <d v="2020-05-29T00:00:00"/>
    <s v="Finance"/>
    <n v="48170"/>
    <s v="IND"/>
    <n v="3.978082191780822"/>
    <n v="1445.1"/>
    <n v="4"/>
  </r>
  <r>
    <s v="Kassi Jonson"/>
    <s v="Female"/>
    <n v="32"/>
    <x v="1"/>
    <d v="2021-06-07T00:00:00"/>
    <s v="Website"/>
    <n v="43840"/>
    <s v="NZ"/>
    <n v="2.9534246575342467"/>
    <n v="1315.1999999999998"/>
    <n v="4"/>
  </r>
  <r>
    <s v="Yagna Sujeev"/>
    <s v="Female"/>
    <n v="32"/>
    <x v="1"/>
    <d v="2021-04-07T00:00:00"/>
    <s v="Website"/>
    <n v="43840"/>
    <s v="IND"/>
    <n v="3.1205479452054794"/>
    <n v="1315.1999999999998"/>
    <n v="4"/>
  </r>
  <r>
    <s v="Erin Androsik"/>
    <s v="Male"/>
    <n v="33"/>
    <x v="1"/>
    <d v="2022-05-20T00:00:00"/>
    <s v="Procurement"/>
    <n v="48530"/>
    <s v="NZ"/>
    <n v="2.0027397260273974"/>
    <n v="1455.9"/>
    <n v="4"/>
  </r>
  <r>
    <s v="Ewart Laphorn"/>
    <s v="Female"/>
    <n v="27"/>
    <x v="2"/>
    <d v="2020-10-18T00:00:00"/>
    <s v="HR"/>
    <n v="119110"/>
    <s v="NZ"/>
    <n v="3.5890410958904111"/>
    <n v="3573.2999999999997"/>
    <n v="3"/>
  </r>
  <r>
    <s v="Anjushri Chandiramani"/>
    <s v="Female"/>
    <n v="27"/>
    <x v="2"/>
    <d v="2020-08-18T00:00:00"/>
    <s v="HR"/>
    <n v="119110"/>
    <s v="IND"/>
    <n v="3.7561643835616438"/>
    <n v="3573.2999999999997"/>
    <n v="3"/>
  </r>
  <r>
    <s v="Tawnya Tickel"/>
    <s v="Male"/>
    <n v="36"/>
    <x v="2"/>
    <d v="2020-07-07T00:00:00"/>
    <s v="Website"/>
    <n v="118840"/>
    <s v="NZ"/>
    <n v="3.871232876712329"/>
    <n v="3565.2000000000003"/>
    <n v="3"/>
  </r>
  <r>
    <s v="Heer Pennathur"/>
    <s v="Male"/>
    <n v="36"/>
    <x v="2"/>
    <d v="2020-05-07T00:00:00"/>
    <s v="Website"/>
    <n v="118840"/>
    <s v="IND"/>
    <n v="4.0383561643835613"/>
    <n v="3565.2000000000003"/>
    <n v="3"/>
  </r>
  <r>
    <s v="Valentia Etteridge"/>
    <s v="Female"/>
    <n v="37"/>
    <x v="2"/>
    <d v="2021-09-12T00:00:00"/>
    <s v="HR"/>
    <n v="118100"/>
    <s v="NZ"/>
    <n v="2.6876712328767125"/>
    <n v="3543"/>
    <n v="3"/>
  </r>
  <r>
    <s v="Kaishori Harathi Kateel"/>
    <s v="Female"/>
    <n v="37"/>
    <x v="2"/>
    <d v="2021-07-12T00:00:00"/>
    <s v="HR"/>
    <n v="118100"/>
    <s v="IND"/>
    <n v="2.8575342465753426"/>
    <n v="3543"/>
    <n v="3"/>
  </r>
  <r>
    <s v="Roddy Speechley"/>
    <s v="Male"/>
    <n v="33"/>
    <x v="2"/>
    <d v="2020-11-29T00:00:00"/>
    <s v="Procurement"/>
    <n v="115920"/>
    <s v="NZ"/>
    <n v="3.473972602739726"/>
    <n v="3477.6000000000004"/>
    <n v="3"/>
  </r>
  <r>
    <s v="Sarayu Ragunathan"/>
    <s v="Male"/>
    <n v="33"/>
    <x v="2"/>
    <d v="2020-09-29T00:00:00"/>
    <s v="Procurement"/>
    <n v="115920"/>
    <s v="IND"/>
    <n v="3.6410958904109587"/>
    <n v="3477.6000000000004"/>
    <n v="3"/>
  </r>
  <r>
    <s v="Tracy Renad"/>
    <s v="Female"/>
    <n v="36"/>
    <x v="2"/>
    <d v="2020-09-11T00:00:00"/>
    <s v="Procurement"/>
    <n v="114890"/>
    <s v="NZ"/>
    <n v="3.6904109589041094"/>
    <n v="3446.7000000000003"/>
    <n v="3"/>
  </r>
  <r>
    <s v="Dhruv Manjunath"/>
    <s v="Female"/>
    <n v="36"/>
    <x v="2"/>
    <d v="2020-07-11T00:00:00"/>
    <s v="Procurement"/>
    <n v="114890"/>
    <s v="IND"/>
    <n v="3.8602739726027395"/>
    <n v="3446.7000000000003"/>
    <n v="3"/>
  </r>
  <r>
    <s v="Mollie Hanway"/>
    <s v="Male"/>
    <n v="20"/>
    <x v="2"/>
    <d v="2020-12-18T00:00:00"/>
    <s v="Website"/>
    <n v="112650"/>
    <s v="NZ"/>
    <n v="3.4219178082191779"/>
    <n v="3379.5"/>
    <n v="3"/>
  </r>
  <r>
    <s v="Deepali Charan"/>
    <s v="Male"/>
    <n v="20"/>
    <x v="2"/>
    <d v="2020-10-18T00:00:00"/>
    <s v="Website"/>
    <n v="112650"/>
    <s v="IND"/>
    <n v="3.5890410958904111"/>
    <n v="3379.5"/>
    <n v="3"/>
  </r>
  <r>
    <s v="Bandhula Sathyanna"/>
    <s v="Male"/>
    <n v="34"/>
    <x v="2"/>
    <d v="2022-03-22T00:00:00"/>
    <s v="Procurement"/>
    <n v="112650"/>
    <s v="IND"/>
    <n v="2.1643835616438358"/>
    <n v="3379.5"/>
    <n v="3"/>
  </r>
  <r>
    <s v="Kaine Padly"/>
    <s v="Male"/>
    <n v="20"/>
    <x v="2"/>
    <d v="2021-09-20T00:00:00"/>
    <s v="Website"/>
    <n v="107700"/>
    <s v="NZ"/>
    <n v="2.6657534246575341"/>
    <n v="3231"/>
    <n v="3"/>
  </r>
  <r>
    <s v="Hridaynath Tendulkar"/>
    <s v="Male"/>
    <n v="20"/>
    <x v="2"/>
    <d v="2021-07-20T00:00:00"/>
    <s v="Website"/>
    <n v="107700"/>
    <s v="IND"/>
    <n v="2.8356164383561642"/>
    <n v="3231"/>
    <n v="3"/>
  </r>
  <r>
    <s v="Kissiah Maydway"/>
    <s v="Male"/>
    <n v="23"/>
    <x v="2"/>
    <d v="2021-09-01T00:00:00"/>
    <s v="Procurement"/>
    <n v="106460"/>
    <s v="NZ"/>
    <n v="2.7178082191780821"/>
    <n v="3193.7999999999997"/>
    <n v="3"/>
  </r>
  <r>
    <s v="Sahas Sanabhi Shrikant"/>
    <s v="Male"/>
    <n v="23"/>
    <x v="2"/>
    <d v="2021-07-01T00:00:00"/>
    <s v="Procurement"/>
    <n v="106460"/>
    <s v="IND"/>
    <n v="2.8876712328767122"/>
    <n v="3193.7999999999997"/>
    <n v="3"/>
  </r>
  <r>
    <s v="Janene Hairsine"/>
    <s v="Female"/>
    <n v="28"/>
    <x v="2"/>
    <d v="2021-10-17T00:00:00"/>
    <s v="Procurement"/>
    <n v="104770"/>
    <s v="NZ"/>
    <n v="2.591780821917808"/>
    <n v="3143.1000000000004"/>
    <n v="3"/>
  </r>
  <r>
    <s v="Shevantilal Muppala"/>
    <s v="Female"/>
    <n v="28"/>
    <x v="2"/>
    <d v="2021-08-17T00:00:00"/>
    <s v="Procurement"/>
    <n v="104770"/>
    <s v="IND"/>
    <n v="2.7589041095890412"/>
    <n v="3143.1000000000004"/>
    <n v="3"/>
  </r>
  <r>
    <s v="Caro Chappel"/>
    <s v="Female"/>
    <n v="40"/>
    <x v="2"/>
    <d v="2021-07-04T00:00:00"/>
    <s v="Website"/>
    <n v="104410"/>
    <s v="NZ"/>
    <n v="2.8794520547945206"/>
    <n v="3132.2999999999997"/>
    <n v="3"/>
  </r>
  <r>
    <s v="Manjusri Ruchi"/>
    <s v="Female"/>
    <n v="40"/>
    <x v="2"/>
    <d v="2021-05-04T00:00:00"/>
    <s v="Website"/>
    <n v="104410"/>
    <s v="IND"/>
    <n v="3.0465753424657533"/>
    <n v="3132.2999999999997"/>
    <n v="3"/>
  </r>
  <r>
    <s v="Cherlyn Barter"/>
    <s v="Female"/>
    <n v="28"/>
    <x v="2"/>
    <d v="2022-03-29T00:00:00"/>
    <s v="Procurement"/>
    <n v="104120"/>
    <s v="NZ"/>
    <n v="2.1452054794520548"/>
    <n v="3123.6000000000004"/>
    <n v="3"/>
  </r>
  <r>
    <s v="Sartaj Probal"/>
    <s v="Female"/>
    <n v="28"/>
    <x v="2"/>
    <d v="2022-01-29T00:00:00"/>
    <s v="Procurement"/>
    <n v="104120"/>
    <s v="IND"/>
    <n v="2.3068493150684932"/>
    <n v="3123.6000000000004"/>
    <n v="3"/>
  </r>
  <r>
    <s v="Satyendra Venkatadri"/>
    <s v="Male"/>
    <n v="31"/>
    <x v="2"/>
    <d v="2022-04-12T00:00:00"/>
    <s v="Procurement"/>
    <n v="103550"/>
    <s v="IND"/>
    <n v="2.106849315068493"/>
    <n v="3106.5"/>
    <n v="3"/>
  </r>
  <r>
    <s v="Collin Jagson"/>
    <s v="Male"/>
    <n v="24"/>
    <x v="2"/>
    <d v="2022-05-05T00:00:00"/>
    <s v="Website"/>
    <n v="100420"/>
    <s v="NZ"/>
    <n v="2.043835616438356"/>
    <n v="3012.6000000000004"/>
    <n v="3"/>
  </r>
  <r>
    <s v="Amlankusum Rajabhushan"/>
    <s v="Male"/>
    <n v="24"/>
    <x v="2"/>
    <d v="2022-03-05T00:00:00"/>
    <s v="Website"/>
    <n v="100420"/>
    <s v="IND"/>
    <n v="2.2109589041095892"/>
    <n v="3012.6000000000004"/>
    <n v="3"/>
  </r>
  <r>
    <s v="Bernie Gorges"/>
    <s v="Female"/>
    <n v="28"/>
    <x v="2"/>
    <d v="2022-03-10T00:00:00"/>
    <s v="Procurement"/>
    <n v="99970"/>
    <s v="NZ"/>
    <n v="2.1972602739726028"/>
    <n v="2999.1000000000004"/>
    <n v="3"/>
  </r>
  <r>
    <s v="Vasu Nandin"/>
    <s v="Female"/>
    <n v="28"/>
    <x v="2"/>
    <d v="2022-01-10T00:00:00"/>
    <s v="Procurement"/>
    <n v="99970"/>
    <s v="IND"/>
    <n v="2.3589041095890413"/>
    <n v="2999.1000000000004"/>
    <n v="3"/>
  </r>
  <r>
    <s v="Simon Kembery"/>
    <s v="Male"/>
    <n v="40"/>
    <x v="2"/>
    <d v="2021-03-08T00:00:00"/>
    <s v="Procurement"/>
    <n v="99750"/>
    <s v="NZ"/>
    <n v="3.2027397260273971"/>
    <n v="2992.5"/>
    <n v="3"/>
  </r>
  <r>
    <s v="Baruna Ogale"/>
    <s v="Male"/>
    <n v="40"/>
    <x v="2"/>
    <d v="2021-01-08T00:00:00"/>
    <s v="Procurement"/>
    <n v="99750"/>
    <s v="IND"/>
    <n v="3.3643835616438356"/>
    <n v="2992.5"/>
    <n v="3"/>
  </r>
  <r>
    <s v="Constantino Espley"/>
    <s v="Male"/>
    <n v="30"/>
    <x v="2"/>
    <d v="2022-02-14T00:00:00"/>
    <s v="Finance"/>
    <n v="96800"/>
    <s v="NZ"/>
    <n v="2.2630136986301368"/>
    <n v="2904"/>
    <n v="3"/>
  </r>
  <r>
    <s v="Mithil Nadkarni"/>
    <s v="Male"/>
    <n v="30"/>
    <x v="2"/>
    <d v="2021-12-14T00:00:00"/>
    <s v="Finance"/>
    <n v="96800"/>
    <s v="IND"/>
    <n v="2.4328767123287673"/>
    <n v="2904"/>
    <n v="3"/>
  </r>
  <r>
    <s v="Torrance Collier"/>
    <s v="Female"/>
    <n v="33"/>
    <x v="2"/>
    <d v="2020-12-25T00:00:00"/>
    <s v="Website"/>
    <n v="96140"/>
    <s v="NZ"/>
    <n v="3.4027397260273973"/>
    <n v="2884.2"/>
    <n v="3"/>
  </r>
  <r>
    <s v="Sukhdev Nageshwar"/>
    <s v="Female"/>
    <n v="33"/>
    <x v="2"/>
    <d v="2020-10-25T00:00:00"/>
    <s v="Website"/>
    <n v="96140"/>
    <s v="IND"/>
    <n v="3.56986301369863"/>
    <n v="2884.2"/>
    <n v="3"/>
  </r>
  <r>
    <s v="Hinda Label"/>
    <s v="Female"/>
    <n v="25"/>
    <x v="2"/>
    <d v="2021-01-09T00:00:00"/>
    <s v="Sales"/>
    <n v="92700"/>
    <s v="NZ"/>
    <n v="3.3616438356164382"/>
    <n v="2781"/>
    <n v="3"/>
  </r>
  <r>
    <s v="Purnendu Vijayarangan"/>
    <s v="Female"/>
    <n v="25"/>
    <x v="2"/>
    <d v="2020-11-09T00:00:00"/>
    <s v="Sales"/>
    <n v="92700"/>
    <s v="IND"/>
    <n v="3.5287671232876714"/>
    <n v="2781"/>
    <n v="3"/>
  </r>
  <r>
    <s v="Leilah Yesinin"/>
    <s v="Female"/>
    <n v="34"/>
    <x v="2"/>
    <d v="2021-09-06T00:00:00"/>
    <s v="Finance"/>
    <n v="92450"/>
    <s v="NZ"/>
    <n v="2.7041095890410958"/>
    <n v="2773.5"/>
    <n v="3"/>
  </r>
  <r>
    <s v="Deepit Ranjana"/>
    <s v="Female"/>
    <n v="34"/>
    <x v="2"/>
    <d v="2021-07-06T00:00:00"/>
    <s v="Finance"/>
    <n v="92450"/>
    <s v="IND"/>
    <n v="2.8739726027397259"/>
    <n v="2773.5"/>
    <n v="3"/>
  </r>
  <r>
    <s v="Merrilee Plenty"/>
    <s v="Female"/>
    <n v="40"/>
    <x v="2"/>
    <d v="2021-05-21T00:00:00"/>
    <s v="Website"/>
    <n v="87620"/>
    <s v="NZ"/>
    <n v="3"/>
    <n v="2628.6000000000004"/>
    <n v="3"/>
  </r>
  <r>
    <s v="Godavari Veena"/>
    <s v="Female"/>
    <n v="40"/>
    <x v="2"/>
    <d v="2021-03-21T00:00:00"/>
    <s v="Website"/>
    <n v="87620"/>
    <s v="IND"/>
    <n v="3.1671232876712327"/>
    <n v="2628.6000000000004"/>
    <n v="3"/>
  </r>
  <r>
    <s v="Karlen McCaffrey"/>
    <s v="Female"/>
    <n v="34"/>
    <x v="2"/>
    <d v="2021-09-20T00:00:00"/>
    <s v="Finance"/>
    <n v="85000"/>
    <s v="NZ"/>
    <n v="2.6657534246575341"/>
    <n v="2550"/>
    <n v="3"/>
  </r>
  <r>
    <s v="Tarala Vishaal"/>
    <s v="Female"/>
    <n v="34"/>
    <x v="2"/>
    <d v="2021-07-20T00:00:00"/>
    <s v="Finance"/>
    <n v="85000"/>
    <s v="IND"/>
    <n v="2.8356164383561642"/>
    <n v="2550"/>
    <n v="3"/>
  </r>
  <r>
    <s v="Agnes Collicott"/>
    <s v="Female"/>
    <n v="27"/>
    <x v="2"/>
    <d v="2022-05-05T00:00:00"/>
    <s v="Website"/>
    <n v="83750"/>
    <s v="NZ"/>
    <n v="2.043835616438356"/>
    <n v="2512.5"/>
    <n v="3"/>
  </r>
  <r>
    <s v="Kunja Prashanta Vibha"/>
    <s v="Female"/>
    <n v="27"/>
    <x v="2"/>
    <d v="2022-03-05T00:00:00"/>
    <s v="Website"/>
    <n v="83750"/>
    <s v="IND"/>
    <n v="2.2109589041095892"/>
    <n v="2512.5"/>
    <n v="3"/>
  </r>
  <r>
    <s v="Udyan Lanka"/>
    <s v="Male"/>
    <n v="20"/>
    <x v="2"/>
    <d v="2022-05-02T00:00:00"/>
    <s v="Procurement"/>
    <n v="79570"/>
    <s v="IND"/>
    <n v="2.0520547945205481"/>
    <n v="2387.1000000000004"/>
    <n v="3"/>
  </r>
  <r>
    <s v="Gray Seamon"/>
    <s v="Female"/>
    <n v="36"/>
    <x v="2"/>
    <d v="2021-10-25T00:00:00"/>
    <s v="Sales"/>
    <n v="78540"/>
    <s v="NZ"/>
    <n v="2.56986301369863"/>
    <n v="2356.1999999999998"/>
    <n v="3"/>
  </r>
  <r>
    <s v="Shulabh Qutub Sundaramoorthy"/>
    <s v="Female"/>
    <n v="36"/>
    <x v="2"/>
    <d v="2021-08-25T00:00:00"/>
    <s v="Sales"/>
    <n v="78540"/>
    <s v="IND"/>
    <n v="2.7369863013698632"/>
    <n v="2356.1999999999998"/>
    <n v="3"/>
  </r>
  <r>
    <s v="Allene Gobbet"/>
    <s v="Female"/>
    <n v="36"/>
    <x v="2"/>
    <d v="2021-11-29T00:00:00"/>
    <s v="Procurement"/>
    <n v="78390"/>
    <s v="NZ"/>
    <n v="2.473972602739726"/>
    <n v="2351.6999999999998"/>
    <n v="3"/>
  </r>
  <r>
    <s v="Rushil Kripa"/>
    <s v="Female"/>
    <n v="36"/>
    <x v="2"/>
    <d v="2021-09-29T00:00:00"/>
    <s v="Procurement"/>
    <n v="78390"/>
    <s v="IND"/>
    <n v="2.6410958904109587"/>
    <n v="2351.6999999999998"/>
    <n v="3"/>
  </r>
  <r>
    <s v="Wilone O'Kielt"/>
    <s v="Female"/>
    <n v="43"/>
    <x v="2"/>
    <d v="2023-04-29T00:00:00"/>
    <s v="Website"/>
    <n v="114870"/>
    <s v="NZ"/>
    <n v="1.0602739726027397"/>
    <n v="2297.4"/>
    <n v="3"/>
  </r>
  <r>
    <s v="Ramnath Ravuri"/>
    <s v="Female"/>
    <n v="44"/>
    <x v="2"/>
    <d v="2023-02-28T00:00:00"/>
    <s v="Website"/>
    <n v="114870"/>
    <s v="IND"/>
    <n v="1.2246575342465753"/>
    <n v="2297.4"/>
    <n v="3"/>
  </r>
  <r>
    <s v="Hogan Iles"/>
    <s v="Female"/>
    <n v="30"/>
    <x v="2"/>
    <d v="2022-10-16T00:00:00"/>
    <s v="Procurement"/>
    <n v="114180"/>
    <s v="NZ"/>
    <n v="1.5945205479452054"/>
    <n v="2283.6"/>
    <n v="3"/>
  </r>
  <r>
    <s v="Sarojini Naueshwara"/>
    <s v="Female"/>
    <n v="30"/>
    <x v="2"/>
    <d v="2022-08-16T00:00:00"/>
    <s v="Procurement"/>
    <n v="114180"/>
    <s v="IND"/>
    <n v="1.7616438356164383"/>
    <n v="2283.6"/>
    <n v="3"/>
  </r>
  <r>
    <s v="Beverie Moffet"/>
    <s v="Female"/>
    <n v="28"/>
    <x v="2"/>
    <d v="2020-12-20T00:00:00"/>
    <s v="Finance"/>
    <n v="75970"/>
    <s v="NZ"/>
    <n v="3.4164383561643836"/>
    <n v="2279.1000000000004"/>
    <n v="3"/>
  </r>
  <r>
    <s v="Indu Varada Sumedh"/>
    <s v="Female"/>
    <n v="28"/>
    <x v="2"/>
    <d v="2020-10-20T00:00:00"/>
    <s v="Finance"/>
    <n v="75970"/>
    <s v="IND"/>
    <n v="3.5835616438356164"/>
    <n v="2279.1000000000004"/>
    <n v="3"/>
  </r>
  <r>
    <s v="Shari McNee"/>
    <s v="Male"/>
    <n v="21"/>
    <x v="2"/>
    <d v="2021-02-15T00:00:00"/>
    <s v="HR"/>
    <n v="75880"/>
    <s v="NZ"/>
    <n v="3.2602739726027399"/>
    <n v="2276.3999999999996"/>
    <n v="3"/>
  </r>
  <r>
    <s v="Sameer Shashank Sapra"/>
    <s v="Male"/>
    <n v="21"/>
    <x v="2"/>
    <d v="2020-12-15T00:00:00"/>
    <s v="HR"/>
    <n v="75880"/>
    <s v="IND"/>
    <n v="3.43013698630137"/>
    <n v="2276.3999999999996"/>
    <n v="3"/>
  </r>
  <r>
    <s v="Elia Cockton"/>
    <s v="Female"/>
    <n v="33"/>
    <x v="2"/>
    <d v="2021-04-26T00:00:00"/>
    <s v="Website"/>
    <n v="75280"/>
    <s v="NZ"/>
    <n v="3.0684931506849313"/>
    <n v="2258.3999999999996"/>
    <n v="3"/>
  </r>
  <r>
    <s v="Hemavati Muthiah"/>
    <s v="Female"/>
    <n v="33"/>
    <x v="2"/>
    <d v="2021-02-26T00:00:00"/>
    <s v="Website"/>
    <n v="75280"/>
    <s v="IND"/>
    <n v="3.2301369863013698"/>
    <n v="2258.3999999999996"/>
    <n v="3"/>
  </r>
  <r>
    <s v="Halimeda Kuscha"/>
    <s v="Female"/>
    <n v="30"/>
    <x v="2"/>
    <d v="2022-10-27T00:00:00"/>
    <s v="Procurement"/>
    <n v="112570"/>
    <s v="NZ"/>
    <n v="1.5643835616438355"/>
    <n v="2251.4"/>
    <n v="3"/>
  </r>
  <r>
    <s v="Makshi Vinutha"/>
    <s v="Female"/>
    <n v="30"/>
    <x v="2"/>
    <d v="2022-08-27T00:00:00"/>
    <s v="Procurement"/>
    <n v="112570"/>
    <s v="IND"/>
    <n v="1.7315068493150685"/>
    <n v="2251.4"/>
    <n v="3"/>
  </r>
  <r>
    <s v="Gigi Bohling"/>
    <s v="Male"/>
    <n v="33"/>
    <x v="2"/>
    <d v="2021-07-08T00:00:00"/>
    <s v="Sales"/>
    <n v="74550"/>
    <s v="NZ"/>
    <n v="2.8684931506849316"/>
    <n v="2236.5"/>
    <n v="3"/>
  </r>
  <r>
    <s v="Yauvani Tarpa"/>
    <s v="Male"/>
    <n v="33"/>
    <x v="2"/>
    <d v="2021-05-08T00:00:00"/>
    <s v="Sales"/>
    <n v="74550"/>
    <s v="IND"/>
    <n v="3.0356164383561643"/>
    <n v="2236.5"/>
    <n v="3"/>
  </r>
  <r>
    <s v="Bennie Pepis"/>
    <s v="Male"/>
    <n v="36"/>
    <x v="2"/>
    <d v="2021-05-17T00:00:00"/>
    <s v="Finance"/>
    <n v="71380"/>
    <s v="NZ"/>
    <n v="3.010958904109589"/>
    <n v="2141.3999999999996"/>
    <n v="3"/>
  </r>
  <r>
    <s v="Kulbhushan Moorthy"/>
    <s v="Male"/>
    <n v="36"/>
    <x v="2"/>
    <d v="2021-03-17T00:00:00"/>
    <s v="Finance"/>
    <n v="71380"/>
    <s v="IND"/>
    <n v="3.1780821917808217"/>
    <n v="2141.3999999999996"/>
    <n v="3"/>
  </r>
  <r>
    <s v="Ranajay Kailashnath Richa"/>
    <s v="Male"/>
    <n v="46"/>
    <x v="2"/>
    <d v="2022-05-16T00:00:00"/>
    <s v="Procurement"/>
    <n v="70610"/>
    <s v="IND"/>
    <n v="2.0136986301369864"/>
    <n v="2118.3000000000002"/>
    <n v="3"/>
  </r>
  <r>
    <s v="Andria Kimpton"/>
    <s v="Male"/>
    <n v="30"/>
    <x v="2"/>
    <d v="2021-03-18T00:00:00"/>
    <s v="Website"/>
    <n v="69120"/>
    <s v="NZ"/>
    <n v="3.1753424657534248"/>
    <n v="2073.6000000000004"/>
    <n v="3"/>
  </r>
  <r>
    <s v="Rameshwari Chikodi"/>
    <s v="Male"/>
    <n v="30"/>
    <x v="2"/>
    <d v="2021-01-18T00:00:00"/>
    <s v="Website"/>
    <n v="69120"/>
    <s v="IND"/>
    <n v="3.3369863013698629"/>
    <n v="2073.6000000000004"/>
    <n v="3"/>
  </r>
  <r>
    <s v="Jaishree Atasi Yavatkar"/>
    <s v="Male"/>
    <n v="37"/>
    <x v="2"/>
    <d v="2022-03-20T00:00:00"/>
    <s v="Website"/>
    <n v="69070"/>
    <s v="IND"/>
    <n v="2.1698630136986301"/>
    <n v="2072.1000000000004"/>
    <n v="3"/>
  </r>
  <r>
    <s v="Dyna Doucette"/>
    <s v="Male"/>
    <n v="31"/>
    <x v="2"/>
    <d v="2022-06-12T00:00:00"/>
    <s v="Procurement"/>
    <n v="103550"/>
    <s v="NZ"/>
    <n v="1.9397260273972603"/>
    <n v="2071"/>
    <n v="3"/>
  </r>
  <r>
    <s v="Mahindra Sreedharan"/>
    <s v="Male"/>
    <n v="30"/>
    <x v="2"/>
    <d v="2022-03-20T00:00:00"/>
    <s v="Procurement"/>
    <n v="67950"/>
    <s v="IND"/>
    <n v="2.1698630136986301"/>
    <n v="2038.5"/>
    <n v="3"/>
  </r>
  <r>
    <s v="Marney O'Breen"/>
    <s v="Female"/>
    <n v="21"/>
    <x v="2"/>
    <d v="2021-05-01T00:00:00"/>
    <s v="Finance"/>
    <n v="65920"/>
    <s v="NZ"/>
    <n v="3.0547945205479454"/>
    <n v="1977.6000000000001"/>
    <n v="3"/>
  </r>
  <r>
    <s v="Agrata Rajarama"/>
    <s v="Female"/>
    <n v="21"/>
    <x v="2"/>
    <d v="2021-03-01T00:00:00"/>
    <s v="Finance"/>
    <n v="65920"/>
    <s v="IND"/>
    <n v="3.2219178082191782"/>
    <n v="1977.6000000000001"/>
    <n v="3"/>
  </r>
  <r>
    <s v="Kath Bletsoe"/>
    <s v="Male"/>
    <n v="25"/>
    <x v="2"/>
    <d v="2021-07-06T00:00:00"/>
    <s v="Sales"/>
    <n v="65700"/>
    <s v="NZ"/>
    <n v="2.8739726027397259"/>
    <n v="1971"/>
    <n v="3"/>
  </r>
  <r>
    <s v="Abhaya Priyavardhan"/>
    <s v="Male"/>
    <n v="25"/>
    <x v="2"/>
    <d v="2021-05-06T00:00:00"/>
    <s v="Sales"/>
    <n v="65700"/>
    <s v="IND"/>
    <n v="3.0410958904109591"/>
    <n v="1971"/>
    <n v="3"/>
  </r>
  <r>
    <s v="Teressa Udden"/>
    <s v="Female"/>
    <n v="33"/>
    <x v="2"/>
    <d v="2020-08-24T00:00:00"/>
    <s v="Finance"/>
    <n v="65360"/>
    <s v="NZ"/>
    <n v="3.7397260273972601"/>
    <n v="1960.8000000000002"/>
    <n v="3"/>
  </r>
  <r>
    <s v="Kevalkumar Solanki"/>
    <s v="Female"/>
    <n v="33"/>
    <x v="2"/>
    <d v="2020-06-24T00:00:00"/>
    <s v="Finance"/>
    <n v="65360"/>
    <s v="IND"/>
    <n v="3.9068493150684933"/>
    <n v="1960.8000000000002"/>
    <n v="3"/>
  </r>
  <r>
    <s v="Curtice Advani"/>
    <s v="Others"/>
    <n v="30"/>
    <x v="2"/>
    <d v="2022-02-05T00:00:00"/>
    <s v="Finance"/>
    <n v="64000"/>
    <s v="NZ"/>
    <n v="2.2876712328767121"/>
    <n v="1920"/>
    <n v="3"/>
  </r>
  <r>
    <s v="Upendra Swati"/>
    <s v="Others"/>
    <n v="30"/>
    <x v="2"/>
    <d v="2021-12-05T00:00:00"/>
    <s v="Finance"/>
    <n v="64000"/>
    <s v="IND"/>
    <n v="2.4575342465753423"/>
    <n v="1920"/>
    <n v="3"/>
  </r>
  <r>
    <s v="Vic Radolf"/>
    <s v="Female"/>
    <n v="24"/>
    <x v="2"/>
    <d v="2020-11-13T00:00:00"/>
    <s v="Website"/>
    <n v="62780"/>
    <s v="NZ"/>
    <n v="3.5178082191780824"/>
    <n v="1883.3999999999999"/>
    <n v="3"/>
  </r>
  <r>
    <s v="Fullara Sushanti Mokate"/>
    <s v="Female"/>
    <n v="24"/>
    <x v="2"/>
    <d v="2020-09-13T00:00:00"/>
    <s v="Website"/>
    <n v="62780"/>
    <s v="IND"/>
    <n v="3.6849315068493151"/>
    <n v="1883.3999999999999"/>
    <n v="3"/>
  </r>
  <r>
    <s v="Madge McCloughen"/>
    <s v="Others"/>
    <n v="32"/>
    <x v="2"/>
    <d v="2022-08-01T00:00:00"/>
    <s v="Website"/>
    <n v="91310"/>
    <s v="NZ"/>
    <n v="1.8027397260273972"/>
    <n v="1826.2"/>
    <n v="3"/>
  </r>
  <r>
    <s v="Rukma Vinita"/>
    <s v="Others"/>
    <n v="32"/>
    <x v="2"/>
    <d v="2022-06-01T00:00:00"/>
    <s v="Website"/>
    <n v="91310"/>
    <s v="IND"/>
    <n v="1.9698630136986301"/>
    <n v="1826.2"/>
    <n v="3"/>
  </r>
  <r>
    <s v="Mallorie Waber"/>
    <s v="Male"/>
    <n v="30"/>
    <x v="2"/>
    <d v="2022-04-15T00:00:00"/>
    <s v="Procurement"/>
    <n v="60570"/>
    <s v="NZ"/>
    <n v="2.0986301369863014"/>
    <n v="1817.1000000000001"/>
    <n v="3"/>
  </r>
  <r>
    <s v="Mardav Ramaswami"/>
    <s v="Male"/>
    <n v="30"/>
    <x v="2"/>
    <d v="2022-02-15T00:00:00"/>
    <s v="Procurement"/>
    <n v="60570"/>
    <s v="IND"/>
    <n v="2.2602739726027399"/>
    <n v="1817.1000000000001"/>
    <n v="3"/>
  </r>
  <r>
    <s v="Jehu Rudeforth"/>
    <s v="Female"/>
    <n v="34"/>
    <x v="2"/>
    <d v="2022-02-20T00:00:00"/>
    <s v="Finance"/>
    <n v="60130"/>
    <s v="NZ"/>
    <n v="2.2465753424657535"/>
    <n v="1803.8999999999999"/>
    <n v="3"/>
  </r>
  <r>
    <s v="Lalit Kothari"/>
    <s v="Female"/>
    <n v="34"/>
    <x v="2"/>
    <d v="2021-12-20T00:00:00"/>
    <s v="Finance"/>
    <n v="60130"/>
    <s v="IND"/>
    <n v="2.4164383561643836"/>
    <n v="1803.8999999999999"/>
    <n v="3"/>
  </r>
  <r>
    <s v="My Hanscome"/>
    <s v="Male"/>
    <n v="33"/>
    <x v="2"/>
    <d v="2021-02-16T00:00:00"/>
    <s v="Finance"/>
    <n v="59430"/>
    <s v="NZ"/>
    <n v="3.2575342465753425"/>
    <n v="1782.8999999999999"/>
    <n v="3"/>
  </r>
  <r>
    <s v="Asija Pothireddy"/>
    <s v="Male"/>
    <n v="33"/>
    <x v="2"/>
    <d v="2020-12-16T00:00:00"/>
    <s v="Finance"/>
    <n v="59430"/>
    <s v="IND"/>
    <n v="3.4273972602739726"/>
    <n v="1782.8999999999999"/>
    <n v="3"/>
  </r>
  <r>
    <s v="Lilyan Klimpt"/>
    <s v="Male"/>
    <n v="19"/>
    <x v="2"/>
    <d v="2021-03-22T00:00:00"/>
    <s v="Procurement"/>
    <n v="58960"/>
    <s v="NZ"/>
    <n v="3.1643835616438358"/>
    <n v="1768.8000000000002"/>
    <n v="3"/>
  </r>
  <r>
    <s v="Vinanti Choudhari"/>
    <s v="Male"/>
    <n v="19"/>
    <x v="2"/>
    <d v="2021-01-22T00:00:00"/>
    <s v="Procurement"/>
    <n v="58960"/>
    <s v="IND"/>
    <n v="3.3260273972602739"/>
    <n v="1768.8000000000002"/>
    <n v="3"/>
  </r>
  <r>
    <s v="Oby Sorrel"/>
    <s v="Female"/>
    <n v="34"/>
    <x v="2"/>
    <d v="2022-04-02T00:00:00"/>
    <s v="Finance"/>
    <n v="58940"/>
    <s v="NZ"/>
    <n v="2.1342465753424658"/>
    <n v="1768.1999999999998"/>
    <n v="3"/>
  </r>
  <r>
    <s v="Krittika Gaekwad"/>
    <s v="Female"/>
    <n v="34"/>
    <x v="2"/>
    <d v="2022-02-02T00:00:00"/>
    <s v="Finance"/>
    <n v="58940"/>
    <s v="IND"/>
    <n v="2.2958904109589042"/>
    <n v="1768.1999999999998"/>
    <n v="3"/>
  </r>
  <r>
    <s v="Brien Boise"/>
    <s v="Female"/>
    <n v="31"/>
    <x v="2"/>
    <d v="2022-04-12T00:00:00"/>
    <s v="Website"/>
    <n v="58100"/>
    <s v="NZ"/>
    <n v="2.106849315068493"/>
    <n v="1743"/>
    <n v="3"/>
  </r>
  <r>
    <s v="Pratigya Rema"/>
    <s v="Female"/>
    <n v="31"/>
    <x v="2"/>
    <d v="2022-02-12T00:00:00"/>
    <s v="Website"/>
    <n v="58100"/>
    <s v="IND"/>
    <n v="2.2684931506849315"/>
    <n v="1743"/>
    <n v="3"/>
  </r>
  <r>
    <s v="Sibyl Dunkirk"/>
    <s v="Female"/>
    <n v="33"/>
    <x v="2"/>
    <d v="2022-09-05T00:00:00"/>
    <s v="Finance"/>
    <n v="86570"/>
    <s v="NZ"/>
    <n v="1.7068493150684931"/>
    <n v="1731.4"/>
    <n v="3"/>
  </r>
  <r>
    <s v="Madhumati Gazala Soumitra"/>
    <s v="Female"/>
    <n v="33"/>
    <x v="2"/>
    <d v="2022-07-05T00:00:00"/>
    <s v="Finance"/>
    <n v="86570"/>
    <s v="IND"/>
    <n v="1.8767123287671232"/>
    <n v="1731.4"/>
    <n v="3"/>
  </r>
  <r>
    <s v="Alta Kaszper"/>
    <s v="Male"/>
    <n v="27"/>
    <x v="2"/>
    <d v="2020-10-30T00:00:00"/>
    <s v="Sales"/>
    <n v="54970"/>
    <s v="NZ"/>
    <n v="3.5561643835616437"/>
    <n v="1649.1000000000001"/>
    <n v="3"/>
  </r>
  <r>
    <s v="Sanchali Shirish"/>
    <s v="Male"/>
    <n v="27"/>
    <x v="2"/>
    <d v="2020-08-30T00:00:00"/>
    <s v="Sales"/>
    <n v="54970"/>
    <s v="IND"/>
    <n v="3.7232876712328768"/>
    <n v="1649.1000000000001"/>
    <n v="3"/>
  </r>
  <r>
    <s v="William Reeveley"/>
    <s v="Male"/>
    <n v="33"/>
    <x v="2"/>
    <d v="2021-11-09T00:00:00"/>
    <s v="Website"/>
    <n v="53870"/>
    <s v="NZ"/>
    <n v="2.5287671232876714"/>
    <n v="1616.1000000000001"/>
    <n v="3"/>
  </r>
  <r>
    <s v="Pragya Nilufar"/>
    <s v="Male"/>
    <n v="33"/>
    <x v="2"/>
    <d v="2021-09-09T00:00:00"/>
    <s v="Website"/>
    <n v="53870"/>
    <s v="IND"/>
    <n v="2.6958904109589041"/>
    <n v="1616.1000000000001"/>
    <n v="3"/>
  </r>
  <r>
    <s v="Hoyt D'Alesco"/>
    <s v="Male"/>
    <n v="32"/>
    <x v="2"/>
    <d v="2021-09-26T00:00:00"/>
    <s v="Sales"/>
    <n v="53540"/>
    <s v="NZ"/>
    <n v="2.6493150684931508"/>
    <n v="1606.1999999999998"/>
    <n v="3"/>
  </r>
  <r>
    <s v="Zach Polon"/>
    <s v="Male"/>
    <n v="26"/>
    <x v="2"/>
    <d v="2021-08-03T00:00:00"/>
    <s v="Procurement"/>
    <n v="53540"/>
    <s v="NZ"/>
    <n v="2.7972602739726029"/>
    <n v="1606.1999999999998"/>
    <n v="3"/>
  </r>
  <r>
    <s v="Geena Raghavanpillai"/>
    <s v="Male"/>
    <n v="32"/>
    <x v="2"/>
    <d v="2021-07-26T00:00:00"/>
    <s v="Sales"/>
    <n v="53540"/>
    <s v="IND"/>
    <n v="2.8191780821917809"/>
    <n v="1606.1999999999998"/>
    <n v="3"/>
  </r>
  <r>
    <s v="Chitrasen Laul"/>
    <s v="Male"/>
    <n v="26"/>
    <x v="2"/>
    <d v="2021-06-03T00:00:00"/>
    <s v="Procurement"/>
    <n v="53540"/>
    <s v="IND"/>
    <n v="2.9643835616438357"/>
    <n v="1606.1999999999998"/>
    <n v="3"/>
  </r>
  <r>
    <s v="Tatum Hush"/>
    <s v="Female"/>
    <n v="28"/>
    <x v="2"/>
    <d v="2021-06-10T00:00:00"/>
    <s v="Sales"/>
    <n v="53240"/>
    <s v="NZ"/>
    <n v="2.9452054794520546"/>
    <n v="1597.1999999999998"/>
    <n v="3"/>
  </r>
  <r>
    <s v="Anumati Shyamari Meherhomji"/>
    <s v="Female"/>
    <n v="28"/>
    <x v="2"/>
    <d v="2021-04-10T00:00:00"/>
    <s v="Sales"/>
    <n v="53240"/>
    <s v="IND"/>
    <n v="3.1123287671232878"/>
    <n v="1597.1999999999998"/>
    <n v="3"/>
  </r>
  <r>
    <s v="Kellsie Waby"/>
    <s v="Male"/>
    <n v="20"/>
    <x v="2"/>
    <d v="2022-07-02T00:00:00"/>
    <s v="Procurement"/>
    <n v="79570"/>
    <s v="NZ"/>
    <n v="1.8849315068493151"/>
    <n v="1591.4"/>
    <n v="3"/>
  </r>
  <r>
    <s v="Esmaria Denecamp"/>
    <s v="Male"/>
    <n v="27"/>
    <x v="2"/>
    <d v="2022-01-06T00:00:00"/>
    <s v="Finance"/>
    <n v="48980"/>
    <s v="NZ"/>
    <n v="2.3698630136986303"/>
    <n v="1469.4"/>
    <n v="3"/>
  </r>
  <r>
    <s v="Vanmala Shriharsha"/>
    <s v="Male"/>
    <n v="27"/>
    <x v="2"/>
    <d v="2021-11-06T00:00:00"/>
    <s v="Finance"/>
    <n v="48980"/>
    <s v="IND"/>
    <n v="2.536986301369863"/>
    <n v="1469.4"/>
    <n v="3"/>
  </r>
  <r>
    <s v="Gunar Cockshoot"/>
    <s v="Male"/>
    <n v="31"/>
    <x v="2"/>
    <d v="2021-11-11T00:00:00"/>
    <s v="Website"/>
    <n v="48950"/>
    <s v="NZ"/>
    <n v="2.5232876712328767"/>
    <n v="1468.5"/>
    <n v="3"/>
  </r>
  <r>
    <s v="Amal Nimesh"/>
    <s v="Male"/>
    <n v="31"/>
    <x v="2"/>
    <d v="2021-09-11T00:00:00"/>
    <s v="Website"/>
    <n v="48950"/>
    <s v="IND"/>
    <n v="2.6904109589041094"/>
    <n v="1468.5"/>
    <n v="3"/>
  </r>
  <r>
    <s v="Dell Molloy"/>
    <s v="Male"/>
    <n v="26"/>
    <x v="2"/>
    <d v="2021-01-29T00:00:00"/>
    <s v="Procurement"/>
    <n v="47360"/>
    <s v="NZ"/>
    <n v="3.3068493150684932"/>
    <n v="1420.8000000000002"/>
    <n v="3"/>
  </r>
  <r>
    <s v="Shiuli Sapna"/>
    <s v="Male"/>
    <n v="26"/>
    <x v="2"/>
    <d v="2020-11-29T00:00:00"/>
    <s v="Procurement"/>
    <n v="47360"/>
    <s v="IND"/>
    <n v="3.473972602739726"/>
    <n v="1420.8000000000002"/>
    <n v="3"/>
  </r>
  <r>
    <s v="Ambros Murthwaite"/>
    <s v="Male"/>
    <n v="46"/>
    <x v="2"/>
    <d v="2022-07-16T00:00:00"/>
    <s v="Procurement"/>
    <n v="70610"/>
    <s v="NZ"/>
    <n v="1.8465753424657534"/>
    <n v="1412.2"/>
    <n v="3"/>
  </r>
  <r>
    <s v="Myer McCory"/>
    <s v="Male"/>
    <n v="30"/>
    <x v="2"/>
    <d v="2022-10-16T00:00:00"/>
    <s v="Website"/>
    <n v="69710"/>
    <s v="NZ"/>
    <n v="1.5945205479452054"/>
    <n v="1394.2"/>
    <n v="3"/>
  </r>
  <r>
    <s v="Shekhar Eswara"/>
    <s v="Male"/>
    <n v="30"/>
    <x v="2"/>
    <d v="2022-08-16T00:00:00"/>
    <s v="Website"/>
    <n v="69710"/>
    <s v="IND"/>
    <n v="1.7616438356164383"/>
    <n v="1394.2"/>
    <n v="3"/>
  </r>
  <r>
    <s v="Murry Dryburgh"/>
    <s v="Male"/>
    <n v="37"/>
    <x v="2"/>
    <d v="2022-05-20T00:00:00"/>
    <s v="Website"/>
    <n v="69070"/>
    <s v="NZ"/>
    <n v="2.0027397260273974"/>
    <n v="2072.1000000000004"/>
    <n v="3"/>
  </r>
  <r>
    <s v="Florinda Crace"/>
    <s v="Female"/>
    <n v="32"/>
    <x v="2"/>
    <d v="2021-07-23T00:00:00"/>
    <s v="HR"/>
    <n v="45510"/>
    <s v="NZ"/>
    <n v="2.8273972602739725"/>
    <n v="1365.3000000000002"/>
    <n v="3"/>
  </r>
  <r>
    <s v="Madhavdas Buhpathi"/>
    <s v="Female"/>
    <n v="32"/>
    <x v="2"/>
    <d v="2021-05-23T00:00:00"/>
    <s v="HR"/>
    <n v="45510"/>
    <s v="IND"/>
    <n v="2.9945205479452053"/>
    <n v="1365.3000000000002"/>
    <n v="3"/>
  </r>
  <r>
    <s v="Ebonee Roxburgh"/>
    <s v="Male"/>
    <n v="30"/>
    <x v="2"/>
    <d v="2022-05-20T00:00:00"/>
    <s v="Procurement"/>
    <n v="67950"/>
    <s v="NZ"/>
    <n v="2.0027397260273974"/>
    <n v="2038.5"/>
    <n v="3"/>
  </r>
  <r>
    <s v="Dotty Strutley"/>
    <s v="Female"/>
    <n v="31"/>
    <x v="2"/>
    <d v="2020-11-10T00:00:00"/>
    <s v="Website"/>
    <n v="41980"/>
    <s v="NZ"/>
    <n v="3.526027397260274"/>
    <n v="1259.4000000000001"/>
    <n v="3"/>
  </r>
  <r>
    <s v="Jagajeet Viraj"/>
    <s v="Female"/>
    <n v="31"/>
    <x v="2"/>
    <d v="2020-09-10T00:00:00"/>
    <s v="Website"/>
    <n v="41980"/>
    <s v="IND"/>
    <n v="3.6931506849315068"/>
    <n v="1259.4000000000001"/>
    <n v="3"/>
  </r>
  <r>
    <s v="Crissie Cordel"/>
    <s v="Female"/>
    <n v="32"/>
    <x v="2"/>
    <d v="2022-02-19T00:00:00"/>
    <s v="Procurement"/>
    <n v="41570"/>
    <s v="NZ"/>
    <n v="2.2493150684931509"/>
    <n v="1247.0999999999999"/>
    <n v="3"/>
  </r>
  <r>
    <s v="Prerana Nishita"/>
    <s v="Female"/>
    <n v="32"/>
    <x v="2"/>
    <d v="2021-12-19T00:00:00"/>
    <s v="Procurement"/>
    <n v="41570"/>
    <s v="IND"/>
    <n v="2.419178082191781"/>
    <n v="1247.0999999999999"/>
    <n v="3"/>
  </r>
  <r>
    <s v="Shobhana Samuel"/>
    <s v="Male"/>
    <n v="35"/>
    <x v="2"/>
    <d v="2022-04-15T00:00:00"/>
    <s v="Procurement"/>
    <n v="40400"/>
    <s v="IND"/>
    <n v="2.0986301369863014"/>
    <n v="1212"/>
    <n v="3"/>
  </r>
  <r>
    <s v="Kelci Walkden"/>
    <s v="Male"/>
    <n v="21"/>
    <x v="2"/>
    <d v="2022-07-20T00:00:00"/>
    <s v="Procurement"/>
    <n v="57090"/>
    <s v="NZ"/>
    <n v="1.8356164383561644"/>
    <n v="1141.8"/>
    <n v="3"/>
  </r>
  <r>
    <s v="Shattesh Utpat"/>
    <s v="Male"/>
    <n v="21"/>
    <x v="2"/>
    <d v="2022-05-20T00:00:00"/>
    <s v="Procurement"/>
    <n v="57090"/>
    <s v="IND"/>
    <n v="2.0027397260273974"/>
    <n v="1712.6999999999998"/>
    <n v="3"/>
  </r>
  <r>
    <s v="Orton Livick"/>
    <s v="Male"/>
    <n v="21"/>
    <x v="2"/>
    <d v="2020-09-30T00:00:00"/>
    <s v="Procurement"/>
    <n v="37920"/>
    <s v="NZ"/>
    <n v="3.6383561643835618"/>
    <n v="1137.5999999999999"/>
    <n v="3"/>
  </r>
  <r>
    <s v="Akbar Sorabhjee"/>
    <s v="Male"/>
    <n v="21"/>
    <x v="2"/>
    <d v="2020-07-30T00:00:00"/>
    <s v="Procurement"/>
    <n v="37920"/>
    <s v="IND"/>
    <n v="3.8082191780821919"/>
    <n v="1137.5999999999999"/>
    <n v="3"/>
  </r>
  <r>
    <s v="Bili Sizey"/>
    <s v="Male"/>
    <n v="43"/>
    <x v="2"/>
    <d v="2022-02-28T00:00:00"/>
    <s v="Sales"/>
    <n v="36040"/>
    <s v="NZ"/>
    <n v="2.2246575342465755"/>
    <n v="1081.1999999999998"/>
    <n v="3"/>
  </r>
  <r>
    <s v="Waheeda Vasuman"/>
    <s v="Male"/>
    <n v="43"/>
    <x v="2"/>
    <d v="2021-12-28T00:00:00"/>
    <s v="Sales"/>
    <n v="36040"/>
    <s v="IND"/>
    <n v="2.3945205479452056"/>
    <n v="1081.1999999999998"/>
    <n v="3"/>
  </r>
  <r>
    <s v="Niall Selesnick"/>
    <s v="Female"/>
    <n v="29"/>
    <x v="2"/>
    <d v="2020-07-11T00:00:00"/>
    <s v="Website"/>
    <n v="34980"/>
    <s v="NZ"/>
    <n v="3.8602739726027395"/>
    <n v="1049.4000000000001"/>
    <n v="3"/>
  </r>
  <r>
    <s v="Suchira Bhanupriya Tapti"/>
    <s v="Female"/>
    <n v="29"/>
    <x v="2"/>
    <d v="2020-05-11T00:00:00"/>
    <s v="Website"/>
    <n v="34980"/>
    <s v="IND"/>
    <n v="4.0273972602739727"/>
    <n v="1049.4000000000001"/>
    <n v="3"/>
  </r>
  <r>
    <s v="Gretchen Callow"/>
    <s v="Female"/>
    <n v="21"/>
    <x v="2"/>
    <d v="2022-04-27T00:00:00"/>
    <s v="Website"/>
    <n v="33920"/>
    <s v="NZ"/>
    <n v="2.0657534246575344"/>
    <n v="1017.5999999999999"/>
    <n v="3"/>
  </r>
  <r>
    <s v="Shubhra Potla"/>
    <s v="Female"/>
    <n v="21"/>
    <x v="2"/>
    <d v="2022-02-27T00:00:00"/>
    <s v="Website"/>
    <n v="33920"/>
    <s v="IND"/>
    <n v="2.2273972602739724"/>
    <n v="1017.5999999999999"/>
    <n v="3"/>
  </r>
  <r>
    <s v="Archibald Filliskirk"/>
    <s v="Male"/>
    <n v="35"/>
    <x v="2"/>
    <d v="2022-06-15T00:00:00"/>
    <s v="Procurement"/>
    <n v="40400"/>
    <s v="NZ"/>
    <n v="1.9315068493150684"/>
    <n v="808"/>
    <n v="3"/>
  </r>
  <r>
    <s v="Benny Karolovsky"/>
    <s v="Others"/>
    <n v="37"/>
    <x v="3"/>
    <d v="2020-11-11T00:00:00"/>
    <s v="Finance"/>
    <n v="115440"/>
    <s v="NZ"/>
    <n v="3.5232876712328767"/>
    <n v="3463.2000000000003"/>
    <n v="2"/>
  </r>
  <r>
    <s v="Sahila Chandrasekhar"/>
    <s v="Others"/>
    <n v="37"/>
    <x v="3"/>
    <d v="2020-09-11T00:00:00"/>
    <s v="Finance"/>
    <n v="115440"/>
    <s v="IND"/>
    <n v="3.6904109589041094"/>
    <n v="3463.2000000000003"/>
    <n v="2"/>
  </r>
  <r>
    <s v="Bev Lashley"/>
    <s v="Male"/>
    <n v="29"/>
    <x v="3"/>
    <d v="2020-12-15T00:00:00"/>
    <s v="Website"/>
    <n v="112110"/>
    <s v="NZ"/>
    <n v="3.43013698630137"/>
    <n v="3363.2999999999997"/>
    <n v="2"/>
  </r>
  <r>
    <s v="Narois Motiwala"/>
    <s v="Male"/>
    <n v="29"/>
    <x v="3"/>
    <d v="2020-10-15T00:00:00"/>
    <s v="Website"/>
    <n v="112110"/>
    <s v="IND"/>
    <n v="3.5972602739726027"/>
    <n v="3363.2999999999997"/>
    <n v="2"/>
  </r>
  <r>
    <s v="Ches Bonnell"/>
    <s v="Male"/>
    <n v="37"/>
    <x v="3"/>
    <d v="2021-05-22T00:00:00"/>
    <s v="Website"/>
    <n v="88050"/>
    <s v="NZ"/>
    <n v="2.9972602739726026"/>
    <n v="2641.5"/>
    <n v="2"/>
  </r>
  <r>
    <s v="Gangadutt Ragha"/>
    <s v="Male"/>
    <n v="37"/>
    <x v="3"/>
    <d v="2021-03-22T00:00:00"/>
    <s v="Website"/>
    <n v="88050"/>
    <s v="IND"/>
    <n v="3.1643835616438358"/>
    <n v="2641.5"/>
    <n v="2"/>
  </r>
  <r>
    <s v="Chandana Sannidhi Surnilla"/>
    <s v="Male"/>
    <n v="42"/>
    <x v="3"/>
    <d v="2022-04-19T00:00:00"/>
    <s v="Finance"/>
    <n v="70270"/>
    <s v="IND"/>
    <n v="2.0876712328767124"/>
    <n v="2108.1000000000004"/>
    <n v="2"/>
  </r>
  <r>
    <s v="Hyacinthie Braybrooke"/>
    <s v="Female"/>
    <n v="20"/>
    <x v="3"/>
    <d v="2021-12-07T00:00:00"/>
    <s v="Sales"/>
    <n v="68900"/>
    <s v="NZ"/>
    <n v="2.452054794520548"/>
    <n v="2067"/>
    <n v="2"/>
  </r>
  <r>
    <s v="Devasree Fullara Saurin"/>
    <s v="Female"/>
    <n v="20"/>
    <x v="3"/>
    <d v="2021-10-07T00:00:00"/>
    <s v="Sales"/>
    <n v="68900"/>
    <s v="IND"/>
    <n v="2.6191780821917807"/>
    <n v="2067"/>
    <n v="2"/>
  </r>
  <r>
    <s v="Husein Augar"/>
    <s v="Female"/>
    <n v="30"/>
    <x v="3"/>
    <d v="2021-07-12T00:00:00"/>
    <s v="Finance"/>
    <n v="67910"/>
    <s v="NZ"/>
    <n v="2.8575342465753426"/>
    <n v="2037.3000000000002"/>
    <n v="2"/>
  </r>
  <r>
    <s v="Kantimoy Pritish"/>
    <s v="Female"/>
    <n v="30"/>
    <x v="3"/>
    <d v="2021-05-12T00:00:00"/>
    <s v="Finance"/>
    <n v="67910"/>
    <s v="IND"/>
    <n v="3.0246575342465754"/>
    <n v="2037.3000000000002"/>
    <n v="2"/>
  </r>
  <r>
    <s v="Kaye Crocroft"/>
    <s v="Male"/>
    <n v="24"/>
    <x v="3"/>
    <d v="2021-08-28T00:00:00"/>
    <s v="Finance"/>
    <n v="52610"/>
    <s v="NZ"/>
    <n v="2.7287671232876711"/>
    <n v="1578.3000000000002"/>
    <n v="2"/>
  </r>
  <r>
    <s v="Gumwant Veera"/>
    <s v="Male"/>
    <n v="24"/>
    <x v="3"/>
    <d v="2021-06-28T00:00:00"/>
    <s v="Finance"/>
    <n v="52610"/>
    <s v="IND"/>
    <n v="2.8958904109589043"/>
    <n v="1578.3000000000002"/>
    <n v="2"/>
  </r>
  <r>
    <s v="Daruka Ghazali"/>
    <s v="Female"/>
    <n v="34"/>
    <x v="3"/>
    <d v="2022-04-09T00:00:00"/>
    <s v="Sales"/>
    <n v="49630"/>
    <s v="IND"/>
    <n v="2.1150684931506851"/>
    <n v="1488.9"/>
    <n v="2"/>
  </r>
  <r>
    <s v="Shayne Stegel"/>
    <s v="Male"/>
    <n v="42"/>
    <x v="3"/>
    <d v="2022-06-19T00:00:00"/>
    <s v="Finance"/>
    <n v="70270"/>
    <s v="NZ"/>
    <n v="1.9205479452054794"/>
    <n v="1405.4"/>
    <n v="2"/>
  </r>
  <r>
    <s v="Violante Courtonne"/>
    <s v="Female"/>
    <n v="34"/>
    <x v="3"/>
    <d v="2022-06-09T00:00:00"/>
    <s v="Sales"/>
    <n v="49630"/>
    <s v="NZ"/>
    <n v="1.9479452054794522"/>
    <n v="992.6"/>
    <n v="2"/>
  </r>
  <r>
    <s v="Mahalia Larcher"/>
    <s v="Male"/>
    <n v="27"/>
    <x v="4"/>
    <d v="2022-02-17T00:00:00"/>
    <s v="Procurement"/>
    <n v="113280"/>
    <s v="NZ"/>
    <n v="2.2547945205479452"/>
    <n v="3398.3999999999996"/>
    <n v="1"/>
  </r>
  <r>
    <s v="Ilesh Dasgupta"/>
    <s v="Male"/>
    <n v="27"/>
    <x v="4"/>
    <d v="2021-12-17T00:00:00"/>
    <s v="Procurement"/>
    <n v="113280"/>
    <s v="IND"/>
    <n v="2.4246575342465753"/>
    <n v="3398.3999999999996"/>
    <n v="1"/>
  </r>
  <r>
    <s v="Camilla Castle"/>
    <s v="Female"/>
    <n v="33"/>
    <x v="4"/>
    <d v="2021-06-27T00:00:00"/>
    <s v="Website"/>
    <n v="75480"/>
    <s v="NZ"/>
    <n v="2.8986301369863012"/>
    <n v="2264.3999999999996"/>
    <n v="1"/>
  </r>
  <r>
    <s v="Ayog Chakrabarti"/>
    <s v="Female"/>
    <n v="33"/>
    <x v="4"/>
    <d v="2021-04-27T00:00:00"/>
    <s v="Website"/>
    <n v="75480"/>
    <s v="IND"/>
    <n v="3.0657534246575344"/>
    <n v="2264.3999999999996"/>
    <n v="1"/>
  </r>
  <r>
    <s v="Drusy MacCombe"/>
    <s v="Male"/>
    <n v="28"/>
    <x v="4"/>
    <d v="2022-09-16T00:00:00"/>
    <s v="Sales"/>
    <n v="43510"/>
    <s v="NZ"/>
    <n v="1.6767123287671233"/>
    <n v="870.2"/>
    <n v="1"/>
  </r>
  <r>
    <s v="Rupak Mehra"/>
    <s v="Male"/>
    <n v="28"/>
    <x v="4"/>
    <d v="2022-07-16T00:00:00"/>
    <s v="Sales"/>
    <n v="43510"/>
    <s v="IND"/>
    <n v="1.8465753424657534"/>
    <n v="870.2"/>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BF1E8A-78F7-497C-9610-4B7A8146BD7A}"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8:E14" firstHeaderRow="0" firstDataRow="1" firstDataCol="1"/>
  <pivotFields count="11">
    <pivotField dataField="1" showAll="0"/>
    <pivotField showAll="0"/>
    <pivotField showAll="0"/>
    <pivotField axis="axisRow" showAll="0">
      <items count="7">
        <item m="1" x="5"/>
        <item x="0"/>
        <item x="1"/>
        <item x="2"/>
        <item x="3"/>
        <item x="4"/>
        <item t="default"/>
      </items>
    </pivotField>
    <pivotField numFmtId="14" showAll="0"/>
    <pivotField showAll="0"/>
    <pivotField dataField="1" numFmtId="8" showAll="0"/>
    <pivotField showAll="0"/>
    <pivotField numFmtId="2" showAll="0"/>
    <pivotField numFmtId="6" showAll="0"/>
    <pivotField showAll="0"/>
  </pivotFields>
  <rowFields count="1">
    <field x="3"/>
  </rowFields>
  <rowItems count="6">
    <i>
      <x v="1"/>
    </i>
    <i>
      <x v="2"/>
    </i>
    <i>
      <x v="3"/>
    </i>
    <i>
      <x v="4"/>
    </i>
    <i>
      <x v="5"/>
    </i>
    <i t="grand">
      <x/>
    </i>
  </rowItems>
  <colFields count="1">
    <field x="-2"/>
  </colFields>
  <colItems count="2">
    <i>
      <x/>
    </i>
    <i i="1">
      <x v="1"/>
    </i>
  </colItems>
  <dataFields count="2">
    <dataField name="Count of Name" fld="0" subtotal="count" baseField="0" baseItem="0"/>
    <dataField name="Average of Salary" fld="6" subtotal="average" baseField="0" baseItem="0"/>
  </dataFields>
  <formats count="3">
    <format dxfId="24">
      <pivotArea collapsedLevelsAreSubtotals="1" fieldPosition="0">
        <references count="2">
          <reference field="4294967294" count="1" selected="0">
            <x v="1"/>
          </reference>
          <reference field="3" count="1">
            <x v="3"/>
          </reference>
        </references>
      </pivotArea>
    </format>
    <format dxfId="23">
      <pivotArea collapsedLevelsAreSubtotals="1" fieldPosition="0">
        <references count="2">
          <reference field="4294967294" count="1" selected="0">
            <x v="1"/>
          </reference>
          <reference field="3" count="1">
            <x v="5"/>
          </reference>
        </references>
      </pivotArea>
    </format>
    <format dxfId="22">
      <pivotArea field="3" grandRow="1" outline="0" collapsedLevelsAreSubtotals="1" axis="axisRow" fieldPosition="0">
        <references count="1">
          <reference field="4294967294" count="1" selected="0">
            <x v="1"/>
          </reference>
        </references>
      </pivotArea>
    </format>
  </formats>
  <conditionalFormats count="1">
    <conditionalFormat priority="1">
      <pivotAreas count="1">
        <pivotArea type="data" collapsedLevelsAreSubtotals="1" fieldPosition="0">
          <references count="2">
            <reference field="4294967294" count="1" selected="0">
              <x v="1"/>
            </reference>
            <reference field="3" count="5">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E1F0AA2-6BAA-45A6-82E1-8584C0B5F581}" name="PivotTable1" cacheId="19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
  <location ref="B3:C40"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xis="axisRow" allDrilled="1" subtotalTop="0" showAll="0" dataSourceSort="1" defaultSubtotal="0" defaultAttributeDrillState="1">
      <items count="12">
        <item x="0"/>
        <item x="1"/>
        <item x="2"/>
        <item x="3"/>
        <item x="4"/>
        <item x="5"/>
        <item x="6"/>
        <item x="7"/>
        <item x="8"/>
        <item x="9"/>
        <item x="10"/>
        <item x="11"/>
      </items>
    </pivotField>
  </pivotFields>
  <rowFields count="2">
    <field x="1"/>
    <field x="2"/>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0" subtotal="count" showDataAs="runTotal" baseField="2" baseItem="0"/>
  </dataFields>
  <chartFormats count="1">
    <chartFormat chart="3" format="0"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mplete-data-analytics-project-1.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440BBA6-C856-4B6B-979B-C4596D8FB698}" name="PivotTable3" cacheId="24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N10:P16" firstHeaderRow="0" firstDataRow="1" firstDataCol="1"/>
  <pivotFields count="4">
    <pivotField dataField="1" subtotalTop="0" showAll="0" defaultSubtotal="0"/>
    <pivotField axis="axisRow"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1">
        <item s="1" x="0"/>
      </items>
    </pivotField>
    <pivotField dataField="1" subtotalTop="0" showAll="0" defaultSubtotal="0"/>
  </pivotFields>
  <rowFields count="2">
    <field x="2"/>
    <field x="1"/>
  </rowFields>
  <rowItems count="6">
    <i>
      <x/>
    </i>
    <i r="1">
      <x/>
    </i>
    <i r="1">
      <x v="1"/>
    </i>
    <i r="1">
      <x v="2"/>
    </i>
    <i r="1">
      <x v="3"/>
    </i>
    <i r="1">
      <x v="4"/>
    </i>
  </rowItems>
  <colFields count="1">
    <field x="-2"/>
  </colFields>
  <colItems count="2">
    <i>
      <x/>
    </i>
    <i i="1">
      <x v="1"/>
    </i>
  </colItems>
  <dataFields count="2">
    <dataField name="Count of Name" fld="0" subtotal="count" baseField="0" baseItem="0"/>
    <dataField name="Average of Salary" fld="3" subtotal="average" baseField="0" baseItem="0"/>
  </dataField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Dark16" showRowHeaders="1" showColHeaders="1" showRowStripes="0" showColStripes="0" showLastColumn="1"/>
  <rowHierarchiesUsage count="2">
    <rowHierarchyUsage hierarchyUsage="7"/>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mplete-data-analytics-project-1.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90B981-D92F-492F-89E4-C517A86BF4A2}" name="PivotTable2" cacheId="25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16">
  <location ref="B11:D17" firstHeaderRow="0" firstDataRow="1" firstDataCol="1"/>
  <pivotFields count="4">
    <pivotField dataField="1" subtotalTop="0" showAll="0" defaultSubtotal="0"/>
    <pivotField axis="axisRow"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1">
        <item s="1" x="0"/>
      </items>
    </pivotField>
    <pivotField dataField="1" subtotalTop="0" showAll="0" defaultSubtotal="0"/>
  </pivotFields>
  <rowFields count="2">
    <field x="2"/>
    <field x="1"/>
  </rowFields>
  <rowItems count="6">
    <i>
      <x/>
    </i>
    <i r="1">
      <x/>
    </i>
    <i r="1">
      <x v="1"/>
    </i>
    <i r="1">
      <x v="2"/>
    </i>
    <i r="1">
      <x v="3"/>
    </i>
    <i r="1">
      <x v="4"/>
    </i>
  </rowItems>
  <colFields count="1">
    <field x="-2"/>
  </colFields>
  <colItems count="2">
    <i>
      <x/>
    </i>
    <i i="1">
      <x v="1"/>
    </i>
  </colItems>
  <dataFields count="2">
    <dataField name="Count of Name" fld="0" subtotal="count" baseField="0" baseItem="0"/>
    <dataField name="Average of Salary" fld="3" subtotal="average" baseField="0" baseItem="0"/>
  </dataFields>
  <formats count="1">
    <format dxfId="0">
      <pivotArea collapsedLevelsAreSubtotals="1" fieldPosition="0">
        <references count="3">
          <reference field="4294967294" count="1" selected="0">
            <x v="1"/>
          </reference>
          <reference field="1" count="0"/>
          <reference field="2" count="0" selected="0"/>
        </references>
      </pivotArea>
    </format>
  </formats>
  <chartFormats count="4">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Dark16" showRowHeaders="1" showColHeaders="1" showRowStripes="0" showColStripes="0" showLastColumn="1"/>
  <rowHierarchiesUsage count="2">
    <rowHierarchyUsage hierarchyUsage="7"/>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mplete-data-analytics-project-1.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6A1AE6-F069-4721-8E0A-07D8FD5A7322}" name="PivotTable1" cacheId="25"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C6:E11"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Salary" fld="2" subtotal="average" baseField="0" baseItem="0"/>
    <dataField name="Average of Age" fld="3" subtotal="average" baseField="0" baseItem="0"/>
    <dataField name="Average of tenure" fld="4" subtotal="average" baseField="0" baseItem="0"/>
  </dataFields>
  <formats count="7">
    <format dxfId="20">
      <pivotArea field="0" grandCol="1" collapsedLevelsAreSubtotals="1" axis="axisCol" fieldPosition="0">
        <references count="1">
          <reference field="4294967294" count="1">
            <x v="2"/>
          </reference>
        </references>
      </pivotArea>
    </format>
    <format dxfId="19">
      <pivotArea collapsedLevelsAreSubtotals="1" fieldPosition="0">
        <references count="2">
          <reference field="4294967294" count="1">
            <x v="3"/>
          </reference>
          <reference field="0" count="1" selected="0">
            <x v="0"/>
          </reference>
        </references>
      </pivotArea>
    </format>
    <format dxfId="18">
      <pivotArea collapsedLevelsAreSubtotals="1" fieldPosition="0">
        <references count="2">
          <reference field="4294967294" count="1">
            <x v="3"/>
          </reference>
          <reference field="0" count="1" selected="0">
            <x v="1"/>
          </reference>
        </references>
      </pivotArea>
    </format>
    <format dxfId="17">
      <pivotArea field="0" grandCol="1" collapsedLevelsAreSubtotals="1" axis="axisCol" fieldPosition="0">
        <references count="1">
          <reference field="4294967294" count="1">
            <x v="3"/>
          </reference>
        </references>
      </pivotArea>
    </format>
    <format dxfId="16">
      <pivotArea collapsedLevelsAreSubtotals="1" fieldPosition="0">
        <references count="2">
          <reference field="4294967294" count="1">
            <x v="2"/>
          </reference>
          <reference field="0" count="1" selected="0">
            <x v="0"/>
          </reference>
        </references>
      </pivotArea>
    </format>
    <format dxfId="15">
      <pivotArea collapsedLevelsAreSubtotals="1" fieldPosition="0">
        <references count="2">
          <reference field="4294967294" count="1">
            <x v="2"/>
          </reference>
          <reference field="0" count="1" selected="0">
            <x v="1"/>
          </reference>
        </references>
      </pivotArea>
    </format>
    <format dxfId="14">
      <pivotArea collapsedLevelsAreSubtotals="1" fieldPosition="0">
        <references count="1">
          <reference field="4294967294" count="1">
            <x v="1"/>
          </reference>
        </references>
      </pivotArea>
    </format>
  </formats>
  <pivotHierarchies count="24">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mplete-data-analytics-project-1.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0359B969-7F40-4386-AA4B-F7EFEFFB00B2}" autoFormatId="16" applyNumberFormats="0" applyBorderFormats="0" applyFontFormats="0" applyPatternFormats="0" applyAlignmentFormats="0" applyWidthHeightFormats="0">
  <queryTableRefresh nextId="13"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1" dataBound="0" tableColumnId="10"/>
      <queryTableField id="12"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B5F24CD-8E2F-4230-B314-969677569AB7}" sourceName="[staff].[Country]">
  <pivotTables>
    <pivotTable tabId="7" name="PivotTable1"/>
  </pivotTables>
  <data>
    <olap pivotCacheId="669465266">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DC45F9A5-7441-4ADE-B0DE-016A68F693D1}" cache="Slicer_Country" caption="Country" level="1"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487449-DCC7-4F0A-B08F-D117D5062BF1}" name="nz_staff" displayName="nz_staff" ref="C5:I106" totalsRowCount="1">
  <autoFilter ref="C5:I105" xr:uid="{4F487449-DCC7-4F0A-B08F-D117D5062BF1}"/>
  <tableColumns count="7">
    <tableColumn id="1" xr3:uid="{CDE0DD48-30BB-4FB6-A379-6B24EC1165A0}" name="Name" totalsRowLabel="Total"/>
    <tableColumn id="2" xr3:uid="{26EC3494-7B43-415A-B057-17732822F457}" name="Gender"/>
    <tableColumn id="3" xr3:uid="{9375F604-2951-424F-B065-3BC039575478}" name="Department" totalsRowFunction="count"/>
    <tableColumn id="4" xr3:uid="{0DC01F1E-9DCE-4ECE-BA72-F8BD93293CAA}" name="Age"/>
    <tableColumn id="5" xr3:uid="{B0F4F66B-1788-4FF4-A712-A639EB35973F}" name="Date Joined" totalsRowFunction="min" dataDxfId="26" totalsRowDxfId="25"/>
    <tableColumn id="6" xr3:uid="{F55D58FE-E06C-4B09-BE20-820EE7D61A8E}" name="Salary" totalsRowFunction="average"/>
    <tableColumn id="7" xr3:uid="{6003D3DE-DFE6-409A-84B9-175B3E0280E9}"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D3FA4C-F90E-4757-90C7-16812F4E3599}" name="staff" displayName="staff" ref="B3:L187" tableType="queryTable" totalsRowShown="0">
  <autoFilter ref="B3:L187" xr:uid="{7FD3FA4C-F90E-4757-90C7-16812F4E3599}"/>
  <sortState xmlns:xlrd2="http://schemas.microsoft.com/office/spreadsheetml/2017/richdata2" ref="B4:L187">
    <sortCondition descending="1" ref="L3:L187"/>
  </sortState>
  <tableColumns count="11">
    <tableColumn id="1" xr3:uid="{D0EFED74-40F8-43AF-A4D3-470620F230D7}" uniqueName="1" name="Name" queryTableFieldId="1" dataDxfId="13"/>
    <tableColumn id="2" xr3:uid="{A74B19ED-E714-4019-B145-62AFBF26C458}" uniqueName="2" name="Gender" queryTableFieldId="2" dataDxfId="12"/>
    <tableColumn id="3" xr3:uid="{12A63F52-0B75-4A09-B62F-A32BC3CB0025}" uniqueName="3" name="Age" queryTableFieldId="3"/>
    <tableColumn id="4" xr3:uid="{C30A76E3-108C-4D81-A2C1-29CC09C3CC27}" uniqueName="4" name="Rating" queryTableFieldId="4"/>
    <tableColumn id="5" xr3:uid="{C24E1B8A-4BC9-476B-A35D-1A9B6586A85A}" uniqueName="5" name="Date Joined" queryTableFieldId="5" dataDxfId="11"/>
    <tableColumn id="6" xr3:uid="{17569CDD-3211-4516-8FF8-EAE9F6321B9D}" uniqueName="6" name="Department" queryTableFieldId="6"/>
    <tableColumn id="7" xr3:uid="{B34E13E3-1B26-47CC-9F81-39E7D27D851B}" uniqueName="7" name="Salary" queryTableFieldId="7" dataDxfId="10"/>
    <tableColumn id="8" xr3:uid="{4D4FEB36-0F85-46B9-98FC-D07E05838689}" uniqueName="8" name="Country" queryTableFieldId="8"/>
    <tableColumn id="9" xr3:uid="{230E7D16-63D7-4D07-9152-7DE58FF9051E}" uniqueName="9" name="tenure" queryTableFieldId="9" dataDxfId="9">
      <calculatedColumnFormula>(TODAY()-F4)/365</calculatedColumnFormula>
    </tableColumn>
    <tableColumn id="10" xr3:uid="{78D3CF41-F2E8-4416-99EB-AF355B0551AC}" uniqueName="10" name="bonus" queryTableFieldId="11" dataDxfId="8">
      <calculatedColumnFormula>IF(staff[[#This Row],[tenure]]&gt;2,(staff[[#This Row],[Salary]]/100)*3,(staff[[#This Row],[Salary]]/100)*2)</calculatedColumnFormula>
    </tableColumn>
    <tableColumn id="11" xr3:uid="{E457A97B-C267-426B-8520-E4B4988EECE3}" uniqueName="11" name="rating as number" queryTableFieldId="12" dataDxfId="7">
      <calculatedColumnFormula>_xlfn.XLOOKUP(E4,$O$25:$O$29,$P$25:$P$29)</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14215F2-20C6-425B-B88B-D3DE9F34C741}" name="ind_staff" displayName="ind_staff" ref="B2:H114" totalsRowShown="0">
  <autoFilter ref="B2:H114" xr:uid="{B14215F2-20C6-425B-B88B-D3DE9F34C741}"/>
  <tableColumns count="7">
    <tableColumn id="1" xr3:uid="{C693812E-4A13-407E-BF28-8061ADCD59EA}" name="Name"/>
    <tableColumn id="2" xr3:uid="{CFE82A10-D70A-439A-9ED1-D778B5C580B3}" name="Gender"/>
    <tableColumn id="3" xr3:uid="{C2704759-4F78-4307-8EB9-9C17FC828AD3}" name="Age"/>
    <tableColumn id="4" xr3:uid="{CBCB2712-CD1F-419B-8FF9-6A5E387C26B6}" name="Rating"/>
    <tableColumn id="5" xr3:uid="{57F72827-5047-46ED-AECC-584D4A132A74}" name="Date Joined" dataDxfId="21"/>
    <tableColumn id="6" xr3:uid="{7DBD6A6C-7376-4ECA-AC63-EDF14B26F79F}" name="Department"/>
    <tableColumn id="7" xr3:uid="{54845697-17F4-43ED-8DDB-71F84029C2B1}" name="Sala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J106"/>
  <sheetViews>
    <sheetView showGridLines="0" zoomScale="45" zoomScaleNormal="75" workbookViewId="0">
      <selection activeCell="E10" sqref="E10"/>
    </sheetView>
  </sheetViews>
  <sheetFormatPr defaultRowHeight="14.4" x14ac:dyDescent="0.3"/>
  <cols>
    <col min="1" max="1" width="1.6640625" customWidth="1"/>
    <col min="2" max="2" width="3.6640625" customWidth="1"/>
    <col min="3" max="3" width="25.6640625" customWidth="1"/>
    <col min="4" max="4" width="10.44140625" bestFit="1" customWidth="1"/>
    <col min="5" max="5" width="14.6640625" bestFit="1" customWidth="1"/>
    <col min="6" max="6" width="7.21875" bestFit="1" customWidth="1"/>
    <col min="7" max="7" width="14.33203125" bestFit="1" customWidth="1"/>
    <col min="8" max="8" width="9.33203125" bestFit="1" customWidth="1"/>
    <col min="9" max="9" width="13.5546875" bestFit="1" customWidth="1"/>
  </cols>
  <sheetData>
    <row r="1" spans="1:10" s="2" customFormat="1" ht="52.5" customHeight="1" x14ac:dyDescent="0.3">
      <c r="A1" s="1"/>
      <c r="C1" s="3" t="s">
        <v>110</v>
      </c>
    </row>
    <row r="5" spans="1:10" x14ac:dyDescent="0.3">
      <c r="C5" t="s">
        <v>0</v>
      </c>
      <c r="D5" t="s">
        <v>1</v>
      </c>
      <c r="E5" t="s">
        <v>2</v>
      </c>
      <c r="F5" t="s">
        <v>3</v>
      </c>
      <c r="G5" s="4" t="s">
        <v>4</v>
      </c>
      <c r="H5" t="s">
        <v>5</v>
      </c>
      <c r="I5" t="s">
        <v>6</v>
      </c>
    </row>
    <row r="6" spans="1:10" x14ac:dyDescent="0.3">
      <c r="C6" t="s">
        <v>58</v>
      </c>
      <c r="D6" t="s">
        <v>15</v>
      </c>
      <c r="E6" t="s">
        <v>19</v>
      </c>
      <c r="F6">
        <v>22</v>
      </c>
      <c r="G6" s="4">
        <v>44446</v>
      </c>
      <c r="H6">
        <v>112780</v>
      </c>
      <c r="I6" t="s">
        <v>13</v>
      </c>
      <c r="J6">
        <f>COUNTA(_xlfn.UNIQUE(nz_staff[Name]))</f>
        <v>91</v>
      </c>
    </row>
    <row r="7" spans="1:10" x14ac:dyDescent="0.3">
      <c r="C7" t="s">
        <v>70</v>
      </c>
      <c r="D7" t="s">
        <v>15</v>
      </c>
      <c r="E7" t="s">
        <v>9</v>
      </c>
      <c r="F7">
        <v>46</v>
      </c>
      <c r="G7" s="4">
        <v>44758</v>
      </c>
      <c r="H7">
        <v>70610</v>
      </c>
      <c r="I7" t="s">
        <v>16</v>
      </c>
    </row>
    <row r="8" spans="1:10" x14ac:dyDescent="0.3">
      <c r="C8" t="s">
        <v>75</v>
      </c>
      <c r="D8" t="s">
        <v>8</v>
      </c>
      <c r="E8" t="s">
        <v>19</v>
      </c>
      <c r="F8">
        <v>28</v>
      </c>
      <c r="G8" s="4">
        <v>44357</v>
      </c>
      <c r="H8">
        <v>53240</v>
      </c>
      <c r="I8" t="s">
        <v>16</v>
      </c>
    </row>
    <row r="9" spans="1:10" x14ac:dyDescent="0.3">
      <c r="C9" t="s">
        <v>49</v>
      </c>
      <c r="E9" t="s">
        <v>21</v>
      </c>
      <c r="F9">
        <v>37</v>
      </c>
      <c r="G9" s="4">
        <v>44146</v>
      </c>
      <c r="H9">
        <v>115440</v>
      </c>
      <c r="I9" t="s">
        <v>24</v>
      </c>
    </row>
    <row r="10" spans="1:10" x14ac:dyDescent="0.3">
      <c r="C10" t="s">
        <v>65</v>
      </c>
      <c r="D10" t="s">
        <v>15</v>
      </c>
      <c r="E10" t="s">
        <v>19</v>
      </c>
      <c r="F10">
        <v>32</v>
      </c>
      <c r="G10" s="4">
        <v>44465</v>
      </c>
      <c r="H10">
        <v>53540</v>
      </c>
      <c r="I10" t="s">
        <v>16</v>
      </c>
    </row>
    <row r="11" spans="1:10" x14ac:dyDescent="0.3">
      <c r="C11" t="s">
        <v>81</v>
      </c>
      <c r="D11" t="s">
        <v>8</v>
      </c>
      <c r="E11" t="s">
        <v>9</v>
      </c>
      <c r="F11">
        <v>30</v>
      </c>
      <c r="G11" s="4">
        <v>44861</v>
      </c>
      <c r="H11">
        <v>112570</v>
      </c>
      <c r="I11" t="s">
        <v>16</v>
      </c>
    </row>
    <row r="12" spans="1:10" x14ac:dyDescent="0.3">
      <c r="C12" t="s">
        <v>51</v>
      </c>
      <c r="D12" t="s">
        <v>15</v>
      </c>
      <c r="E12" t="s">
        <v>9</v>
      </c>
      <c r="F12">
        <v>33</v>
      </c>
      <c r="G12" s="4">
        <v>44701</v>
      </c>
      <c r="H12">
        <v>48530</v>
      </c>
      <c r="I12" t="s">
        <v>13</v>
      </c>
    </row>
    <row r="13" spans="1:10" x14ac:dyDescent="0.3">
      <c r="C13" t="s">
        <v>61</v>
      </c>
      <c r="D13" t="s">
        <v>8</v>
      </c>
      <c r="E13" t="s">
        <v>12</v>
      </c>
      <c r="F13">
        <v>24</v>
      </c>
      <c r="G13" s="4">
        <v>44148</v>
      </c>
      <c r="H13">
        <v>62780</v>
      </c>
      <c r="I13" t="s">
        <v>16</v>
      </c>
    </row>
    <row r="14" spans="1:10" x14ac:dyDescent="0.3">
      <c r="C14" t="s">
        <v>82</v>
      </c>
      <c r="D14" t="s">
        <v>15</v>
      </c>
      <c r="E14" t="s">
        <v>12</v>
      </c>
      <c r="F14">
        <v>33</v>
      </c>
      <c r="G14" s="4">
        <v>44509</v>
      </c>
      <c r="H14">
        <v>53870</v>
      </c>
      <c r="I14" t="s">
        <v>16</v>
      </c>
    </row>
    <row r="15" spans="1:10" x14ac:dyDescent="0.3">
      <c r="C15" t="s">
        <v>60</v>
      </c>
      <c r="D15" t="s">
        <v>8</v>
      </c>
      <c r="E15" t="s">
        <v>56</v>
      </c>
      <c r="F15">
        <v>27</v>
      </c>
      <c r="G15" s="4">
        <v>44122</v>
      </c>
      <c r="H15">
        <v>119110</v>
      </c>
      <c r="I15" t="s">
        <v>16</v>
      </c>
    </row>
    <row r="16" spans="1:10" x14ac:dyDescent="0.3">
      <c r="C16" t="s">
        <v>87</v>
      </c>
      <c r="D16" t="s">
        <v>15</v>
      </c>
      <c r="E16" t="s">
        <v>12</v>
      </c>
      <c r="F16">
        <v>29</v>
      </c>
      <c r="G16" s="4">
        <v>44180</v>
      </c>
      <c r="H16">
        <v>112110</v>
      </c>
      <c r="I16" t="s">
        <v>24</v>
      </c>
    </row>
    <row r="17" spans="3:9" x14ac:dyDescent="0.3">
      <c r="C17" t="s">
        <v>76</v>
      </c>
      <c r="D17" t="s">
        <v>15</v>
      </c>
      <c r="E17" t="s">
        <v>19</v>
      </c>
      <c r="F17">
        <v>25</v>
      </c>
      <c r="G17" s="4">
        <v>44383</v>
      </c>
      <c r="H17">
        <v>65700</v>
      </c>
      <c r="I17" t="s">
        <v>16</v>
      </c>
    </row>
    <row r="18" spans="3:9" x14ac:dyDescent="0.3">
      <c r="C18" t="s">
        <v>97</v>
      </c>
      <c r="D18" t="s">
        <v>15</v>
      </c>
      <c r="E18" t="s">
        <v>12</v>
      </c>
      <c r="F18">
        <v>37</v>
      </c>
      <c r="G18" s="4">
        <v>44701</v>
      </c>
      <c r="H18">
        <v>69070</v>
      </c>
      <c r="I18" t="s">
        <v>16</v>
      </c>
    </row>
    <row r="19" spans="3:9" x14ac:dyDescent="0.3">
      <c r="C19" t="s">
        <v>22</v>
      </c>
      <c r="D19" t="s">
        <v>15</v>
      </c>
      <c r="E19" t="s">
        <v>12</v>
      </c>
      <c r="F19">
        <v>20</v>
      </c>
      <c r="G19" s="4">
        <v>44459</v>
      </c>
      <c r="H19">
        <v>107700</v>
      </c>
      <c r="I19" t="s">
        <v>16</v>
      </c>
    </row>
    <row r="20" spans="3:9" x14ac:dyDescent="0.3">
      <c r="C20" t="s">
        <v>84</v>
      </c>
      <c r="D20" t="s">
        <v>8</v>
      </c>
      <c r="E20" t="s">
        <v>12</v>
      </c>
      <c r="F20">
        <v>32</v>
      </c>
      <c r="G20" s="4">
        <v>44354</v>
      </c>
      <c r="H20">
        <v>43840</v>
      </c>
      <c r="I20" t="s">
        <v>13</v>
      </c>
    </row>
    <row r="21" spans="3:9" x14ac:dyDescent="0.3">
      <c r="C21" t="s">
        <v>105</v>
      </c>
      <c r="D21" t="s">
        <v>15</v>
      </c>
      <c r="E21" t="s">
        <v>9</v>
      </c>
      <c r="F21">
        <v>40</v>
      </c>
      <c r="G21" s="4">
        <v>44263</v>
      </c>
      <c r="H21">
        <v>99750</v>
      </c>
      <c r="I21" t="s">
        <v>16</v>
      </c>
    </row>
    <row r="22" spans="3:9" x14ac:dyDescent="0.3">
      <c r="C22" t="s">
        <v>47</v>
      </c>
      <c r="D22" t="s">
        <v>15</v>
      </c>
      <c r="E22" t="s">
        <v>9</v>
      </c>
      <c r="F22">
        <v>21</v>
      </c>
      <c r="G22" s="4">
        <v>44104</v>
      </c>
      <c r="H22">
        <v>37920</v>
      </c>
      <c r="I22" t="s">
        <v>16</v>
      </c>
    </row>
    <row r="23" spans="3:9" x14ac:dyDescent="0.3">
      <c r="C23" t="s">
        <v>31</v>
      </c>
      <c r="D23" t="s">
        <v>15</v>
      </c>
      <c r="E23" t="s">
        <v>9</v>
      </c>
      <c r="F23">
        <v>21</v>
      </c>
      <c r="G23" s="4">
        <v>44762</v>
      </c>
      <c r="H23">
        <v>57090</v>
      </c>
      <c r="I23" t="s">
        <v>16</v>
      </c>
    </row>
    <row r="24" spans="3:9" x14ac:dyDescent="0.3">
      <c r="C24" t="s">
        <v>30</v>
      </c>
      <c r="D24" t="s">
        <v>8</v>
      </c>
      <c r="E24" t="s">
        <v>12</v>
      </c>
      <c r="F24">
        <v>31</v>
      </c>
      <c r="G24" s="4">
        <v>44145</v>
      </c>
      <c r="H24">
        <v>41980</v>
      </c>
      <c r="I24" t="s">
        <v>16</v>
      </c>
    </row>
    <row r="25" spans="3:9" x14ac:dyDescent="0.3">
      <c r="C25" t="s">
        <v>78</v>
      </c>
      <c r="D25" t="s">
        <v>15</v>
      </c>
      <c r="E25" t="s">
        <v>56</v>
      </c>
      <c r="F25">
        <v>21</v>
      </c>
      <c r="G25" s="4">
        <v>44242</v>
      </c>
      <c r="H25">
        <v>75880</v>
      </c>
      <c r="I25" t="s">
        <v>16</v>
      </c>
    </row>
    <row r="26" spans="3:9" x14ac:dyDescent="0.3">
      <c r="C26" t="s">
        <v>36</v>
      </c>
      <c r="D26" t="s">
        <v>8</v>
      </c>
      <c r="E26" t="s">
        <v>21</v>
      </c>
      <c r="F26">
        <v>34</v>
      </c>
      <c r="G26" s="4">
        <v>44653</v>
      </c>
      <c r="H26">
        <v>58940</v>
      </c>
      <c r="I26" t="s">
        <v>16</v>
      </c>
    </row>
    <row r="27" spans="3:9" x14ac:dyDescent="0.3">
      <c r="C27" t="s">
        <v>27</v>
      </c>
      <c r="D27" t="s">
        <v>8</v>
      </c>
      <c r="E27" t="s">
        <v>21</v>
      </c>
      <c r="F27">
        <v>30</v>
      </c>
      <c r="G27" s="4">
        <v>44389</v>
      </c>
      <c r="H27">
        <v>67910</v>
      </c>
      <c r="I27" t="s">
        <v>24</v>
      </c>
    </row>
    <row r="28" spans="3:9" x14ac:dyDescent="0.3">
      <c r="C28" t="s">
        <v>26</v>
      </c>
      <c r="D28" t="s">
        <v>8</v>
      </c>
      <c r="E28" t="s">
        <v>12</v>
      </c>
      <c r="F28">
        <v>31</v>
      </c>
      <c r="G28" s="4">
        <v>44663</v>
      </c>
      <c r="H28">
        <v>58100</v>
      </c>
      <c r="I28" t="s">
        <v>16</v>
      </c>
    </row>
    <row r="29" spans="3:9" x14ac:dyDescent="0.3">
      <c r="C29" t="s">
        <v>53</v>
      </c>
      <c r="D29" t="s">
        <v>15</v>
      </c>
      <c r="E29" t="s">
        <v>21</v>
      </c>
      <c r="F29">
        <v>27</v>
      </c>
      <c r="G29" s="4">
        <v>44567</v>
      </c>
      <c r="H29">
        <v>48980</v>
      </c>
      <c r="I29" t="s">
        <v>16</v>
      </c>
    </row>
    <row r="30" spans="3:9" x14ac:dyDescent="0.3">
      <c r="C30" t="s">
        <v>20</v>
      </c>
      <c r="E30" t="s">
        <v>21</v>
      </c>
      <c r="F30">
        <v>30</v>
      </c>
      <c r="G30" s="4">
        <v>44597</v>
      </c>
      <c r="H30">
        <v>64000</v>
      </c>
      <c r="I30" t="s">
        <v>16</v>
      </c>
    </row>
    <row r="31" spans="3:9" x14ac:dyDescent="0.3">
      <c r="C31" t="s">
        <v>7</v>
      </c>
      <c r="D31" t="s">
        <v>8</v>
      </c>
      <c r="E31" t="s">
        <v>9</v>
      </c>
      <c r="F31">
        <v>42</v>
      </c>
      <c r="G31" s="4">
        <v>44779</v>
      </c>
      <c r="H31">
        <v>75000</v>
      </c>
      <c r="I31" t="s">
        <v>10</v>
      </c>
    </row>
    <row r="32" spans="3:9" x14ac:dyDescent="0.3">
      <c r="C32" t="s">
        <v>74</v>
      </c>
      <c r="D32" t="s">
        <v>8</v>
      </c>
      <c r="E32" t="s">
        <v>12</v>
      </c>
      <c r="F32">
        <v>40</v>
      </c>
      <c r="G32" s="4">
        <v>44337</v>
      </c>
      <c r="H32">
        <v>87620</v>
      </c>
      <c r="I32" t="s">
        <v>16</v>
      </c>
    </row>
    <row r="33" spans="3:9" x14ac:dyDescent="0.3">
      <c r="C33" t="s">
        <v>44</v>
      </c>
      <c r="D33" t="s">
        <v>8</v>
      </c>
      <c r="E33" t="s">
        <v>12</v>
      </c>
      <c r="F33">
        <v>29</v>
      </c>
      <c r="G33" s="4">
        <v>44023</v>
      </c>
      <c r="H33">
        <v>34980</v>
      </c>
      <c r="I33" t="s">
        <v>16</v>
      </c>
    </row>
    <row r="34" spans="3:9" x14ac:dyDescent="0.3">
      <c r="C34" t="s">
        <v>35</v>
      </c>
      <c r="D34" t="s">
        <v>8</v>
      </c>
      <c r="E34" t="s">
        <v>21</v>
      </c>
      <c r="F34">
        <v>28</v>
      </c>
      <c r="G34" s="4">
        <v>44185</v>
      </c>
      <c r="H34">
        <v>75970</v>
      </c>
      <c r="I34" t="s">
        <v>16</v>
      </c>
    </row>
    <row r="35" spans="3:9" x14ac:dyDescent="0.3">
      <c r="C35" t="s">
        <v>38</v>
      </c>
      <c r="D35" t="s">
        <v>8</v>
      </c>
      <c r="E35" t="s">
        <v>21</v>
      </c>
      <c r="F35">
        <v>34</v>
      </c>
      <c r="G35" s="4">
        <v>44612</v>
      </c>
      <c r="H35">
        <v>60130</v>
      </c>
      <c r="I35" t="s">
        <v>16</v>
      </c>
    </row>
    <row r="36" spans="3:9" x14ac:dyDescent="0.3">
      <c r="C36" t="s">
        <v>41</v>
      </c>
      <c r="D36" t="s">
        <v>8</v>
      </c>
      <c r="E36" t="s">
        <v>12</v>
      </c>
      <c r="F36">
        <v>33</v>
      </c>
      <c r="G36" s="4">
        <v>44374</v>
      </c>
      <c r="H36">
        <v>75480</v>
      </c>
      <c r="I36" t="s">
        <v>42</v>
      </c>
    </row>
    <row r="37" spans="3:9" x14ac:dyDescent="0.3">
      <c r="C37" t="s">
        <v>40</v>
      </c>
      <c r="D37" t="s">
        <v>15</v>
      </c>
      <c r="E37" t="s">
        <v>9</v>
      </c>
      <c r="F37">
        <v>33</v>
      </c>
      <c r="G37" s="4">
        <v>44164</v>
      </c>
      <c r="H37">
        <v>115920</v>
      </c>
      <c r="I37" t="s">
        <v>16</v>
      </c>
    </row>
    <row r="38" spans="3:9" x14ac:dyDescent="0.3">
      <c r="C38" t="s">
        <v>48</v>
      </c>
      <c r="D38" t="s">
        <v>8</v>
      </c>
      <c r="E38" t="s">
        <v>19</v>
      </c>
      <c r="F38">
        <v>36</v>
      </c>
      <c r="G38" s="4">
        <v>44494</v>
      </c>
      <c r="H38">
        <v>78540</v>
      </c>
      <c r="I38" t="s">
        <v>16</v>
      </c>
    </row>
    <row r="39" spans="3:9" x14ac:dyDescent="0.3">
      <c r="C39" t="s">
        <v>34</v>
      </c>
      <c r="D39" t="s">
        <v>15</v>
      </c>
      <c r="E39" t="s">
        <v>9</v>
      </c>
      <c r="F39">
        <v>25</v>
      </c>
      <c r="G39" s="4">
        <v>44726</v>
      </c>
      <c r="H39">
        <v>109190</v>
      </c>
      <c r="I39" t="s">
        <v>13</v>
      </c>
    </row>
    <row r="40" spans="3:9" x14ac:dyDescent="0.3">
      <c r="C40" t="s">
        <v>73</v>
      </c>
      <c r="D40" t="s">
        <v>8</v>
      </c>
      <c r="E40" t="s">
        <v>19</v>
      </c>
      <c r="F40">
        <v>34</v>
      </c>
      <c r="G40" s="4">
        <v>44721</v>
      </c>
      <c r="H40">
        <v>49630</v>
      </c>
      <c r="I40" t="s">
        <v>24</v>
      </c>
    </row>
    <row r="41" spans="3:9" x14ac:dyDescent="0.3">
      <c r="C41" t="s">
        <v>107</v>
      </c>
      <c r="D41" t="s">
        <v>8</v>
      </c>
      <c r="E41" t="s">
        <v>9</v>
      </c>
      <c r="F41">
        <v>28</v>
      </c>
      <c r="G41" s="4">
        <v>44630</v>
      </c>
      <c r="H41">
        <v>99970</v>
      </c>
      <c r="I41" t="s">
        <v>16</v>
      </c>
    </row>
    <row r="42" spans="3:9" x14ac:dyDescent="0.3">
      <c r="C42" t="s">
        <v>71</v>
      </c>
      <c r="D42" t="s">
        <v>8</v>
      </c>
      <c r="E42" t="s">
        <v>12</v>
      </c>
      <c r="F42">
        <v>33</v>
      </c>
      <c r="G42" s="4">
        <v>44190</v>
      </c>
      <c r="H42">
        <v>96140</v>
      </c>
      <c r="I42" t="s">
        <v>16</v>
      </c>
    </row>
    <row r="43" spans="3:9" x14ac:dyDescent="0.3">
      <c r="C43" t="s">
        <v>50</v>
      </c>
      <c r="D43" t="s">
        <v>15</v>
      </c>
      <c r="E43" t="s">
        <v>9</v>
      </c>
      <c r="F43">
        <v>31</v>
      </c>
      <c r="G43" s="4">
        <v>44724</v>
      </c>
      <c r="H43">
        <v>103550</v>
      </c>
      <c r="I43" t="s">
        <v>16</v>
      </c>
    </row>
    <row r="44" spans="3:9" x14ac:dyDescent="0.3">
      <c r="C44" t="s">
        <v>14</v>
      </c>
      <c r="D44" t="s">
        <v>15</v>
      </c>
      <c r="E44" t="s">
        <v>12</v>
      </c>
      <c r="F44">
        <v>31</v>
      </c>
      <c r="G44" s="4">
        <v>44511</v>
      </c>
      <c r="H44">
        <v>48950</v>
      </c>
      <c r="I44" t="s">
        <v>16</v>
      </c>
    </row>
    <row r="45" spans="3:9" x14ac:dyDescent="0.3">
      <c r="C45" t="s">
        <v>63</v>
      </c>
      <c r="D45" t="s">
        <v>15</v>
      </c>
      <c r="E45" t="s">
        <v>21</v>
      </c>
      <c r="F45">
        <v>24</v>
      </c>
      <c r="G45" s="4">
        <v>44436</v>
      </c>
      <c r="H45">
        <v>52610</v>
      </c>
      <c r="I45" t="s">
        <v>24</v>
      </c>
    </row>
    <row r="46" spans="3:9" x14ac:dyDescent="0.3">
      <c r="C46" t="s">
        <v>72</v>
      </c>
      <c r="D46" t="s">
        <v>8</v>
      </c>
      <c r="E46" t="s">
        <v>9</v>
      </c>
      <c r="F46">
        <v>36</v>
      </c>
      <c r="G46" s="4">
        <v>44529</v>
      </c>
      <c r="H46">
        <v>78390</v>
      </c>
      <c r="I46" t="s">
        <v>16</v>
      </c>
    </row>
    <row r="47" spans="3:9" x14ac:dyDescent="0.3">
      <c r="C47" t="s">
        <v>88</v>
      </c>
      <c r="D47" t="s">
        <v>8</v>
      </c>
      <c r="E47" t="s">
        <v>21</v>
      </c>
      <c r="F47">
        <v>33</v>
      </c>
      <c r="G47" s="4">
        <v>44809</v>
      </c>
      <c r="H47">
        <v>86570</v>
      </c>
      <c r="I47" t="s">
        <v>16</v>
      </c>
    </row>
    <row r="48" spans="3:9" x14ac:dyDescent="0.3">
      <c r="C48" t="s">
        <v>92</v>
      </c>
      <c r="D48" t="s">
        <v>8</v>
      </c>
      <c r="E48" t="s">
        <v>12</v>
      </c>
      <c r="F48">
        <v>27</v>
      </c>
      <c r="G48" s="4">
        <v>44686</v>
      </c>
      <c r="H48">
        <v>83750</v>
      </c>
      <c r="I48" t="s">
        <v>16</v>
      </c>
    </row>
    <row r="49" spans="3:9" x14ac:dyDescent="0.3">
      <c r="C49" t="s">
        <v>102</v>
      </c>
      <c r="D49" t="s">
        <v>8</v>
      </c>
      <c r="E49" t="s">
        <v>21</v>
      </c>
      <c r="F49">
        <v>34</v>
      </c>
      <c r="G49" s="4">
        <v>44445</v>
      </c>
      <c r="H49">
        <v>92450</v>
      </c>
      <c r="I49" t="s">
        <v>16</v>
      </c>
    </row>
    <row r="50" spans="3:9" x14ac:dyDescent="0.3">
      <c r="C50" t="s">
        <v>64</v>
      </c>
      <c r="D50" t="s">
        <v>15</v>
      </c>
      <c r="E50" t="s">
        <v>12</v>
      </c>
      <c r="F50">
        <v>20</v>
      </c>
      <c r="G50" s="4">
        <v>44183</v>
      </c>
      <c r="H50">
        <v>112650</v>
      </c>
      <c r="I50" t="s">
        <v>16</v>
      </c>
    </row>
    <row r="51" spans="3:9" x14ac:dyDescent="0.3">
      <c r="C51" t="s">
        <v>104</v>
      </c>
      <c r="D51" t="s">
        <v>15</v>
      </c>
      <c r="E51" t="s">
        <v>9</v>
      </c>
      <c r="F51">
        <v>20</v>
      </c>
      <c r="G51" s="4">
        <v>44744</v>
      </c>
      <c r="H51">
        <v>79570</v>
      </c>
      <c r="I51" t="s">
        <v>16</v>
      </c>
    </row>
    <row r="52" spans="3:9" x14ac:dyDescent="0.3">
      <c r="C52" t="s">
        <v>91</v>
      </c>
      <c r="D52" t="s">
        <v>8</v>
      </c>
      <c r="E52" t="s">
        <v>19</v>
      </c>
      <c r="F52">
        <v>20</v>
      </c>
      <c r="G52" s="4">
        <v>44537</v>
      </c>
      <c r="H52">
        <v>68900</v>
      </c>
      <c r="I52" t="s">
        <v>24</v>
      </c>
    </row>
    <row r="53" spans="3:9" x14ac:dyDescent="0.3">
      <c r="C53" t="s">
        <v>39</v>
      </c>
      <c r="D53" t="s">
        <v>8</v>
      </c>
      <c r="E53" t="s">
        <v>12</v>
      </c>
      <c r="F53">
        <v>25</v>
      </c>
      <c r="G53" s="4">
        <v>44694</v>
      </c>
      <c r="H53">
        <v>80700</v>
      </c>
      <c r="I53" t="s">
        <v>13</v>
      </c>
    </row>
    <row r="54" spans="3:9" x14ac:dyDescent="0.3">
      <c r="C54" t="s">
        <v>100</v>
      </c>
      <c r="D54" t="s">
        <v>15</v>
      </c>
      <c r="E54" t="s">
        <v>9</v>
      </c>
      <c r="F54">
        <v>19</v>
      </c>
      <c r="G54" s="4">
        <v>44277</v>
      </c>
      <c r="H54">
        <v>58960</v>
      </c>
      <c r="I54" t="s">
        <v>16</v>
      </c>
    </row>
    <row r="55" spans="3:9" x14ac:dyDescent="0.3">
      <c r="C55" t="s">
        <v>106</v>
      </c>
      <c r="D55" t="s">
        <v>15</v>
      </c>
      <c r="E55" t="s">
        <v>12</v>
      </c>
      <c r="F55">
        <v>36</v>
      </c>
      <c r="G55" s="4">
        <v>44019</v>
      </c>
      <c r="H55">
        <v>118840</v>
      </c>
      <c r="I55" t="s">
        <v>16</v>
      </c>
    </row>
    <row r="56" spans="3:9" x14ac:dyDescent="0.3">
      <c r="C56" t="s">
        <v>29</v>
      </c>
      <c r="D56" t="s">
        <v>15</v>
      </c>
      <c r="E56" t="s">
        <v>21</v>
      </c>
      <c r="F56">
        <v>28</v>
      </c>
      <c r="G56" s="4">
        <v>44041</v>
      </c>
      <c r="H56">
        <v>48170</v>
      </c>
      <c r="I56" t="s">
        <v>13</v>
      </c>
    </row>
    <row r="57" spans="3:9" x14ac:dyDescent="0.3">
      <c r="C57" t="s">
        <v>108</v>
      </c>
      <c r="D57" t="s">
        <v>8</v>
      </c>
      <c r="E57" t="s">
        <v>56</v>
      </c>
      <c r="F57">
        <v>32</v>
      </c>
      <c r="G57" s="4">
        <v>44400</v>
      </c>
      <c r="H57">
        <v>45510</v>
      </c>
      <c r="I57" t="s">
        <v>16</v>
      </c>
    </row>
    <row r="58" spans="3:9" x14ac:dyDescent="0.3">
      <c r="C58" t="s">
        <v>64</v>
      </c>
      <c r="D58" t="s">
        <v>15</v>
      </c>
      <c r="E58" t="s">
        <v>9</v>
      </c>
      <c r="F58">
        <v>34</v>
      </c>
      <c r="G58" s="4">
        <v>44703</v>
      </c>
      <c r="H58">
        <v>112650</v>
      </c>
      <c r="I58" t="s">
        <v>16</v>
      </c>
    </row>
    <row r="59" spans="3:9" x14ac:dyDescent="0.3">
      <c r="C59" t="s">
        <v>83</v>
      </c>
      <c r="D59" t="s">
        <v>8</v>
      </c>
      <c r="E59" t="s">
        <v>9</v>
      </c>
      <c r="F59">
        <v>36</v>
      </c>
      <c r="G59" s="4">
        <v>44085</v>
      </c>
      <c r="H59">
        <v>114890</v>
      </c>
      <c r="I59" t="s">
        <v>16</v>
      </c>
    </row>
    <row r="60" spans="3:9" x14ac:dyDescent="0.3">
      <c r="C60" t="s">
        <v>67</v>
      </c>
      <c r="D60" t="s">
        <v>15</v>
      </c>
      <c r="E60" t="s">
        <v>12</v>
      </c>
      <c r="F60">
        <v>30</v>
      </c>
      <c r="G60" s="4">
        <v>44850</v>
      </c>
      <c r="H60">
        <v>69710</v>
      </c>
      <c r="I60" t="s">
        <v>16</v>
      </c>
    </row>
    <row r="61" spans="3:9" x14ac:dyDescent="0.3">
      <c r="C61" t="s">
        <v>94</v>
      </c>
      <c r="D61" t="s">
        <v>15</v>
      </c>
      <c r="E61" t="s">
        <v>21</v>
      </c>
      <c r="F61">
        <v>36</v>
      </c>
      <c r="G61" s="4">
        <v>44333</v>
      </c>
      <c r="H61">
        <v>71380</v>
      </c>
      <c r="I61" t="s">
        <v>16</v>
      </c>
    </row>
    <row r="62" spans="3:9" x14ac:dyDescent="0.3">
      <c r="C62" t="s">
        <v>33</v>
      </c>
      <c r="D62" t="s">
        <v>8</v>
      </c>
      <c r="E62" t="s">
        <v>19</v>
      </c>
      <c r="F62">
        <v>38</v>
      </c>
      <c r="G62" s="4">
        <v>44377</v>
      </c>
      <c r="H62">
        <v>109160</v>
      </c>
      <c r="I62" t="s">
        <v>10</v>
      </c>
    </row>
    <row r="63" spans="3:9" x14ac:dyDescent="0.3">
      <c r="C63" t="s">
        <v>98</v>
      </c>
      <c r="D63" t="s">
        <v>15</v>
      </c>
      <c r="E63" t="s">
        <v>9</v>
      </c>
      <c r="F63">
        <v>27</v>
      </c>
      <c r="G63" s="4">
        <v>44609</v>
      </c>
      <c r="H63">
        <v>113280</v>
      </c>
      <c r="I63" t="s">
        <v>42</v>
      </c>
    </row>
    <row r="64" spans="3:9" x14ac:dyDescent="0.3">
      <c r="C64" t="s">
        <v>25</v>
      </c>
      <c r="D64" t="s">
        <v>15</v>
      </c>
      <c r="E64" t="s">
        <v>12</v>
      </c>
      <c r="F64">
        <v>30</v>
      </c>
      <c r="G64" s="4">
        <v>44273</v>
      </c>
      <c r="H64">
        <v>69120</v>
      </c>
      <c r="I64" t="s">
        <v>16</v>
      </c>
    </row>
    <row r="65" spans="3:9" x14ac:dyDescent="0.3">
      <c r="C65" t="s">
        <v>55</v>
      </c>
      <c r="D65" t="s">
        <v>8</v>
      </c>
      <c r="E65" t="s">
        <v>56</v>
      </c>
      <c r="F65">
        <v>37</v>
      </c>
      <c r="G65" s="4">
        <v>44451</v>
      </c>
      <c r="H65">
        <v>118100</v>
      </c>
      <c r="I65" t="s">
        <v>16</v>
      </c>
    </row>
    <row r="66" spans="3:9" x14ac:dyDescent="0.3">
      <c r="C66" t="s">
        <v>62</v>
      </c>
      <c r="D66" t="s">
        <v>8</v>
      </c>
      <c r="E66" t="s">
        <v>9</v>
      </c>
      <c r="F66">
        <v>22</v>
      </c>
      <c r="G66" s="4">
        <v>44450</v>
      </c>
      <c r="H66">
        <v>76900</v>
      </c>
      <c r="I66" t="s">
        <v>13</v>
      </c>
    </row>
    <row r="67" spans="3:9" x14ac:dyDescent="0.3">
      <c r="C67" t="s">
        <v>17</v>
      </c>
      <c r="D67" t="s">
        <v>8</v>
      </c>
      <c r="E67" t="s">
        <v>12</v>
      </c>
      <c r="F67">
        <v>43</v>
      </c>
      <c r="G67" s="4">
        <v>45045</v>
      </c>
      <c r="H67">
        <v>114870</v>
      </c>
      <c r="I67" t="s">
        <v>16</v>
      </c>
    </row>
    <row r="68" spans="3:9" x14ac:dyDescent="0.3">
      <c r="C68" t="s">
        <v>52</v>
      </c>
      <c r="E68" t="s">
        <v>12</v>
      </c>
      <c r="F68">
        <v>32</v>
      </c>
      <c r="G68" s="4">
        <v>44774</v>
      </c>
      <c r="H68">
        <v>91310</v>
      </c>
      <c r="I68" t="s">
        <v>16</v>
      </c>
    </row>
    <row r="69" spans="3:9" x14ac:dyDescent="0.3">
      <c r="C69" t="s">
        <v>43</v>
      </c>
      <c r="D69" t="s">
        <v>8</v>
      </c>
      <c r="E69" t="s">
        <v>9</v>
      </c>
      <c r="F69">
        <v>28</v>
      </c>
      <c r="G69" s="4">
        <v>44486</v>
      </c>
      <c r="H69">
        <v>104770</v>
      </c>
      <c r="I69" t="s">
        <v>16</v>
      </c>
    </row>
    <row r="70" spans="3:9" x14ac:dyDescent="0.3">
      <c r="C70" t="s">
        <v>89</v>
      </c>
      <c r="D70" t="s">
        <v>15</v>
      </c>
      <c r="E70" t="s">
        <v>19</v>
      </c>
      <c r="F70">
        <v>27</v>
      </c>
      <c r="G70" s="4">
        <v>44134</v>
      </c>
      <c r="H70">
        <v>54970</v>
      </c>
      <c r="I70" t="s">
        <v>16</v>
      </c>
    </row>
    <row r="71" spans="3:9" x14ac:dyDescent="0.3">
      <c r="C71" t="s">
        <v>11</v>
      </c>
      <c r="E71" t="s">
        <v>12</v>
      </c>
      <c r="F71">
        <v>26</v>
      </c>
      <c r="G71" s="4">
        <v>44271</v>
      </c>
      <c r="H71">
        <v>90700</v>
      </c>
      <c r="I71" t="s">
        <v>13</v>
      </c>
    </row>
    <row r="72" spans="3:9" x14ac:dyDescent="0.3">
      <c r="C72" t="s">
        <v>109</v>
      </c>
      <c r="D72" t="s">
        <v>8</v>
      </c>
      <c r="E72" t="s">
        <v>19</v>
      </c>
      <c r="F72">
        <v>38</v>
      </c>
      <c r="G72" s="4">
        <v>44329</v>
      </c>
      <c r="H72">
        <v>56870</v>
      </c>
      <c r="I72" t="s">
        <v>13</v>
      </c>
    </row>
    <row r="73" spans="3:9" x14ac:dyDescent="0.3">
      <c r="C73" t="s">
        <v>77</v>
      </c>
      <c r="D73" t="s">
        <v>8</v>
      </c>
      <c r="E73" t="s">
        <v>19</v>
      </c>
      <c r="F73">
        <v>25</v>
      </c>
      <c r="G73" s="4">
        <v>44205</v>
      </c>
      <c r="H73">
        <v>92700</v>
      </c>
      <c r="I73" t="s">
        <v>16</v>
      </c>
    </row>
    <row r="74" spans="3:9" x14ac:dyDescent="0.3">
      <c r="C74" t="s">
        <v>32</v>
      </c>
      <c r="D74" t="s">
        <v>8</v>
      </c>
      <c r="E74" t="s">
        <v>21</v>
      </c>
      <c r="F74">
        <v>21</v>
      </c>
      <c r="G74" s="4">
        <v>44317</v>
      </c>
      <c r="H74">
        <v>65920</v>
      </c>
      <c r="I74" t="s">
        <v>16</v>
      </c>
    </row>
    <row r="75" spans="3:9" x14ac:dyDescent="0.3">
      <c r="C75" t="s">
        <v>59</v>
      </c>
      <c r="D75" t="s">
        <v>15</v>
      </c>
      <c r="E75" t="s">
        <v>9</v>
      </c>
      <c r="F75">
        <v>26</v>
      </c>
      <c r="G75" s="4">
        <v>44225</v>
      </c>
      <c r="H75">
        <v>47360</v>
      </c>
      <c r="I75" t="s">
        <v>16</v>
      </c>
    </row>
    <row r="76" spans="3:9" x14ac:dyDescent="0.3">
      <c r="C76" t="s">
        <v>37</v>
      </c>
      <c r="D76" t="s">
        <v>15</v>
      </c>
      <c r="E76" t="s">
        <v>9</v>
      </c>
      <c r="F76">
        <v>30</v>
      </c>
      <c r="G76" s="4">
        <v>44666</v>
      </c>
      <c r="H76">
        <v>60570</v>
      </c>
      <c r="I76" t="s">
        <v>16</v>
      </c>
    </row>
    <row r="77" spans="3:9" x14ac:dyDescent="0.3">
      <c r="C77" t="s">
        <v>96</v>
      </c>
      <c r="D77" t="s">
        <v>8</v>
      </c>
      <c r="E77" t="s">
        <v>9</v>
      </c>
      <c r="F77">
        <v>28</v>
      </c>
      <c r="G77" s="4">
        <v>44649</v>
      </c>
      <c r="H77">
        <v>104120</v>
      </c>
      <c r="I77" t="s">
        <v>16</v>
      </c>
    </row>
    <row r="78" spans="3:9" x14ac:dyDescent="0.3">
      <c r="C78" t="s">
        <v>23</v>
      </c>
      <c r="D78" t="s">
        <v>15</v>
      </c>
      <c r="E78" t="s">
        <v>12</v>
      </c>
      <c r="F78">
        <v>37</v>
      </c>
      <c r="G78" s="4">
        <v>44338</v>
      </c>
      <c r="H78">
        <v>88050</v>
      </c>
      <c r="I78" t="s">
        <v>24</v>
      </c>
    </row>
    <row r="79" spans="3:9" x14ac:dyDescent="0.3">
      <c r="C79" t="s">
        <v>103</v>
      </c>
      <c r="D79" t="s">
        <v>15</v>
      </c>
      <c r="E79" t="s">
        <v>12</v>
      </c>
      <c r="F79">
        <v>24</v>
      </c>
      <c r="G79" s="4">
        <v>44686</v>
      </c>
      <c r="H79">
        <v>100420</v>
      </c>
      <c r="I79" t="s">
        <v>16</v>
      </c>
    </row>
    <row r="80" spans="3:9" x14ac:dyDescent="0.3">
      <c r="C80" t="s">
        <v>54</v>
      </c>
      <c r="D80" t="s">
        <v>8</v>
      </c>
      <c r="E80" t="s">
        <v>9</v>
      </c>
      <c r="F80">
        <v>30</v>
      </c>
      <c r="G80" s="4">
        <v>44850</v>
      </c>
      <c r="H80">
        <v>114180</v>
      </c>
      <c r="I80" t="s">
        <v>16</v>
      </c>
    </row>
    <row r="81" spans="3:9" x14ac:dyDescent="0.3">
      <c r="C81" t="s">
        <v>86</v>
      </c>
      <c r="D81" t="s">
        <v>8</v>
      </c>
      <c r="E81" t="s">
        <v>12</v>
      </c>
      <c r="F81">
        <v>21</v>
      </c>
      <c r="G81" s="4">
        <v>44678</v>
      </c>
      <c r="H81">
        <v>33920</v>
      </c>
      <c r="I81" t="s">
        <v>16</v>
      </c>
    </row>
    <row r="82" spans="3:9" x14ac:dyDescent="0.3">
      <c r="C82" t="s">
        <v>69</v>
      </c>
      <c r="D82" t="s">
        <v>15</v>
      </c>
      <c r="E82" t="s">
        <v>9</v>
      </c>
      <c r="F82">
        <v>23</v>
      </c>
      <c r="G82" s="4">
        <v>44440</v>
      </c>
      <c r="H82">
        <v>106460</v>
      </c>
      <c r="I82" t="s">
        <v>16</v>
      </c>
    </row>
    <row r="83" spans="3:9" x14ac:dyDescent="0.3">
      <c r="C83" t="s">
        <v>57</v>
      </c>
      <c r="D83" t="s">
        <v>15</v>
      </c>
      <c r="E83" t="s">
        <v>9</v>
      </c>
      <c r="F83">
        <v>35</v>
      </c>
      <c r="G83" s="4">
        <v>44727</v>
      </c>
      <c r="H83">
        <v>40400</v>
      </c>
      <c r="I83" t="s">
        <v>16</v>
      </c>
    </row>
    <row r="84" spans="3:9" x14ac:dyDescent="0.3">
      <c r="C84" t="s">
        <v>68</v>
      </c>
      <c r="D84" t="s">
        <v>15</v>
      </c>
      <c r="E84" t="s">
        <v>21</v>
      </c>
      <c r="F84">
        <v>27</v>
      </c>
      <c r="G84" s="4">
        <v>44236</v>
      </c>
      <c r="H84">
        <v>91650</v>
      </c>
      <c r="I84" t="s">
        <v>13</v>
      </c>
    </row>
    <row r="85" spans="3:9" x14ac:dyDescent="0.3">
      <c r="C85" t="s">
        <v>99</v>
      </c>
      <c r="D85" t="s">
        <v>15</v>
      </c>
      <c r="E85" t="s">
        <v>19</v>
      </c>
      <c r="F85">
        <v>43</v>
      </c>
      <c r="G85" s="4">
        <v>44620</v>
      </c>
      <c r="H85">
        <v>36040</v>
      </c>
      <c r="I85" t="s">
        <v>16</v>
      </c>
    </row>
    <row r="86" spans="3:9" x14ac:dyDescent="0.3">
      <c r="C86" t="s">
        <v>101</v>
      </c>
      <c r="D86" t="s">
        <v>8</v>
      </c>
      <c r="E86" t="s">
        <v>12</v>
      </c>
      <c r="F86">
        <v>40</v>
      </c>
      <c r="G86" s="4">
        <v>44381</v>
      </c>
      <c r="H86">
        <v>104410</v>
      </c>
      <c r="I86" t="s">
        <v>16</v>
      </c>
    </row>
    <row r="87" spans="3:9" x14ac:dyDescent="0.3">
      <c r="C87" t="s">
        <v>85</v>
      </c>
      <c r="D87" t="s">
        <v>15</v>
      </c>
      <c r="E87" t="s">
        <v>21</v>
      </c>
      <c r="F87">
        <v>30</v>
      </c>
      <c r="G87" s="4">
        <v>44606</v>
      </c>
      <c r="H87">
        <v>96800</v>
      </c>
      <c r="I87" t="s">
        <v>16</v>
      </c>
    </row>
    <row r="88" spans="3:9" x14ac:dyDescent="0.3">
      <c r="C88" t="s">
        <v>28</v>
      </c>
      <c r="D88" t="s">
        <v>8</v>
      </c>
      <c r="E88" t="s">
        <v>21</v>
      </c>
      <c r="F88">
        <v>34</v>
      </c>
      <c r="G88" s="4">
        <v>44459</v>
      </c>
      <c r="H88">
        <v>85000</v>
      </c>
      <c r="I88" t="s">
        <v>16</v>
      </c>
    </row>
    <row r="89" spans="3:9" x14ac:dyDescent="0.3">
      <c r="C89" t="s">
        <v>80</v>
      </c>
      <c r="D89" t="s">
        <v>15</v>
      </c>
      <c r="E89" t="s">
        <v>19</v>
      </c>
      <c r="F89">
        <v>28</v>
      </c>
      <c r="G89" s="4">
        <v>44820</v>
      </c>
      <c r="H89">
        <v>43510</v>
      </c>
      <c r="I89" t="s">
        <v>42</v>
      </c>
    </row>
    <row r="90" spans="3:9" x14ac:dyDescent="0.3">
      <c r="C90" t="s">
        <v>79</v>
      </c>
      <c r="D90" t="s">
        <v>15</v>
      </c>
      <c r="E90" t="s">
        <v>21</v>
      </c>
      <c r="F90">
        <v>33</v>
      </c>
      <c r="G90" s="4">
        <v>44243</v>
      </c>
      <c r="H90">
        <v>59430</v>
      </c>
      <c r="I90" t="s">
        <v>16</v>
      </c>
    </row>
    <row r="91" spans="3:9" x14ac:dyDescent="0.3">
      <c r="C91" t="s">
        <v>93</v>
      </c>
      <c r="D91" t="s">
        <v>8</v>
      </c>
      <c r="E91" t="s">
        <v>21</v>
      </c>
      <c r="F91">
        <v>33</v>
      </c>
      <c r="G91" s="4">
        <v>44067</v>
      </c>
      <c r="H91">
        <v>65360</v>
      </c>
      <c r="I91" t="s">
        <v>16</v>
      </c>
    </row>
    <row r="92" spans="3:9" x14ac:dyDescent="0.3">
      <c r="C92" t="s">
        <v>66</v>
      </c>
      <c r="D92" t="s">
        <v>8</v>
      </c>
      <c r="E92" t="s">
        <v>9</v>
      </c>
      <c r="F92">
        <v>32</v>
      </c>
      <c r="G92" s="4">
        <v>44611</v>
      </c>
      <c r="H92">
        <v>41570</v>
      </c>
      <c r="I92" t="s">
        <v>16</v>
      </c>
    </row>
    <row r="93" spans="3:9" x14ac:dyDescent="0.3">
      <c r="C93" t="s">
        <v>95</v>
      </c>
      <c r="D93" t="s">
        <v>8</v>
      </c>
      <c r="E93" t="s">
        <v>12</v>
      </c>
      <c r="F93">
        <v>33</v>
      </c>
      <c r="G93" s="4">
        <v>44312</v>
      </c>
      <c r="H93">
        <v>75280</v>
      </c>
      <c r="I93" t="s">
        <v>16</v>
      </c>
    </row>
    <row r="94" spans="3:9" x14ac:dyDescent="0.3">
      <c r="C94" t="s">
        <v>18</v>
      </c>
      <c r="D94" t="s">
        <v>15</v>
      </c>
      <c r="E94" t="s">
        <v>19</v>
      </c>
      <c r="F94">
        <v>33</v>
      </c>
      <c r="G94" s="4">
        <v>44385</v>
      </c>
      <c r="H94">
        <v>74550</v>
      </c>
      <c r="I94" t="s">
        <v>16</v>
      </c>
    </row>
    <row r="95" spans="3:9" x14ac:dyDescent="0.3">
      <c r="C95" t="s">
        <v>45</v>
      </c>
      <c r="D95" t="s">
        <v>15</v>
      </c>
      <c r="E95" t="s">
        <v>9</v>
      </c>
      <c r="F95">
        <v>30</v>
      </c>
      <c r="G95" s="4">
        <v>44701</v>
      </c>
      <c r="H95">
        <v>67950</v>
      </c>
      <c r="I95" t="s">
        <v>16</v>
      </c>
    </row>
    <row r="96" spans="3:9" x14ac:dyDescent="0.3">
      <c r="C96" t="s">
        <v>90</v>
      </c>
      <c r="D96" t="s">
        <v>15</v>
      </c>
      <c r="E96" t="s">
        <v>21</v>
      </c>
      <c r="F96">
        <v>42</v>
      </c>
      <c r="G96" s="4">
        <v>44731</v>
      </c>
      <c r="H96">
        <v>70270</v>
      </c>
      <c r="I96" t="s">
        <v>24</v>
      </c>
    </row>
    <row r="97" spans="3:9" x14ac:dyDescent="0.3">
      <c r="C97" t="s">
        <v>46</v>
      </c>
      <c r="D97" t="s">
        <v>15</v>
      </c>
      <c r="E97" t="s">
        <v>9</v>
      </c>
      <c r="F97">
        <v>26</v>
      </c>
      <c r="G97" s="4">
        <v>44411</v>
      </c>
      <c r="H97">
        <v>53540</v>
      </c>
      <c r="I97" t="s">
        <v>16</v>
      </c>
    </row>
    <row r="98" spans="3:9" x14ac:dyDescent="0.3">
      <c r="C98" t="s">
        <v>58</v>
      </c>
      <c r="D98" t="s">
        <v>15</v>
      </c>
      <c r="E98" t="s">
        <v>19</v>
      </c>
      <c r="F98">
        <v>22</v>
      </c>
      <c r="G98" s="4">
        <v>44446</v>
      </c>
      <c r="H98">
        <v>112780</v>
      </c>
      <c r="I98" t="s">
        <v>13</v>
      </c>
    </row>
    <row r="99" spans="3:9" x14ac:dyDescent="0.3">
      <c r="C99" t="s">
        <v>70</v>
      </c>
      <c r="D99" t="s">
        <v>15</v>
      </c>
      <c r="E99" t="s">
        <v>9</v>
      </c>
      <c r="F99">
        <v>46</v>
      </c>
      <c r="G99" s="4">
        <v>44758</v>
      </c>
      <c r="H99">
        <v>70610</v>
      </c>
      <c r="I99" t="s">
        <v>16</v>
      </c>
    </row>
    <row r="100" spans="3:9" x14ac:dyDescent="0.3">
      <c r="C100" t="s">
        <v>75</v>
      </c>
      <c r="D100" t="s">
        <v>8</v>
      </c>
      <c r="E100" t="s">
        <v>19</v>
      </c>
      <c r="F100">
        <v>28</v>
      </c>
      <c r="G100" s="4">
        <v>44357</v>
      </c>
      <c r="H100">
        <v>53240</v>
      </c>
      <c r="I100" t="s">
        <v>16</v>
      </c>
    </row>
    <row r="101" spans="3:9" x14ac:dyDescent="0.3">
      <c r="C101" t="s">
        <v>49</v>
      </c>
      <c r="E101" t="s">
        <v>21</v>
      </c>
      <c r="F101">
        <v>37</v>
      </c>
      <c r="G101" s="4">
        <v>44146</v>
      </c>
      <c r="H101">
        <v>115440</v>
      </c>
      <c r="I101" t="s">
        <v>24</v>
      </c>
    </row>
    <row r="102" spans="3:9" x14ac:dyDescent="0.3">
      <c r="C102" t="s">
        <v>65</v>
      </c>
      <c r="D102" t="s">
        <v>15</v>
      </c>
      <c r="E102" t="s">
        <v>19</v>
      </c>
      <c r="F102">
        <v>32</v>
      </c>
      <c r="G102" s="4">
        <v>44465</v>
      </c>
      <c r="H102">
        <v>53540</v>
      </c>
      <c r="I102" t="s">
        <v>16</v>
      </c>
    </row>
    <row r="103" spans="3:9" x14ac:dyDescent="0.3">
      <c r="C103" t="s">
        <v>81</v>
      </c>
      <c r="D103" t="s">
        <v>8</v>
      </c>
      <c r="E103" t="s">
        <v>9</v>
      </c>
      <c r="F103">
        <v>30</v>
      </c>
      <c r="G103" s="4">
        <v>44861</v>
      </c>
      <c r="H103">
        <v>112570</v>
      </c>
      <c r="I103" t="s">
        <v>16</v>
      </c>
    </row>
    <row r="104" spans="3:9" x14ac:dyDescent="0.3">
      <c r="C104" t="s">
        <v>51</v>
      </c>
      <c r="D104" t="s">
        <v>15</v>
      </c>
      <c r="E104" t="s">
        <v>9</v>
      </c>
      <c r="F104">
        <v>33</v>
      </c>
      <c r="G104" s="4">
        <v>44701</v>
      </c>
      <c r="H104">
        <v>48530</v>
      </c>
      <c r="I104" t="s">
        <v>13</v>
      </c>
    </row>
    <row r="105" spans="3:9" x14ac:dyDescent="0.3">
      <c r="C105" t="s">
        <v>61</v>
      </c>
      <c r="D105" t="s">
        <v>8</v>
      </c>
      <c r="E105" t="s">
        <v>12</v>
      </c>
      <c r="F105">
        <v>24</v>
      </c>
      <c r="G105" s="4">
        <v>44148</v>
      </c>
      <c r="H105">
        <v>62780</v>
      </c>
      <c r="I105" t="s">
        <v>16</v>
      </c>
    </row>
    <row r="106" spans="3:9" x14ac:dyDescent="0.3">
      <c r="C106" t="s">
        <v>203</v>
      </c>
      <c r="E106">
        <f>SUBTOTAL(103,nz_staff[Department])</f>
        <v>100</v>
      </c>
      <c r="G106" s="5">
        <f>SUBTOTAL(105,nz_staff[Date Joined])</f>
        <v>44019</v>
      </c>
      <c r="H106">
        <f>SUBTOTAL(101,nz_staff[Salary])</f>
        <v>77472.100000000006</v>
      </c>
      <c r="I106">
        <f>SUBTOTAL(103,nz_staff[Rating])</f>
        <v>100</v>
      </c>
    </row>
  </sheetData>
  <conditionalFormatting sqref="C5:C106">
    <cfRule type="duplicateValues" dxfId="6" priority="1"/>
  </conditionalFormatting>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18CC6-658E-42DD-B71B-818156934B08}">
  <sheetPr>
    <tabColor rgb="FFFFFF00"/>
  </sheetPr>
  <dimension ref="B3:Q187"/>
  <sheetViews>
    <sheetView zoomScale="81" workbookViewId="0">
      <selection activeCell="G4" sqref="G4"/>
    </sheetView>
  </sheetViews>
  <sheetFormatPr defaultRowHeight="14.4" x14ac:dyDescent="0.3"/>
  <cols>
    <col min="2" max="2" width="28.77734375" bestFit="1" customWidth="1"/>
    <col min="3" max="3" width="10.109375" bestFit="1" customWidth="1"/>
    <col min="4" max="4" width="7" bestFit="1" customWidth="1"/>
    <col min="5" max="6" width="13.6640625" bestFit="1" customWidth="1"/>
    <col min="7" max="7" width="14" bestFit="1" customWidth="1"/>
    <col min="8" max="8" width="11.88671875" bestFit="1" customWidth="1"/>
    <col min="9" max="9" width="10.44140625" bestFit="1" customWidth="1"/>
    <col min="10" max="10" width="9.44140625" bestFit="1" customWidth="1"/>
    <col min="11" max="11" width="8.88671875" bestFit="1" customWidth="1"/>
    <col min="12" max="12" width="18.109375" bestFit="1" customWidth="1"/>
    <col min="15" max="15" width="25.77734375" customWidth="1"/>
    <col min="16" max="16" width="18.109375" customWidth="1"/>
    <col min="17" max="17" width="10.44140625" customWidth="1"/>
    <col min="27" max="27" width="13.33203125" customWidth="1"/>
  </cols>
  <sheetData>
    <row r="3" spans="2:17" x14ac:dyDescent="0.3">
      <c r="B3" t="s">
        <v>0</v>
      </c>
      <c r="C3" t="s">
        <v>1</v>
      </c>
      <c r="D3" t="s">
        <v>3</v>
      </c>
      <c r="E3" t="s">
        <v>6</v>
      </c>
      <c r="F3" t="s">
        <v>4</v>
      </c>
      <c r="G3" t="s">
        <v>2</v>
      </c>
      <c r="H3" t="s">
        <v>5</v>
      </c>
      <c r="I3" t="s">
        <v>204</v>
      </c>
      <c r="J3" t="s">
        <v>213</v>
      </c>
      <c r="K3" t="s">
        <v>236</v>
      </c>
      <c r="L3" t="s">
        <v>237</v>
      </c>
    </row>
    <row r="4" spans="2:17" x14ac:dyDescent="0.3">
      <c r="B4" s="28" t="s">
        <v>259</v>
      </c>
      <c r="C4" s="28" t="s">
        <v>206</v>
      </c>
      <c r="D4">
        <v>30</v>
      </c>
      <c r="E4" t="s">
        <v>16</v>
      </c>
      <c r="F4" s="5">
        <v>44019</v>
      </c>
      <c r="G4" t="s">
        <v>238</v>
      </c>
      <c r="H4" s="7">
        <v>77472.100000000006</v>
      </c>
      <c r="I4" t="s">
        <v>205</v>
      </c>
      <c r="J4" s="6">
        <f ca="1">(TODAY()-F4)/365</f>
        <v>3.871232876712329</v>
      </c>
      <c r="K4" s="25">
        <f ca="1">IF(staff[[#This Row],[tenure]]&gt;2,(staff[[#This Row],[Salary]]/100)*3,(staff[[#This Row],[Salary]]/100)*2)</f>
        <v>2324.163</v>
      </c>
      <c r="L4" s="28">
        <f>_xlfn.XLOOKUP(E4,$O$25:$O$29,$P$25:$P$29)</f>
        <v>3</v>
      </c>
      <c r="N4" s="13">
        <v>1</v>
      </c>
      <c r="O4" s="8" t="s">
        <v>208</v>
      </c>
      <c r="P4" s="8">
        <f>COUNTA(staff[Name])</f>
        <v>184</v>
      </c>
      <c r="Q4" s="8"/>
    </row>
    <row r="5" spans="2:17" x14ac:dyDescent="0.3">
      <c r="B5" s="28" t="s">
        <v>7</v>
      </c>
      <c r="C5" s="28" t="s">
        <v>8</v>
      </c>
      <c r="D5">
        <v>42</v>
      </c>
      <c r="E5" t="s">
        <v>10</v>
      </c>
      <c r="F5" s="5">
        <v>44779</v>
      </c>
      <c r="G5" t="s">
        <v>9</v>
      </c>
      <c r="H5" s="7">
        <v>75000</v>
      </c>
      <c r="I5" t="s">
        <v>205</v>
      </c>
      <c r="J5" s="6">
        <f ca="1">(TODAY()-F5)/365</f>
        <v>1.789041095890411</v>
      </c>
      <c r="K5" s="25">
        <f ca="1">IF(staff[[#This Row],[tenure]]&gt;2,(staff[[#This Row],[Salary]]/100)*3,(staff[[#This Row],[Salary]]/100)*2)</f>
        <v>1500</v>
      </c>
      <c r="L5" s="28">
        <f>_xlfn.XLOOKUP(E5,$O$25:$O$29,$P$25:$P$29)</f>
        <v>5</v>
      </c>
      <c r="O5" s="8" t="s">
        <v>209</v>
      </c>
      <c r="P5" s="9">
        <f>AVERAGE(staff[Salary])</f>
        <v>77175.337499999994</v>
      </c>
      <c r="Q5" s="9">
        <f>MEDIAN(staff[Salary])</f>
        <v>75140</v>
      </c>
    </row>
    <row r="6" spans="2:17" x14ac:dyDescent="0.3">
      <c r="B6" s="28" t="s">
        <v>33</v>
      </c>
      <c r="C6" s="28" t="s">
        <v>8</v>
      </c>
      <c r="D6">
        <v>38</v>
      </c>
      <c r="E6" t="s">
        <v>10</v>
      </c>
      <c r="F6" s="5">
        <v>44377</v>
      </c>
      <c r="G6" t="s">
        <v>19</v>
      </c>
      <c r="H6" s="7">
        <v>109160</v>
      </c>
      <c r="I6" t="s">
        <v>205</v>
      </c>
      <c r="J6" s="6">
        <f ca="1">(TODAY()-F6)/365</f>
        <v>2.8904109589041096</v>
      </c>
      <c r="K6" s="25">
        <f ca="1">IF(staff[[#This Row],[tenure]]&gt;2,(staff[[#This Row],[Salary]]/100)*3,(staff[[#This Row],[Salary]]/100)*2)</f>
        <v>3274.7999999999997</v>
      </c>
      <c r="L6" s="28">
        <f>_xlfn.XLOOKUP(E6,$O$25:$O$29,$P$25:$P$29)</f>
        <v>5</v>
      </c>
      <c r="O6" s="8" t="s">
        <v>210</v>
      </c>
      <c r="P6" s="10">
        <f>AVERAGE(staff[Age])</f>
        <v>30.423913043478262</v>
      </c>
      <c r="Q6" s="8">
        <f>MEDIAN(staff[Age])</f>
        <v>30</v>
      </c>
    </row>
    <row r="7" spans="2:17" x14ac:dyDescent="0.3">
      <c r="B7" s="28" t="s">
        <v>111</v>
      </c>
      <c r="C7" s="28" t="s">
        <v>8</v>
      </c>
      <c r="D7">
        <v>42</v>
      </c>
      <c r="E7" t="s">
        <v>10</v>
      </c>
      <c r="F7" s="5">
        <v>44718</v>
      </c>
      <c r="G7" t="s">
        <v>9</v>
      </c>
      <c r="H7" s="7">
        <v>75000</v>
      </c>
      <c r="I7" t="s">
        <v>207</v>
      </c>
      <c r="J7" s="6">
        <f ca="1">(TODAY()-F7)/365</f>
        <v>1.9561643835616438</v>
      </c>
      <c r="K7" s="25">
        <f ca="1">IF(staff[[#This Row],[tenure]]&gt;2,(staff[[#This Row],[Salary]]/100)*3,(staff[[#This Row],[Salary]]/100)*2)</f>
        <v>1500</v>
      </c>
      <c r="L7" s="28">
        <f>_xlfn.XLOOKUP(E7,$O$25:$O$29,$P$25:$P$29)</f>
        <v>5</v>
      </c>
      <c r="O7" s="8" t="s">
        <v>211</v>
      </c>
      <c r="P7" s="8">
        <f ca="1">AVERAGE(staff[tenure])</f>
        <v>2.7430613460393092</v>
      </c>
      <c r="Q7" s="8"/>
    </row>
    <row r="8" spans="2:17" x14ac:dyDescent="0.3">
      <c r="B8" s="28" t="s">
        <v>127</v>
      </c>
      <c r="C8" s="28" t="s">
        <v>8</v>
      </c>
      <c r="D8">
        <v>38</v>
      </c>
      <c r="E8" t="s">
        <v>10</v>
      </c>
      <c r="F8" s="5">
        <v>44316</v>
      </c>
      <c r="G8" t="s">
        <v>19</v>
      </c>
      <c r="H8" s="7">
        <v>109160</v>
      </c>
      <c r="I8" t="s">
        <v>207</v>
      </c>
      <c r="J8" s="6">
        <f ca="1">(TODAY()-F8)/365</f>
        <v>3.0575342465753423</v>
      </c>
      <c r="K8" s="25">
        <f ca="1">IF(staff[[#This Row],[tenure]]&gt;2,(staff[[#This Row],[Salary]]/100)*3,(staff[[#This Row],[Salary]]/100)*2)</f>
        <v>3274.7999999999997</v>
      </c>
      <c r="L8" s="28">
        <f>_xlfn.XLOOKUP(E8,$O$25:$O$29,$P$25:$P$29)</f>
        <v>5</v>
      </c>
      <c r="O8" s="8" t="s">
        <v>212</v>
      </c>
      <c r="P8" s="11">
        <f>COUNTIFS(staff[Gender],"Female")/P4</f>
        <v>0.46739130434782611</v>
      </c>
      <c r="Q8" s="8"/>
    </row>
    <row r="9" spans="2:17" x14ac:dyDescent="0.3">
      <c r="B9" s="28" t="s">
        <v>58</v>
      </c>
      <c r="C9" s="28" t="s">
        <v>15</v>
      </c>
      <c r="D9">
        <v>22</v>
      </c>
      <c r="E9" t="s">
        <v>13</v>
      </c>
      <c r="F9" s="5">
        <v>44446</v>
      </c>
      <c r="G9" t="s">
        <v>19</v>
      </c>
      <c r="H9" s="7">
        <v>112780</v>
      </c>
      <c r="I9" t="s">
        <v>205</v>
      </c>
      <c r="J9" s="6">
        <f ca="1">(TODAY()-F9)/365</f>
        <v>2.7013698630136984</v>
      </c>
      <c r="K9" s="25">
        <f ca="1">IF(staff[[#This Row],[tenure]]&gt;2,(staff[[#This Row],[Salary]]/100)*3,(staff[[#This Row],[Salary]]/100)*2)</f>
        <v>3383.3999999999996</v>
      </c>
      <c r="L9" s="28">
        <f>_xlfn.XLOOKUP(E9,$O$25:$O$29,$P$25:$P$29)</f>
        <v>4</v>
      </c>
      <c r="O9" s="8" t="s">
        <v>214</v>
      </c>
      <c r="P9" s="12">
        <f>COUNTIF(staff[Salary],"&gt;90000")/P4</f>
        <v>0.34239130434782611</v>
      </c>
    </row>
    <row r="10" spans="2:17" x14ac:dyDescent="0.3">
      <c r="B10" s="28" t="s">
        <v>51</v>
      </c>
      <c r="C10" s="28" t="s">
        <v>15</v>
      </c>
      <c r="D10">
        <v>33</v>
      </c>
      <c r="E10" t="s">
        <v>13</v>
      </c>
      <c r="F10" s="5">
        <v>44701</v>
      </c>
      <c r="G10" t="s">
        <v>9</v>
      </c>
      <c r="H10" s="7">
        <v>48530</v>
      </c>
      <c r="I10" t="s">
        <v>205</v>
      </c>
      <c r="J10" s="6">
        <f ca="1">(TODAY()-F10)/365</f>
        <v>2.0027397260273974</v>
      </c>
      <c r="K10" s="25">
        <f ca="1">IF(staff[[#This Row],[tenure]]&gt;2,(staff[[#This Row],[Salary]]/100)*3,(staff[[#This Row],[Salary]]/100)*2)</f>
        <v>1455.9</v>
      </c>
      <c r="L10" s="28">
        <f>_xlfn.XLOOKUP(E10,$O$25:$O$29,$P$25:$P$29)</f>
        <v>4</v>
      </c>
    </row>
    <row r="11" spans="2:17" x14ac:dyDescent="0.3">
      <c r="B11" s="28" t="s">
        <v>84</v>
      </c>
      <c r="C11" s="28" t="s">
        <v>8</v>
      </c>
      <c r="D11">
        <v>32</v>
      </c>
      <c r="E11" t="s">
        <v>13</v>
      </c>
      <c r="F11" s="5">
        <v>44354</v>
      </c>
      <c r="G11" t="s">
        <v>12</v>
      </c>
      <c r="H11" s="7">
        <v>43840</v>
      </c>
      <c r="I11" t="s">
        <v>205</v>
      </c>
      <c r="J11" s="6">
        <f ca="1">(TODAY()-F11)/365</f>
        <v>2.9534246575342467</v>
      </c>
      <c r="K11" s="25">
        <f ca="1">IF(staff[[#This Row],[tenure]]&gt;2,(staff[[#This Row],[Salary]]/100)*3,(staff[[#This Row],[Salary]]/100)*2)</f>
        <v>1315.1999999999998</v>
      </c>
      <c r="L11" s="28">
        <f>_xlfn.XLOOKUP(E11,$O$25:$O$29,$P$25:$P$29)</f>
        <v>4</v>
      </c>
    </row>
    <row r="12" spans="2:17" x14ac:dyDescent="0.3">
      <c r="B12" s="28" t="s">
        <v>34</v>
      </c>
      <c r="C12" s="28" t="s">
        <v>15</v>
      </c>
      <c r="D12">
        <v>25</v>
      </c>
      <c r="E12" t="s">
        <v>13</v>
      </c>
      <c r="F12" s="5">
        <v>44726</v>
      </c>
      <c r="G12" t="s">
        <v>9</v>
      </c>
      <c r="H12" s="7">
        <v>109190</v>
      </c>
      <c r="I12" t="s">
        <v>205</v>
      </c>
      <c r="J12" s="6">
        <f ca="1">(TODAY()-F12)/365</f>
        <v>1.9342465753424658</v>
      </c>
      <c r="K12" s="25">
        <f ca="1">IF(staff[[#This Row],[tenure]]&gt;2,(staff[[#This Row],[Salary]]/100)*3,(staff[[#This Row],[Salary]]/100)*2)</f>
        <v>2183.8000000000002</v>
      </c>
      <c r="L12" s="28">
        <f>_xlfn.XLOOKUP(E12,$O$25:$O$29,$P$25:$P$29)</f>
        <v>4</v>
      </c>
    </row>
    <row r="13" spans="2:17" x14ac:dyDescent="0.3">
      <c r="B13" s="28" t="s">
        <v>39</v>
      </c>
      <c r="C13" s="28" t="s">
        <v>8</v>
      </c>
      <c r="D13">
        <v>25</v>
      </c>
      <c r="E13" t="s">
        <v>13</v>
      </c>
      <c r="F13" s="5">
        <v>44694</v>
      </c>
      <c r="G13" t="s">
        <v>12</v>
      </c>
      <c r="H13" s="7">
        <v>80700</v>
      </c>
      <c r="I13" t="s">
        <v>205</v>
      </c>
      <c r="J13" s="6">
        <f ca="1">(TODAY()-F13)/365</f>
        <v>2.021917808219178</v>
      </c>
      <c r="K13" s="25">
        <f ca="1">IF(staff[[#This Row],[tenure]]&gt;2,(staff[[#This Row],[Salary]]/100)*3,(staff[[#This Row],[Salary]]/100)*2)</f>
        <v>2421</v>
      </c>
      <c r="L13" s="28">
        <f>_xlfn.XLOOKUP(E13,$O$25:$O$29,$P$25:$P$29)</f>
        <v>4</v>
      </c>
      <c r="O13" t="s">
        <v>215</v>
      </c>
      <c r="P13" s="27" t="s">
        <v>176</v>
      </c>
    </row>
    <row r="14" spans="2:17" x14ac:dyDescent="0.3">
      <c r="B14" s="28" t="s">
        <v>29</v>
      </c>
      <c r="C14" s="28" t="s">
        <v>15</v>
      </c>
      <c r="D14">
        <v>28</v>
      </c>
      <c r="E14" t="s">
        <v>13</v>
      </c>
      <c r="F14" s="5">
        <v>44041</v>
      </c>
      <c r="G14" t="s">
        <v>21</v>
      </c>
      <c r="H14" s="7">
        <v>48170</v>
      </c>
      <c r="I14" t="s">
        <v>205</v>
      </c>
      <c r="J14" s="6">
        <f ca="1">(TODAY()-F14)/365</f>
        <v>3.8109589041095893</v>
      </c>
      <c r="K14" s="25">
        <f ca="1">IF(staff[[#This Row],[tenure]]&gt;2,(staff[[#This Row],[Salary]]/100)*3,(staff[[#This Row],[Salary]]/100)*2)</f>
        <v>1445.1</v>
      </c>
      <c r="L14" s="28">
        <f>_xlfn.XLOOKUP(E14,$O$25:$O$29,$P$25:$P$29)</f>
        <v>4</v>
      </c>
      <c r="N14" s="13">
        <v>2</v>
      </c>
    </row>
    <row r="15" spans="2:17" x14ac:dyDescent="0.3">
      <c r="B15" s="28" t="s">
        <v>62</v>
      </c>
      <c r="C15" s="28" t="s">
        <v>8</v>
      </c>
      <c r="D15">
        <v>22</v>
      </c>
      <c r="E15" t="s">
        <v>13</v>
      </c>
      <c r="F15" s="5">
        <v>44450</v>
      </c>
      <c r="G15" t="s">
        <v>9</v>
      </c>
      <c r="H15" s="7">
        <v>76900</v>
      </c>
      <c r="I15" t="s">
        <v>205</v>
      </c>
      <c r="J15" s="6">
        <f ca="1">(TODAY()-F15)/365</f>
        <v>2.6904109589041094</v>
      </c>
      <c r="K15" s="25">
        <f ca="1">IF(staff[[#This Row],[tenure]]&gt;2,(staff[[#This Row],[Salary]]/100)*3,(staff[[#This Row],[Salary]]/100)*2)</f>
        <v>2307</v>
      </c>
      <c r="L15" s="28">
        <f>_xlfn.XLOOKUP(E15,$O$25:$O$29,$P$25:$P$29)</f>
        <v>4</v>
      </c>
      <c r="O15" s="14" t="s">
        <v>216</v>
      </c>
      <c r="P15" s="15" t="str" cm="1">
        <f t="array" aca="1" ref="P15:P22" ca="1">TRANSPOSE((_xlfn.XLOOKUP(P13,staff[Name],staff[[Gender]:[tenure]])))</f>
        <v>Female</v>
      </c>
    </row>
    <row r="16" spans="2:17" x14ac:dyDescent="0.3">
      <c r="B16" s="28" t="s">
        <v>11</v>
      </c>
      <c r="C16" s="28" t="s">
        <v>206</v>
      </c>
      <c r="D16">
        <v>26</v>
      </c>
      <c r="E16" t="s">
        <v>13</v>
      </c>
      <c r="F16" s="5">
        <v>44271</v>
      </c>
      <c r="G16" t="s">
        <v>12</v>
      </c>
      <c r="H16" s="7">
        <v>90700</v>
      </c>
      <c r="I16" t="s">
        <v>205</v>
      </c>
      <c r="J16" s="6">
        <f ca="1">(TODAY()-F16)/365</f>
        <v>3.1808219178082191</v>
      </c>
      <c r="K16" s="25">
        <f ca="1">IF(staff[[#This Row],[tenure]]&gt;2,(staff[[#This Row],[Salary]]/100)*3,(staff[[#This Row],[Salary]]/100)*2)</f>
        <v>2721</v>
      </c>
      <c r="L16" s="28">
        <f>_xlfn.XLOOKUP(E16,$O$25:$O$29,$P$25:$P$29)</f>
        <v>4</v>
      </c>
      <c r="O16" s="14" t="s">
        <v>217</v>
      </c>
      <c r="P16" s="15">
        <f ca="1"/>
        <v>32</v>
      </c>
    </row>
    <row r="17" spans="2:16" x14ac:dyDescent="0.3">
      <c r="B17" s="28" t="s">
        <v>109</v>
      </c>
      <c r="C17" s="28" t="s">
        <v>8</v>
      </c>
      <c r="D17">
        <v>38</v>
      </c>
      <c r="E17" t="s">
        <v>13</v>
      </c>
      <c r="F17" s="5">
        <v>44329</v>
      </c>
      <c r="G17" t="s">
        <v>19</v>
      </c>
      <c r="H17" s="7">
        <v>56870</v>
      </c>
      <c r="I17" t="s">
        <v>205</v>
      </c>
      <c r="J17" s="6">
        <f ca="1">(TODAY()-F17)/365</f>
        <v>3.021917808219178</v>
      </c>
      <c r="K17" s="25">
        <f ca="1">IF(staff[[#This Row],[tenure]]&gt;2,(staff[[#This Row],[Salary]]/100)*3,(staff[[#This Row],[Salary]]/100)*2)</f>
        <v>1706.1000000000001</v>
      </c>
      <c r="L17" s="28">
        <f>_xlfn.XLOOKUP(E17,$O$25:$O$29,$P$25:$P$29)</f>
        <v>4</v>
      </c>
      <c r="O17" s="14" t="s">
        <v>218</v>
      </c>
      <c r="P17" s="15" t="str">
        <f ca="1"/>
        <v>Above average</v>
      </c>
    </row>
    <row r="18" spans="2:16" x14ac:dyDescent="0.3">
      <c r="B18" s="28" t="s">
        <v>68</v>
      </c>
      <c r="C18" s="28" t="s">
        <v>15</v>
      </c>
      <c r="D18">
        <v>27</v>
      </c>
      <c r="E18" t="s">
        <v>13</v>
      </c>
      <c r="F18" s="5">
        <v>44236</v>
      </c>
      <c r="G18" t="s">
        <v>21</v>
      </c>
      <c r="H18" s="7">
        <v>91650</v>
      </c>
      <c r="I18" t="s">
        <v>205</v>
      </c>
      <c r="J18" s="6">
        <f ca="1">(TODAY()-F18)/365</f>
        <v>3.2767123287671232</v>
      </c>
      <c r="K18" s="25">
        <f ca="1">IF(staff[[#This Row],[tenure]]&gt;2,(staff[[#This Row],[Salary]]/100)*3,(staff[[#This Row],[Salary]]/100)*2)</f>
        <v>2749.5</v>
      </c>
      <c r="L18" s="28">
        <f>_xlfn.XLOOKUP(E18,$O$25:$O$29,$P$25:$P$29)</f>
        <v>4</v>
      </c>
      <c r="O18" s="14" t="s">
        <v>219</v>
      </c>
      <c r="P18" s="16">
        <f ca="1"/>
        <v>44293</v>
      </c>
    </row>
    <row r="19" spans="2:16" x14ac:dyDescent="0.3">
      <c r="B19" s="28" t="s">
        <v>176</v>
      </c>
      <c r="C19" s="28" t="s">
        <v>8</v>
      </c>
      <c r="D19">
        <v>32</v>
      </c>
      <c r="E19" t="s">
        <v>13</v>
      </c>
      <c r="F19" s="5">
        <v>44293</v>
      </c>
      <c r="G19" t="s">
        <v>12</v>
      </c>
      <c r="H19" s="7">
        <v>43840</v>
      </c>
      <c r="I19" t="s">
        <v>207</v>
      </c>
      <c r="J19" s="6">
        <f ca="1">(TODAY()-F19)/365</f>
        <v>3.1205479452054794</v>
      </c>
      <c r="K19" s="25">
        <f ca="1">IF(staff[[#This Row],[tenure]]&gt;2,(staff[[#This Row],[Salary]]/100)*3,(staff[[#This Row],[Salary]]/100)*2)</f>
        <v>1315.1999999999998</v>
      </c>
      <c r="L19" s="28">
        <f>_xlfn.XLOOKUP(E19,$O$25:$O$29,$P$25:$P$29)</f>
        <v>4</v>
      </c>
      <c r="O19" s="14" t="s">
        <v>220</v>
      </c>
      <c r="P19" s="15" t="str">
        <f ca="1"/>
        <v>Website</v>
      </c>
    </row>
    <row r="20" spans="2:16" x14ac:dyDescent="0.3">
      <c r="B20" s="28" t="s">
        <v>202</v>
      </c>
      <c r="C20" s="28" t="s">
        <v>8</v>
      </c>
      <c r="D20">
        <v>38</v>
      </c>
      <c r="E20" t="s">
        <v>13</v>
      </c>
      <c r="F20" s="5">
        <v>44268</v>
      </c>
      <c r="G20" t="s">
        <v>19</v>
      </c>
      <c r="H20" s="7">
        <v>56870</v>
      </c>
      <c r="I20" t="s">
        <v>207</v>
      </c>
      <c r="J20" s="6">
        <f ca="1">(TODAY()-F20)/365</f>
        <v>3.1890410958904107</v>
      </c>
      <c r="K20" s="25">
        <f ca="1">IF(staff[[#This Row],[tenure]]&gt;2,(staff[[#This Row],[Salary]]/100)*3,(staff[[#This Row],[Salary]]/100)*2)</f>
        <v>1706.1000000000001</v>
      </c>
      <c r="L20" s="28">
        <f>_xlfn.XLOOKUP(E20,$O$25:$O$29,$P$25:$P$29)</f>
        <v>4</v>
      </c>
      <c r="O20" s="14" t="s">
        <v>221</v>
      </c>
      <c r="P20" s="15">
        <f ca="1"/>
        <v>43840</v>
      </c>
    </row>
    <row r="21" spans="2:16" x14ac:dyDescent="0.3">
      <c r="B21" s="28" t="s">
        <v>128</v>
      </c>
      <c r="C21" s="28" t="s">
        <v>15</v>
      </c>
      <c r="D21">
        <v>25</v>
      </c>
      <c r="E21" t="s">
        <v>13</v>
      </c>
      <c r="F21" s="5">
        <v>44665</v>
      </c>
      <c r="G21" t="s">
        <v>9</v>
      </c>
      <c r="H21" s="7">
        <v>109190</v>
      </c>
      <c r="I21" t="s">
        <v>207</v>
      </c>
      <c r="J21" s="6">
        <f ca="1">(TODAY()-F21)/365</f>
        <v>2.1013698630136988</v>
      </c>
      <c r="K21" s="25">
        <f ca="1">IF(staff[[#This Row],[tenure]]&gt;2,(staff[[#This Row],[Salary]]/100)*3,(staff[[#This Row],[Salary]]/100)*2)</f>
        <v>3275.7000000000003</v>
      </c>
      <c r="L21" s="28">
        <f>_xlfn.XLOOKUP(E21,$O$25:$O$29,$P$25:$P$29)</f>
        <v>4</v>
      </c>
      <c r="O21" s="14" t="s">
        <v>222</v>
      </c>
      <c r="P21" s="15" t="str">
        <f ca="1"/>
        <v>IND</v>
      </c>
    </row>
    <row r="22" spans="2:16" x14ac:dyDescent="0.3">
      <c r="B22" s="28" t="s">
        <v>123</v>
      </c>
      <c r="C22" s="28" t="s">
        <v>15</v>
      </c>
      <c r="D22">
        <v>28</v>
      </c>
      <c r="E22" t="s">
        <v>13</v>
      </c>
      <c r="F22" s="5">
        <v>43980</v>
      </c>
      <c r="G22" t="s">
        <v>21</v>
      </c>
      <c r="H22" s="7">
        <v>48170</v>
      </c>
      <c r="I22" t="s">
        <v>207</v>
      </c>
      <c r="J22" s="6">
        <f ca="1">(TODAY()-F22)/365</f>
        <v>3.978082191780822</v>
      </c>
      <c r="K22" s="25">
        <f ca="1">IF(staff[[#This Row],[tenure]]&gt;2,(staff[[#This Row],[Salary]]/100)*3,(staff[[#This Row],[Salary]]/100)*2)</f>
        <v>1445.1</v>
      </c>
      <c r="L22" s="28">
        <f>_xlfn.XLOOKUP(E22,$O$25:$O$29,$P$25:$P$29)</f>
        <v>4</v>
      </c>
      <c r="O22" s="14" t="s">
        <v>213</v>
      </c>
      <c r="P22" s="15">
        <f ca="1"/>
        <v>3.1205479452054794</v>
      </c>
    </row>
    <row r="23" spans="2:16" x14ac:dyDescent="0.3">
      <c r="B23" s="28" t="s">
        <v>154</v>
      </c>
      <c r="C23" s="28" t="s">
        <v>8</v>
      </c>
      <c r="D23">
        <v>22</v>
      </c>
      <c r="E23" t="s">
        <v>13</v>
      </c>
      <c r="F23" s="5">
        <v>44388</v>
      </c>
      <c r="G23" t="s">
        <v>9</v>
      </c>
      <c r="H23" s="7">
        <v>76900</v>
      </c>
      <c r="I23" t="s">
        <v>207</v>
      </c>
      <c r="J23" s="6">
        <f ca="1">(TODAY()-F23)/365</f>
        <v>2.8602739726027395</v>
      </c>
      <c r="K23" s="25">
        <f ca="1">IF(staff[[#This Row],[tenure]]&gt;2,(staff[[#This Row],[Salary]]/100)*3,(staff[[#This Row],[Salary]]/100)*2)</f>
        <v>2307</v>
      </c>
      <c r="L23" s="28">
        <f>_xlfn.XLOOKUP(E23,$O$25:$O$29,$P$25:$P$29)</f>
        <v>4</v>
      </c>
    </row>
    <row r="24" spans="2:16" x14ac:dyDescent="0.3">
      <c r="B24" s="28" t="s">
        <v>133</v>
      </c>
      <c r="C24" s="28" t="s">
        <v>8</v>
      </c>
      <c r="D24">
        <v>25</v>
      </c>
      <c r="E24" t="s">
        <v>13</v>
      </c>
      <c r="F24" s="5">
        <v>44633</v>
      </c>
      <c r="G24" t="s">
        <v>12</v>
      </c>
      <c r="H24" s="7">
        <v>80700</v>
      </c>
      <c r="I24" t="s">
        <v>207</v>
      </c>
      <c r="J24" s="6">
        <f ca="1">(TODAY()-F24)/365</f>
        <v>2.1890410958904107</v>
      </c>
      <c r="K24" s="25">
        <f ca="1">IF(staff[[#This Row],[tenure]]&gt;2,(staff[[#This Row],[Salary]]/100)*3,(staff[[#This Row],[Salary]]/100)*2)</f>
        <v>2421</v>
      </c>
      <c r="L24" s="28">
        <f>_xlfn.XLOOKUP(E24,$O$25:$O$29,$P$25:$P$29)</f>
        <v>4</v>
      </c>
    </row>
    <row r="25" spans="2:16" x14ac:dyDescent="0.3">
      <c r="B25" s="28" t="s">
        <v>150</v>
      </c>
      <c r="C25" s="28" t="s">
        <v>15</v>
      </c>
      <c r="D25">
        <v>22</v>
      </c>
      <c r="E25" t="s">
        <v>13</v>
      </c>
      <c r="F25" s="5">
        <v>44384</v>
      </c>
      <c r="G25" t="s">
        <v>19</v>
      </c>
      <c r="H25" s="7">
        <v>112780</v>
      </c>
      <c r="I25" t="s">
        <v>207</v>
      </c>
      <c r="J25" s="6">
        <f ca="1">(TODAY()-F25)/365</f>
        <v>2.871232876712329</v>
      </c>
      <c r="K25" s="25">
        <f ca="1">IF(staff[[#This Row],[tenure]]&gt;2,(staff[[#This Row],[Salary]]/100)*3,(staff[[#This Row],[Salary]]/100)*2)</f>
        <v>3383.3999999999996</v>
      </c>
      <c r="L25" s="28">
        <f>_xlfn.XLOOKUP(E25,$O$25:$O$29,$P$25:$P$29)</f>
        <v>4</v>
      </c>
      <c r="O25" s="22" t="s">
        <v>10</v>
      </c>
      <c r="P25">
        <v>5</v>
      </c>
    </row>
    <row r="26" spans="2:16" x14ac:dyDescent="0.3">
      <c r="B26" s="28" t="s">
        <v>160</v>
      </c>
      <c r="C26" s="28" t="s">
        <v>15</v>
      </c>
      <c r="D26">
        <v>27</v>
      </c>
      <c r="E26" t="s">
        <v>13</v>
      </c>
      <c r="F26" s="5">
        <v>44174</v>
      </c>
      <c r="G26" t="s">
        <v>21</v>
      </c>
      <c r="H26" s="7">
        <v>91650</v>
      </c>
      <c r="I26" t="s">
        <v>207</v>
      </c>
      <c r="J26" s="6">
        <f ca="1">(TODAY()-F26)/365</f>
        <v>3.4465753424657533</v>
      </c>
      <c r="K26" s="25">
        <f ca="1">IF(staff[[#This Row],[tenure]]&gt;2,(staff[[#This Row],[Salary]]/100)*3,(staff[[#This Row],[Salary]]/100)*2)</f>
        <v>2749.5</v>
      </c>
      <c r="L26" s="28">
        <f>_xlfn.XLOOKUP(E26,$O$25:$O$29,$P$25:$P$29)</f>
        <v>4</v>
      </c>
      <c r="O26" s="22" t="s">
        <v>13</v>
      </c>
      <c r="P26">
        <v>4</v>
      </c>
    </row>
    <row r="27" spans="2:16" x14ac:dyDescent="0.3">
      <c r="B27" s="28" t="s">
        <v>112</v>
      </c>
      <c r="C27" s="28" t="s">
        <v>206</v>
      </c>
      <c r="D27">
        <v>27</v>
      </c>
      <c r="E27" t="s">
        <v>13</v>
      </c>
      <c r="F27" s="5">
        <v>44212</v>
      </c>
      <c r="G27" t="s">
        <v>12</v>
      </c>
      <c r="H27" s="7">
        <v>90700</v>
      </c>
      <c r="I27" t="s">
        <v>207</v>
      </c>
      <c r="J27" s="6">
        <f ca="1">(TODAY()-F27)/365</f>
        <v>3.3424657534246576</v>
      </c>
      <c r="K27" s="25">
        <f ca="1">IF(staff[[#This Row],[tenure]]&gt;2,(staff[[#This Row],[Salary]]/100)*3,(staff[[#This Row],[Salary]]/100)*2)</f>
        <v>2721</v>
      </c>
      <c r="L27" s="28">
        <f>_xlfn.XLOOKUP(E27,$O$25:$O$29,$P$25:$P$29)</f>
        <v>4</v>
      </c>
      <c r="O27" s="22" t="s">
        <v>16</v>
      </c>
      <c r="P27">
        <v>3</v>
      </c>
    </row>
    <row r="28" spans="2:16" x14ac:dyDescent="0.3">
      <c r="B28" s="28" t="s">
        <v>144</v>
      </c>
      <c r="C28" s="28" t="s">
        <v>15</v>
      </c>
      <c r="D28">
        <v>33</v>
      </c>
      <c r="E28" t="s">
        <v>13</v>
      </c>
      <c r="F28" s="5">
        <v>44640</v>
      </c>
      <c r="G28" t="s">
        <v>9</v>
      </c>
      <c r="H28" s="7">
        <v>48530</v>
      </c>
      <c r="I28" t="s">
        <v>207</v>
      </c>
      <c r="J28" s="6">
        <f ca="1">(TODAY()-F28)/365</f>
        <v>2.1698630136986301</v>
      </c>
      <c r="K28" s="25">
        <f ca="1">IF(staff[[#This Row],[tenure]]&gt;2,(staff[[#This Row],[Salary]]/100)*3,(staff[[#This Row],[Salary]]/100)*2)</f>
        <v>1455.9</v>
      </c>
      <c r="L28" s="28">
        <f>_xlfn.XLOOKUP(E28,$O$25:$O$29,$P$25:$P$29)</f>
        <v>4</v>
      </c>
      <c r="O28" s="22" t="s">
        <v>24</v>
      </c>
      <c r="P28">
        <v>2</v>
      </c>
    </row>
    <row r="29" spans="2:16" x14ac:dyDescent="0.3">
      <c r="B29" s="28" t="s">
        <v>70</v>
      </c>
      <c r="C29" s="28" t="s">
        <v>15</v>
      </c>
      <c r="D29">
        <v>46</v>
      </c>
      <c r="E29" t="s">
        <v>16</v>
      </c>
      <c r="F29" s="5">
        <v>44758</v>
      </c>
      <c r="G29" t="s">
        <v>9</v>
      </c>
      <c r="H29" s="7">
        <v>70610</v>
      </c>
      <c r="I29" t="s">
        <v>205</v>
      </c>
      <c r="J29" s="6">
        <f ca="1">(TODAY()-F29)/365</f>
        <v>1.8465753424657534</v>
      </c>
      <c r="K29" s="25">
        <f ca="1">IF(staff[[#This Row],[tenure]]&gt;2,(staff[[#This Row],[Salary]]/100)*3,(staff[[#This Row],[Salary]]/100)*2)</f>
        <v>1412.2</v>
      </c>
      <c r="L29" s="28">
        <f>_xlfn.XLOOKUP(E29,$O$25:$O$29,$P$25:$P$29)</f>
        <v>3</v>
      </c>
      <c r="O29" s="22" t="s">
        <v>42</v>
      </c>
      <c r="P29">
        <v>1</v>
      </c>
    </row>
    <row r="30" spans="2:16" x14ac:dyDescent="0.3">
      <c r="B30" s="28" t="s">
        <v>75</v>
      </c>
      <c r="C30" s="28" t="s">
        <v>8</v>
      </c>
      <c r="D30">
        <v>28</v>
      </c>
      <c r="E30" t="s">
        <v>16</v>
      </c>
      <c r="F30" s="5">
        <v>44357</v>
      </c>
      <c r="G30" t="s">
        <v>19</v>
      </c>
      <c r="H30" s="7">
        <v>53240</v>
      </c>
      <c r="I30" t="s">
        <v>205</v>
      </c>
      <c r="J30" s="6">
        <f ca="1">(TODAY()-F30)/365</f>
        <v>2.9452054794520546</v>
      </c>
      <c r="K30" s="25">
        <f ca="1">IF(staff[[#This Row],[tenure]]&gt;2,(staff[[#This Row],[Salary]]/100)*3,(staff[[#This Row],[Salary]]/100)*2)</f>
        <v>1597.1999999999998</v>
      </c>
      <c r="L30" s="28">
        <f>_xlfn.XLOOKUP(E30,$O$25:$O$29,$P$25:$P$29)</f>
        <v>3</v>
      </c>
    </row>
    <row r="31" spans="2:16" x14ac:dyDescent="0.3">
      <c r="B31" s="28" t="s">
        <v>65</v>
      </c>
      <c r="C31" s="28" t="s">
        <v>15</v>
      </c>
      <c r="D31">
        <v>32</v>
      </c>
      <c r="E31" t="s">
        <v>16</v>
      </c>
      <c r="F31" s="5">
        <v>44465</v>
      </c>
      <c r="G31" t="s">
        <v>19</v>
      </c>
      <c r="H31" s="7">
        <v>53540</v>
      </c>
      <c r="I31" t="s">
        <v>205</v>
      </c>
      <c r="J31" s="6">
        <f ca="1">(TODAY()-F31)/365</f>
        <v>2.6493150684931508</v>
      </c>
      <c r="K31" s="25">
        <f ca="1">IF(staff[[#This Row],[tenure]]&gt;2,(staff[[#This Row],[Salary]]/100)*3,(staff[[#This Row],[Salary]]/100)*2)</f>
        <v>1606.1999999999998</v>
      </c>
      <c r="L31" s="28">
        <f>_xlfn.XLOOKUP(E31,$O$25:$O$29,$P$25:$P$29)</f>
        <v>3</v>
      </c>
    </row>
    <row r="32" spans="2:16" x14ac:dyDescent="0.3">
      <c r="B32" s="28" t="s">
        <v>81</v>
      </c>
      <c r="C32" s="28" t="s">
        <v>8</v>
      </c>
      <c r="D32">
        <v>30</v>
      </c>
      <c r="E32" t="s">
        <v>16</v>
      </c>
      <c r="F32" s="5">
        <v>44861</v>
      </c>
      <c r="G32" t="s">
        <v>9</v>
      </c>
      <c r="H32" s="7">
        <v>112570</v>
      </c>
      <c r="I32" t="s">
        <v>205</v>
      </c>
      <c r="J32" s="6">
        <f ca="1">(TODAY()-F32)/365</f>
        <v>1.5643835616438355</v>
      </c>
      <c r="K32" s="25">
        <f ca="1">IF(staff[[#This Row],[tenure]]&gt;2,(staff[[#This Row],[Salary]]/100)*3,(staff[[#This Row],[Salary]]/100)*2)</f>
        <v>2251.4</v>
      </c>
      <c r="L32" s="28">
        <f>_xlfn.XLOOKUP(E32,$O$25:$O$29,$P$25:$P$29)</f>
        <v>3</v>
      </c>
    </row>
    <row r="33" spans="2:12" x14ac:dyDescent="0.3">
      <c r="B33" s="28" t="s">
        <v>61</v>
      </c>
      <c r="C33" s="28" t="s">
        <v>8</v>
      </c>
      <c r="D33">
        <v>24</v>
      </c>
      <c r="E33" t="s">
        <v>16</v>
      </c>
      <c r="F33" s="5">
        <v>44148</v>
      </c>
      <c r="G33" t="s">
        <v>12</v>
      </c>
      <c r="H33" s="7">
        <v>62780</v>
      </c>
      <c r="I33" t="s">
        <v>205</v>
      </c>
      <c r="J33" s="6">
        <f ca="1">(TODAY()-F33)/365</f>
        <v>3.5178082191780824</v>
      </c>
      <c r="K33" s="25">
        <f ca="1">IF(staff[[#This Row],[tenure]]&gt;2,(staff[[#This Row],[Salary]]/100)*3,(staff[[#This Row],[Salary]]/100)*2)</f>
        <v>1883.3999999999999</v>
      </c>
      <c r="L33" s="28">
        <f>_xlfn.XLOOKUP(E33,$O$25:$O$29,$P$25:$P$29)</f>
        <v>3</v>
      </c>
    </row>
    <row r="34" spans="2:12" x14ac:dyDescent="0.3">
      <c r="B34" s="28" t="s">
        <v>82</v>
      </c>
      <c r="C34" s="28" t="s">
        <v>15</v>
      </c>
      <c r="D34">
        <v>33</v>
      </c>
      <c r="E34" t="s">
        <v>16</v>
      </c>
      <c r="F34" s="5">
        <v>44509</v>
      </c>
      <c r="G34" t="s">
        <v>12</v>
      </c>
      <c r="H34" s="7">
        <v>53870</v>
      </c>
      <c r="I34" t="s">
        <v>205</v>
      </c>
      <c r="J34" s="6">
        <f ca="1">(TODAY()-F34)/365</f>
        <v>2.5287671232876714</v>
      </c>
      <c r="K34" s="25">
        <f ca="1">IF(staff[[#This Row],[tenure]]&gt;2,(staff[[#This Row],[Salary]]/100)*3,(staff[[#This Row],[Salary]]/100)*2)</f>
        <v>1616.1000000000001</v>
      </c>
      <c r="L34" s="28">
        <f>_xlfn.XLOOKUP(E34,$O$25:$O$29,$P$25:$P$29)</f>
        <v>3</v>
      </c>
    </row>
    <row r="35" spans="2:12" x14ac:dyDescent="0.3">
      <c r="B35" s="28" t="s">
        <v>60</v>
      </c>
      <c r="C35" s="28" t="s">
        <v>8</v>
      </c>
      <c r="D35">
        <v>27</v>
      </c>
      <c r="E35" t="s">
        <v>16</v>
      </c>
      <c r="F35" s="5">
        <v>44122</v>
      </c>
      <c r="G35" t="s">
        <v>56</v>
      </c>
      <c r="H35" s="7">
        <v>119110</v>
      </c>
      <c r="I35" t="s">
        <v>205</v>
      </c>
      <c r="J35" s="6">
        <f ca="1">(TODAY()-F35)/365</f>
        <v>3.5890410958904111</v>
      </c>
      <c r="K35" s="25">
        <f ca="1">IF(staff[[#This Row],[tenure]]&gt;2,(staff[[#This Row],[Salary]]/100)*3,(staff[[#This Row],[Salary]]/100)*2)</f>
        <v>3573.2999999999997</v>
      </c>
      <c r="L35" s="28">
        <f>_xlfn.XLOOKUP(E35,$O$25:$O$29,$P$25:$P$29)</f>
        <v>3</v>
      </c>
    </row>
    <row r="36" spans="2:12" x14ac:dyDescent="0.3">
      <c r="B36" s="28" t="s">
        <v>76</v>
      </c>
      <c r="C36" s="28" t="s">
        <v>15</v>
      </c>
      <c r="D36">
        <v>25</v>
      </c>
      <c r="E36" t="s">
        <v>16</v>
      </c>
      <c r="F36" s="5">
        <v>44383</v>
      </c>
      <c r="G36" t="s">
        <v>19</v>
      </c>
      <c r="H36" s="7">
        <v>65700</v>
      </c>
      <c r="I36" t="s">
        <v>205</v>
      </c>
      <c r="J36" s="6">
        <f ca="1">(TODAY()-F36)/365</f>
        <v>2.8739726027397259</v>
      </c>
      <c r="K36" s="25">
        <f ca="1">IF(staff[[#This Row],[tenure]]&gt;2,(staff[[#This Row],[Salary]]/100)*3,(staff[[#This Row],[Salary]]/100)*2)</f>
        <v>1971</v>
      </c>
      <c r="L36" s="28">
        <f>_xlfn.XLOOKUP(E36,$O$25:$O$29,$P$25:$P$29)</f>
        <v>3</v>
      </c>
    </row>
    <row r="37" spans="2:12" x14ac:dyDescent="0.3">
      <c r="B37" s="28" t="s">
        <v>97</v>
      </c>
      <c r="C37" s="28" t="s">
        <v>15</v>
      </c>
      <c r="D37">
        <v>37</v>
      </c>
      <c r="E37" t="s">
        <v>16</v>
      </c>
      <c r="F37" s="5">
        <v>44701</v>
      </c>
      <c r="G37" t="s">
        <v>12</v>
      </c>
      <c r="H37" s="7">
        <v>69070</v>
      </c>
      <c r="I37" t="s">
        <v>205</v>
      </c>
      <c r="J37" s="6">
        <f ca="1">(TODAY()-F37)/365</f>
        <v>2.0027397260273974</v>
      </c>
      <c r="K37" s="25">
        <f ca="1">IF(staff[[#This Row],[tenure]]&gt;2,(staff[[#This Row],[Salary]]/100)*3,(staff[[#This Row],[Salary]]/100)*2)</f>
        <v>2072.1000000000004</v>
      </c>
      <c r="L37" s="28">
        <f>_xlfn.XLOOKUP(E37,$O$25:$O$29,$P$25:$P$29)</f>
        <v>3</v>
      </c>
    </row>
    <row r="38" spans="2:12" x14ac:dyDescent="0.3">
      <c r="B38" s="28" t="s">
        <v>22</v>
      </c>
      <c r="C38" s="28" t="s">
        <v>15</v>
      </c>
      <c r="D38">
        <v>20</v>
      </c>
      <c r="E38" t="s">
        <v>16</v>
      </c>
      <c r="F38" s="5">
        <v>44459</v>
      </c>
      <c r="G38" t="s">
        <v>12</v>
      </c>
      <c r="H38" s="7">
        <v>107700</v>
      </c>
      <c r="I38" t="s">
        <v>205</v>
      </c>
      <c r="J38" s="6">
        <f ca="1">(TODAY()-F38)/365</f>
        <v>2.6657534246575341</v>
      </c>
      <c r="K38" s="25">
        <f ca="1">IF(staff[[#This Row],[tenure]]&gt;2,(staff[[#This Row],[Salary]]/100)*3,(staff[[#This Row],[Salary]]/100)*2)</f>
        <v>3231</v>
      </c>
      <c r="L38" s="28">
        <f>_xlfn.XLOOKUP(E38,$O$25:$O$29,$P$25:$P$29)</f>
        <v>3</v>
      </c>
    </row>
    <row r="39" spans="2:12" x14ac:dyDescent="0.3">
      <c r="B39" s="28" t="s">
        <v>105</v>
      </c>
      <c r="C39" s="28" t="s">
        <v>15</v>
      </c>
      <c r="D39">
        <v>40</v>
      </c>
      <c r="E39" t="s">
        <v>16</v>
      </c>
      <c r="F39" s="5">
        <v>44263</v>
      </c>
      <c r="G39" t="s">
        <v>9</v>
      </c>
      <c r="H39" s="7">
        <v>99750</v>
      </c>
      <c r="I39" t="s">
        <v>205</v>
      </c>
      <c r="J39" s="6">
        <f ca="1">(TODAY()-F39)/365</f>
        <v>3.2027397260273971</v>
      </c>
      <c r="K39" s="25">
        <f ca="1">IF(staff[[#This Row],[tenure]]&gt;2,(staff[[#This Row],[Salary]]/100)*3,(staff[[#This Row],[Salary]]/100)*2)</f>
        <v>2992.5</v>
      </c>
      <c r="L39" s="28">
        <f>_xlfn.XLOOKUP(E39,$O$25:$O$29,$P$25:$P$29)</f>
        <v>3</v>
      </c>
    </row>
    <row r="40" spans="2:12" x14ac:dyDescent="0.3">
      <c r="B40" s="28" t="s">
        <v>47</v>
      </c>
      <c r="C40" s="28" t="s">
        <v>15</v>
      </c>
      <c r="D40">
        <v>21</v>
      </c>
      <c r="E40" t="s">
        <v>16</v>
      </c>
      <c r="F40" s="5">
        <v>44104</v>
      </c>
      <c r="G40" t="s">
        <v>9</v>
      </c>
      <c r="H40" s="7">
        <v>37920</v>
      </c>
      <c r="I40" t="s">
        <v>205</v>
      </c>
      <c r="J40" s="6">
        <f ca="1">(TODAY()-F40)/365</f>
        <v>3.6383561643835618</v>
      </c>
      <c r="K40" s="25">
        <f ca="1">IF(staff[[#This Row],[tenure]]&gt;2,(staff[[#This Row],[Salary]]/100)*3,(staff[[#This Row],[Salary]]/100)*2)</f>
        <v>1137.5999999999999</v>
      </c>
      <c r="L40" s="28">
        <f>_xlfn.XLOOKUP(E40,$O$25:$O$29,$P$25:$P$29)</f>
        <v>3</v>
      </c>
    </row>
    <row r="41" spans="2:12" x14ac:dyDescent="0.3">
      <c r="B41" s="28" t="s">
        <v>31</v>
      </c>
      <c r="C41" s="28" t="s">
        <v>15</v>
      </c>
      <c r="D41">
        <v>21</v>
      </c>
      <c r="E41" t="s">
        <v>16</v>
      </c>
      <c r="F41" s="5">
        <v>44762</v>
      </c>
      <c r="G41" t="s">
        <v>9</v>
      </c>
      <c r="H41" s="7">
        <v>57090</v>
      </c>
      <c r="I41" t="s">
        <v>205</v>
      </c>
      <c r="J41" s="6">
        <f ca="1">(TODAY()-F41)/365</f>
        <v>1.8356164383561644</v>
      </c>
      <c r="K41" s="25">
        <f ca="1">IF(staff[[#This Row],[tenure]]&gt;2,(staff[[#This Row],[Salary]]/100)*3,(staff[[#This Row],[Salary]]/100)*2)</f>
        <v>1141.8</v>
      </c>
      <c r="L41" s="28">
        <f>_xlfn.XLOOKUP(E41,$O$25:$O$29,$P$25:$P$29)</f>
        <v>3</v>
      </c>
    </row>
    <row r="42" spans="2:12" x14ac:dyDescent="0.3">
      <c r="B42" s="28" t="s">
        <v>30</v>
      </c>
      <c r="C42" s="28" t="s">
        <v>8</v>
      </c>
      <c r="D42">
        <v>31</v>
      </c>
      <c r="E42" t="s">
        <v>16</v>
      </c>
      <c r="F42" s="5">
        <v>44145</v>
      </c>
      <c r="G42" t="s">
        <v>12</v>
      </c>
      <c r="H42" s="7">
        <v>41980</v>
      </c>
      <c r="I42" t="s">
        <v>205</v>
      </c>
      <c r="J42" s="6">
        <f ca="1">(TODAY()-F42)/365</f>
        <v>3.526027397260274</v>
      </c>
      <c r="K42" s="25">
        <f ca="1">IF(staff[[#This Row],[tenure]]&gt;2,(staff[[#This Row],[Salary]]/100)*3,(staff[[#This Row],[Salary]]/100)*2)</f>
        <v>1259.4000000000001</v>
      </c>
      <c r="L42" s="28">
        <f>_xlfn.XLOOKUP(E42,$O$25:$O$29,$P$25:$P$29)</f>
        <v>3</v>
      </c>
    </row>
    <row r="43" spans="2:12" x14ac:dyDescent="0.3">
      <c r="B43" s="28" t="s">
        <v>78</v>
      </c>
      <c r="C43" s="28" t="s">
        <v>15</v>
      </c>
      <c r="D43">
        <v>21</v>
      </c>
      <c r="E43" t="s">
        <v>16</v>
      </c>
      <c r="F43" s="5">
        <v>44242</v>
      </c>
      <c r="G43" t="s">
        <v>56</v>
      </c>
      <c r="H43" s="7">
        <v>75880</v>
      </c>
      <c r="I43" t="s">
        <v>205</v>
      </c>
      <c r="J43" s="6">
        <f ca="1">(TODAY()-F43)/365</f>
        <v>3.2602739726027399</v>
      </c>
      <c r="K43" s="25">
        <f ca="1">IF(staff[[#This Row],[tenure]]&gt;2,(staff[[#This Row],[Salary]]/100)*3,(staff[[#This Row],[Salary]]/100)*2)</f>
        <v>2276.3999999999996</v>
      </c>
      <c r="L43" s="28">
        <f>_xlfn.XLOOKUP(E43,$O$25:$O$29,$P$25:$P$29)</f>
        <v>3</v>
      </c>
    </row>
    <row r="44" spans="2:12" x14ac:dyDescent="0.3">
      <c r="B44" s="28" t="s">
        <v>36</v>
      </c>
      <c r="C44" s="28" t="s">
        <v>8</v>
      </c>
      <c r="D44">
        <v>34</v>
      </c>
      <c r="E44" t="s">
        <v>16</v>
      </c>
      <c r="F44" s="5">
        <v>44653</v>
      </c>
      <c r="G44" t="s">
        <v>21</v>
      </c>
      <c r="H44" s="7">
        <v>58940</v>
      </c>
      <c r="I44" t="s">
        <v>205</v>
      </c>
      <c r="J44" s="6">
        <f ca="1">(TODAY()-F44)/365</f>
        <v>2.1342465753424658</v>
      </c>
      <c r="K44" s="25">
        <f ca="1">IF(staff[[#This Row],[tenure]]&gt;2,(staff[[#This Row],[Salary]]/100)*3,(staff[[#This Row],[Salary]]/100)*2)</f>
        <v>1768.1999999999998</v>
      </c>
      <c r="L44" s="28">
        <f>_xlfn.XLOOKUP(E44,$O$25:$O$29,$P$25:$P$29)</f>
        <v>3</v>
      </c>
    </row>
    <row r="45" spans="2:12" x14ac:dyDescent="0.3">
      <c r="B45" s="28" t="s">
        <v>26</v>
      </c>
      <c r="C45" s="28" t="s">
        <v>8</v>
      </c>
      <c r="D45">
        <v>31</v>
      </c>
      <c r="E45" t="s">
        <v>16</v>
      </c>
      <c r="F45" s="5">
        <v>44663</v>
      </c>
      <c r="G45" t="s">
        <v>12</v>
      </c>
      <c r="H45" s="7">
        <v>58100</v>
      </c>
      <c r="I45" t="s">
        <v>205</v>
      </c>
      <c r="J45" s="6">
        <f ca="1">(TODAY()-F45)/365</f>
        <v>2.106849315068493</v>
      </c>
      <c r="K45" s="25">
        <f ca="1">IF(staff[[#This Row],[tenure]]&gt;2,(staff[[#This Row],[Salary]]/100)*3,(staff[[#This Row],[Salary]]/100)*2)</f>
        <v>1743</v>
      </c>
      <c r="L45" s="28">
        <f>_xlfn.XLOOKUP(E45,$O$25:$O$29,$P$25:$P$29)</f>
        <v>3</v>
      </c>
    </row>
    <row r="46" spans="2:12" x14ac:dyDescent="0.3">
      <c r="B46" s="28" t="s">
        <v>53</v>
      </c>
      <c r="C46" s="28" t="s">
        <v>15</v>
      </c>
      <c r="D46">
        <v>27</v>
      </c>
      <c r="E46" t="s">
        <v>16</v>
      </c>
      <c r="F46" s="5">
        <v>44567</v>
      </c>
      <c r="G46" t="s">
        <v>21</v>
      </c>
      <c r="H46" s="7">
        <v>48980</v>
      </c>
      <c r="I46" t="s">
        <v>205</v>
      </c>
      <c r="J46" s="6">
        <f ca="1">(TODAY()-F46)/365</f>
        <v>2.3698630136986303</v>
      </c>
      <c r="K46" s="25">
        <f ca="1">IF(staff[[#This Row],[tenure]]&gt;2,(staff[[#This Row],[Salary]]/100)*3,(staff[[#This Row],[Salary]]/100)*2)</f>
        <v>1469.4</v>
      </c>
      <c r="L46" s="28">
        <f>_xlfn.XLOOKUP(E46,$O$25:$O$29,$P$25:$P$29)</f>
        <v>3</v>
      </c>
    </row>
    <row r="47" spans="2:12" x14ac:dyDescent="0.3">
      <c r="B47" s="28" t="s">
        <v>20</v>
      </c>
      <c r="C47" s="28" t="s">
        <v>206</v>
      </c>
      <c r="D47">
        <v>30</v>
      </c>
      <c r="E47" t="s">
        <v>16</v>
      </c>
      <c r="F47" s="5">
        <v>44597</v>
      </c>
      <c r="G47" t="s">
        <v>21</v>
      </c>
      <c r="H47" s="7">
        <v>64000</v>
      </c>
      <c r="I47" t="s">
        <v>205</v>
      </c>
      <c r="J47" s="6">
        <f ca="1">(TODAY()-F47)/365</f>
        <v>2.2876712328767121</v>
      </c>
      <c r="K47" s="25">
        <f ca="1">IF(staff[[#This Row],[tenure]]&gt;2,(staff[[#This Row],[Salary]]/100)*3,(staff[[#This Row],[Salary]]/100)*2)</f>
        <v>1920</v>
      </c>
      <c r="L47" s="28">
        <f>_xlfn.XLOOKUP(E47,$O$25:$O$29,$P$25:$P$29)</f>
        <v>3</v>
      </c>
    </row>
    <row r="48" spans="2:12" x14ac:dyDescent="0.3">
      <c r="B48" s="28" t="s">
        <v>74</v>
      </c>
      <c r="C48" s="28" t="s">
        <v>8</v>
      </c>
      <c r="D48">
        <v>40</v>
      </c>
      <c r="E48" t="s">
        <v>16</v>
      </c>
      <c r="F48" s="5">
        <v>44337</v>
      </c>
      <c r="G48" t="s">
        <v>12</v>
      </c>
      <c r="H48" s="7">
        <v>87620</v>
      </c>
      <c r="I48" t="s">
        <v>205</v>
      </c>
      <c r="J48" s="6">
        <f ca="1">(TODAY()-F48)/365</f>
        <v>3</v>
      </c>
      <c r="K48" s="25">
        <f ca="1">IF(staff[[#This Row],[tenure]]&gt;2,(staff[[#This Row],[Salary]]/100)*3,(staff[[#This Row],[Salary]]/100)*2)</f>
        <v>2628.6000000000004</v>
      </c>
      <c r="L48" s="28">
        <f>_xlfn.XLOOKUP(E48,$O$25:$O$29,$P$25:$P$29)</f>
        <v>3</v>
      </c>
    </row>
    <row r="49" spans="2:12" x14ac:dyDescent="0.3">
      <c r="B49" s="28" t="s">
        <v>44</v>
      </c>
      <c r="C49" s="28" t="s">
        <v>8</v>
      </c>
      <c r="D49">
        <v>29</v>
      </c>
      <c r="E49" t="s">
        <v>16</v>
      </c>
      <c r="F49" s="5">
        <v>44023</v>
      </c>
      <c r="G49" t="s">
        <v>12</v>
      </c>
      <c r="H49" s="7">
        <v>34980</v>
      </c>
      <c r="I49" t="s">
        <v>205</v>
      </c>
      <c r="J49" s="6">
        <f ca="1">(TODAY()-F49)/365</f>
        <v>3.8602739726027395</v>
      </c>
      <c r="K49" s="25">
        <f ca="1">IF(staff[[#This Row],[tenure]]&gt;2,(staff[[#This Row],[Salary]]/100)*3,(staff[[#This Row],[Salary]]/100)*2)</f>
        <v>1049.4000000000001</v>
      </c>
      <c r="L49" s="28">
        <f>_xlfn.XLOOKUP(E49,$O$25:$O$29,$P$25:$P$29)</f>
        <v>3</v>
      </c>
    </row>
    <row r="50" spans="2:12" x14ac:dyDescent="0.3">
      <c r="B50" s="28" t="s">
        <v>35</v>
      </c>
      <c r="C50" s="28" t="s">
        <v>8</v>
      </c>
      <c r="D50">
        <v>28</v>
      </c>
      <c r="E50" t="s">
        <v>16</v>
      </c>
      <c r="F50" s="5">
        <v>44185</v>
      </c>
      <c r="G50" t="s">
        <v>21</v>
      </c>
      <c r="H50" s="7">
        <v>75970</v>
      </c>
      <c r="I50" t="s">
        <v>205</v>
      </c>
      <c r="J50" s="6">
        <f ca="1">(TODAY()-F50)/365</f>
        <v>3.4164383561643836</v>
      </c>
      <c r="K50" s="25">
        <f ca="1">IF(staff[[#This Row],[tenure]]&gt;2,(staff[[#This Row],[Salary]]/100)*3,(staff[[#This Row],[Salary]]/100)*2)</f>
        <v>2279.1000000000004</v>
      </c>
      <c r="L50" s="28">
        <f>_xlfn.XLOOKUP(E50,$O$25:$O$29,$P$25:$P$29)</f>
        <v>3</v>
      </c>
    </row>
    <row r="51" spans="2:12" x14ac:dyDescent="0.3">
      <c r="B51" s="28" t="s">
        <v>38</v>
      </c>
      <c r="C51" s="28" t="s">
        <v>8</v>
      </c>
      <c r="D51">
        <v>34</v>
      </c>
      <c r="E51" t="s">
        <v>16</v>
      </c>
      <c r="F51" s="5">
        <v>44612</v>
      </c>
      <c r="G51" t="s">
        <v>21</v>
      </c>
      <c r="H51" s="7">
        <v>60130</v>
      </c>
      <c r="I51" t="s">
        <v>205</v>
      </c>
      <c r="J51" s="6">
        <f ca="1">(TODAY()-F51)/365</f>
        <v>2.2465753424657535</v>
      </c>
      <c r="K51" s="25">
        <f ca="1">IF(staff[[#This Row],[tenure]]&gt;2,(staff[[#This Row],[Salary]]/100)*3,(staff[[#This Row],[Salary]]/100)*2)</f>
        <v>1803.8999999999999</v>
      </c>
      <c r="L51" s="28">
        <f>_xlfn.XLOOKUP(E51,$O$25:$O$29,$P$25:$P$29)</f>
        <v>3</v>
      </c>
    </row>
    <row r="52" spans="2:12" x14ac:dyDescent="0.3">
      <c r="B52" s="28" t="s">
        <v>40</v>
      </c>
      <c r="C52" s="28" t="s">
        <v>15</v>
      </c>
      <c r="D52">
        <v>33</v>
      </c>
      <c r="E52" t="s">
        <v>16</v>
      </c>
      <c r="F52" s="5">
        <v>44164</v>
      </c>
      <c r="G52" t="s">
        <v>9</v>
      </c>
      <c r="H52" s="7">
        <v>115920</v>
      </c>
      <c r="I52" t="s">
        <v>205</v>
      </c>
      <c r="J52" s="6">
        <f ca="1">(TODAY()-F52)/365</f>
        <v>3.473972602739726</v>
      </c>
      <c r="K52" s="25">
        <f ca="1">IF(staff[[#This Row],[tenure]]&gt;2,(staff[[#This Row],[Salary]]/100)*3,(staff[[#This Row],[Salary]]/100)*2)</f>
        <v>3477.6000000000004</v>
      </c>
      <c r="L52" s="28">
        <f>_xlfn.XLOOKUP(E52,$O$25:$O$29,$P$25:$P$29)</f>
        <v>3</v>
      </c>
    </row>
    <row r="53" spans="2:12" x14ac:dyDescent="0.3">
      <c r="B53" s="28" t="s">
        <v>48</v>
      </c>
      <c r="C53" s="28" t="s">
        <v>8</v>
      </c>
      <c r="D53">
        <v>36</v>
      </c>
      <c r="E53" t="s">
        <v>16</v>
      </c>
      <c r="F53" s="5">
        <v>44494</v>
      </c>
      <c r="G53" t="s">
        <v>19</v>
      </c>
      <c r="H53" s="7">
        <v>78540</v>
      </c>
      <c r="I53" t="s">
        <v>205</v>
      </c>
      <c r="J53" s="6">
        <f ca="1">(TODAY()-F53)/365</f>
        <v>2.56986301369863</v>
      </c>
      <c r="K53" s="25">
        <f ca="1">IF(staff[[#This Row],[tenure]]&gt;2,(staff[[#This Row],[Salary]]/100)*3,(staff[[#This Row],[Salary]]/100)*2)</f>
        <v>2356.1999999999998</v>
      </c>
      <c r="L53" s="28">
        <f>_xlfn.XLOOKUP(E53,$O$25:$O$29,$P$25:$P$29)</f>
        <v>3</v>
      </c>
    </row>
    <row r="54" spans="2:12" x14ac:dyDescent="0.3">
      <c r="B54" s="28" t="s">
        <v>107</v>
      </c>
      <c r="C54" s="28" t="s">
        <v>8</v>
      </c>
      <c r="D54">
        <v>28</v>
      </c>
      <c r="E54" t="s">
        <v>16</v>
      </c>
      <c r="F54" s="5">
        <v>44630</v>
      </c>
      <c r="G54" t="s">
        <v>9</v>
      </c>
      <c r="H54" s="7">
        <v>99970</v>
      </c>
      <c r="I54" t="s">
        <v>205</v>
      </c>
      <c r="J54" s="6">
        <f ca="1">(TODAY()-F54)/365</f>
        <v>2.1972602739726028</v>
      </c>
      <c r="K54" s="25">
        <f ca="1">IF(staff[[#This Row],[tenure]]&gt;2,(staff[[#This Row],[Salary]]/100)*3,(staff[[#This Row],[Salary]]/100)*2)</f>
        <v>2999.1000000000004</v>
      </c>
      <c r="L54" s="28">
        <f>_xlfn.XLOOKUP(E54,$O$25:$O$29,$P$25:$P$29)</f>
        <v>3</v>
      </c>
    </row>
    <row r="55" spans="2:12" x14ac:dyDescent="0.3">
      <c r="B55" s="28" t="s">
        <v>71</v>
      </c>
      <c r="C55" s="28" t="s">
        <v>8</v>
      </c>
      <c r="D55">
        <v>33</v>
      </c>
      <c r="E55" t="s">
        <v>16</v>
      </c>
      <c r="F55" s="5">
        <v>44190</v>
      </c>
      <c r="G55" t="s">
        <v>12</v>
      </c>
      <c r="H55" s="7">
        <v>96140</v>
      </c>
      <c r="I55" t="s">
        <v>205</v>
      </c>
      <c r="J55" s="6">
        <f ca="1">(TODAY()-F55)/365</f>
        <v>3.4027397260273973</v>
      </c>
      <c r="K55" s="25">
        <f ca="1">IF(staff[[#This Row],[tenure]]&gt;2,(staff[[#This Row],[Salary]]/100)*3,(staff[[#This Row],[Salary]]/100)*2)</f>
        <v>2884.2</v>
      </c>
      <c r="L55" s="28">
        <f>_xlfn.XLOOKUP(E55,$O$25:$O$29,$P$25:$P$29)</f>
        <v>3</v>
      </c>
    </row>
    <row r="56" spans="2:12" x14ac:dyDescent="0.3">
      <c r="B56" s="28" t="s">
        <v>50</v>
      </c>
      <c r="C56" s="28" t="s">
        <v>15</v>
      </c>
      <c r="D56">
        <v>31</v>
      </c>
      <c r="E56" t="s">
        <v>16</v>
      </c>
      <c r="F56" s="5">
        <v>44724</v>
      </c>
      <c r="G56" t="s">
        <v>9</v>
      </c>
      <c r="H56" s="7">
        <v>103550</v>
      </c>
      <c r="I56" t="s">
        <v>205</v>
      </c>
      <c r="J56" s="6">
        <f ca="1">(TODAY()-F56)/365</f>
        <v>1.9397260273972603</v>
      </c>
      <c r="K56" s="25">
        <f ca="1">IF(staff[[#This Row],[tenure]]&gt;2,(staff[[#This Row],[Salary]]/100)*3,(staff[[#This Row],[Salary]]/100)*2)</f>
        <v>2071</v>
      </c>
      <c r="L56" s="28">
        <f>_xlfn.XLOOKUP(E56,$O$25:$O$29,$P$25:$P$29)</f>
        <v>3</v>
      </c>
    </row>
    <row r="57" spans="2:12" x14ac:dyDescent="0.3">
      <c r="B57" s="28" t="s">
        <v>14</v>
      </c>
      <c r="C57" s="28" t="s">
        <v>15</v>
      </c>
      <c r="D57">
        <v>31</v>
      </c>
      <c r="E57" t="s">
        <v>16</v>
      </c>
      <c r="F57" s="5">
        <v>44511</v>
      </c>
      <c r="G57" t="s">
        <v>12</v>
      </c>
      <c r="H57" s="7">
        <v>48950</v>
      </c>
      <c r="I57" t="s">
        <v>205</v>
      </c>
      <c r="J57" s="6">
        <f ca="1">(TODAY()-F57)/365</f>
        <v>2.5232876712328767</v>
      </c>
      <c r="K57" s="25">
        <f ca="1">IF(staff[[#This Row],[tenure]]&gt;2,(staff[[#This Row],[Salary]]/100)*3,(staff[[#This Row],[Salary]]/100)*2)</f>
        <v>1468.5</v>
      </c>
      <c r="L57" s="28">
        <f>_xlfn.XLOOKUP(E57,$O$25:$O$29,$P$25:$P$29)</f>
        <v>3</v>
      </c>
    </row>
    <row r="58" spans="2:12" x14ac:dyDescent="0.3">
      <c r="B58" s="28" t="s">
        <v>72</v>
      </c>
      <c r="C58" s="28" t="s">
        <v>8</v>
      </c>
      <c r="D58">
        <v>36</v>
      </c>
      <c r="E58" t="s">
        <v>16</v>
      </c>
      <c r="F58" s="5">
        <v>44529</v>
      </c>
      <c r="G58" t="s">
        <v>9</v>
      </c>
      <c r="H58" s="7">
        <v>78390</v>
      </c>
      <c r="I58" t="s">
        <v>205</v>
      </c>
      <c r="J58" s="6">
        <f ca="1">(TODAY()-F58)/365</f>
        <v>2.473972602739726</v>
      </c>
      <c r="K58" s="25">
        <f ca="1">IF(staff[[#This Row],[tenure]]&gt;2,(staff[[#This Row],[Salary]]/100)*3,(staff[[#This Row],[Salary]]/100)*2)</f>
        <v>2351.6999999999998</v>
      </c>
      <c r="L58" s="28">
        <f>_xlfn.XLOOKUP(E58,$O$25:$O$29,$P$25:$P$29)</f>
        <v>3</v>
      </c>
    </row>
    <row r="59" spans="2:12" x14ac:dyDescent="0.3">
      <c r="B59" s="28" t="s">
        <v>88</v>
      </c>
      <c r="C59" s="28" t="s">
        <v>8</v>
      </c>
      <c r="D59">
        <v>33</v>
      </c>
      <c r="E59" t="s">
        <v>16</v>
      </c>
      <c r="F59" s="5">
        <v>44809</v>
      </c>
      <c r="G59" t="s">
        <v>21</v>
      </c>
      <c r="H59" s="7">
        <v>86570</v>
      </c>
      <c r="I59" t="s">
        <v>205</v>
      </c>
      <c r="J59" s="6">
        <f ca="1">(TODAY()-F59)/365</f>
        <v>1.7068493150684931</v>
      </c>
      <c r="K59" s="25">
        <f ca="1">IF(staff[[#This Row],[tenure]]&gt;2,(staff[[#This Row],[Salary]]/100)*3,(staff[[#This Row],[Salary]]/100)*2)</f>
        <v>1731.4</v>
      </c>
      <c r="L59" s="28">
        <f>_xlfn.XLOOKUP(E59,$O$25:$O$29,$P$25:$P$29)</f>
        <v>3</v>
      </c>
    </row>
    <row r="60" spans="2:12" x14ac:dyDescent="0.3">
      <c r="B60" s="28" t="s">
        <v>92</v>
      </c>
      <c r="C60" s="28" t="s">
        <v>8</v>
      </c>
      <c r="D60">
        <v>27</v>
      </c>
      <c r="E60" t="s">
        <v>16</v>
      </c>
      <c r="F60" s="5">
        <v>44686</v>
      </c>
      <c r="G60" t="s">
        <v>12</v>
      </c>
      <c r="H60" s="7">
        <v>83750</v>
      </c>
      <c r="I60" t="s">
        <v>205</v>
      </c>
      <c r="J60" s="6">
        <f ca="1">(TODAY()-F60)/365</f>
        <v>2.043835616438356</v>
      </c>
      <c r="K60" s="25">
        <f ca="1">IF(staff[[#This Row],[tenure]]&gt;2,(staff[[#This Row],[Salary]]/100)*3,(staff[[#This Row],[Salary]]/100)*2)</f>
        <v>2512.5</v>
      </c>
      <c r="L60" s="28">
        <f>_xlfn.XLOOKUP(E60,$O$25:$O$29,$P$25:$P$29)</f>
        <v>3</v>
      </c>
    </row>
    <row r="61" spans="2:12" x14ac:dyDescent="0.3">
      <c r="B61" s="28" t="s">
        <v>102</v>
      </c>
      <c r="C61" s="28" t="s">
        <v>8</v>
      </c>
      <c r="D61">
        <v>34</v>
      </c>
      <c r="E61" t="s">
        <v>16</v>
      </c>
      <c r="F61" s="5">
        <v>44445</v>
      </c>
      <c r="G61" t="s">
        <v>21</v>
      </c>
      <c r="H61" s="7">
        <v>92450</v>
      </c>
      <c r="I61" t="s">
        <v>205</v>
      </c>
      <c r="J61" s="6">
        <f ca="1">(TODAY()-F61)/365</f>
        <v>2.7041095890410958</v>
      </c>
      <c r="K61" s="25">
        <f ca="1">IF(staff[[#This Row],[tenure]]&gt;2,(staff[[#This Row],[Salary]]/100)*3,(staff[[#This Row],[Salary]]/100)*2)</f>
        <v>2773.5</v>
      </c>
      <c r="L61" s="28">
        <f>_xlfn.XLOOKUP(E61,$O$25:$O$29,$P$25:$P$29)</f>
        <v>3</v>
      </c>
    </row>
    <row r="62" spans="2:12" x14ac:dyDescent="0.3">
      <c r="B62" s="28" t="s">
        <v>64</v>
      </c>
      <c r="C62" s="28" t="s">
        <v>15</v>
      </c>
      <c r="D62">
        <v>20</v>
      </c>
      <c r="E62" t="s">
        <v>16</v>
      </c>
      <c r="F62" s="5">
        <v>44183</v>
      </c>
      <c r="G62" t="s">
        <v>12</v>
      </c>
      <c r="H62" s="7">
        <v>112650</v>
      </c>
      <c r="I62" t="s">
        <v>205</v>
      </c>
      <c r="J62" s="6">
        <f ca="1">(TODAY()-F62)/365</f>
        <v>3.4219178082191779</v>
      </c>
      <c r="K62" s="25">
        <f ca="1">IF(staff[[#This Row],[tenure]]&gt;2,(staff[[#This Row],[Salary]]/100)*3,(staff[[#This Row],[Salary]]/100)*2)</f>
        <v>3379.5</v>
      </c>
      <c r="L62" s="28">
        <f>_xlfn.XLOOKUP(E62,$O$25:$O$29,$P$25:$P$29)</f>
        <v>3</v>
      </c>
    </row>
    <row r="63" spans="2:12" x14ac:dyDescent="0.3">
      <c r="B63" s="28" t="s">
        <v>104</v>
      </c>
      <c r="C63" s="28" t="s">
        <v>15</v>
      </c>
      <c r="D63">
        <v>20</v>
      </c>
      <c r="E63" t="s">
        <v>16</v>
      </c>
      <c r="F63" s="5">
        <v>44744</v>
      </c>
      <c r="G63" t="s">
        <v>9</v>
      </c>
      <c r="H63" s="7">
        <v>79570</v>
      </c>
      <c r="I63" t="s">
        <v>205</v>
      </c>
      <c r="J63" s="6">
        <f ca="1">(TODAY()-F63)/365</f>
        <v>1.8849315068493151</v>
      </c>
      <c r="K63" s="25">
        <f ca="1">IF(staff[[#This Row],[tenure]]&gt;2,(staff[[#This Row],[Salary]]/100)*3,(staff[[#This Row],[Salary]]/100)*2)</f>
        <v>1591.4</v>
      </c>
      <c r="L63" s="28">
        <f>_xlfn.XLOOKUP(E63,$O$25:$O$29,$P$25:$P$29)</f>
        <v>3</v>
      </c>
    </row>
    <row r="64" spans="2:12" x14ac:dyDescent="0.3">
      <c r="B64" s="28" t="s">
        <v>100</v>
      </c>
      <c r="C64" s="28" t="s">
        <v>15</v>
      </c>
      <c r="D64">
        <v>19</v>
      </c>
      <c r="E64" t="s">
        <v>16</v>
      </c>
      <c r="F64" s="5">
        <v>44277</v>
      </c>
      <c r="G64" t="s">
        <v>9</v>
      </c>
      <c r="H64" s="7">
        <v>58960</v>
      </c>
      <c r="I64" t="s">
        <v>205</v>
      </c>
      <c r="J64" s="6">
        <f ca="1">(TODAY()-F64)/365</f>
        <v>3.1643835616438358</v>
      </c>
      <c r="K64" s="25">
        <f ca="1">IF(staff[[#This Row],[tenure]]&gt;2,(staff[[#This Row],[Salary]]/100)*3,(staff[[#This Row],[Salary]]/100)*2)</f>
        <v>1768.8000000000002</v>
      </c>
      <c r="L64" s="28">
        <f>_xlfn.XLOOKUP(E64,$O$25:$O$29,$P$25:$P$29)</f>
        <v>3</v>
      </c>
    </row>
    <row r="65" spans="2:12" x14ac:dyDescent="0.3">
      <c r="B65" s="28" t="s">
        <v>106</v>
      </c>
      <c r="C65" s="28" t="s">
        <v>15</v>
      </c>
      <c r="D65">
        <v>36</v>
      </c>
      <c r="E65" t="s">
        <v>16</v>
      </c>
      <c r="F65" s="5">
        <v>44019</v>
      </c>
      <c r="G65" t="s">
        <v>12</v>
      </c>
      <c r="H65" s="7">
        <v>118840</v>
      </c>
      <c r="I65" t="s">
        <v>205</v>
      </c>
      <c r="J65" s="6">
        <f ca="1">(TODAY()-F65)/365</f>
        <v>3.871232876712329</v>
      </c>
      <c r="K65" s="25">
        <f ca="1">IF(staff[[#This Row],[tenure]]&gt;2,(staff[[#This Row],[Salary]]/100)*3,(staff[[#This Row],[Salary]]/100)*2)</f>
        <v>3565.2000000000003</v>
      </c>
      <c r="L65" s="28">
        <f>_xlfn.XLOOKUP(E65,$O$25:$O$29,$P$25:$P$29)</f>
        <v>3</v>
      </c>
    </row>
    <row r="66" spans="2:12" x14ac:dyDescent="0.3">
      <c r="B66" s="28" t="s">
        <v>108</v>
      </c>
      <c r="C66" s="28" t="s">
        <v>8</v>
      </c>
      <c r="D66">
        <v>32</v>
      </c>
      <c r="E66" t="s">
        <v>16</v>
      </c>
      <c r="F66" s="5">
        <v>44400</v>
      </c>
      <c r="G66" t="s">
        <v>56</v>
      </c>
      <c r="H66" s="7">
        <v>45510</v>
      </c>
      <c r="I66" t="s">
        <v>205</v>
      </c>
      <c r="J66" s="6">
        <f ca="1">(TODAY()-F66)/365</f>
        <v>2.8273972602739725</v>
      </c>
      <c r="K66" s="25">
        <f ca="1">IF(staff[[#This Row],[tenure]]&gt;2,(staff[[#This Row],[Salary]]/100)*3,(staff[[#This Row],[Salary]]/100)*2)</f>
        <v>1365.3000000000002</v>
      </c>
      <c r="L66" s="28">
        <f>_xlfn.XLOOKUP(E66,$O$25:$O$29,$P$25:$P$29)</f>
        <v>3</v>
      </c>
    </row>
    <row r="67" spans="2:12" x14ac:dyDescent="0.3">
      <c r="B67" s="28" t="s">
        <v>83</v>
      </c>
      <c r="C67" s="28" t="s">
        <v>8</v>
      </c>
      <c r="D67">
        <v>36</v>
      </c>
      <c r="E67" t="s">
        <v>16</v>
      </c>
      <c r="F67" s="5">
        <v>44085</v>
      </c>
      <c r="G67" t="s">
        <v>9</v>
      </c>
      <c r="H67" s="7">
        <v>114890</v>
      </c>
      <c r="I67" t="s">
        <v>205</v>
      </c>
      <c r="J67" s="6">
        <f ca="1">(TODAY()-F67)/365</f>
        <v>3.6904109589041094</v>
      </c>
      <c r="K67" s="25">
        <f ca="1">IF(staff[[#This Row],[tenure]]&gt;2,(staff[[#This Row],[Salary]]/100)*3,(staff[[#This Row],[Salary]]/100)*2)</f>
        <v>3446.7000000000003</v>
      </c>
      <c r="L67" s="28">
        <f>_xlfn.XLOOKUP(E67,$O$25:$O$29,$P$25:$P$29)</f>
        <v>3</v>
      </c>
    </row>
    <row r="68" spans="2:12" x14ac:dyDescent="0.3">
      <c r="B68" s="28" t="s">
        <v>67</v>
      </c>
      <c r="C68" s="28" t="s">
        <v>15</v>
      </c>
      <c r="D68">
        <v>30</v>
      </c>
      <c r="E68" t="s">
        <v>16</v>
      </c>
      <c r="F68" s="5">
        <v>44850</v>
      </c>
      <c r="G68" t="s">
        <v>12</v>
      </c>
      <c r="H68" s="7">
        <v>69710</v>
      </c>
      <c r="I68" t="s">
        <v>205</v>
      </c>
      <c r="J68" s="6">
        <f ca="1">(TODAY()-F68)/365</f>
        <v>1.5945205479452054</v>
      </c>
      <c r="K68" s="25">
        <f ca="1">IF(staff[[#This Row],[tenure]]&gt;2,(staff[[#This Row],[Salary]]/100)*3,(staff[[#This Row],[Salary]]/100)*2)</f>
        <v>1394.2</v>
      </c>
      <c r="L68" s="28">
        <f>_xlfn.XLOOKUP(E68,$O$25:$O$29,$P$25:$P$29)</f>
        <v>3</v>
      </c>
    </row>
    <row r="69" spans="2:12" x14ac:dyDescent="0.3">
      <c r="B69" s="28" t="s">
        <v>94</v>
      </c>
      <c r="C69" s="28" t="s">
        <v>15</v>
      </c>
      <c r="D69">
        <v>36</v>
      </c>
      <c r="E69" t="s">
        <v>16</v>
      </c>
      <c r="F69" s="5">
        <v>44333</v>
      </c>
      <c r="G69" t="s">
        <v>21</v>
      </c>
      <c r="H69" s="7">
        <v>71380</v>
      </c>
      <c r="I69" t="s">
        <v>205</v>
      </c>
      <c r="J69" s="6">
        <f ca="1">(TODAY()-F69)/365</f>
        <v>3.010958904109589</v>
      </c>
      <c r="K69" s="25">
        <f ca="1">IF(staff[[#This Row],[tenure]]&gt;2,(staff[[#This Row],[Salary]]/100)*3,(staff[[#This Row],[Salary]]/100)*2)</f>
        <v>2141.3999999999996</v>
      </c>
      <c r="L69" s="28">
        <f>_xlfn.XLOOKUP(E69,$O$25:$O$29,$P$25:$P$29)</f>
        <v>3</v>
      </c>
    </row>
    <row r="70" spans="2:12" x14ac:dyDescent="0.3">
      <c r="B70" s="28" t="s">
        <v>25</v>
      </c>
      <c r="C70" s="28" t="s">
        <v>15</v>
      </c>
      <c r="D70">
        <v>30</v>
      </c>
      <c r="E70" t="s">
        <v>16</v>
      </c>
      <c r="F70" s="5">
        <v>44273</v>
      </c>
      <c r="G70" t="s">
        <v>12</v>
      </c>
      <c r="H70" s="7">
        <v>69120</v>
      </c>
      <c r="I70" t="s">
        <v>205</v>
      </c>
      <c r="J70" s="6">
        <f ca="1">(TODAY()-F70)/365</f>
        <v>3.1753424657534248</v>
      </c>
      <c r="K70" s="25">
        <f ca="1">IF(staff[[#This Row],[tenure]]&gt;2,(staff[[#This Row],[Salary]]/100)*3,(staff[[#This Row],[Salary]]/100)*2)</f>
        <v>2073.6000000000004</v>
      </c>
      <c r="L70" s="28">
        <f>_xlfn.XLOOKUP(E70,$O$25:$O$29,$P$25:$P$29)</f>
        <v>3</v>
      </c>
    </row>
    <row r="71" spans="2:12" x14ac:dyDescent="0.3">
      <c r="B71" s="28" t="s">
        <v>55</v>
      </c>
      <c r="C71" s="28" t="s">
        <v>8</v>
      </c>
      <c r="D71">
        <v>37</v>
      </c>
      <c r="E71" t="s">
        <v>16</v>
      </c>
      <c r="F71" s="5">
        <v>44451</v>
      </c>
      <c r="G71" t="s">
        <v>56</v>
      </c>
      <c r="H71" s="7">
        <v>118100</v>
      </c>
      <c r="I71" t="s">
        <v>205</v>
      </c>
      <c r="J71" s="6">
        <f ca="1">(TODAY()-F71)/365</f>
        <v>2.6876712328767125</v>
      </c>
      <c r="K71" s="25">
        <f ca="1">IF(staff[[#This Row],[tenure]]&gt;2,(staff[[#This Row],[Salary]]/100)*3,(staff[[#This Row],[Salary]]/100)*2)</f>
        <v>3543</v>
      </c>
      <c r="L71" s="28">
        <f>_xlfn.XLOOKUP(E71,$O$25:$O$29,$P$25:$P$29)</f>
        <v>3</v>
      </c>
    </row>
    <row r="72" spans="2:12" x14ac:dyDescent="0.3">
      <c r="B72" s="28" t="s">
        <v>17</v>
      </c>
      <c r="C72" s="28" t="s">
        <v>8</v>
      </c>
      <c r="D72">
        <v>43</v>
      </c>
      <c r="E72" t="s">
        <v>16</v>
      </c>
      <c r="F72" s="5">
        <v>45045</v>
      </c>
      <c r="G72" t="s">
        <v>12</v>
      </c>
      <c r="H72" s="7">
        <v>114870</v>
      </c>
      <c r="I72" t="s">
        <v>205</v>
      </c>
      <c r="J72" s="6">
        <f ca="1">(TODAY()-F72)/365</f>
        <v>1.0602739726027397</v>
      </c>
      <c r="K72" s="25">
        <f ca="1">IF(staff[[#This Row],[tenure]]&gt;2,(staff[[#This Row],[Salary]]/100)*3,(staff[[#This Row],[Salary]]/100)*2)</f>
        <v>2297.4</v>
      </c>
      <c r="L72" s="28">
        <f>_xlfn.XLOOKUP(E72,$O$25:$O$29,$P$25:$P$29)</f>
        <v>3</v>
      </c>
    </row>
    <row r="73" spans="2:12" x14ac:dyDescent="0.3">
      <c r="B73" s="28" t="s">
        <v>52</v>
      </c>
      <c r="C73" s="28" t="s">
        <v>206</v>
      </c>
      <c r="D73">
        <v>32</v>
      </c>
      <c r="E73" t="s">
        <v>16</v>
      </c>
      <c r="F73" s="5">
        <v>44774</v>
      </c>
      <c r="G73" t="s">
        <v>12</v>
      </c>
      <c r="H73" s="7">
        <v>91310</v>
      </c>
      <c r="I73" t="s">
        <v>205</v>
      </c>
      <c r="J73" s="6">
        <f ca="1">(TODAY()-F73)/365</f>
        <v>1.8027397260273972</v>
      </c>
      <c r="K73" s="25">
        <f ca="1">IF(staff[[#This Row],[tenure]]&gt;2,(staff[[#This Row],[Salary]]/100)*3,(staff[[#This Row],[Salary]]/100)*2)</f>
        <v>1826.2</v>
      </c>
      <c r="L73" s="28">
        <f>_xlfn.XLOOKUP(E73,$O$25:$O$29,$P$25:$P$29)</f>
        <v>3</v>
      </c>
    </row>
    <row r="74" spans="2:12" x14ac:dyDescent="0.3">
      <c r="B74" s="28" t="s">
        <v>43</v>
      </c>
      <c r="C74" s="28" t="s">
        <v>8</v>
      </c>
      <c r="D74">
        <v>28</v>
      </c>
      <c r="E74" t="s">
        <v>16</v>
      </c>
      <c r="F74" s="5">
        <v>44486</v>
      </c>
      <c r="G74" t="s">
        <v>9</v>
      </c>
      <c r="H74" s="7">
        <v>104770</v>
      </c>
      <c r="I74" t="s">
        <v>205</v>
      </c>
      <c r="J74" s="6">
        <f ca="1">(TODAY()-F74)/365</f>
        <v>2.591780821917808</v>
      </c>
      <c r="K74" s="25">
        <f ca="1">IF(staff[[#This Row],[tenure]]&gt;2,(staff[[#This Row],[Salary]]/100)*3,(staff[[#This Row],[Salary]]/100)*2)</f>
        <v>3143.1000000000004</v>
      </c>
      <c r="L74" s="28">
        <f>_xlfn.XLOOKUP(E74,$O$25:$O$29,$P$25:$P$29)</f>
        <v>3</v>
      </c>
    </row>
    <row r="75" spans="2:12" x14ac:dyDescent="0.3">
      <c r="B75" s="28" t="s">
        <v>89</v>
      </c>
      <c r="C75" s="28" t="s">
        <v>15</v>
      </c>
      <c r="D75">
        <v>27</v>
      </c>
      <c r="E75" t="s">
        <v>16</v>
      </c>
      <c r="F75" s="5">
        <v>44134</v>
      </c>
      <c r="G75" t="s">
        <v>19</v>
      </c>
      <c r="H75" s="7">
        <v>54970</v>
      </c>
      <c r="I75" t="s">
        <v>205</v>
      </c>
      <c r="J75" s="6">
        <f ca="1">(TODAY()-F75)/365</f>
        <v>3.5561643835616437</v>
      </c>
      <c r="K75" s="25">
        <f ca="1">IF(staff[[#This Row],[tenure]]&gt;2,(staff[[#This Row],[Salary]]/100)*3,(staff[[#This Row],[Salary]]/100)*2)</f>
        <v>1649.1000000000001</v>
      </c>
      <c r="L75" s="28">
        <f>_xlfn.XLOOKUP(E75,$O$25:$O$29,$P$25:$P$29)</f>
        <v>3</v>
      </c>
    </row>
    <row r="76" spans="2:12" x14ac:dyDescent="0.3">
      <c r="B76" s="28" t="s">
        <v>77</v>
      </c>
      <c r="C76" s="28" t="s">
        <v>8</v>
      </c>
      <c r="D76">
        <v>25</v>
      </c>
      <c r="E76" t="s">
        <v>16</v>
      </c>
      <c r="F76" s="5">
        <v>44205</v>
      </c>
      <c r="G76" t="s">
        <v>19</v>
      </c>
      <c r="H76" s="7">
        <v>92700</v>
      </c>
      <c r="I76" t="s">
        <v>205</v>
      </c>
      <c r="J76" s="6">
        <f ca="1">(TODAY()-F76)/365</f>
        <v>3.3616438356164382</v>
      </c>
      <c r="K76" s="25">
        <f ca="1">IF(staff[[#This Row],[tenure]]&gt;2,(staff[[#This Row],[Salary]]/100)*3,(staff[[#This Row],[Salary]]/100)*2)</f>
        <v>2781</v>
      </c>
      <c r="L76" s="28">
        <f>_xlfn.XLOOKUP(E76,$O$25:$O$29,$P$25:$P$29)</f>
        <v>3</v>
      </c>
    </row>
    <row r="77" spans="2:12" x14ac:dyDescent="0.3">
      <c r="B77" s="28" t="s">
        <v>32</v>
      </c>
      <c r="C77" s="28" t="s">
        <v>8</v>
      </c>
      <c r="D77">
        <v>21</v>
      </c>
      <c r="E77" t="s">
        <v>16</v>
      </c>
      <c r="F77" s="5">
        <v>44317</v>
      </c>
      <c r="G77" t="s">
        <v>21</v>
      </c>
      <c r="H77" s="7">
        <v>65920</v>
      </c>
      <c r="I77" t="s">
        <v>205</v>
      </c>
      <c r="J77" s="6">
        <f ca="1">(TODAY()-F77)/365</f>
        <v>3.0547945205479454</v>
      </c>
      <c r="K77" s="25">
        <f ca="1">IF(staff[[#This Row],[tenure]]&gt;2,(staff[[#This Row],[Salary]]/100)*3,(staff[[#This Row],[Salary]]/100)*2)</f>
        <v>1977.6000000000001</v>
      </c>
      <c r="L77" s="28">
        <f>_xlfn.XLOOKUP(E77,$O$25:$O$29,$P$25:$P$29)</f>
        <v>3</v>
      </c>
    </row>
    <row r="78" spans="2:12" x14ac:dyDescent="0.3">
      <c r="B78" s="28" t="s">
        <v>59</v>
      </c>
      <c r="C78" s="28" t="s">
        <v>15</v>
      </c>
      <c r="D78">
        <v>26</v>
      </c>
      <c r="E78" t="s">
        <v>16</v>
      </c>
      <c r="F78" s="5">
        <v>44225</v>
      </c>
      <c r="G78" t="s">
        <v>9</v>
      </c>
      <c r="H78" s="7">
        <v>47360</v>
      </c>
      <c r="I78" t="s">
        <v>205</v>
      </c>
      <c r="J78" s="6">
        <f ca="1">(TODAY()-F78)/365</f>
        <v>3.3068493150684932</v>
      </c>
      <c r="K78" s="25">
        <f ca="1">IF(staff[[#This Row],[tenure]]&gt;2,(staff[[#This Row],[Salary]]/100)*3,(staff[[#This Row],[Salary]]/100)*2)</f>
        <v>1420.8000000000002</v>
      </c>
      <c r="L78" s="28">
        <f>_xlfn.XLOOKUP(E78,$O$25:$O$29,$P$25:$P$29)</f>
        <v>3</v>
      </c>
    </row>
    <row r="79" spans="2:12" x14ac:dyDescent="0.3">
      <c r="B79" s="28" t="s">
        <v>37</v>
      </c>
      <c r="C79" s="28" t="s">
        <v>15</v>
      </c>
      <c r="D79">
        <v>30</v>
      </c>
      <c r="E79" t="s">
        <v>16</v>
      </c>
      <c r="F79" s="5">
        <v>44666</v>
      </c>
      <c r="G79" t="s">
        <v>9</v>
      </c>
      <c r="H79" s="7">
        <v>60570</v>
      </c>
      <c r="I79" t="s">
        <v>205</v>
      </c>
      <c r="J79" s="6">
        <f ca="1">(TODAY()-F79)/365</f>
        <v>2.0986301369863014</v>
      </c>
      <c r="K79" s="25">
        <f ca="1">IF(staff[[#This Row],[tenure]]&gt;2,(staff[[#This Row],[Salary]]/100)*3,(staff[[#This Row],[Salary]]/100)*2)</f>
        <v>1817.1000000000001</v>
      </c>
      <c r="L79" s="28">
        <f>_xlfn.XLOOKUP(E79,$O$25:$O$29,$P$25:$P$29)</f>
        <v>3</v>
      </c>
    </row>
    <row r="80" spans="2:12" x14ac:dyDescent="0.3">
      <c r="B80" s="28" t="s">
        <v>96</v>
      </c>
      <c r="C80" s="28" t="s">
        <v>8</v>
      </c>
      <c r="D80">
        <v>28</v>
      </c>
      <c r="E80" t="s">
        <v>16</v>
      </c>
      <c r="F80" s="5">
        <v>44649</v>
      </c>
      <c r="G80" t="s">
        <v>9</v>
      </c>
      <c r="H80" s="7">
        <v>104120</v>
      </c>
      <c r="I80" t="s">
        <v>205</v>
      </c>
      <c r="J80" s="6">
        <f ca="1">(TODAY()-F80)/365</f>
        <v>2.1452054794520548</v>
      </c>
      <c r="K80" s="25">
        <f ca="1">IF(staff[[#This Row],[tenure]]&gt;2,(staff[[#This Row],[Salary]]/100)*3,(staff[[#This Row],[Salary]]/100)*2)</f>
        <v>3123.6000000000004</v>
      </c>
      <c r="L80" s="28">
        <f>_xlfn.XLOOKUP(E80,$O$25:$O$29,$P$25:$P$29)</f>
        <v>3</v>
      </c>
    </row>
    <row r="81" spans="2:12" x14ac:dyDescent="0.3">
      <c r="B81" s="28" t="s">
        <v>103</v>
      </c>
      <c r="C81" s="28" t="s">
        <v>15</v>
      </c>
      <c r="D81">
        <v>24</v>
      </c>
      <c r="E81" t="s">
        <v>16</v>
      </c>
      <c r="F81" s="5">
        <v>44686</v>
      </c>
      <c r="G81" t="s">
        <v>12</v>
      </c>
      <c r="H81" s="7">
        <v>100420</v>
      </c>
      <c r="I81" t="s">
        <v>205</v>
      </c>
      <c r="J81" s="6">
        <f ca="1">(TODAY()-F81)/365</f>
        <v>2.043835616438356</v>
      </c>
      <c r="K81" s="25">
        <f ca="1">IF(staff[[#This Row],[tenure]]&gt;2,(staff[[#This Row],[Salary]]/100)*3,(staff[[#This Row],[Salary]]/100)*2)</f>
        <v>3012.6000000000004</v>
      </c>
      <c r="L81" s="28">
        <f>_xlfn.XLOOKUP(E81,$O$25:$O$29,$P$25:$P$29)</f>
        <v>3</v>
      </c>
    </row>
    <row r="82" spans="2:12" x14ac:dyDescent="0.3">
      <c r="B82" s="28" t="s">
        <v>54</v>
      </c>
      <c r="C82" s="28" t="s">
        <v>8</v>
      </c>
      <c r="D82">
        <v>30</v>
      </c>
      <c r="E82" t="s">
        <v>16</v>
      </c>
      <c r="F82" s="5">
        <v>44850</v>
      </c>
      <c r="G82" t="s">
        <v>9</v>
      </c>
      <c r="H82" s="7">
        <v>114180</v>
      </c>
      <c r="I82" t="s">
        <v>205</v>
      </c>
      <c r="J82" s="6">
        <f ca="1">(TODAY()-F82)/365</f>
        <v>1.5945205479452054</v>
      </c>
      <c r="K82" s="25">
        <f ca="1">IF(staff[[#This Row],[tenure]]&gt;2,(staff[[#This Row],[Salary]]/100)*3,(staff[[#This Row],[Salary]]/100)*2)</f>
        <v>2283.6</v>
      </c>
      <c r="L82" s="28">
        <f>_xlfn.XLOOKUP(E82,$O$25:$O$29,$P$25:$P$29)</f>
        <v>3</v>
      </c>
    </row>
    <row r="83" spans="2:12" x14ac:dyDescent="0.3">
      <c r="B83" s="28" t="s">
        <v>86</v>
      </c>
      <c r="C83" s="28" t="s">
        <v>8</v>
      </c>
      <c r="D83">
        <v>21</v>
      </c>
      <c r="E83" t="s">
        <v>16</v>
      </c>
      <c r="F83" s="5">
        <v>44678</v>
      </c>
      <c r="G83" t="s">
        <v>12</v>
      </c>
      <c r="H83" s="7">
        <v>33920</v>
      </c>
      <c r="I83" t="s">
        <v>205</v>
      </c>
      <c r="J83" s="6">
        <f ca="1">(TODAY()-F83)/365</f>
        <v>2.0657534246575344</v>
      </c>
      <c r="K83" s="25">
        <f ca="1">IF(staff[[#This Row],[tenure]]&gt;2,(staff[[#This Row],[Salary]]/100)*3,(staff[[#This Row],[Salary]]/100)*2)</f>
        <v>1017.5999999999999</v>
      </c>
      <c r="L83" s="28">
        <f>_xlfn.XLOOKUP(E83,$O$25:$O$29,$P$25:$P$29)</f>
        <v>3</v>
      </c>
    </row>
    <row r="84" spans="2:12" x14ac:dyDescent="0.3">
      <c r="B84" s="28" t="s">
        <v>69</v>
      </c>
      <c r="C84" s="28" t="s">
        <v>15</v>
      </c>
      <c r="D84">
        <v>23</v>
      </c>
      <c r="E84" t="s">
        <v>16</v>
      </c>
      <c r="F84" s="5">
        <v>44440</v>
      </c>
      <c r="G84" t="s">
        <v>9</v>
      </c>
      <c r="H84" s="7">
        <v>106460</v>
      </c>
      <c r="I84" t="s">
        <v>205</v>
      </c>
      <c r="J84" s="6">
        <f ca="1">(TODAY()-F84)/365</f>
        <v>2.7178082191780821</v>
      </c>
      <c r="K84" s="25">
        <f ca="1">IF(staff[[#This Row],[tenure]]&gt;2,(staff[[#This Row],[Salary]]/100)*3,(staff[[#This Row],[Salary]]/100)*2)</f>
        <v>3193.7999999999997</v>
      </c>
      <c r="L84" s="28">
        <f>_xlfn.XLOOKUP(E84,$O$25:$O$29,$P$25:$P$29)</f>
        <v>3</v>
      </c>
    </row>
    <row r="85" spans="2:12" x14ac:dyDescent="0.3">
      <c r="B85" s="28" t="s">
        <v>57</v>
      </c>
      <c r="C85" s="28" t="s">
        <v>15</v>
      </c>
      <c r="D85">
        <v>35</v>
      </c>
      <c r="E85" t="s">
        <v>16</v>
      </c>
      <c r="F85" s="5">
        <v>44727</v>
      </c>
      <c r="G85" t="s">
        <v>9</v>
      </c>
      <c r="H85" s="7">
        <v>40400</v>
      </c>
      <c r="I85" t="s">
        <v>205</v>
      </c>
      <c r="J85" s="6">
        <f ca="1">(TODAY()-F85)/365</f>
        <v>1.9315068493150684</v>
      </c>
      <c r="K85" s="25">
        <f ca="1">IF(staff[[#This Row],[tenure]]&gt;2,(staff[[#This Row],[Salary]]/100)*3,(staff[[#This Row],[Salary]]/100)*2)</f>
        <v>808</v>
      </c>
      <c r="L85" s="28">
        <f>_xlfn.XLOOKUP(E85,$O$25:$O$29,$P$25:$P$29)</f>
        <v>3</v>
      </c>
    </row>
    <row r="86" spans="2:12" x14ac:dyDescent="0.3">
      <c r="B86" s="28" t="s">
        <v>99</v>
      </c>
      <c r="C86" s="28" t="s">
        <v>15</v>
      </c>
      <c r="D86">
        <v>43</v>
      </c>
      <c r="E86" t="s">
        <v>16</v>
      </c>
      <c r="F86" s="5">
        <v>44620</v>
      </c>
      <c r="G86" t="s">
        <v>19</v>
      </c>
      <c r="H86" s="7">
        <v>36040</v>
      </c>
      <c r="I86" t="s">
        <v>205</v>
      </c>
      <c r="J86" s="6">
        <f ca="1">(TODAY()-F86)/365</f>
        <v>2.2246575342465755</v>
      </c>
      <c r="K86" s="25">
        <f ca="1">IF(staff[[#This Row],[tenure]]&gt;2,(staff[[#This Row],[Salary]]/100)*3,(staff[[#This Row],[Salary]]/100)*2)</f>
        <v>1081.1999999999998</v>
      </c>
      <c r="L86" s="28">
        <f>_xlfn.XLOOKUP(E86,$O$25:$O$29,$P$25:$P$29)</f>
        <v>3</v>
      </c>
    </row>
    <row r="87" spans="2:12" x14ac:dyDescent="0.3">
      <c r="B87" s="28" t="s">
        <v>101</v>
      </c>
      <c r="C87" s="28" t="s">
        <v>8</v>
      </c>
      <c r="D87">
        <v>40</v>
      </c>
      <c r="E87" t="s">
        <v>16</v>
      </c>
      <c r="F87" s="5">
        <v>44381</v>
      </c>
      <c r="G87" t="s">
        <v>12</v>
      </c>
      <c r="H87" s="7">
        <v>104410</v>
      </c>
      <c r="I87" t="s">
        <v>205</v>
      </c>
      <c r="J87" s="6">
        <f ca="1">(TODAY()-F87)/365</f>
        <v>2.8794520547945206</v>
      </c>
      <c r="K87" s="25">
        <f ca="1">IF(staff[[#This Row],[tenure]]&gt;2,(staff[[#This Row],[Salary]]/100)*3,(staff[[#This Row],[Salary]]/100)*2)</f>
        <v>3132.2999999999997</v>
      </c>
      <c r="L87" s="28">
        <f>_xlfn.XLOOKUP(E87,$O$25:$O$29,$P$25:$P$29)</f>
        <v>3</v>
      </c>
    </row>
    <row r="88" spans="2:12" x14ac:dyDescent="0.3">
      <c r="B88" s="28" t="s">
        <v>85</v>
      </c>
      <c r="C88" s="28" t="s">
        <v>15</v>
      </c>
      <c r="D88">
        <v>30</v>
      </c>
      <c r="E88" t="s">
        <v>16</v>
      </c>
      <c r="F88" s="5">
        <v>44606</v>
      </c>
      <c r="G88" t="s">
        <v>21</v>
      </c>
      <c r="H88" s="7">
        <v>96800</v>
      </c>
      <c r="I88" t="s">
        <v>205</v>
      </c>
      <c r="J88" s="6">
        <f ca="1">(TODAY()-F88)/365</f>
        <v>2.2630136986301368</v>
      </c>
      <c r="K88" s="25">
        <f ca="1">IF(staff[[#This Row],[tenure]]&gt;2,(staff[[#This Row],[Salary]]/100)*3,(staff[[#This Row],[Salary]]/100)*2)</f>
        <v>2904</v>
      </c>
      <c r="L88" s="28">
        <f>_xlfn.XLOOKUP(E88,$O$25:$O$29,$P$25:$P$29)</f>
        <v>3</v>
      </c>
    </row>
    <row r="89" spans="2:12" x14ac:dyDescent="0.3">
      <c r="B89" s="28" t="s">
        <v>28</v>
      </c>
      <c r="C89" s="28" t="s">
        <v>8</v>
      </c>
      <c r="D89">
        <v>34</v>
      </c>
      <c r="E89" t="s">
        <v>16</v>
      </c>
      <c r="F89" s="5">
        <v>44459</v>
      </c>
      <c r="G89" t="s">
        <v>21</v>
      </c>
      <c r="H89" s="7">
        <v>85000</v>
      </c>
      <c r="I89" t="s">
        <v>205</v>
      </c>
      <c r="J89" s="6">
        <f ca="1">(TODAY()-F89)/365</f>
        <v>2.6657534246575341</v>
      </c>
      <c r="K89" s="25">
        <f ca="1">IF(staff[[#This Row],[tenure]]&gt;2,(staff[[#This Row],[Salary]]/100)*3,(staff[[#This Row],[Salary]]/100)*2)</f>
        <v>2550</v>
      </c>
      <c r="L89" s="28">
        <f>_xlfn.XLOOKUP(E89,$O$25:$O$29,$P$25:$P$29)</f>
        <v>3</v>
      </c>
    </row>
    <row r="90" spans="2:12" x14ac:dyDescent="0.3">
      <c r="B90" s="28" t="s">
        <v>79</v>
      </c>
      <c r="C90" s="28" t="s">
        <v>15</v>
      </c>
      <c r="D90">
        <v>33</v>
      </c>
      <c r="E90" t="s">
        <v>16</v>
      </c>
      <c r="F90" s="5">
        <v>44243</v>
      </c>
      <c r="G90" t="s">
        <v>21</v>
      </c>
      <c r="H90" s="7">
        <v>59430</v>
      </c>
      <c r="I90" t="s">
        <v>205</v>
      </c>
      <c r="J90" s="6">
        <f ca="1">(TODAY()-F90)/365</f>
        <v>3.2575342465753425</v>
      </c>
      <c r="K90" s="25">
        <f ca="1">IF(staff[[#This Row],[tenure]]&gt;2,(staff[[#This Row],[Salary]]/100)*3,(staff[[#This Row],[Salary]]/100)*2)</f>
        <v>1782.8999999999999</v>
      </c>
      <c r="L90" s="28">
        <f>_xlfn.XLOOKUP(E90,$O$25:$O$29,$P$25:$P$29)</f>
        <v>3</v>
      </c>
    </row>
    <row r="91" spans="2:12" x14ac:dyDescent="0.3">
      <c r="B91" s="28" t="s">
        <v>93</v>
      </c>
      <c r="C91" s="28" t="s">
        <v>8</v>
      </c>
      <c r="D91">
        <v>33</v>
      </c>
      <c r="E91" t="s">
        <v>16</v>
      </c>
      <c r="F91" s="5">
        <v>44067</v>
      </c>
      <c r="G91" t="s">
        <v>21</v>
      </c>
      <c r="H91" s="7">
        <v>65360</v>
      </c>
      <c r="I91" t="s">
        <v>205</v>
      </c>
      <c r="J91" s="6">
        <f ca="1">(TODAY()-F91)/365</f>
        <v>3.7397260273972601</v>
      </c>
      <c r="K91" s="25">
        <f ca="1">IF(staff[[#This Row],[tenure]]&gt;2,(staff[[#This Row],[Salary]]/100)*3,(staff[[#This Row],[Salary]]/100)*2)</f>
        <v>1960.8000000000002</v>
      </c>
      <c r="L91" s="28">
        <f>_xlfn.XLOOKUP(E91,$O$25:$O$29,$P$25:$P$29)</f>
        <v>3</v>
      </c>
    </row>
    <row r="92" spans="2:12" x14ac:dyDescent="0.3">
      <c r="B92" s="28" t="s">
        <v>66</v>
      </c>
      <c r="C92" s="28" t="s">
        <v>8</v>
      </c>
      <c r="D92">
        <v>32</v>
      </c>
      <c r="E92" t="s">
        <v>16</v>
      </c>
      <c r="F92" s="5">
        <v>44611</v>
      </c>
      <c r="G92" t="s">
        <v>9</v>
      </c>
      <c r="H92" s="7">
        <v>41570</v>
      </c>
      <c r="I92" t="s">
        <v>205</v>
      </c>
      <c r="J92" s="6">
        <f ca="1">(TODAY()-F92)/365</f>
        <v>2.2493150684931509</v>
      </c>
      <c r="K92" s="25">
        <f ca="1">IF(staff[[#This Row],[tenure]]&gt;2,(staff[[#This Row],[Salary]]/100)*3,(staff[[#This Row],[Salary]]/100)*2)</f>
        <v>1247.0999999999999</v>
      </c>
      <c r="L92" s="28">
        <f>_xlfn.XLOOKUP(E92,$O$25:$O$29,$P$25:$P$29)</f>
        <v>3</v>
      </c>
    </row>
    <row r="93" spans="2:12" x14ac:dyDescent="0.3">
      <c r="B93" s="28" t="s">
        <v>95</v>
      </c>
      <c r="C93" s="28" t="s">
        <v>8</v>
      </c>
      <c r="D93">
        <v>33</v>
      </c>
      <c r="E93" t="s">
        <v>16</v>
      </c>
      <c r="F93" s="5">
        <v>44312</v>
      </c>
      <c r="G93" t="s">
        <v>12</v>
      </c>
      <c r="H93" s="7">
        <v>75280</v>
      </c>
      <c r="I93" t="s">
        <v>205</v>
      </c>
      <c r="J93" s="6">
        <f ca="1">(TODAY()-F93)/365</f>
        <v>3.0684931506849313</v>
      </c>
      <c r="K93" s="25">
        <f ca="1">IF(staff[[#This Row],[tenure]]&gt;2,(staff[[#This Row],[Salary]]/100)*3,(staff[[#This Row],[Salary]]/100)*2)</f>
        <v>2258.3999999999996</v>
      </c>
      <c r="L93" s="28">
        <f>_xlfn.XLOOKUP(E93,$O$25:$O$29,$P$25:$P$29)</f>
        <v>3</v>
      </c>
    </row>
    <row r="94" spans="2:12" x14ac:dyDescent="0.3">
      <c r="B94" s="28" t="s">
        <v>18</v>
      </c>
      <c r="C94" s="28" t="s">
        <v>15</v>
      </c>
      <c r="D94">
        <v>33</v>
      </c>
      <c r="E94" t="s">
        <v>16</v>
      </c>
      <c r="F94" s="5">
        <v>44385</v>
      </c>
      <c r="G94" t="s">
        <v>19</v>
      </c>
      <c r="H94" s="7">
        <v>74550</v>
      </c>
      <c r="I94" t="s">
        <v>205</v>
      </c>
      <c r="J94" s="6">
        <f ca="1">(TODAY()-F94)/365</f>
        <v>2.8684931506849316</v>
      </c>
      <c r="K94" s="25">
        <f ca="1">IF(staff[[#This Row],[tenure]]&gt;2,(staff[[#This Row],[Salary]]/100)*3,(staff[[#This Row],[Salary]]/100)*2)</f>
        <v>2236.5</v>
      </c>
      <c r="L94" s="28">
        <f>_xlfn.XLOOKUP(E94,$O$25:$O$29,$P$25:$P$29)</f>
        <v>3</v>
      </c>
    </row>
    <row r="95" spans="2:12" x14ac:dyDescent="0.3">
      <c r="B95" s="28" t="s">
        <v>45</v>
      </c>
      <c r="C95" s="28" t="s">
        <v>15</v>
      </c>
      <c r="D95">
        <v>30</v>
      </c>
      <c r="E95" t="s">
        <v>16</v>
      </c>
      <c r="F95" s="5">
        <v>44701</v>
      </c>
      <c r="G95" t="s">
        <v>9</v>
      </c>
      <c r="H95" s="7">
        <v>67950</v>
      </c>
      <c r="I95" t="s">
        <v>205</v>
      </c>
      <c r="J95" s="6">
        <f ca="1">(TODAY()-F95)/365</f>
        <v>2.0027397260273974</v>
      </c>
      <c r="K95" s="25">
        <f ca="1">IF(staff[[#This Row],[tenure]]&gt;2,(staff[[#This Row],[Salary]]/100)*3,(staff[[#This Row],[Salary]]/100)*2)</f>
        <v>2038.5</v>
      </c>
      <c r="L95" s="28">
        <f>_xlfn.XLOOKUP(E95,$O$25:$O$29,$P$25:$P$29)</f>
        <v>3</v>
      </c>
    </row>
    <row r="96" spans="2:12" x14ac:dyDescent="0.3">
      <c r="B96" s="28" t="s">
        <v>46</v>
      </c>
      <c r="C96" s="28" t="s">
        <v>15</v>
      </c>
      <c r="D96">
        <v>26</v>
      </c>
      <c r="E96" t="s">
        <v>16</v>
      </c>
      <c r="F96" s="5">
        <v>44411</v>
      </c>
      <c r="G96" t="s">
        <v>9</v>
      </c>
      <c r="H96" s="7">
        <v>53540</v>
      </c>
      <c r="I96" t="s">
        <v>205</v>
      </c>
      <c r="J96" s="6">
        <f ca="1">(TODAY()-F96)/365</f>
        <v>2.7972602739726029</v>
      </c>
      <c r="K96" s="25">
        <f ca="1">IF(staff[[#This Row],[tenure]]&gt;2,(staff[[#This Row],[Salary]]/100)*3,(staff[[#This Row],[Salary]]/100)*2)</f>
        <v>1606.1999999999998</v>
      </c>
      <c r="L96" s="28">
        <f>_xlfn.XLOOKUP(E96,$O$25:$O$29,$P$25:$P$29)</f>
        <v>3</v>
      </c>
    </row>
    <row r="97" spans="2:12" x14ac:dyDescent="0.3">
      <c r="B97" s="28" t="s">
        <v>156</v>
      </c>
      <c r="C97" s="28" t="s">
        <v>15</v>
      </c>
      <c r="D97">
        <v>20</v>
      </c>
      <c r="E97" t="s">
        <v>16</v>
      </c>
      <c r="F97" s="5">
        <v>44122</v>
      </c>
      <c r="G97" t="s">
        <v>12</v>
      </c>
      <c r="H97" s="7">
        <v>112650</v>
      </c>
      <c r="I97" t="s">
        <v>207</v>
      </c>
      <c r="J97" s="6">
        <f ca="1">(TODAY()-F97)/365</f>
        <v>3.5890410958904111</v>
      </c>
      <c r="K97" s="25">
        <f ca="1">IF(staff[[#This Row],[tenure]]&gt;2,(staff[[#This Row],[Salary]]/100)*3,(staff[[#This Row],[Salary]]/100)*2)</f>
        <v>3379.5</v>
      </c>
      <c r="L97" s="28">
        <f>_xlfn.XLOOKUP(E97,$O$25:$O$29,$P$25:$P$29)</f>
        <v>3</v>
      </c>
    </row>
    <row r="98" spans="2:12" x14ac:dyDescent="0.3">
      <c r="B98" s="28" t="s">
        <v>143</v>
      </c>
      <c r="C98" s="28" t="s">
        <v>15</v>
      </c>
      <c r="D98">
        <v>31</v>
      </c>
      <c r="E98" t="s">
        <v>16</v>
      </c>
      <c r="F98" s="5">
        <v>44663</v>
      </c>
      <c r="G98" t="s">
        <v>9</v>
      </c>
      <c r="H98" s="7">
        <v>103550</v>
      </c>
      <c r="I98" t="s">
        <v>207</v>
      </c>
      <c r="J98" s="6">
        <f ca="1">(TODAY()-F98)/365</f>
        <v>2.106849315068493</v>
      </c>
      <c r="K98" s="25">
        <f ca="1">IF(staff[[#This Row],[tenure]]&gt;2,(staff[[#This Row],[Salary]]/100)*3,(staff[[#This Row],[Salary]]/100)*2)</f>
        <v>3106.5</v>
      </c>
      <c r="L98" s="28">
        <f>_xlfn.XLOOKUP(E98,$O$25:$O$29,$P$25:$P$29)</f>
        <v>3</v>
      </c>
    </row>
    <row r="99" spans="2:12" x14ac:dyDescent="0.3">
      <c r="B99" s="28" t="s">
        <v>201</v>
      </c>
      <c r="C99" s="28" t="s">
        <v>8</v>
      </c>
      <c r="D99">
        <v>32</v>
      </c>
      <c r="E99" t="s">
        <v>16</v>
      </c>
      <c r="F99" s="5">
        <v>44339</v>
      </c>
      <c r="G99" t="s">
        <v>56</v>
      </c>
      <c r="H99" s="7">
        <v>45510</v>
      </c>
      <c r="I99" t="s">
        <v>207</v>
      </c>
      <c r="J99" s="6">
        <f ca="1">(TODAY()-F99)/365</f>
        <v>2.9945205479452053</v>
      </c>
      <c r="K99" s="25">
        <f ca="1">IF(staff[[#This Row],[tenure]]&gt;2,(staff[[#This Row],[Salary]]/100)*3,(staff[[#This Row],[Salary]]/100)*2)</f>
        <v>1365.3000000000002</v>
      </c>
      <c r="L99" s="28">
        <f>_xlfn.XLOOKUP(E99,$O$25:$O$29,$P$25:$P$29)</f>
        <v>3</v>
      </c>
    </row>
    <row r="100" spans="2:12" x14ac:dyDescent="0.3">
      <c r="B100" s="28" t="s">
        <v>169</v>
      </c>
      <c r="C100" s="28" t="s">
        <v>8</v>
      </c>
      <c r="D100">
        <v>25</v>
      </c>
      <c r="E100" t="s">
        <v>16</v>
      </c>
      <c r="F100" s="5">
        <v>44144</v>
      </c>
      <c r="G100" t="s">
        <v>19</v>
      </c>
      <c r="H100" s="7">
        <v>92700</v>
      </c>
      <c r="I100" t="s">
        <v>207</v>
      </c>
      <c r="J100" s="6">
        <f ca="1">(TODAY()-F100)/365</f>
        <v>3.5287671232876714</v>
      </c>
      <c r="K100" s="25">
        <f ca="1">IF(staff[[#This Row],[tenure]]&gt;2,(staff[[#This Row],[Salary]]/100)*3,(staff[[#This Row],[Salary]]/100)*2)</f>
        <v>2781</v>
      </c>
      <c r="L100" s="28">
        <f>_xlfn.XLOOKUP(E100,$O$25:$O$29,$P$25:$P$29)</f>
        <v>3</v>
      </c>
    </row>
    <row r="101" spans="2:12" x14ac:dyDescent="0.3">
      <c r="B101" s="28" t="s">
        <v>145</v>
      </c>
      <c r="C101" s="28" t="s">
        <v>206</v>
      </c>
      <c r="D101">
        <v>32</v>
      </c>
      <c r="E101" t="s">
        <v>16</v>
      </c>
      <c r="F101" s="5">
        <v>44713</v>
      </c>
      <c r="G101" t="s">
        <v>12</v>
      </c>
      <c r="H101" s="7">
        <v>91310</v>
      </c>
      <c r="I101" t="s">
        <v>207</v>
      </c>
      <c r="J101" s="6">
        <f ca="1">(TODAY()-F101)/365</f>
        <v>1.9698630136986301</v>
      </c>
      <c r="K101" s="25">
        <f ca="1">IF(staff[[#This Row],[tenure]]&gt;2,(staff[[#This Row],[Salary]]/100)*3,(staff[[#This Row],[Salary]]/100)*2)</f>
        <v>1826.2</v>
      </c>
      <c r="L101" s="28">
        <f>_xlfn.XLOOKUP(E101,$O$25:$O$29,$P$25:$P$29)</f>
        <v>3</v>
      </c>
    </row>
    <row r="102" spans="2:12" x14ac:dyDescent="0.3">
      <c r="B102" s="28" t="s">
        <v>115</v>
      </c>
      <c r="C102" s="28" t="s">
        <v>15</v>
      </c>
      <c r="D102">
        <v>33</v>
      </c>
      <c r="E102" t="s">
        <v>16</v>
      </c>
      <c r="F102" s="5">
        <v>44324</v>
      </c>
      <c r="G102" t="s">
        <v>19</v>
      </c>
      <c r="H102" s="7">
        <v>74550</v>
      </c>
      <c r="I102" t="s">
        <v>207</v>
      </c>
      <c r="J102" s="6">
        <f ca="1">(TODAY()-F102)/365</f>
        <v>3.0356164383561643</v>
      </c>
      <c r="K102" s="25">
        <f ca="1">IF(staff[[#This Row],[tenure]]&gt;2,(staff[[#This Row],[Salary]]/100)*3,(staff[[#This Row],[Salary]]/100)*2)</f>
        <v>2236.5</v>
      </c>
      <c r="L102" s="28">
        <f>_xlfn.XLOOKUP(E102,$O$25:$O$29,$P$25:$P$29)</f>
        <v>3</v>
      </c>
    </row>
    <row r="103" spans="2:12" x14ac:dyDescent="0.3">
      <c r="B103" s="28" t="s">
        <v>194</v>
      </c>
      <c r="C103" s="28" t="s">
        <v>8</v>
      </c>
      <c r="D103">
        <v>40</v>
      </c>
      <c r="E103" t="s">
        <v>16</v>
      </c>
      <c r="F103" s="5">
        <v>44320</v>
      </c>
      <c r="G103" t="s">
        <v>12</v>
      </c>
      <c r="H103" s="7">
        <v>104410</v>
      </c>
      <c r="I103" t="s">
        <v>207</v>
      </c>
      <c r="J103" s="6">
        <f ca="1">(TODAY()-F103)/365</f>
        <v>3.0465753424657533</v>
      </c>
      <c r="K103" s="25">
        <f ca="1">IF(staff[[#This Row],[tenure]]&gt;2,(staff[[#This Row],[Salary]]/100)*3,(staff[[#This Row],[Salary]]/100)*2)</f>
        <v>3132.2999999999997</v>
      </c>
      <c r="L103" s="28">
        <f>_xlfn.XLOOKUP(E103,$O$25:$O$29,$P$25:$P$29)</f>
        <v>3</v>
      </c>
    </row>
    <row r="104" spans="2:12" x14ac:dyDescent="0.3">
      <c r="B104" s="28" t="s">
        <v>177</v>
      </c>
      <c r="C104" s="28" t="s">
        <v>15</v>
      </c>
      <c r="D104">
        <v>30</v>
      </c>
      <c r="E104" t="s">
        <v>16</v>
      </c>
      <c r="F104" s="5">
        <v>44544</v>
      </c>
      <c r="G104" t="s">
        <v>21</v>
      </c>
      <c r="H104" s="7">
        <v>96800</v>
      </c>
      <c r="I104" t="s">
        <v>207</v>
      </c>
      <c r="J104" s="6">
        <f ca="1">(TODAY()-F104)/365</f>
        <v>2.4328767123287673</v>
      </c>
      <c r="K104" s="25">
        <f ca="1">IF(staff[[#This Row],[tenure]]&gt;2,(staff[[#This Row],[Salary]]/100)*3,(staff[[#This Row],[Salary]]/100)*2)</f>
        <v>2904</v>
      </c>
      <c r="L104" s="28">
        <f>_xlfn.XLOOKUP(E104,$O$25:$O$29,$P$25:$P$29)</f>
        <v>3</v>
      </c>
    </row>
    <row r="105" spans="2:12" x14ac:dyDescent="0.3">
      <c r="B105" s="28" t="s">
        <v>140</v>
      </c>
      <c r="C105" s="28" t="s">
        <v>15</v>
      </c>
      <c r="D105">
        <v>21</v>
      </c>
      <c r="E105" t="s">
        <v>16</v>
      </c>
      <c r="F105" s="5">
        <v>44042</v>
      </c>
      <c r="G105" t="s">
        <v>9</v>
      </c>
      <c r="H105" s="7">
        <v>37920</v>
      </c>
      <c r="I105" t="s">
        <v>207</v>
      </c>
      <c r="J105" s="6">
        <f ca="1">(TODAY()-F105)/365</f>
        <v>3.8082191780821919</v>
      </c>
      <c r="K105" s="25">
        <f ca="1">IF(staff[[#This Row],[tenure]]&gt;2,(staff[[#This Row],[Salary]]/100)*3,(staff[[#This Row],[Salary]]/100)*2)</f>
        <v>1137.5999999999999</v>
      </c>
      <c r="L105" s="28">
        <f>_xlfn.XLOOKUP(E105,$O$25:$O$29,$P$25:$P$29)</f>
        <v>3</v>
      </c>
    </row>
    <row r="106" spans="2:12" x14ac:dyDescent="0.3">
      <c r="B106" s="28" t="s">
        <v>178</v>
      </c>
      <c r="C106" s="28" t="s">
        <v>15</v>
      </c>
      <c r="D106">
        <v>34</v>
      </c>
      <c r="E106" t="s">
        <v>16</v>
      </c>
      <c r="F106" s="5">
        <v>44642</v>
      </c>
      <c r="G106" t="s">
        <v>9</v>
      </c>
      <c r="H106" s="7">
        <v>112650</v>
      </c>
      <c r="I106" t="s">
        <v>207</v>
      </c>
      <c r="J106" s="6">
        <f ca="1">(TODAY()-F106)/365</f>
        <v>2.1643835616438358</v>
      </c>
      <c r="K106" s="25">
        <f ca="1">IF(staff[[#This Row],[tenure]]&gt;2,(staff[[#This Row],[Salary]]/100)*3,(staff[[#This Row],[Salary]]/100)*2)</f>
        <v>3379.5</v>
      </c>
      <c r="L106" s="28">
        <f>_xlfn.XLOOKUP(E106,$O$25:$O$29,$P$25:$P$29)</f>
        <v>3</v>
      </c>
    </row>
    <row r="107" spans="2:12" x14ac:dyDescent="0.3">
      <c r="B107" s="28" t="s">
        <v>199</v>
      </c>
      <c r="C107" s="28" t="s">
        <v>15</v>
      </c>
      <c r="D107">
        <v>36</v>
      </c>
      <c r="E107" t="s">
        <v>16</v>
      </c>
      <c r="F107" s="5">
        <v>43958</v>
      </c>
      <c r="G107" t="s">
        <v>12</v>
      </c>
      <c r="H107" s="7">
        <v>118840</v>
      </c>
      <c r="I107" t="s">
        <v>207</v>
      </c>
      <c r="J107" s="6">
        <f ca="1">(TODAY()-F107)/365</f>
        <v>4.0383561643835613</v>
      </c>
      <c r="K107" s="25">
        <f ca="1">IF(staff[[#This Row],[tenure]]&gt;2,(staff[[#This Row],[Salary]]/100)*3,(staff[[#This Row],[Salary]]/100)*2)</f>
        <v>3565.2000000000003</v>
      </c>
      <c r="L107" s="28">
        <f>_xlfn.XLOOKUP(E107,$O$25:$O$29,$P$25:$P$29)</f>
        <v>3</v>
      </c>
    </row>
    <row r="108" spans="2:12" x14ac:dyDescent="0.3">
      <c r="B108" s="28" t="s">
        <v>159</v>
      </c>
      <c r="C108" s="28" t="s">
        <v>15</v>
      </c>
      <c r="D108">
        <v>30</v>
      </c>
      <c r="E108" t="s">
        <v>16</v>
      </c>
      <c r="F108" s="5">
        <v>44789</v>
      </c>
      <c r="G108" t="s">
        <v>12</v>
      </c>
      <c r="H108" s="7">
        <v>69710</v>
      </c>
      <c r="I108" t="s">
        <v>207</v>
      </c>
      <c r="J108" s="6">
        <f ca="1">(TODAY()-F108)/365</f>
        <v>1.7616438356164383</v>
      </c>
      <c r="K108" s="25">
        <f ca="1">IF(staff[[#This Row],[tenure]]&gt;2,(staff[[#This Row],[Salary]]/100)*3,(staff[[#This Row],[Salary]]/100)*2)</f>
        <v>1394.2</v>
      </c>
      <c r="L108" s="28">
        <f>_xlfn.XLOOKUP(E108,$O$25:$O$29,$P$25:$P$29)</f>
        <v>3</v>
      </c>
    </row>
    <row r="109" spans="2:12" x14ac:dyDescent="0.3">
      <c r="B109" s="28" t="s">
        <v>197</v>
      </c>
      <c r="C109" s="28" t="s">
        <v>15</v>
      </c>
      <c r="D109">
        <v>20</v>
      </c>
      <c r="E109" t="s">
        <v>16</v>
      </c>
      <c r="F109" s="5">
        <v>44683</v>
      </c>
      <c r="G109" t="s">
        <v>9</v>
      </c>
      <c r="H109" s="7">
        <v>79570</v>
      </c>
      <c r="I109" t="s">
        <v>207</v>
      </c>
      <c r="J109" s="6">
        <f ca="1">(TODAY()-F109)/365</f>
        <v>2.0520547945205481</v>
      </c>
      <c r="K109" s="25">
        <f ca="1">IF(staff[[#This Row],[tenure]]&gt;2,(staff[[#This Row],[Salary]]/100)*3,(staff[[#This Row],[Salary]]/100)*2)</f>
        <v>2387.1000000000004</v>
      </c>
      <c r="L109" s="28">
        <f>_xlfn.XLOOKUP(E109,$O$25:$O$29,$P$25:$P$29)</f>
        <v>3</v>
      </c>
    </row>
    <row r="110" spans="2:12" x14ac:dyDescent="0.3">
      <c r="B110" s="28" t="s">
        <v>182</v>
      </c>
      <c r="C110" s="28" t="s">
        <v>15</v>
      </c>
      <c r="D110">
        <v>27</v>
      </c>
      <c r="E110" t="s">
        <v>16</v>
      </c>
      <c r="F110" s="5">
        <v>44073</v>
      </c>
      <c r="G110" t="s">
        <v>19</v>
      </c>
      <c r="H110" s="7">
        <v>54970</v>
      </c>
      <c r="I110" t="s">
        <v>207</v>
      </c>
      <c r="J110" s="6">
        <f ca="1">(TODAY()-F110)/365</f>
        <v>3.7232876712328768</v>
      </c>
      <c r="K110" s="25">
        <f ca="1">IF(staff[[#This Row],[tenure]]&gt;2,(staff[[#This Row],[Salary]]/100)*3,(staff[[#This Row],[Salary]]/100)*2)</f>
        <v>1649.1000000000001</v>
      </c>
      <c r="L110" s="28">
        <f>_xlfn.XLOOKUP(E110,$O$25:$O$29,$P$25:$P$29)</f>
        <v>3</v>
      </c>
    </row>
    <row r="111" spans="2:12" x14ac:dyDescent="0.3">
      <c r="B111" s="28" t="s">
        <v>192</v>
      </c>
      <c r="C111" s="28" t="s">
        <v>15</v>
      </c>
      <c r="D111">
        <v>43</v>
      </c>
      <c r="E111" t="s">
        <v>16</v>
      </c>
      <c r="F111" s="5">
        <v>44558</v>
      </c>
      <c r="G111" t="s">
        <v>19</v>
      </c>
      <c r="H111" s="7">
        <v>36040</v>
      </c>
      <c r="I111" t="s">
        <v>207</v>
      </c>
      <c r="J111" s="6">
        <f ca="1">(TODAY()-F111)/365</f>
        <v>2.3945205479452056</v>
      </c>
      <c r="K111" s="25">
        <f ca="1">IF(staff[[#This Row],[tenure]]&gt;2,(staff[[#This Row],[Salary]]/100)*3,(staff[[#This Row],[Salary]]/100)*2)</f>
        <v>1081.1999999999998</v>
      </c>
      <c r="L111" s="28">
        <f>_xlfn.XLOOKUP(E111,$O$25:$O$29,$P$25:$P$29)</f>
        <v>3</v>
      </c>
    </row>
    <row r="112" spans="2:12" x14ac:dyDescent="0.3">
      <c r="B112" s="28" t="s">
        <v>149</v>
      </c>
      <c r="C112" s="28" t="s">
        <v>15</v>
      </c>
      <c r="D112">
        <v>35</v>
      </c>
      <c r="E112" t="s">
        <v>16</v>
      </c>
      <c r="F112" s="5">
        <v>44666</v>
      </c>
      <c r="G112" t="s">
        <v>9</v>
      </c>
      <c r="H112" s="7">
        <v>40400</v>
      </c>
      <c r="I112" t="s">
        <v>207</v>
      </c>
      <c r="J112" s="6">
        <f ca="1">(TODAY()-F112)/365</f>
        <v>2.0986301369863014</v>
      </c>
      <c r="K112" s="25">
        <f ca="1">IF(staff[[#This Row],[tenure]]&gt;2,(staff[[#This Row],[Salary]]/100)*3,(staff[[#This Row],[Salary]]/100)*2)</f>
        <v>1212</v>
      </c>
      <c r="L112" s="28">
        <f>_xlfn.XLOOKUP(E112,$O$25:$O$29,$P$25:$P$29)</f>
        <v>3</v>
      </c>
    </row>
    <row r="113" spans="2:12" x14ac:dyDescent="0.3">
      <c r="B113" s="28" t="s">
        <v>196</v>
      </c>
      <c r="C113" s="28" t="s">
        <v>15</v>
      </c>
      <c r="D113">
        <v>24</v>
      </c>
      <c r="E113" t="s">
        <v>16</v>
      </c>
      <c r="F113" s="5">
        <v>44625</v>
      </c>
      <c r="G113" t="s">
        <v>12</v>
      </c>
      <c r="H113" s="7">
        <v>100420</v>
      </c>
      <c r="I113" t="s">
        <v>207</v>
      </c>
      <c r="J113" s="6">
        <f ca="1">(TODAY()-F113)/365</f>
        <v>2.2109589041095892</v>
      </c>
      <c r="K113" s="25">
        <f ca="1">IF(staff[[#This Row],[tenure]]&gt;2,(staff[[#This Row],[Salary]]/100)*3,(staff[[#This Row],[Salary]]/100)*2)</f>
        <v>3012.6000000000004</v>
      </c>
      <c r="L113" s="28">
        <f>_xlfn.XLOOKUP(E113,$O$25:$O$29,$P$25:$P$29)</f>
        <v>3</v>
      </c>
    </row>
    <row r="114" spans="2:12" x14ac:dyDescent="0.3">
      <c r="B114" s="28" t="s">
        <v>120</v>
      </c>
      <c r="C114" s="28" t="s">
        <v>8</v>
      </c>
      <c r="D114">
        <v>31</v>
      </c>
      <c r="E114" t="s">
        <v>16</v>
      </c>
      <c r="F114" s="5">
        <v>44604</v>
      </c>
      <c r="G114" t="s">
        <v>12</v>
      </c>
      <c r="H114" s="7">
        <v>58100</v>
      </c>
      <c r="I114" t="s">
        <v>207</v>
      </c>
      <c r="J114" s="6">
        <f ca="1">(TODAY()-F114)/365</f>
        <v>2.2684931506849315</v>
      </c>
      <c r="K114" s="25">
        <f ca="1">IF(staff[[#This Row],[tenure]]&gt;2,(staff[[#This Row],[Salary]]/100)*3,(staff[[#This Row],[Salary]]/100)*2)</f>
        <v>1743</v>
      </c>
      <c r="L114" s="28">
        <f>_xlfn.XLOOKUP(E114,$O$25:$O$29,$P$25:$P$29)</f>
        <v>3</v>
      </c>
    </row>
    <row r="115" spans="2:12" x14ac:dyDescent="0.3">
      <c r="B115" s="28" t="s">
        <v>114</v>
      </c>
      <c r="C115" s="28" t="s">
        <v>8</v>
      </c>
      <c r="D115">
        <v>44</v>
      </c>
      <c r="E115" t="s">
        <v>16</v>
      </c>
      <c r="F115" s="5">
        <v>44985</v>
      </c>
      <c r="G115" t="s">
        <v>12</v>
      </c>
      <c r="H115" s="7">
        <v>114870</v>
      </c>
      <c r="I115" t="s">
        <v>207</v>
      </c>
      <c r="J115" s="6">
        <f ca="1">(TODAY()-F115)/365</f>
        <v>1.2246575342465753</v>
      </c>
      <c r="K115" s="25">
        <f ca="1">IF(staff[[#This Row],[tenure]]&gt;2,(staff[[#This Row],[Salary]]/100)*3,(staff[[#This Row],[Salary]]/100)*2)</f>
        <v>2297.4</v>
      </c>
      <c r="L115" s="28">
        <f>_xlfn.XLOOKUP(E115,$O$25:$O$29,$P$25:$P$29)</f>
        <v>3</v>
      </c>
    </row>
    <row r="116" spans="2:12" x14ac:dyDescent="0.3">
      <c r="B116" s="28" t="s">
        <v>158</v>
      </c>
      <c r="C116" s="28" t="s">
        <v>8</v>
      </c>
      <c r="D116">
        <v>32</v>
      </c>
      <c r="E116" t="s">
        <v>16</v>
      </c>
      <c r="F116" s="5">
        <v>44549</v>
      </c>
      <c r="G116" t="s">
        <v>9</v>
      </c>
      <c r="H116" s="7">
        <v>41570</v>
      </c>
      <c r="I116" t="s">
        <v>207</v>
      </c>
      <c r="J116" s="6">
        <f ca="1">(TODAY()-F116)/365</f>
        <v>2.419178082191781</v>
      </c>
      <c r="K116" s="25">
        <f ca="1">IF(staff[[#This Row],[tenure]]&gt;2,(staff[[#This Row],[Salary]]/100)*3,(staff[[#This Row],[Salary]]/100)*2)</f>
        <v>1247.0999999999999</v>
      </c>
      <c r="L116" s="28">
        <f>_xlfn.XLOOKUP(E116,$O$25:$O$29,$P$25:$P$29)</f>
        <v>3</v>
      </c>
    </row>
    <row r="117" spans="2:12" x14ac:dyDescent="0.3">
      <c r="B117" s="28" t="s">
        <v>173</v>
      </c>
      <c r="C117" s="28" t="s">
        <v>8</v>
      </c>
      <c r="D117">
        <v>30</v>
      </c>
      <c r="E117" t="s">
        <v>16</v>
      </c>
      <c r="F117" s="5">
        <v>44800</v>
      </c>
      <c r="G117" t="s">
        <v>9</v>
      </c>
      <c r="H117" s="7">
        <v>112570</v>
      </c>
      <c r="I117" t="s">
        <v>207</v>
      </c>
      <c r="J117" s="6">
        <f ca="1">(TODAY()-F117)/365</f>
        <v>1.7315068493150685</v>
      </c>
      <c r="K117" s="25">
        <f ca="1">IF(staff[[#This Row],[tenure]]&gt;2,(staff[[#This Row],[Salary]]/100)*3,(staff[[#This Row],[Salary]]/100)*2)</f>
        <v>2251.4</v>
      </c>
      <c r="L117" s="28">
        <f>_xlfn.XLOOKUP(E117,$O$25:$O$29,$P$25:$P$29)</f>
        <v>3</v>
      </c>
    </row>
    <row r="118" spans="2:12" x14ac:dyDescent="0.3">
      <c r="B118" s="28" t="s">
        <v>151</v>
      </c>
      <c r="C118" s="28" t="s">
        <v>15</v>
      </c>
      <c r="D118">
        <v>26</v>
      </c>
      <c r="E118" t="s">
        <v>16</v>
      </c>
      <c r="F118" s="5">
        <v>44164</v>
      </c>
      <c r="G118" t="s">
        <v>9</v>
      </c>
      <c r="H118" s="7">
        <v>47360</v>
      </c>
      <c r="I118" t="s">
        <v>207</v>
      </c>
      <c r="J118" s="6">
        <f ca="1">(TODAY()-F118)/365</f>
        <v>3.473972602739726</v>
      </c>
      <c r="K118" s="25">
        <f ca="1">IF(staff[[#This Row],[tenure]]&gt;2,(staff[[#This Row],[Salary]]/100)*3,(staff[[#This Row],[Salary]]/100)*2)</f>
        <v>1420.8000000000002</v>
      </c>
      <c r="L118" s="28">
        <f>_xlfn.XLOOKUP(E118,$O$25:$O$29,$P$25:$P$29)</f>
        <v>3</v>
      </c>
    </row>
    <row r="119" spans="2:12" x14ac:dyDescent="0.3">
      <c r="B119" s="28" t="s">
        <v>126</v>
      </c>
      <c r="C119" s="28" t="s">
        <v>8</v>
      </c>
      <c r="D119">
        <v>21</v>
      </c>
      <c r="E119" t="s">
        <v>16</v>
      </c>
      <c r="F119" s="5">
        <v>44256</v>
      </c>
      <c r="G119" t="s">
        <v>21</v>
      </c>
      <c r="H119" s="7">
        <v>65920</v>
      </c>
      <c r="I119" t="s">
        <v>207</v>
      </c>
      <c r="J119" s="6">
        <f ca="1">(TODAY()-F119)/365</f>
        <v>3.2219178082191782</v>
      </c>
      <c r="K119" s="25">
        <f ca="1">IF(staff[[#This Row],[tenure]]&gt;2,(staff[[#This Row],[Salary]]/100)*3,(staff[[#This Row],[Salary]]/100)*2)</f>
        <v>1977.6000000000001</v>
      </c>
      <c r="L119" s="28">
        <f>_xlfn.XLOOKUP(E119,$O$25:$O$29,$P$25:$P$29)</f>
        <v>3</v>
      </c>
    </row>
    <row r="120" spans="2:12" x14ac:dyDescent="0.3">
      <c r="B120" s="28" t="s">
        <v>200</v>
      </c>
      <c r="C120" s="28" t="s">
        <v>8</v>
      </c>
      <c r="D120">
        <v>28</v>
      </c>
      <c r="E120" t="s">
        <v>16</v>
      </c>
      <c r="F120" s="5">
        <v>44571</v>
      </c>
      <c r="G120" t="s">
        <v>9</v>
      </c>
      <c r="H120" s="7">
        <v>99970</v>
      </c>
      <c r="I120" t="s">
        <v>207</v>
      </c>
      <c r="J120" s="6">
        <f ca="1">(TODAY()-F120)/365</f>
        <v>2.3589041095890413</v>
      </c>
      <c r="K120" s="25">
        <f ca="1">IF(staff[[#This Row],[tenure]]&gt;2,(staff[[#This Row],[Salary]]/100)*3,(staff[[#This Row],[Salary]]/100)*2)</f>
        <v>2999.1000000000004</v>
      </c>
      <c r="L120" s="28">
        <f>_xlfn.XLOOKUP(E120,$O$25:$O$29,$P$25:$P$29)</f>
        <v>3</v>
      </c>
    </row>
    <row r="121" spans="2:12" x14ac:dyDescent="0.3">
      <c r="B121" s="28" t="s">
        <v>152</v>
      </c>
      <c r="C121" s="28" t="s">
        <v>8</v>
      </c>
      <c r="D121">
        <v>27</v>
      </c>
      <c r="E121" t="s">
        <v>16</v>
      </c>
      <c r="F121" s="5">
        <v>44061</v>
      </c>
      <c r="G121" t="s">
        <v>56</v>
      </c>
      <c r="H121" s="7">
        <v>119110</v>
      </c>
      <c r="I121" t="s">
        <v>207</v>
      </c>
      <c r="J121" s="6">
        <f ca="1">(TODAY()-F121)/365</f>
        <v>3.7561643835616438</v>
      </c>
      <c r="K121" s="25">
        <f ca="1">IF(staff[[#This Row],[tenure]]&gt;2,(staff[[#This Row],[Salary]]/100)*3,(staff[[#This Row],[Salary]]/100)*2)</f>
        <v>3573.2999999999997</v>
      </c>
      <c r="L121" s="28">
        <f>_xlfn.XLOOKUP(E121,$O$25:$O$29,$P$25:$P$29)</f>
        <v>3</v>
      </c>
    </row>
    <row r="122" spans="2:12" x14ac:dyDescent="0.3">
      <c r="B122" s="28" t="s">
        <v>175</v>
      </c>
      <c r="C122" s="28" t="s">
        <v>8</v>
      </c>
      <c r="D122">
        <v>36</v>
      </c>
      <c r="E122" t="s">
        <v>16</v>
      </c>
      <c r="F122" s="5">
        <v>44023</v>
      </c>
      <c r="G122" t="s">
        <v>9</v>
      </c>
      <c r="H122" s="7">
        <v>114890</v>
      </c>
      <c r="I122" t="s">
        <v>207</v>
      </c>
      <c r="J122" s="6">
        <f ca="1">(TODAY()-F122)/365</f>
        <v>3.8602739726027395</v>
      </c>
      <c r="K122" s="25">
        <f ca="1">IF(staff[[#This Row],[tenure]]&gt;2,(staff[[#This Row],[Salary]]/100)*3,(staff[[#This Row],[Salary]]/100)*2)</f>
        <v>3446.7000000000003</v>
      </c>
      <c r="L122" s="28">
        <f>_xlfn.XLOOKUP(E122,$O$25:$O$29,$P$25:$P$29)</f>
        <v>3</v>
      </c>
    </row>
    <row r="123" spans="2:12" x14ac:dyDescent="0.3">
      <c r="B123" s="28" t="s">
        <v>146</v>
      </c>
      <c r="C123" s="28" t="s">
        <v>15</v>
      </c>
      <c r="D123">
        <v>27</v>
      </c>
      <c r="E123" t="s">
        <v>16</v>
      </c>
      <c r="F123" s="5">
        <v>44506</v>
      </c>
      <c r="G123" t="s">
        <v>21</v>
      </c>
      <c r="H123" s="7">
        <v>48980</v>
      </c>
      <c r="I123" t="s">
        <v>207</v>
      </c>
      <c r="J123" s="6">
        <f ca="1">(TODAY()-F123)/365</f>
        <v>2.536986301369863</v>
      </c>
      <c r="K123" s="25">
        <f ca="1">IF(staff[[#This Row],[tenure]]&gt;2,(staff[[#This Row],[Salary]]/100)*3,(staff[[#This Row],[Salary]]/100)*2)</f>
        <v>1469.4</v>
      </c>
      <c r="L123" s="28">
        <f>_xlfn.XLOOKUP(E123,$O$25:$O$29,$P$25:$P$29)</f>
        <v>3</v>
      </c>
    </row>
    <row r="124" spans="2:12" x14ac:dyDescent="0.3">
      <c r="B124" s="28" t="s">
        <v>170</v>
      </c>
      <c r="C124" s="28" t="s">
        <v>15</v>
      </c>
      <c r="D124">
        <v>21</v>
      </c>
      <c r="E124" t="s">
        <v>16</v>
      </c>
      <c r="F124" s="5">
        <v>44180</v>
      </c>
      <c r="G124" t="s">
        <v>56</v>
      </c>
      <c r="H124" s="7">
        <v>75880</v>
      </c>
      <c r="I124" t="s">
        <v>207</v>
      </c>
      <c r="J124" s="6">
        <f ca="1">(TODAY()-F124)/365</f>
        <v>3.43013698630137</v>
      </c>
      <c r="K124" s="25">
        <f ca="1">IF(staff[[#This Row],[tenure]]&gt;2,(staff[[#This Row],[Salary]]/100)*3,(staff[[#This Row],[Salary]]/100)*2)</f>
        <v>2276.3999999999996</v>
      </c>
      <c r="L124" s="28">
        <f>_xlfn.XLOOKUP(E124,$O$25:$O$29,$P$25:$P$29)</f>
        <v>3</v>
      </c>
    </row>
    <row r="125" spans="2:12" x14ac:dyDescent="0.3">
      <c r="B125" s="28" t="s">
        <v>167</v>
      </c>
      <c r="C125" s="28" t="s">
        <v>8</v>
      </c>
      <c r="D125">
        <v>28</v>
      </c>
      <c r="E125" t="s">
        <v>16</v>
      </c>
      <c r="F125" s="5">
        <v>44296</v>
      </c>
      <c r="G125" t="s">
        <v>19</v>
      </c>
      <c r="H125" s="7">
        <v>53240</v>
      </c>
      <c r="I125" t="s">
        <v>207</v>
      </c>
      <c r="J125" s="6">
        <f ca="1">(TODAY()-F125)/365</f>
        <v>3.1123287671232878</v>
      </c>
      <c r="K125" s="25">
        <f ca="1">IF(staff[[#This Row],[tenure]]&gt;2,(staff[[#This Row],[Salary]]/100)*3,(staff[[#This Row],[Salary]]/100)*2)</f>
        <v>1597.1999999999998</v>
      </c>
      <c r="L125" s="28">
        <f>_xlfn.XLOOKUP(E125,$O$25:$O$29,$P$25:$P$29)</f>
        <v>3</v>
      </c>
    </row>
    <row r="126" spans="2:12" x14ac:dyDescent="0.3">
      <c r="B126" s="28" t="s">
        <v>122</v>
      </c>
      <c r="C126" s="28" t="s">
        <v>8</v>
      </c>
      <c r="D126">
        <v>34</v>
      </c>
      <c r="E126" t="s">
        <v>16</v>
      </c>
      <c r="F126" s="5">
        <v>44397</v>
      </c>
      <c r="G126" t="s">
        <v>21</v>
      </c>
      <c r="H126" s="7">
        <v>85000</v>
      </c>
      <c r="I126" t="s">
        <v>207</v>
      </c>
      <c r="J126" s="6">
        <f ca="1">(TODAY()-F126)/365</f>
        <v>2.8356164383561642</v>
      </c>
      <c r="K126" s="25">
        <f ca="1">IF(staff[[#This Row],[tenure]]&gt;2,(staff[[#This Row],[Salary]]/100)*3,(staff[[#This Row],[Salary]]/100)*2)</f>
        <v>2550</v>
      </c>
      <c r="L126" s="28">
        <f>_xlfn.XLOOKUP(E126,$O$25:$O$29,$P$25:$P$29)</f>
        <v>3</v>
      </c>
    </row>
    <row r="127" spans="2:12" x14ac:dyDescent="0.3">
      <c r="B127" s="28" t="s">
        <v>179</v>
      </c>
      <c r="C127" s="28" t="s">
        <v>8</v>
      </c>
      <c r="D127">
        <v>21</v>
      </c>
      <c r="E127" t="s">
        <v>16</v>
      </c>
      <c r="F127" s="5">
        <v>44619</v>
      </c>
      <c r="G127" t="s">
        <v>12</v>
      </c>
      <c r="H127" s="7">
        <v>33920</v>
      </c>
      <c r="I127" t="s">
        <v>207</v>
      </c>
      <c r="J127" s="6">
        <f ca="1">(TODAY()-F127)/365</f>
        <v>2.2273972602739724</v>
      </c>
      <c r="K127" s="25">
        <f ca="1">IF(staff[[#This Row],[tenure]]&gt;2,(staff[[#This Row],[Salary]]/100)*3,(staff[[#This Row],[Salary]]/100)*2)</f>
        <v>1017.5999999999999</v>
      </c>
      <c r="L127" s="28">
        <f>_xlfn.XLOOKUP(E127,$O$25:$O$29,$P$25:$P$29)</f>
        <v>3</v>
      </c>
    </row>
    <row r="128" spans="2:12" x14ac:dyDescent="0.3">
      <c r="B128" s="28" t="s">
        <v>188</v>
      </c>
      <c r="C128" s="28" t="s">
        <v>8</v>
      </c>
      <c r="D128">
        <v>33</v>
      </c>
      <c r="E128" t="s">
        <v>16</v>
      </c>
      <c r="F128" s="5">
        <v>44253</v>
      </c>
      <c r="G128" t="s">
        <v>12</v>
      </c>
      <c r="H128" s="7">
        <v>75280</v>
      </c>
      <c r="I128" t="s">
        <v>207</v>
      </c>
      <c r="J128" s="6">
        <f ca="1">(TODAY()-F128)/365</f>
        <v>3.2301369863013698</v>
      </c>
      <c r="K128" s="25">
        <f ca="1">IF(staff[[#This Row],[tenure]]&gt;2,(staff[[#This Row],[Salary]]/100)*3,(staff[[#This Row],[Salary]]/100)*2)</f>
        <v>2258.3999999999996</v>
      </c>
      <c r="L128" s="28">
        <f>_xlfn.XLOOKUP(E128,$O$25:$O$29,$P$25:$P$29)</f>
        <v>3</v>
      </c>
    </row>
    <row r="129" spans="2:12" x14ac:dyDescent="0.3">
      <c r="B129" s="28" t="s">
        <v>130</v>
      </c>
      <c r="C129" s="28" t="s">
        <v>8</v>
      </c>
      <c r="D129">
        <v>34</v>
      </c>
      <c r="E129" t="s">
        <v>16</v>
      </c>
      <c r="F129" s="5">
        <v>44594</v>
      </c>
      <c r="G129" t="s">
        <v>21</v>
      </c>
      <c r="H129" s="7">
        <v>58940</v>
      </c>
      <c r="I129" t="s">
        <v>207</v>
      </c>
      <c r="J129" s="6">
        <f ca="1">(TODAY()-F129)/365</f>
        <v>2.2958904109589042</v>
      </c>
      <c r="K129" s="25">
        <f ca="1">IF(staff[[#This Row],[tenure]]&gt;2,(staff[[#This Row],[Salary]]/100)*3,(staff[[#This Row],[Salary]]/100)*2)</f>
        <v>1768.1999999999998</v>
      </c>
      <c r="L129" s="28">
        <f>_xlfn.XLOOKUP(E129,$O$25:$O$29,$P$25:$P$29)</f>
        <v>3</v>
      </c>
    </row>
    <row r="130" spans="2:12" x14ac:dyDescent="0.3">
      <c r="B130" s="28" t="s">
        <v>136</v>
      </c>
      <c r="C130" s="28" t="s">
        <v>8</v>
      </c>
      <c r="D130">
        <v>28</v>
      </c>
      <c r="E130" t="s">
        <v>16</v>
      </c>
      <c r="F130" s="5">
        <v>44425</v>
      </c>
      <c r="G130" t="s">
        <v>9</v>
      </c>
      <c r="H130" s="7">
        <v>104770</v>
      </c>
      <c r="I130" t="s">
        <v>207</v>
      </c>
      <c r="J130" s="6">
        <f ca="1">(TODAY()-F130)/365</f>
        <v>2.7589041095890412</v>
      </c>
      <c r="K130" s="25">
        <f ca="1">IF(staff[[#This Row],[tenure]]&gt;2,(staff[[#This Row],[Salary]]/100)*3,(staff[[#This Row],[Salary]]/100)*2)</f>
        <v>3143.1000000000004</v>
      </c>
      <c r="L130" s="28">
        <f>_xlfn.XLOOKUP(E130,$O$25:$O$29,$P$25:$P$29)</f>
        <v>3</v>
      </c>
    </row>
    <row r="131" spans="2:12" x14ac:dyDescent="0.3">
      <c r="B131" s="28" t="s">
        <v>125</v>
      </c>
      <c r="C131" s="28" t="s">
        <v>15</v>
      </c>
      <c r="D131">
        <v>21</v>
      </c>
      <c r="E131" t="s">
        <v>16</v>
      </c>
      <c r="F131" s="5">
        <v>44701</v>
      </c>
      <c r="G131" t="s">
        <v>9</v>
      </c>
      <c r="H131" s="7">
        <v>57090</v>
      </c>
      <c r="I131" t="s">
        <v>207</v>
      </c>
      <c r="J131" s="6">
        <f ca="1">(TODAY()-F131)/365</f>
        <v>2.0027397260273974</v>
      </c>
      <c r="K131" s="25">
        <f ca="1">IF(staff[[#This Row],[tenure]]&gt;2,(staff[[#This Row],[Salary]]/100)*3,(staff[[#This Row],[Salary]]/100)*2)</f>
        <v>1712.6999999999998</v>
      </c>
      <c r="L131" s="28">
        <f>_xlfn.XLOOKUP(E131,$O$25:$O$29,$P$25:$P$29)</f>
        <v>3</v>
      </c>
    </row>
    <row r="132" spans="2:12" x14ac:dyDescent="0.3">
      <c r="B132" s="28" t="s">
        <v>129</v>
      </c>
      <c r="C132" s="28" t="s">
        <v>8</v>
      </c>
      <c r="D132">
        <v>28</v>
      </c>
      <c r="E132" t="s">
        <v>16</v>
      </c>
      <c r="F132" s="5">
        <v>44124</v>
      </c>
      <c r="G132" t="s">
        <v>21</v>
      </c>
      <c r="H132" s="7">
        <v>75970</v>
      </c>
      <c r="I132" t="s">
        <v>207</v>
      </c>
      <c r="J132" s="6">
        <f ca="1">(TODAY()-F132)/365</f>
        <v>3.5835616438356164</v>
      </c>
      <c r="K132" s="25">
        <f ca="1">IF(staff[[#This Row],[tenure]]&gt;2,(staff[[#This Row],[Salary]]/100)*3,(staff[[#This Row],[Salary]]/100)*2)</f>
        <v>2279.1000000000004</v>
      </c>
      <c r="L132" s="28">
        <f>_xlfn.XLOOKUP(E132,$O$25:$O$29,$P$25:$P$29)</f>
        <v>3</v>
      </c>
    </row>
    <row r="133" spans="2:12" x14ac:dyDescent="0.3">
      <c r="B133" s="28" t="s">
        <v>131</v>
      </c>
      <c r="C133" s="28" t="s">
        <v>15</v>
      </c>
      <c r="D133">
        <v>30</v>
      </c>
      <c r="E133" t="s">
        <v>16</v>
      </c>
      <c r="F133" s="5">
        <v>44607</v>
      </c>
      <c r="G133" t="s">
        <v>9</v>
      </c>
      <c r="H133" s="7">
        <v>60570</v>
      </c>
      <c r="I133" t="s">
        <v>207</v>
      </c>
      <c r="J133" s="6">
        <f ca="1">(TODAY()-F133)/365</f>
        <v>2.2602739726027399</v>
      </c>
      <c r="K133" s="25">
        <f ca="1">IF(staff[[#This Row],[tenure]]&gt;2,(staff[[#This Row],[Salary]]/100)*3,(staff[[#This Row],[Salary]]/100)*2)</f>
        <v>1817.1000000000001</v>
      </c>
      <c r="L133" s="28">
        <f>_xlfn.XLOOKUP(E133,$O$25:$O$29,$P$25:$P$29)</f>
        <v>3</v>
      </c>
    </row>
    <row r="134" spans="2:12" x14ac:dyDescent="0.3">
      <c r="B134" s="28" t="s">
        <v>134</v>
      </c>
      <c r="C134" s="28" t="s">
        <v>15</v>
      </c>
      <c r="D134">
        <v>33</v>
      </c>
      <c r="E134" t="s">
        <v>16</v>
      </c>
      <c r="F134" s="5">
        <v>44103</v>
      </c>
      <c r="G134" t="s">
        <v>9</v>
      </c>
      <c r="H134" s="7">
        <v>115920</v>
      </c>
      <c r="I134" t="s">
        <v>207</v>
      </c>
      <c r="J134" s="6">
        <f ca="1">(TODAY()-F134)/365</f>
        <v>3.6410958904109587</v>
      </c>
      <c r="K134" s="25">
        <f ca="1">IF(staff[[#This Row],[tenure]]&gt;2,(staff[[#This Row],[Salary]]/100)*3,(staff[[#This Row],[Salary]]/100)*2)</f>
        <v>3477.6000000000004</v>
      </c>
      <c r="L134" s="28">
        <f>_xlfn.XLOOKUP(E134,$O$25:$O$29,$P$25:$P$29)</f>
        <v>3</v>
      </c>
    </row>
    <row r="135" spans="2:12" x14ac:dyDescent="0.3">
      <c r="B135" s="28" t="s">
        <v>186</v>
      </c>
      <c r="C135" s="28" t="s">
        <v>8</v>
      </c>
      <c r="D135">
        <v>33</v>
      </c>
      <c r="E135" t="s">
        <v>16</v>
      </c>
      <c r="F135" s="5">
        <v>44006</v>
      </c>
      <c r="G135" t="s">
        <v>21</v>
      </c>
      <c r="H135" s="7">
        <v>65360</v>
      </c>
      <c r="I135" t="s">
        <v>207</v>
      </c>
      <c r="J135" s="6">
        <f ca="1">(TODAY()-F135)/365</f>
        <v>3.9068493150684933</v>
      </c>
      <c r="K135" s="25">
        <f ca="1">IF(staff[[#This Row],[tenure]]&gt;2,(staff[[#This Row],[Salary]]/100)*3,(staff[[#This Row],[Salary]]/100)*2)</f>
        <v>1960.8000000000002</v>
      </c>
      <c r="L135" s="28">
        <f>_xlfn.XLOOKUP(E135,$O$25:$O$29,$P$25:$P$29)</f>
        <v>3</v>
      </c>
    </row>
    <row r="136" spans="2:12" x14ac:dyDescent="0.3">
      <c r="B136" s="28" t="s">
        <v>116</v>
      </c>
      <c r="C136" s="28" t="s">
        <v>206</v>
      </c>
      <c r="D136">
        <v>30</v>
      </c>
      <c r="E136" t="s">
        <v>16</v>
      </c>
      <c r="F136" s="5">
        <v>44535</v>
      </c>
      <c r="G136" t="s">
        <v>21</v>
      </c>
      <c r="H136" s="7">
        <v>64000</v>
      </c>
      <c r="I136" t="s">
        <v>207</v>
      </c>
      <c r="J136" s="6">
        <f ca="1">(TODAY()-F136)/365</f>
        <v>2.4575342465753423</v>
      </c>
      <c r="K136" s="25">
        <f ca="1">IF(staff[[#This Row],[tenure]]&gt;2,(staff[[#This Row],[Salary]]/100)*3,(staff[[#This Row],[Salary]]/100)*2)</f>
        <v>1920</v>
      </c>
      <c r="L136" s="28">
        <f>_xlfn.XLOOKUP(E136,$O$25:$O$29,$P$25:$P$29)</f>
        <v>3</v>
      </c>
    </row>
    <row r="137" spans="2:12" x14ac:dyDescent="0.3">
      <c r="B137" s="28" t="s">
        <v>195</v>
      </c>
      <c r="C137" s="28" t="s">
        <v>8</v>
      </c>
      <c r="D137">
        <v>34</v>
      </c>
      <c r="E137" t="s">
        <v>16</v>
      </c>
      <c r="F137" s="5">
        <v>44383</v>
      </c>
      <c r="G137" t="s">
        <v>21</v>
      </c>
      <c r="H137" s="7">
        <v>92450</v>
      </c>
      <c r="I137" t="s">
        <v>207</v>
      </c>
      <c r="J137" s="6">
        <f ca="1">(TODAY()-F137)/365</f>
        <v>2.8739726027397259</v>
      </c>
      <c r="K137" s="25">
        <f ca="1">IF(staff[[#This Row],[tenure]]&gt;2,(staff[[#This Row],[Salary]]/100)*3,(staff[[#This Row],[Salary]]/100)*2)</f>
        <v>2773.5</v>
      </c>
      <c r="L137" s="28">
        <f>_xlfn.XLOOKUP(E137,$O$25:$O$29,$P$25:$P$29)</f>
        <v>3</v>
      </c>
    </row>
    <row r="138" spans="2:12" x14ac:dyDescent="0.3">
      <c r="B138" s="28" t="s">
        <v>113</v>
      </c>
      <c r="C138" s="28" t="s">
        <v>15</v>
      </c>
      <c r="D138">
        <v>31</v>
      </c>
      <c r="E138" t="s">
        <v>16</v>
      </c>
      <c r="F138" s="5">
        <v>44450</v>
      </c>
      <c r="G138" t="s">
        <v>12</v>
      </c>
      <c r="H138" s="7">
        <v>48950</v>
      </c>
      <c r="I138" t="s">
        <v>207</v>
      </c>
      <c r="J138" s="6">
        <f ca="1">(TODAY()-F138)/365</f>
        <v>2.6904109589041094</v>
      </c>
      <c r="K138" s="25">
        <f ca="1">IF(staff[[#This Row],[tenure]]&gt;2,(staff[[#This Row],[Salary]]/100)*3,(staff[[#This Row],[Salary]]/100)*2)</f>
        <v>1468.5</v>
      </c>
      <c r="L138" s="28">
        <f>_xlfn.XLOOKUP(E138,$O$25:$O$29,$P$25:$P$29)</f>
        <v>3</v>
      </c>
    </row>
    <row r="139" spans="2:12" x14ac:dyDescent="0.3">
      <c r="B139" s="28" t="s">
        <v>185</v>
      </c>
      <c r="C139" s="28" t="s">
        <v>8</v>
      </c>
      <c r="D139">
        <v>27</v>
      </c>
      <c r="E139" t="s">
        <v>16</v>
      </c>
      <c r="F139" s="5">
        <v>44625</v>
      </c>
      <c r="G139" t="s">
        <v>12</v>
      </c>
      <c r="H139" s="7">
        <v>83750</v>
      </c>
      <c r="I139" t="s">
        <v>207</v>
      </c>
      <c r="J139" s="6">
        <f ca="1">(TODAY()-F139)/365</f>
        <v>2.2109589041095892</v>
      </c>
      <c r="K139" s="25">
        <f ca="1">IF(staff[[#This Row],[tenure]]&gt;2,(staff[[#This Row],[Salary]]/100)*3,(staff[[#This Row],[Salary]]/100)*2)</f>
        <v>2512.5</v>
      </c>
      <c r="L139" s="28">
        <f>_xlfn.XLOOKUP(E139,$O$25:$O$29,$P$25:$P$29)</f>
        <v>3</v>
      </c>
    </row>
    <row r="140" spans="2:12" x14ac:dyDescent="0.3">
      <c r="B140" s="28" t="s">
        <v>166</v>
      </c>
      <c r="C140" s="28" t="s">
        <v>8</v>
      </c>
      <c r="D140">
        <v>40</v>
      </c>
      <c r="E140" t="s">
        <v>16</v>
      </c>
      <c r="F140" s="5">
        <v>44276</v>
      </c>
      <c r="G140" t="s">
        <v>12</v>
      </c>
      <c r="H140" s="7">
        <v>87620</v>
      </c>
      <c r="I140" t="s">
        <v>207</v>
      </c>
      <c r="J140" s="6">
        <f ca="1">(TODAY()-F140)/365</f>
        <v>3.1671232876712327</v>
      </c>
      <c r="K140" s="25">
        <f ca="1">IF(staff[[#This Row],[tenure]]&gt;2,(staff[[#This Row],[Salary]]/100)*3,(staff[[#This Row],[Salary]]/100)*2)</f>
        <v>2628.6000000000004</v>
      </c>
      <c r="L140" s="28">
        <f>_xlfn.XLOOKUP(E140,$O$25:$O$29,$P$25:$P$29)</f>
        <v>3</v>
      </c>
    </row>
    <row r="141" spans="2:12" x14ac:dyDescent="0.3">
      <c r="B141" s="28" t="s">
        <v>157</v>
      </c>
      <c r="C141" s="28" t="s">
        <v>15</v>
      </c>
      <c r="D141">
        <v>32</v>
      </c>
      <c r="E141" t="s">
        <v>16</v>
      </c>
      <c r="F141" s="5">
        <v>44403</v>
      </c>
      <c r="G141" t="s">
        <v>19</v>
      </c>
      <c r="H141" s="7">
        <v>53540</v>
      </c>
      <c r="I141" t="s">
        <v>207</v>
      </c>
      <c r="J141" s="6">
        <f ca="1">(TODAY()-F141)/365</f>
        <v>2.8191780821917809</v>
      </c>
      <c r="K141" s="25">
        <f ca="1">IF(staff[[#This Row],[tenure]]&gt;2,(staff[[#This Row],[Salary]]/100)*3,(staff[[#This Row],[Salary]]/100)*2)</f>
        <v>1606.1999999999998</v>
      </c>
      <c r="L141" s="28">
        <f>_xlfn.XLOOKUP(E141,$O$25:$O$29,$P$25:$P$29)</f>
        <v>3</v>
      </c>
    </row>
    <row r="142" spans="2:12" x14ac:dyDescent="0.3">
      <c r="B142" s="28" t="s">
        <v>198</v>
      </c>
      <c r="C142" s="28" t="s">
        <v>15</v>
      </c>
      <c r="D142">
        <v>40</v>
      </c>
      <c r="E142" t="s">
        <v>16</v>
      </c>
      <c r="F142" s="5">
        <v>44204</v>
      </c>
      <c r="G142" t="s">
        <v>9</v>
      </c>
      <c r="H142" s="7">
        <v>99750</v>
      </c>
      <c r="I142" t="s">
        <v>207</v>
      </c>
      <c r="J142" s="6">
        <f ca="1">(TODAY()-F142)/365</f>
        <v>3.3643835616438356</v>
      </c>
      <c r="K142" s="25">
        <f ca="1">IF(staff[[#This Row],[tenure]]&gt;2,(staff[[#This Row],[Salary]]/100)*3,(staff[[#This Row],[Salary]]/100)*2)</f>
        <v>2992.5</v>
      </c>
      <c r="L142" s="28">
        <f>_xlfn.XLOOKUP(E142,$O$25:$O$29,$P$25:$P$29)</f>
        <v>3</v>
      </c>
    </row>
    <row r="143" spans="2:12" x14ac:dyDescent="0.3">
      <c r="B143" s="28" t="s">
        <v>124</v>
      </c>
      <c r="C143" s="28" t="s">
        <v>8</v>
      </c>
      <c r="D143">
        <v>31</v>
      </c>
      <c r="E143" t="s">
        <v>16</v>
      </c>
      <c r="F143" s="5">
        <v>44084</v>
      </c>
      <c r="G143" t="s">
        <v>12</v>
      </c>
      <c r="H143" s="7">
        <v>41980</v>
      </c>
      <c r="I143" t="s">
        <v>207</v>
      </c>
      <c r="J143" s="6">
        <f ca="1">(TODAY()-F143)/365</f>
        <v>3.6931506849315068</v>
      </c>
      <c r="K143" s="25">
        <f ca="1">IF(staff[[#This Row],[tenure]]&gt;2,(staff[[#This Row],[Salary]]/100)*3,(staff[[#This Row],[Salary]]/100)*2)</f>
        <v>1259.4000000000001</v>
      </c>
      <c r="L143" s="28">
        <f>_xlfn.XLOOKUP(E143,$O$25:$O$29,$P$25:$P$29)</f>
        <v>3</v>
      </c>
    </row>
    <row r="144" spans="2:12" x14ac:dyDescent="0.3">
      <c r="B144" s="28" t="s">
        <v>187</v>
      </c>
      <c r="C144" s="28" t="s">
        <v>15</v>
      </c>
      <c r="D144">
        <v>36</v>
      </c>
      <c r="E144" t="s">
        <v>16</v>
      </c>
      <c r="F144" s="5">
        <v>44272</v>
      </c>
      <c r="G144" t="s">
        <v>21</v>
      </c>
      <c r="H144" s="7">
        <v>71380</v>
      </c>
      <c r="I144" t="s">
        <v>207</v>
      </c>
      <c r="J144" s="6">
        <f ca="1">(TODAY()-F144)/365</f>
        <v>3.1780821917808217</v>
      </c>
      <c r="K144" s="25">
        <f ca="1">IF(staff[[#This Row],[tenure]]&gt;2,(staff[[#This Row],[Salary]]/100)*3,(staff[[#This Row],[Salary]]/100)*2)</f>
        <v>2141.3999999999996</v>
      </c>
      <c r="L144" s="28">
        <f>_xlfn.XLOOKUP(E144,$O$25:$O$29,$P$25:$P$29)</f>
        <v>3</v>
      </c>
    </row>
    <row r="145" spans="2:12" x14ac:dyDescent="0.3">
      <c r="B145" s="28" t="s">
        <v>181</v>
      </c>
      <c r="C145" s="28" t="s">
        <v>8</v>
      </c>
      <c r="D145">
        <v>33</v>
      </c>
      <c r="E145" t="s">
        <v>16</v>
      </c>
      <c r="F145" s="5">
        <v>44747</v>
      </c>
      <c r="G145" t="s">
        <v>21</v>
      </c>
      <c r="H145" s="7">
        <v>86570</v>
      </c>
      <c r="I145" t="s">
        <v>207</v>
      </c>
      <c r="J145" s="6">
        <f ca="1">(TODAY()-F145)/365</f>
        <v>1.8767123287671232</v>
      </c>
      <c r="K145" s="25">
        <f ca="1">IF(staff[[#This Row],[tenure]]&gt;2,(staff[[#This Row],[Salary]]/100)*3,(staff[[#This Row],[Salary]]/100)*2)</f>
        <v>1731.4</v>
      </c>
      <c r="L145" s="28">
        <f>_xlfn.XLOOKUP(E145,$O$25:$O$29,$P$25:$P$29)</f>
        <v>3</v>
      </c>
    </row>
    <row r="146" spans="2:12" x14ac:dyDescent="0.3">
      <c r="B146" s="28" t="s">
        <v>139</v>
      </c>
      <c r="C146" s="28" t="s">
        <v>15</v>
      </c>
      <c r="D146">
        <v>26</v>
      </c>
      <c r="E146" t="s">
        <v>16</v>
      </c>
      <c r="F146" s="5">
        <v>44350</v>
      </c>
      <c r="G146" t="s">
        <v>9</v>
      </c>
      <c r="H146" s="7">
        <v>53540</v>
      </c>
      <c r="I146" t="s">
        <v>207</v>
      </c>
      <c r="J146" s="6">
        <f ca="1">(TODAY()-F146)/365</f>
        <v>2.9643835616438357</v>
      </c>
      <c r="K146" s="25">
        <f ca="1">IF(staff[[#This Row],[tenure]]&gt;2,(staff[[#This Row],[Salary]]/100)*3,(staff[[#This Row],[Salary]]/100)*2)</f>
        <v>1606.1999999999998</v>
      </c>
      <c r="L146" s="28">
        <f>_xlfn.XLOOKUP(E146,$O$25:$O$29,$P$25:$P$29)</f>
        <v>3</v>
      </c>
    </row>
    <row r="147" spans="2:12" x14ac:dyDescent="0.3">
      <c r="B147" s="28" t="s">
        <v>190</v>
      </c>
      <c r="C147" s="28" t="s">
        <v>15</v>
      </c>
      <c r="D147">
        <v>37</v>
      </c>
      <c r="E147" t="s">
        <v>16</v>
      </c>
      <c r="F147" s="5">
        <v>44640</v>
      </c>
      <c r="G147" t="s">
        <v>12</v>
      </c>
      <c r="H147" s="7">
        <v>69070</v>
      </c>
      <c r="I147" t="s">
        <v>207</v>
      </c>
      <c r="J147" s="6">
        <f ca="1">(TODAY()-F147)/365</f>
        <v>2.1698630136986301</v>
      </c>
      <c r="K147" s="25">
        <f ca="1">IF(staff[[#This Row],[tenure]]&gt;2,(staff[[#This Row],[Salary]]/100)*3,(staff[[#This Row],[Salary]]/100)*2)</f>
        <v>2072.1000000000004</v>
      </c>
      <c r="L147" s="28">
        <f>_xlfn.XLOOKUP(E147,$O$25:$O$29,$P$25:$P$29)</f>
        <v>3</v>
      </c>
    </row>
    <row r="148" spans="2:12" x14ac:dyDescent="0.3">
      <c r="B148" s="28" t="s">
        <v>119</v>
      </c>
      <c r="C148" s="28" t="s">
        <v>15</v>
      </c>
      <c r="D148">
        <v>30</v>
      </c>
      <c r="E148" t="s">
        <v>16</v>
      </c>
      <c r="F148" s="5">
        <v>44214</v>
      </c>
      <c r="G148" t="s">
        <v>12</v>
      </c>
      <c r="H148" s="7">
        <v>69120</v>
      </c>
      <c r="I148" t="s">
        <v>207</v>
      </c>
      <c r="J148" s="6">
        <f ca="1">(TODAY()-F148)/365</f>
        <v>3.3369863013698629</v>
      </c>
      <c r="K148" s="25">
        <f ca="1">IF(staff[[#This Row],[tenure]]&gt;2,(staff[[#This Row],[Salary]]/100)*3,(staff[[#This Row],[Salary]]/100)*2)</f>
        <v>2073.6000000000004</v>
      </c>
      <c r="L148" s="28">
        <f>_xlfn.XLOOKUP(E148,$O$25:$O$29,$P$25:$P$29)</f>
        <v>3</v>
      </c>
    </row>
    <row r="149" spans="2:12" x14ac:dyDescent="0.3">
      <c r="B149" s="28" t="s">
        <v>132</v>
      </c>
      <c r="C149" s="28" t="s">
        <v>8</v>
      </c>
      <c r="D149">
        <v>34</v>
      </c>
      <c r="E149" t="s">
        <v>16</v>
      </c>
      <c r="F149" s="5">
        <v>44550</v>
      </c>
      <c r="G149" t="s">
        <v>21</v>
      </c>
      <c r="H149" s="7">
        <v>60130</v>
      </c>
      <c r="I149" t="s">
        <v>207</v>
      </c>
      <c r="J149" s="6">
        <f ca="1">(TODAY()-F149)/365</f>
        <v>2.4164383561643836</v>
      </c>
      <c r="K149" s="25">
        <f ca="1">IF(staff[[#This Row],[tenure]]&gt;2,(staff[[#This Row],[Salary]]/100)*3,(staff[[#This Row],[Salary]]/100)*2)</f>
        <v>1803.8999999999999</v>
      </c>
      <c r="L149" s="28">
        <f>_xlfn.XLOOKUP(E149,$O$25:$O$29,$P$25:$P$29)</f>
        <v>3</v>
      </c>
    </row>
    <row r="150" spans="2:12" x14ac:dyDescent="0.3">
      <c r="B150" s="28" t="s">
        <v>161</v>
      </c>
      <c r="C150" s="28" t="s">
        <v>15</v>
      </c>
      <c r="D150">
        <v>23</v>
      </c>
      <c r="E150" t="s">
        <v>16</v>
      </c>
      <c r="F150" s="5">
        <v>44378</v>
      </c>
      <c r="G150" t="s">
        <v>9</v>
      </c>
      <c r="H150" s="7">
        <v>106460</v>
      </c>
      <c r="I150" t="s">
        <v>207</v>
      </c>
      <c r="J150" s="6">
        <f ca="1">(TODAY()-F150)/365</f>
        <v>2.8876712328767122</v>
      </c>
      <c r="K150" s="25">
        <f ca="1">IF(staff[[#This Row],[tenure]]&gt;2,(staff[[#This Row],[Salary]]/100)*3,(staff[[#This Row],[Salary]]/100)*2)</f>
        <v>3193.7999999999997</v>
      </c>
      <c r="L150" s="28">
        <f>_xlfn.XLOOKUP(E150,$O$25:$O$29,$P$25:$P$29)</f>
        <v>3</v>
      </c>
    </row>
    <row r="151" spans="2:12" x14ac:dyDescent="0.3">
      <c r="B151" s="28" t="s">
        <v>148</v>
      </c>
      <c r="C151" s="28" t="s">
        <v>8</v>
      </c>
      <c r="D151">
        <v>37</v>
      </c>
      <c r="E151" t="s">
        <v>16</v>
      </c>
      <c r="F151" s="5">
        <v>44389</v>
      </c>
      <c r="G151" t="s">
        <v>56</v>
      </c>
      <c r="H151" s="7">
        <v>118100</v>
      </c>
      <c r="I151" t="s">
        <v>207</v>
      </c>
      <c r="J151" s="6">
        <f ca="1">(TODAY()-F151)/365</f>
        <v>2.8575342465753426</v>
      </c>
      <c r="K151" s="25">
        <f ca="1">IF(staff[[#This Row],[tenure]]&gt;2,(staff[[#This Row],[Salary]]/100)*3,(staff[[#This Row],[Salary]]/100)*2)</f>
        <v>3543</v>
      </c>
      <c r="L151" s="28">
        <f>_xlfn.XLOOKUP(E151,$O$25:$O$29,$P$25:$P$29)</f>
        <v>3</v>
      </c>
    </row>
    <row r="152" spans="2:12" x14ac:dyDescent="0.3">
      <c r="B152" s="28" t="s">
        <v>164</v>
      </c>
      <c r="C152" s="28" t="s">
        <v>8</v>
      </c>
      <c r="D152">
        <v>36</v>
      </c>
      <c r="E152" t="s">
        <v>16</v>
      </c>
      <c r="F152" s="5">
        <v>44468</v>
      </c>
      <c r="G152" t="s">
        <v>9</v>
      </c>
      <c r="H152" s="7">
        <v>78390</v>
      </c>
      <c r="I152" t="s">
        <v>207</v>
      </c>
      <c r="J152" s="6">
        <f ca="1">(TODAY()-F152)/365</f>
        <v>2.6410958904109587</v>
      </c>
      <c r="K152" s="25">
        <f ca="1">IF(staff[[#This Row],[tenure]]&gt;2,(staff[[#This Row],[Salary]]/100)*3,(staff[[#This Row],[Salary]]/100)*2)</f>
        <v>2351.6999999999998</v>
      </c>
      <c r="L152" s="28">
        <f>_xlfn.XLOOKUP(E152,$O$25:$O$29,$P$25:$P$29)</f>
        <v>3</v>
      </c>
    </row>
    <row r="153" spans="2:12" x14ac:dyDescent="0.3">
      <c r="B153" s="28" t="s">
        <v>147</v>
      </c>
      <c r="C153" s="28" t="s">
        <v>8</v>
      </c>
      <c r="D153">
        <v>30</v>
      </c>
      <c r="E153" t="s">
        <v>16</v>
      </c>
      <c r="F153" s="5">
        <v>44789</v>
      </c>
      <c r="G153" t="s">
        <v>9</v>
      </c>
      <c r="H153" s="7">
        <v>114180</v>
      </c>
      <c r="I153" t="s">
        <v>207</v>
      </c>
      <c r="J153" s="6">
        <f ca="1">(TODAY()-F153)/365</f>
        <v>1.7616438356164383</v>
      </c>
      <c r="K153" s="25">
        <f ca="1">IF(staff[[#This Row],[tenure]]&gt;2,(staff[[#This Row],[Salary]]/100)*3,(staff[[#This Row],[Salary]]/100)*2)</f>
        <v>2283.6</v>
      </c>
      <c r="L153" s="28">
        <f>_xlfn.XLOOKUP(E153,$O$25:$O$29,$P$25:$P$29)</f>
        <v>3</v>
      </c>
    </row>
    <row r="154" spans="2:12" x14ac:dyDescent="0.3">
      <c r="B154" s="28" t="s">
        <v>189</v>
      </c>
      <c r="C154" s="28" t="s">
        <v>8</v>
      </c>
      <c r="D154">
        <v>28</v>
      </c>
      <c r="E154" t="s">
        <v>16</v>
      </c>
      <c r="F154" s="5">
        <v>44590</v>
      </c>
      <c r="G154" t="s">
        <v>9</v>
      </c>
      <c r="H154" s="7">
        <v>104120</v>
      </c>
      <c r="I154" t="s">
        <v>207</v>
      </c>
      <c r="J154" s="6">
        <f ca="1">(TODAY()-F154)/365</f>
        <v>2.3068493150684932</v>
      </c>
      <c r="K154" s="25">
        <f ca="1">IF(staff[[#This Row],[tenure]]&gt;2,(staff[[#This Row],[Salary]]/100)*3,(staff[[#This Row],[Salary]]/100)*2)</f>
        <v>3123.6000000000004</v>
      </c>
      <c r="L154" s="28">
        <f>_xlfn.XLOOKUP(E154,$O$25:$O$29,$P$25:$P$29)</f>
        <v>3</v>
      </c>
    </row>
    <row r="155" spans="2:12" x14ac:dyDescent="0.3">
      <c r="B155" s="28" t="s">
        <v>138</v>
      </c>
      <c r="C155" s="28" t="s">
        <v>15</v>
      </c>
      <c r="D155">
        <v>30</v>
      </c>
      <c r="E155" t="s">
        <v>16</v>
      </c>
      <c r="F155" s="5">
        <v>44640</v>
      </c>
      <c r="G155" t="s">
        <v>9</v>
      </c>
      <c r="H155" s="7">
        <v>67950</v>
      </c>
      <c r="I155" t="s">
        <v>207</v>
      </c>
      <c r="J155" s="6">
        <f ca="1">(TODAY()-F155)/365</f>
        <v>2.1698630136986301</v>
      </c>
      <c r="K155" s="25">
        <f ca="1">IF(staff[[#This Row],[tenure]]&gt;2,(staff[[#This Row],[Salary]]/100)*3,(staff[[#This Row],[Salary]]/100)*2)</f>
        <v>2038.5</v>
      </c>
      <c r="L155" s="28">
        <f>_xlfn.XLOOKUP(E155,$O$25:$O$29,$P$25:$P$29)</f>
        <v>3</v>
      </c>
    </row>
    <row r="156" spans="2:12" x14ac:dyDescent="0.3">
      <c r="B156" s="28" t="s">
        <v>137</v>
      </c>
      <c r="C156" s="28" t="s">
        <v>8</v>
      </c>
      <c r="D156">
        <v>29</v>
      </c>
      <c r="E156" t="s">
        <v>16</v>
      </c>
      <c r="F156" s="5">
        <v>43962</v>
      </c>
      <c r="G156" t="s">
        <v>12</v>
      </c>
      <c r="H156" s="7">
        <v>34980</v>
      </c>
      <c r="I156" t="s">
        <v>207</v>
      </c>
      <c r="J156" s="6">
        <f ca="1">(TODAY()-F156)/365</f>
        <v>4.0273972602739727</v>
      </c>
      <c r="K156" s="25">
        <f ca="1">IF(staff[[#This Row],[tenure]]&gt;2,(staff[[#This Row],[Salary]]/100)*3,(staff[[#This Row],[Salary]]/100)*2)</f>
        <v>1049.4000000000001</v>
      </c>
      <c r="L156" s="28">
        <f>_xlfn.XLOOKUP(E156,$O$25:$O$29,$P$25:$P$29)</f>
        <v>3</v>
      </c>
    </row>
    <row r="157" spans="2:12" x14ac:dyDescent="0.3">
      <c r="B157" s="28" t="s">
        <v>153</v>
      </c>
      <c r="C157" s="28" t="s">
        <v>8</v>
      </c>
      <c r="D157">
        <v>24</v>
      </c>
      <c r="E157" t="s">
        <v>16</v>
      </c>
      <c r="F157" s="5">
        <v>44087</v>
      </c>
      <c r="G157" t="s">
        <v>12</v>
      </c>
      <c r="H157" s="7">
        <v>62780</v>
      </c>
      <c r="I157" t="s">
        <v>207</v>
      </c>
      <c r="J157" s="6">
        <f ca="1">(TODAY()-F157)/365</f>
        <v>3.6849315068493151</v>
      </c>
      <c r="K157" s="25">
        <f ca="1">IF(staff[[#This Row],[tenure]]&gt;2,(staff[[#This Row],[Salary]]/100)*3,(staff[[#This Row],[Salary]]/100)*2)</f>
        <v>1883.3999999999999</v>
      </c>
      <c r="L157" s="28">
        <f>_xlfn.XLOOKUP(E157,$O$25:$O$29,$P$25:$P$29)</f>
        <v>3</v>
      </c>
    </row>
    <row r="158" spans="2:12" x14ac:dyDescent="0.3">
      <c r="B158" s="28" t="s">
        <v>117</v>
      </c>
      <c r="C158" s="28" t="s">
        <v>15</v>
      </c>
      <c r="D158">
        <v>20</v>
      </c>
      <c r="E158" t="s">
        <v>16</v>
      </c>
      <c r="F158" s="5">
        <v>44397</v>
      </c>
      <c r="G158" t="s">
        <v>12</v>
      </c>
      <c r="H158" s="7">
        <v>107700</v>
      </c>
      <c r="I158" t="s">
        <v>207</v>
      </c>
      <c r="J158" s="6">
        <f ca="1">(TODAY()-F158)/365</f>
        <v>2.8356164383561642</v>
      </c>
      <c r="K158" s="25">
        <f ca="1">IF(staff[[#This Row],[tenure]]&gt;2,(staff[[#This Row],[Salary]]/100)*3,(staff[[#This Row],[Salary]]/100)*2)</f>
        <v>3231</v>
      </c>
      <c r="L158" s="28">
        <f>_xlfn.XLOOKUP(E158,$O$25:$O$29,$P$25:$P$29)</f>
        <v>3</v>
      </c>
    </row>
    <row r="159" spans="2:12" x14ac:dyDescent="0.3">
      <c r="B159" s="28" t="s">
        <v>168</v>
      </c>
      <c r="C159" s="28" t="s">
        <v>15</v>
      </c>
      <c r="D159">
        <v>25</v>
      </c>
      <c r="E159" t="s">
        <v>16</v>
      </c>
      <c r="F159" s="5">
        <v>44322</v>
      </c>
      <c r="G159" t="s">
        <v>19</v>
      </c>
      <c r="H159" s="7">
        <v>65700</v>
      </c>
      <c r="I159" t="s">
        <v>207</v>
      </c>
      <c r="J159" s="6">
        <f ca="1">(TODAY()-F159)/365</f>
        <v>3.0410958904109591</v>
      </c>
      <c r="K159" s="25">
        <f ca="1">IF(staff[[#This Row],[tenure]]&gt;2,(staff[[#This Row],[Salary]]/100)*3,(staff[[#This Row],[Salary]]/100)*2)</f>
        <v>1971</v>
      </c>
      <c r="L159" s="28">
        <f>_xlfn.XLOOKUP(E159,$O$25:$O$29,$P$25:$P$29)</f>
        <v>3</v>
      </c>
    </row>
    <row r="160" spans="2:12" x14ac:dyDescent="0.3">
      <c r="B160" s="28" t="s">
        <v>174</v>
      </c>
      <c r="C160" s="28" t="s">
        <v>15</v>
      </c>
      <c r="D160">
        <v>33</v>
      </c>
      <c r="E160" t="s">
        <v>16</v>
      </c>
      <c r="F160" s="5">
        <v>44448</v>
      </c>
      <c r="G160" t="s">
        <v>12</v>
      </c>
      <c r="H160" s="7">
        <v>53870</v>
      </c>
      <c r="I160" t="s">
        <v>207</v>
      </c>
      <c r="J160" s="6">
        <f ca="1">(TODAY()-F160)/365</f>
        <v>2.6958904109589041</v>
      </c>
      <c r="K160" s="25">
        <f ca="1">IF(staff[[#This Row],[tenure]]&gt;2,(staff[[#This Row],[Salary]]/100)*3,(staff[[#This Row],[Salary]]/100)*2)</f>
        <v>1616.1000000000001</v>
      </c>
      <c r="L160" s="28">
        <f>_xlfn.XLOOKUP(E160,$O$25:$O$29,$P$25:$P$29)</f>
        <v>3</v>
      </c>
    </row>
    <row r="161" spans="2:12" x14ac:dyDescent="0.3">
      <c r="B161" s="28" t="s">
        <v>141</v>
      </c>
      <c r="C161" s="28" t="s">
        <v>8</v>
      </c>
      <c r="D161">
        <v>36</v>
      </c>
      <c r="E161" t="s">
        <v>16</v>
      </c>
      <c r="F161" s="5">
        <v>44433</v>
      </c>
      <c r="G161" t="s">
        <v>19</v>
      </c>
      <c r="H161" s="7">
        <v>78540</v>
      </c>
      <c r="I161" t="s">
        <v>207</v>
      </c>
      <c r="J161" s="6">
        <f ca="1">(TODAY()-F161)/365</f>
        <v>2.7369863013698632</v>
      </c>
      <c r="K161" s="25">
        <f ca="1">IF(staff[[#This Row],[tenure]]&gt;2,(staff[[#This Row],[Salary]]/100)*3,(staff[[#This Row],[Salary]]/100)*2)</f>
        <v>2356.1999999999998</v>
      </c>
      <c r="L161" s="28">
        <f>_xlfn.XLOOKUP(E161,$O$25:$O$29,$P$25:$P$29)</f>
        <v>3</v>
      </c>
    </row>
    <row r="162" spans="2:12" x14ac:dyDescent="0.3">
      <c r="B162" s="28" t="s">
        <v>193</v>
      </c>
      <c r="C162" s="28" t="s">
        <v>15</v>
      </c>
      <c r="D162">
        <v>19</v>
      </c>
      <c r="E162" t="s">
        <v>16</v>
      </c>
      <c r="F162" s="5">
        <v>44218</v>
      </c>
      <c r="G162" t="s">
        <v>9</v>
      </c>
      <c r="H162" s="7">
        <v>58960</v>
      </c>
      <c r="I162" t="s">
        <v>207</v>
      </c>
      <c r="J162" s="6">
        <f ca="1">(TODAY()-F162)/365</f>
        <v>3.3260273972602739</v>
      </c>
      <c r="K162" s="25">
        <f ca="1">IF(staff[[#This Row],[tenure]]&gt;2,(staff[[#This Row],[Salary]]/100)*3,(staff[[#This Row],[Salary]]/100)*2)</f>
        <v>1768.8000000000002</v>
      </c>
      <c r="L162" s="28">
        <f>_xlfn.XLOOKUP(E162,$O$25:$O$29,$P$25:$P$29)</f>
        <v>3</v>
      </c>
    </row>
    <row r="163" spans="2:12" x14ac:dyDescent="0.3">
      <c r="B163" s="28" t="s">
        <v>162</v>
      </c>
      <c r="C163" s="28" t="s">
        <v>15</v>
      </c>
      <c r="D163">
        <v>46</v>
      </c>
      <c r="E163" t="s">
        <v>16</v>
      </c>
      <c r="F163" s="5">
        <v>44697</v>
      </c>
      <c r="G163" t="s">
        <v>9</v>
      </c>
      <c r="H163" s="7">
        <v>70610</v>
      </c>
      <c r="I163" t="s">
        <v>207</v>
      </c>
      <c r="J163" s="6">
        <f ca="1">(TODAY()-F163)/365</f>
        <v>2.0136986301369864</v>
      </c>
      <c r="K163" s="25">
        <f ca="1">IF(staff[[#This Row],[tenure]]&gt;2,(staff[[#This Row],[Salary]]/100)*3,(staff[[#This Row],[Salary]]/100)*2)</f>
        <v>2118.3000000000002</v>
      </c>
      <c r="L163" s="28">
        <f>_xlfn.XLOOKUP(E163,$O$25:$O$29,$P$25:$P$29)</f>
        <v>3</v>
      </c>
    </row>
    <row r="164" spans="2:12" x14ac:dyDescent="0.3">
      <c r="B164" s="28" t="s">
        <v>171</v>
      </c>
      <c r="C164" s="28" t="s">
        <v>15</v>
      </c>
      <c r="D164">
        <v>33</v>
      </c>
      <c r="E164" t="s">
        <v>16</v>
      </c>
      <c r="F164" s="5">
        <v>44181</v>
      </c>
      <c r="G164" t="s">
        <v>21</v>
      </c>
      <c r="H164" s="7">
        <v>59430</v>
      </c>
      <c r="I164" t="s">
        <v>207</v>
      </c>
      <c r="J164" s="6">
        <f ca="1">(TODAY()-F164)/365</f>
        <v>3.4273972602739726</v>
      </c>
      <c r="K164" s="25">
        <f ca="1">IF(staff[[#This Row],[tenure]]&gt;2,(staff[[#This Row],[Salary]]/100)*3,(staff[[#This Row],[Salary]]/100)*2)</f>
        <v>1782.8999999999999</v>
      </c>
      <c r="L164" s="28">
        <f>_xlfn.XLOOKUP(E164,$O$25:$O$29,$P$25:$P$29)</f>
        <v>3</v>
      </c>
    </row>
    <row r="165" spans="2:12" x14ac:dyDescent="0.3">
      <c r="B165" s="28" t="s">
        <v>163</v>
      </c>
      <c r="C165" s="28" t="s">
        <v>8</v>
      </c>
      <c r="D165">
        <v>33</v>
      </c>
      <c r="E165" t="s">
        <v>16</v>
      </c>
      <c r="F165" s="5">
        <v>44129</v>
      </c>
      <c r="G165" t="s">
        <v>12</v>
      </c>
      <c r="H165" s="7">
        <v>96140</v>
      </c>
      <c r="I165" t="s">
        <v>207</v>
      </c>
      <c r="J165" s="6">
        <f ca="1">(TODAY()-F165)/365</f>
        <v>3.56986301369863</v>
      </c>
      <c r="K165" s="25">
        <f ca="1">IF(staff[[#This Row],[tenure]]&gt;2,(staff[[#This Row],[Salary]]/100)*3,(staff[[#This Row],[Salary]]/100)*2)</f>
        <v>2884.2</v>
      </c>
      <c r="L165" s="28">
        <f>_xlfn.XLOOKUP(E165,$O$25:$O$29,$P$25:$P$29)</f>
        <v>3</v>
      </c>
    </row>
    <row r="166" spans="2:12" x14ac:dyDescent="0.3">
      <c r="B166" s="28" t="s">
        <v>49</v>
      </c>
      <c r="C166" s="28" t="s">
        <v>206</v>
      </c>
      <c r="D166">
        <v>37</v>
      </c>
      <c r="E166" t="s">
        <v>24</v>
      </c>
      <c r="F166" s="5">
        <v>44146</v>
      </c>
      <c r="G166" t="s">
        <v>21</v>
      </c>
      <c r="H166" s="7">
        <v>115440</v>
      </c>
      <c r="I166" t="s">
        <v>205</v>
      </c>
      <c r="J166" s="6">
        <f ca="1">(TODAY()-F166)/365</f>
        <v>3.5232876712328767</v>
      </c>
      <c r="K166" s="25">
        <f ca="1">IF(staff[[#This Row],[tenure]]&gt;2,(staff[[#This Row],[Salary]]/100)*3,(staff[[#This Row],[Salary]]/100)*2)</f>
        <v>3463.2000000000003</v>
      </c>
      <c r="L166" s="28">
        <f>_xlfn.XLOOKUP(E166,$O$25:$O$29,$P$25:$P$29)</f>
        <v>2</v>
      </c>
    </row>
    <row r="167" spans="2:12" x14ac:dyDescent="0.3">
      <c r="B167" s="28" t="s">
        <v>87</v>
      </c>
      <c r="C167" s="28" t="s">
        <v>15</v>
      </c>
      <c r="D167">
        <v>29</v>
      </c>
      <c r="E167" t="s">
        <v>24</v>
      </c>
      <c r="F167" s="5">
        <v>44180</v>
      </c>
      <c r="G167" t="s">
        <v>12</v>
      </c>
      <c r="H167" s="7">
        <v>112110</v>
      </c>
      <c r="I167" t="s">
        <v>205</v>
      </c>
      <c r="J167" s="6">
        <f ca="1">(TODAY()-F167)/365</f>
        <v>3.43013698630137</v>
      </c>
      <c r="K167" s="25">
        <f ca="1">IF(staff[[#This Row],[tenure]]&gt;2,(staff[[#This Row],[Salary]]/100)*3,(staff[[#This Row],[Salary]]/100)*2)</f>
        <v>3363.2999999999997</v>
      </c>
      <c r="L167" s="28">
        <f>_xlfn.XLOOKUP(E167,$O$25:$O$29,$P$25:$P$29)</f>
        <v>2</v>
      </c>
    </row>
    <row r="168" spans="2:12" x14ac:dyDescent="0.3">
      <c r="B168" s="28" t="s">
        <v>27</v>
      </c>
      <c r="C168" s="28" t="s">
        <v>8</v>
      </c>
      <c r="D168">
        <v>30</v>
      </c>
      <c r="E168" t="s">
        <v>24</v>
      </c>
      <c r="F168" s="5">
        <v>44389</v>
      </c>
      <c r="G168" t="s">
        <v>21</v>
      </c>
      <c r="H168" s="7">
        <v>67910</v>
      </c>
      <c r="I168" t="s">
        <v>205</v>
      </c>
      <c r="J168" s="6">
        <f ca="1">(TODAY()-F168)/365</f>
        <v>2.8575342465753426</v>
      </c>
      <c r="K168" s="25">
        <f ca="1">IF(staff[[#This Row],[tenure]]&gt;2,(staff[[#This Row],[Salary]]/100)*3,(staff[[#This Row],[Salary]]/100)*2)</f>
        <v>2037.3000000000002</v>
      </c>
      <c r="L168" s="28">
        <f>_xlfn.XLOOKUP(E168,$O$25:$O$29,$P$25:$P$29)</f>
        <v>2</v>
      </c>
    </row>
    <row r="169" spans="2:12" x14ac:dyDescent="0.3">
      <c r="B169" s="28" t="s">
        <v>73</v>
      </c>
      <c r="C169" s="28" t="s">
        <v>8</v>
      </c>
      <c r="D169">
        <v>34</v>
      </c>
      <c r="E169" t="s">
        <v>24</v>
      </c>
      <c r="F169" s="5">
        <v>44721</v>
      </c>
      <c r="G169" t="s">
        <v>19</v>
      </c>
      <c r="H169" s="7">
        <v>49630</v>
      </c>
      <c r="I169" t="s">
        <v>205</v>
      </c>
      <c r="J169" s="6">
        <f ca="1">(TODAY()-F169)/365</f>
        <v>1.9479452054794522</v>
      </c>
      <c r="K169" s="25">
        <f ca="1">IF(staff[[#This Row],[tenure]]&gt;2,(staff[[#This Row],[Salary]]/100)*3,(staff[[#This Row],[Salary]]/100)*2)</f>
        <v>992.6</v>
      </c>
      <c r="L169" s="28">
        <f>_xlfn.XLOOKUP(E169,$O$25:$O$29,$P$25:$P$29)</f>
        <v>2</v>
      </c>
    </row>
    <row r="170" spans="2:12" x14ac:dyDescent="0.3">
      <c r="B170" s="28" t="s">
        <v>63</v>
      </c>
      <c r="C170" s="28" t="s">
        <v>15</v>
      </c>
      <c r="D170">
        <v>24</v>
      </c>
      <c r="E170" t="s">
        <v>24</v>
      </c>
      <c r="F170" s="5">
        <v>44436</v>
      </c>
      <c r="G170" t="s">
        <v>21</v>
      </c>
      <c r="H170" s="7">
        <v>52610</v>
      </c>
      <c r="I170" t="s">
        <v>205</v>
      </c>
      <c r="J170" s="6">
        <f ca="1">(TODAY()-F170)/365</f>
        <v>2.7287671232876711</v>
      </c>
      <c r="K170" s="25">
        <f ca="1">IF(staff[[#This Row],[tenure]]&gt;2,(staff[[#This Row],[Salary]]/100)*3,(staff[[#This Row],[Salary]]/100)*2)</f>
        <v>1578.3000000000002</v>
      </c>
      <c r="L170" s="28">
        <f>_xlfn.XLOOKUP(E170,$O$25:$O$29,$P$25:$P$29)</f>
        <v>2</v>
      </c>
    </row>
    <row r="171" spans="2:12" x14ac:dyDescent="0.3">
      <c r="B171" s="28" t="s">
        <v>91</v>
      </c>
      <c r="C171" s="28" t="s">
        <v>8</v>
      </c>
      <c r="D171">
        <v>20</v>
      </c>
      <c r="E171" t="s">
        <v>24</v>
      </c>
      <c r="F171" s="5">
        <v>44537</v>
      </c>
      <c r="G171" t="s">
        <v>19</v>
      </c>
      <c r="H171" s="7">
        <v>68900</v>
      </c>
      <c r="I171" t="s">
        <v>205</v>
      </c>
      <c r="J171" s="6">
        <f ca="1">(TODAY()-F171)/365</f>
        <v>2.452054794520548</v>
      </c>
      <c r="K171" s="25">
        <f ca="1">IF(staff[[#This Row],[tenure]]&gt;2,(staff[[#This Row],[Salary]]/100)*3,(staff[[#This Row],[Salary]]/100)*2)</f>
        <v>2067</v>
      </c>
      <c r="L171" s="28">
        <f>_xlfn.XLOOKUP(E171,$O$25:$O$29,$P$25:$P$29)</f>
        <v>2</v>
      </c>
    </row>
    <row r="172" spans="2:12" x14ac:dyDescent="0.3">
      <c r="B172" s="28" t="s">
        <v>23</v>
      </c>
      <c r="C172" s="28" t="s">
        <v>15</v>
      </c>
      <c r="D172">
        <v>37</v>
      </c>
      <c r="E172" t="s">
        <v>24</v>
      </c>
      <c r="F172" s="5">
        <v>44338</v>
      </c>
      <c r="G172" t="s">
        <v>12</v>
      </c>
      <c r="H172" s="7">
        <v>88050</v>
      </c>
      <c r="I172" t="s">
        <v>205</v>
      </c>
      <c r="J172" s="6">
        <f ca="1">(TODAY()-F172)/365</f>
        <v>2.9972602739726026</v>
      </c>
      <c r="K172" s="25">
        <f ca="1">IF(staff[[#This Row],[tenure]]&gt;2,(staff[[#This Row],[Salary]]/100)*3,(staff[[#This Row],[Salary]]/100)*2)</f>
        <v>2641.5</v>
      </c>
      <c r="L172" s="28">
        <f>_xlfn.XLOOKUP(E172,$O$25:$O$29,$P$25:$P$29)</f>
        <v>2</v>
      </c>
    </row>
    <row r="173" spans="2:12" x14ac:dyDescent="0.3">
      <c r="B173" s="28" t="s">
        <v>90</v>
      </c>
      <c r="C173" s="28" t="s">
        <v>15</v>
      </c>
      <c r="D173">
        <v>42</v>
      </c>
      <c r="E173" t="s">
        <v>24</v>
      </c>
      <c r="F173" s="5">
        <v>44731</v>
      </c>
      <c r="G173" t="s">
        <v>21</v>
      </c>
      <c r="H173" s="7">
        <v>70270</v>
      </c>
      <c r="I173" t="s">
        <v>205</v>
      </c>
      <c r="J173" s="6">
        <f ca="1">(TODAY()-F173)/365</f>
        <v>1.9205479452054794</v>
      </c>
      <c r="K173" s="25">
        <f ca="1">IF(staff[[#This Row],[tenure]]&gt;2,(staff[[#This Row],[Salary]]/100)*3,(staff[[#This Row],[Salary]]/100)*2)</f>
        <v>1405.4</v>
      </c>
      <c r="L173" s="28">
        <f>_xlfn.XLOOKUP(E173,$O$25:$O$29,$P$25:$P$29)</f>
        <v>2</v>
      </c>
    </row>
    <row r="174" spans="2:12" x14ac:dyDescent="0.3">
      <c r="B174" s="28" t="s">
        <v>142</v>
      </c>
      <c r="C174" s="28" t="s">
        <v>206</v>
      </c>
      <c r="D174">
        <v>37</v>
      </c>
      <c r="E174" t="s">
        <v>24</v>
      </c>
      <c r="F174" s="5">
        <v>44085</v>
      </c>
      <c r="G174" t="s">
        <v>21</v>
      </c>
      <c r="H174" s="7">
        <v>115440</v>
      </c>
      <c r="I174" t="s">
        <v>207</v>
      </c>
      <c r="J174" s="6">
        <f ca="1">(TODAY()-F174)/365</f>
        <v>3.6904109589041094</v>
      </c>
      <c r="K174" s="25">
        <f ca="1">IF(staff[[#This Row],[tenure]]&gt;2,(staff[[#This Row],[Salary]]/100)*3,(staff[[#This Row],[Salary]]/100)*2)</f>
        <v>3463.2000000000003</v>
      </c>
      <c r="L174" s="28">
        <f>_xlfn.XLOOKUP(E174,$O$25:$O$29,$P$25:$P$29)</f>
        <v>2</v>
      </c>
    </row>
    <row r="175" spans="2:12" x14ac:dyDescent="0.3">
      <c r="B175" s="28" t="s">
        <v>165</v>
      </c>
      <c r="C175" s="28" t="s">
        <v>8</v>
      </c>
      <c r="D175">
        <v>34</v>
      </c>
      <c r="E175" t="s">
        <v>24</v>
      </c>
      <c r="F175" s="5">
        <v>44660</v>
      </c>
      <c r="G175" t="s">
        <v>19</v>
      </c>
      <c r="H175" s="7">
        <v>49630</v>
      </c>
      <c r="I175" t="s">
        <v>207</v>
      </c>
      <c r="J175" s="6">
        <f ca="1">(TODAY()-F175)/365</f>
        <v>2.1150684931506851</v>
      </c>
      <c r="K175" s="25">
        <f ca="1">IF(staff[[#This Row],[tenure]]&gt;2,(staff[[#This Row],[Salary]]/100)*3,(staff[[#This Row],[Salary]]/100)*2)</f>
        <v>1488.9</v>
      </c>
      <c r="L175" s="28">
        <f>_xlfn.XLOOKUP(E175,$O$25:$O$29,$P$25:$P$29)</f>
        <v>2</v>
      </c>
    </row>
    <row r="176" spans="2:12" x14ac:dyDescent="0.3">
      <c r="B176" s="28" t="s">
        <v>118</v>
      </c>
      <c r="C176" s="28" t="s">
        <v>15</v>
      </c>
      <c r="D176">
        <v>37</v>
      </c>
      <c r="E176" t="s">
        <v>24</v>
      </c>
      <c r="F176" s="5">
        <v>44277</v>
      </c>
      <c r="G176" t="s">
        <v>12</v>
      </c>
      <c r="H176" s="7">
        <v>88050</v>
      </c>
      <c r="I176" t="s">
        <v>207</v>
      </c>
      <c r="J176" s="6">
        <f ca="1">(TODAY()-F176)/365</f>
        <v>3.1643835616438358</v>
      </c>
      <c r="K176" s="25">
        <f ca="1">IF(staff[[#This Row],[tenure]]&gt;2,(staff[[#This Row],[Salary]]/100)*3,(staff[[#This Row],[Salary]]/100)*2)</f>
        <v>2641.5</v>
      </c>
      <c r="L176" s="28">
        <f>_xlfn.XLOOKUP(E176,$O$25:$O$29,$P$25:$P$29)</f>
        <v>2</v>
      </c>
    </row>
    <row r="177" spans="2:12" x14ac:dyDescent="0.3">
      <c r="B177" s="28" t="s">
        <v>155</v>
      </c>
      <c r="C177" s="28" t="s">
        <v>15</v>
      </c>
      <c r="D177">
        <v>24</v>
      </c>
      <c r="E177" t="s">
        <v>24</v>
      </c>
      <c r="F177" s="5">
        <v>44375</v>
      </c>
      <c r="G177" t="s">
        <v>21</v>
      </c>
      <c r="H177" s="7">
        <v>52610</v>
      </c>
      <c r="I177" t="s">
        <v>207</v>
      </c>
      <c r="J177" s="6">
        <f ca="1">(TODAY()-F177)/365</f>
        <v>2.8958904109589043</v>
      </c>
      <c r="K177" s="25">
        <f ca="1">IF(staff[[#This Row],[tenure]]&gt;2,(staff[[#This Row],[Salary]]/100)*3,(staff[[#This Row],[Salary]]/100)*2)</f>
        <v>1578.3000000000002</v>
      </c>
      <c r="L177" s="28">
        <f>_xlfn.XLOOKUP(E177,$O$25:$O$29,$P$25:$P$29)</f>
        <v>2</v>
      </c>
    </row>
    <row r="178" spans="2:12" x14ac:dyDescent="0.3">
      <c r="B178" s="28" t="s">
        <v>180</v>
      </c>
      <c r="C178" s="28" t="s">
        <v>15</v>
      </c>
      <c r="D178">
        <v>29</v>
      </c>
      <c r="E178" t="s">
        <v>24</v>
      </c>
      <c r="F178" s="5">
        <v>44119</v>
      </c>
      <c r="G178" t="s">
        <v>12</v>
      </c>
      <c r="H178" s="7">
        <v>112110</v>
      </c>
      <c r="I178" t="s">
        <v>207</v>
      </c>
      <c r="J178" s="6">
        <f ca="1">(TODAY()-F178)/365</f>
        <v>3.5972602739726027</v>
      </c>
      <c r="K178" s="25">
        <f ca="1">IF(staff[[#This Row],[tenure]]&gt;2,(staff[[#This Row],[Salary]]/100)*3,(staff[[#This Row],[Salary]]/100)*2)</f>
        <v>3363.2999999999997</v>
      </c>
      <c r="L178" s="28">
        <f>_xlfn.XLOOKUP(E178,$O$25:$O$29,$P$25:$P$29)</f>
        <v>2</v>
      </c>
    </row>
    <row r="179" spans="2:12" x14ac:dyDescent="0.3">
      <c r="B179" s="28" t="s">
        <v>183</v>
      </c>
      <c r="C179" s="28" t="s">
        <v>15</v>
      </c>
      <c r="D179">
        <v>42</v>
      </c>
      <c r="E179" t="s">
        <v>24</v>
      </c>
      <c r="F179" s="5">
        <v>44670</v>
      </c>
      <c r="G179" t="s">
        <v>21</v>
      </c>
      <c r="H179" s="7">
        <v>70270</v>
      </c>
      <c r="I179" t="s">
        <v>207</v>
      </c>
      <c r="J179" s="6">
        <f ca="1">(TODAY()-F179)/365</f>
        <v>2.0876712328767124</v>
      </c>
      <c r="K179" s="25">
        <f ca="1">IF(staff[[#This Row],[tenure]]&gt;2,(staff[[#This Row],[Salary]]/100)*3,(staff[[#This Row],[Salary]]/100)*2)</f>
        <v>2108.1000000000004</v>
      </c>
      <c r="L179" s="28">
        <f>_xlfn.XLOOKUP(E179,$O$25:$O$29,$P$25:$P$29)</f>
        <v>2</v>
      </c>
    </row>
    <row r="180" spans="2:12" x14ac:dyDescent="0.3">
      <c r="B180" s="28" t="s">
        <v>184</v>
      </c>
      <c r="C180" s="28" t="s">
        <v>8</v>
      </c>
      <c r="D180">
        <v>20</v>
      </c>
      <c r="E180" t="s">
        <v>24</v>
      </c>
      <c r="F180" s="5">
        <v>44476</v>
      </c>
      <c r="G180" t="s">
        <v>19</v>
      </c>
      <c r="H180" s="7">
        <v>68900</v>
      </c>
      <c r="I180" t="s">
        <v>207</v>
      </c>
      <c r="J180" s="6">
        <f ca="1">(TODAY()-F180)/365</f>
        <v>2.6191780821917807</v>
      </c>
      <c r="K180" s="25">
        <f ca="1">IF(staff[[#This Row],[tenure]]&gt;2,(staff[[#This Row],[Salary]]/100)*3,(staff[[#This Row],[Salary]]/100)*2)</f>
        <v>2067</v>
      </c>
      <c r="L180" s="28">
        <f>_xlfn.XLOOKUP(E180,$O$25:$O$29,$P$25:$P$29)</f>
        <v>2</v>
      </c>
    </row>
    <row r="181" spans="2:12" x14ac:dyDescent="0.3">
      <c r="B181" s="28" t="s">
        <v>121</v>
      </c>
      <c r="C181" s="28" t="s">
        <v>8</v>
      </c>
      <c r="D181">
        <v>30</v>
      </c>
      <c r="E181" t="s">
        <v>24</v>
      </c>
      <c r="F181" s="5">
        <v>44328</v>
      </c>
      <c r="G181" t="s">
        <v>21</v>
      </c>
      <c r="H181" s="7">
        <v>67910</v>
      </c>
      <c r="I181" t="s">
        <v>207</v>
      </c>
      <c r="J181" s="6">
        <f ca="1">(TODAY()-F181)/365</f>
        <v>3.0246575342465754</v>
      </c>
      <c r="K181" s="25">
        <f ca="1">IF(staff[[#This Row],[tenure]]&gt;2,(staff[[#This Row],[Salary]]/100)*3,(staff[[#This Row],[Salary]]/100)*2)</f>
        <v>2037.3000000000002</v>
      </c>
      <c r="L181" s="28">
        <f>_xlfn.XLOOKUP(E181,$O$25:$O$29,$P$25:$P$29)</f>
        <v>2</v>
      </c>
    </row>
    <row r="182" spans="2:12" x14ac:dyDescent="0.3">
      <c r="B182" s="28" t="s">
        <v>41</v>
      </c>
      <c r="C182" s="28" t="s">
        <v>8</v>
      </c>
      <c r="D182">
        <v>33</v>
      </c>
      <c r="E182" t="s">
        <v>42</v>
      </c>
      <c r="F182" s="5">
        <v>44374</v>
      </c>
      <c r="G182" t="s">
        <v>12</v>
      </c>
      <c r="H182" s="7">
        <v>75480</v>
      </c>
      <c r="I182" t="s">
        <v>205</v>
      </c>
      <c r="J182" s="6">
        <f ca="1">(TODAY()-F182)/365</f>
        <v>2.8986301369863012</v>
      </c>
      <c r="K182" s="25">
        <f ca="1">IF(staff[[#This Row],[tenure]]&gt;2,(staff[[#This Row],[Salary]]/100)*3,(staff[[#This Row],[Salary]]/100)*2)</f>
        <v>2264.3999999999996</v>
      </c>
      <c r="L182" s="28">
        <f>_xlfn.XLOOKUP(E182,$O$25:$O$29,$P$25:$P$29)</f>
        <v>1</v>
      </c>
    </row>
    <row r="183" spans="2:12" x14ac:dyDescent="0.3">
      <c r="B183" s="28" t="s">
        <v>98</v>
      </c>
      <c r="C183" s="28" t="s">
        <v>15</v>
      </c>
      <c r="D183">
        <v>27</v>
      </c>
      <c r="E183" t="s">
        <v>42</v>
      </c>
      <c r="F183" s="5">
        <v>44609</v>
      </c>
      <c r="G183" t="s">
        <v>9</v>
      </c>
      <c r="H183" s="7">
        <v>113280</v>
      </c>
      <c r="I183" t="s">
        <v>205</v>
      </c>
      <c r="J183" s="6">
        <f ca="1">(TODAY()-F183)/365</f>
        <v>2.2547945205479452</v>
      </c>
      <c r="K183" s="25">
        <f ca="1">IF(staff[[#This Row],[tenure]]&gt;2,(staff[[#This Row],[Salary]]/100)*3,(staff[[#This Row],[Salary]]/100)*2)</f>
        <v>3398.3999999999996</v>
      </c>
      <c r="L183" s="28">
        <f>_xlfn.XLOOKUP(E183,$O$25:$O$29,$P$25:$P$29)</f>
        <v>1</v>
      </c>
    </row>
    <row r="184" spans="2:12" x14ac:dyDescent="0.3">
      <c r="B184" s="28" t="s">
        <v>80</v>
      </c>
      <c r="C184" s="28" t="s">
        <v>15</v>
      </c>
      <c r="D184">
        <v>28</v>
      </c>
      <c r="E184" t="s">
        <v>42</v>
      </c>
      <c r="F184" s="5">
        <v>44820</v>
      </c>
      <c r="G184" t="s">
        <v>19</v>
      </c>
      <c r="H184" s="7">
        <v>43510</v>
      </c>
      <c r="I184" t="s">
        <v>205</v>
      </c>
      <c r="J184" s="6">
        <f ca="1">(TODAY()-F184)/365</f>
        <v>1.6767123287671233</v>
      </c>
      <c r="K184" s="25">
        <f ca="1">IF(staff[[#This Row],[tenure]]&gt;2,(staff[[#This Row],[Salary]]/100)*3,(staff[[#This Row],[Salary]]/100)*2)</f>
        <v>870.2</v>
      </c>
      <c r="L184" s="28">
        <f>_xlfn.XLOOKUP(E184,$O$25:$O$29,$P$25:$P$29)</f>
        <v>1</v>
      </c>
    </row>
    <row r="185" spans="2:12" x14ac:dyDescent="0.3">
      <c r="B185" s="28" t="s">
        <v>172</v>
      </c>
      <c r="C185" s="28" t="s">
        <v>15</v>
      </c>
      <c r="D185">
        <v>28</v>
      </c>
      <c r="E185" t="s">
        <v>42</v>
      </c>
      <c r="F185" s="5">
        <v>44758</v>
      </c>
      <c r="G185" t="s">
        <v>19</v>
      </c>
      <c r="H185" s="7">
        <v>43510</v>
      </c>
      <c r="I185" t="s">
        <v>207</v>
      </c>
      <c r="J185" s="6">
        <f ca="1">(TODAY()-F185)/365</f>
        <v>1.8465753424657534</v>
      </c>
      <c r="K185" s="25">
        <f ca="1">IF(staff[[#This Row],[tenure]]&gt;2,(staff[[#This Row],[Salary]]/100)*3,(staff[[#This Row],[Salary]]/100)*2)</f>
        <v>870.2</v>
      </c>
      <c r="L185" s="28">
        <f>_xlfn.XLOOKUP(E185,$O$25:$O$29,$P$25:$P$29)</f>
        <v>1</v>
      </c>
    </row>
    <row r="186" spans="2:12" x14ac:dyDescent="0.3">
      <c r="B186" s="28" t="s">
        <v>191</v>
      </c>
      <c r="C186" s="28" t="s">
        <v>15</v>
      </c>
      <c r="D186">
        <v>27</v>
      </c>
      <c r="E186" t="s">
        <v>42</v>
      </c>
      <c r="F186" s="5">
        <v>44547</v>
      </c>
      <c r="G186" t="s">
        <v>9</v>
      </c>
      <c r="H186" s="7">
        <v>113280</v>
      </c>
      <c r="I186" t="s">
        <v>207</v>
      </c>
      <c r="J186" s="6">
        <f ca="1">(TODAY()-F186)/365</f>
        <v>2.4246575342465753</v>
      </c>
      <c r="K186" s="25">
        <f ca="1">IF(staff[[#This Row],[tenure]]&gt;2,(staff[[#This Row],[Salary]]/100)*3,(staff[[#This Row],[Salary]]/100)*2)</f>
        <v>3398.3999999999996</v>
      </c>
      <c r="L186" s="28">
        <f>_xlfn.XLOOKUP(E186,$O$25:$O$29,$P$25:$P$29)</f>
        <v>1</v>
      </c>
    </row>
    <row r="187" spans="2:12" x14ac:dyDescent="0.3">
      <c r="B187" s="28" t="s">
        <v>135</v>
      </c>
      <c r="C187" s="28" t="s">
        <v>8</v>
      </c>
      <c r="D187">
        <v>33</v>
      </c>
      <c r="E187" t="s">
        <v>42</v>
      </c>
      <c r="F187" s="5">
        <v>44313</v>
      </c>
      <c r="G187" t="s">
        <v>12</v>
      </c>
      <c r="H187" s="7">
        <v>75480</v>
      </c>
      <c r="I187" t="s">
        <v>207</v>
      </c>
      <c r="J187" s="6">
        <f ca="1">(TODAY()-F187)/365</f>
        <v>3.0657534246575344</v>
      </c>
      <c r="K187" s="25">
        <f ca="1">IF(staff[[#This Row],[tenure]]&gt;2,(staff[[#This Row],[Salary]]/100)*3,(staff[[#This Row],[Salary]]/100)*2)</f>
        <v>2264.3999999999996</v>
      </c>
      <c r="L187" s="28">
        <f>_xlfn.XLOOKUP(E187,$O$25:$O$29,$P$25:$P$29)</f>
        <v>1</v>
      </c>
    </row>
  </sheetData>
  <conditionalFormatting sqref="L4:L187">
    <cfRule type="colorScale" priority="2">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4B7AD-E486-43B5-88A1-FBC4B6D1DC73}">
  <dimension ref="A1"/>
  <sheetViews>
    <sheetView zoomScale="52" workbookViewId="0">
      <selection activeCell="AC25" sqref="AC25"/>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44F81-B91A-4709-9B3E-0CFF4FC950E4}">
  <dimension ref="C8:E14"/>
  <sheetViews>
    <sheetView zoomScale="62" zoomScaleNormal="145" workbookViewId="0">
      <selection activeCell="H10" sqref="H10"/>
    </sheetView>
  </sheetViews>
  <sheetFormatPr defaultRowHeight="14.4" x14ac:dyDescent="0.3"/>
  <cols>
    <col min="3" max="3" width="17.6640625" bestFit="1" customWidth="1"/>
    <col min="4" max="4" width="17.88671875" bestFit="1" customWidth="1"/>
    <col min="5" max="5" width="21.44140625" bestFit="1" customWidth="1"/>
  </cols>
  <sheetData>
    <row r="8" spans="3:5" x14ac:dyDescent="0.3">
      <c r="C8" s="21" t="s">
        <v>231</v>
      </c>
      <c r="D8" t="s">
        <v>230</v>
      </c>
      <c r="E8" t="s">
        <v>233</v>
      </c>
    </row>
    <row r="9" spans="3:5" x14ac:dyDescent="0.3">
      <c r="C9" s="22" t="s">
        <v>10</v>
      </c>
      <c r="D9" s="28">
        <v>4</v>
      </c>
      <c r="E9" s="28">
        <v>92080</v>
      </c>
    </row>
    <row r="10" spans="3:5" x14ac:dyDescent="0.3">
      <c r="C10" s="22" t="s">
        <v>13</v>
      </c>
      <c r="D10" s="28">
        <v>20</v>
      </c>
      <c r="E10" s="28">
        <v>75933</v>
      </c>
    </row>
    <row r="11" spans="3:5" x14ac:dyDescent="0.3">
      <c r="C11" s="22" t="s">
        <v>16</v>
      </c>
      <c r="D11" s="28">
        <v>137</v>
      </c>
      <c r="E11" s="26">
        <v>76798.759124087592</v>
      </c>
    </row>
    <row r="12" spans="3:5" x14ac:dyDescent="0.3">
      <c r="C12" s="22" t="s">
        <v>24</v>
      </c>
      <c r="D12" s="28">
        <v>16</v>
      </c>
      <c r="E12" s="28">
        <v>78115</v>
      </c>
    </row>
    <row r="13" spans="3:5" x14ac:dyDescent="0.3">
      <c r="C13" s="22" t="s">
        <v>42</v>
      </c>
      <c r="D13" s="28">
        <v>6</v>
      </c>
      <c r="E13" s="26">
        <v>77423.333333333328</v>
      </c>
    </row>
    <row r="14" spans="3:5" x14ac:dyDescent="0.3">
      <c r="C14" s="22" t="s">
        <v>229</v>
      </c>
      <c r="D14" s="28">
        <v>183</v>
      </c>
      <c r="E14" s="26">
        <v>77173.715846994543</v>
      </c>
    </row>
  </sheetData>
  <conditionalFormatting pivot="1" sqref="E9:E13">
    <cfRule type="dataBar" priority="1">
      <dataBar>
        <cfvo type="min"/>
        <cfvo type="max"/>
        <color rgb="FF638EC6"/>
      </dataBar>
      <extLst>
        <ext xmlns:x14="http://schemas.microsoft.com/office/spreadsheetml/2009/9/main" uri="{B025F937-C7B1-47D3-B67F-A62EFF666E3E}">
          <x14:id>{C40A9F87-A444-4834-B800-C447F0D176C1}</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C40A9F87-A444-4834-B800-C447F0D176C1}">
            <x14:dataBar minLength="0" maxLength="100" gradient="0">
              <x14:cfvo type="autoMin"/>
              <x14:cfvo type="autoMax"/>
              <x14:negativeFillColor rgb="FFFF0000"/>
              <x14:axisColor rgb="FF000000"/>
            </x14:dataBar>
          </x14:cfRule>
          <xm:sqref>E9:E13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workbookViewId="0">
      <selection activeCell="C9" sqref="C9"/>
    </sheetView>
  </sheetViews>
  <sheetFormatPr defaultRowHeight="14.4" x14ac:dyDescent="0.3"/>
  <cols>
    <col min="2" max="5" width="9.44140625" customWidth="1"/>
    <col min="6" max="6" width="12.6640625" customWidth="1"/>
    <col min="7" max="7" width="13" customWidth="1"/>
    <col min="8" max="8" width="9.44140625" customWidth="1"/>
    <col min="11" max="11" width="10.44140625" customWidth="1"/>
  </cols>
  <sheetData>
    <row r="2" spans="2:8" x14ac:dyDescent="0.3">
      <c r="B2" t="s">
        <v>0</v>
      </c>
      <c r="C2" t="s">
        <v>1</v>
      </c>
      <c r="D2" t="s">
        <v>3</v>
      </c>
      <c r="E2" t="s">
        <v>6</v>
      </c>
      <c r="F2" t="s">
        <v>4</v>
      </c>
      <c r="G2" t="s">
        <v>2</v>
      </c>
      <c r="H2" t="s">
        <v>5</v>
      </c>
    </row>
    <row r="3" spans="2:8" x14ac:dyDescent="0.3">
      <c r="B3" t="s">
        <v>156</v>
      </c>
      <c r="C3" t="s">
        <v>15</v>
      </c>
      <c r="D3">
        <v>20</v>
      </c>
      <c r="E3" t="s">
        <v>16</v>
      </c>
      <c r="F3" s="4">
        <v>44122</v>
      </c>
      <c r="G3" t="s">
        <v>12</v>
      </c>
      <c r="H3">
        <v>112650</v>
      </c>
    </row>
    <row r="4" spans="2:8" x14ac:dyDescent="0.3">
      <c r="B4" t="s">
        <v>176</v>
      </c>
      <c r="C4" t="s">
        <v>8</v>
      </c>
      <c r="D4">
        <v>32</v>
      </c>
      <c r="E4" t="s">
        <v>13</v>
      </c>
      <c r="F4" s="4">
        <v>44293</v>
      </c>
      <c r="G4" t="s">
        <v>12</v>
      </c>
      <c r="H4">
        <v>43840</v>
      </c>
    </row>
    <row r="5" spans="2:8" x14ac:dyDescent="0.3">
      <c r="B5" t="s">
        <v>143</v>
      </c>
      <c r="C5" t="s">
        <v>15</v>
      </c>
      <c r="D5">
        <v>31</v>
      </c>
      <c r="E5" t="s">
        <v>16</v>
      </c>
      <c r="F5" s="4">
        <v>44663</v>
      </c>
      <c r="G5" t="s">
        <v>9</v>
      </c>
      <c r="H5">
        <v>103550</v>
      </c>
    </row>
    <row r="6" spans="2:8" x14ac:dyDescent="0.3">
      <c r="B6" t="s">
        <v>201</v>
      </c>
      <c r="C6" t="s">
        <v>8</v>
      </c>
      <c r="D6">
        <v>32</v>
      </c>
      <c r="E6" t="s">
        <v>16</v>
      </c>
      <c r="F6" s="4">
        <v>44339</v>
      </c>
      <c r="G6" t="s">
        <v>56</v>
      </c>
      <c r="H6">
        <v>45510</v>
      </c>
    </row>
    <row r="7" spans="2:8" x14ac:dyDescent="0.3">
      <c r="B7" t="s">
        <v>142</v>
      </c>
      <c r="D7">
        <v>37</v>
      </c>
      <c r="E7" t="s">
        <v>24</v>
      </c>
      <c r="F7" s="4">
        <v>44085</v>
      </c>
      <c r="G7" t="s">
        <v>21</v>
      </c>
      <c r="H7">
        <v>115440</v>
      </c>
    </row>
    <row r="8" spans="2:8" x14ac:dyDescent="0.3">
      <c r="B8" t="s">
        <v>202</v>
      </c>
      <c r="C8" t="s">
        <v>8</v>
      </c>
      <c r="D8">
        <v>38</v>
      </c>
      <c r="E8" t="s">
        <v>13</v>
      </c>
      <c r="F8" s="4">
        <v>44268</v>
      </c>
      <c r="G8" t="s">
        <v>19</v>
      </c>
      <c r="H8">
        <v>56870</v>
      </c>
    </row>
    <row r="9" spans="2:8" x14ac:dyDescent="0.3">
      <c r="B9" t="s">
        <v>169</v>
      </c>
      <c r="C9" t="s">
        <v>8</v>
      </c>
      <c r="D9">
        <v>25</v>
      </c>
      <c r="E9" t="s">
        <v>16</v>
      </c>
      <c r="F9" s="4">
        <v>44144</v>
      </c>
      <c r="G9" t="s">
        <v>19</v>
      </c>
      <c r="H9">
        <v>92700</v>
      </c>
    </row>
    <row r="10" spans="2:8" x14ac:dyDescent="0.3">
      <c r="B10" t="s">
        <v>145</v>
      </c>
      <c r="D10">
        <v>32</v>
      </c>
      <c r="E10" t="s">
        <v>16</v>
      </c>
      <c r="F10" s="4">
        <v>44713</v>
      </c>
      <c r="G10" t="s">
        <v>12</v>
      </c>
      <c r="H10">
        <v>91310</v>
      </c>
    </row>
    <row r="11" spans="2:8" x14ac:dyDescent="0.3">
      <c r="B11" t="s">
        <v>115</v>
      </c>
      <c r="C11" t="s">
        <v>15</v>
      </c>
      <c r="D11">
        <v>33</v>
      </c>
      <c r="E11" t="s">
        <v>16</v>
      </c>
      <c r="F11" s="4">
        <v>44324</v>
      </c>
      <c r="G11" t="s">
        <v>19</v>
      </c>
      <c r="H11">
        <v>74550</v>
      </c>
    </row>
    <row r="12" spans="2:8" x14ac:dyDescent="0.3">
      <c r="B12" t="s">
        <v>128</v>
      </c>
      <c r="C12" t="s">
        <v>15</v>
      </c>
      <c r="D12">
        <v>25</v>
      </c>
      <c r="E12" t="s">
        <v>13</v>
      </c>
      <c r="F12" s="4">
        <v>44665</v>
      </c>
      <c r="G12" t="s">
        <v>9</v>
      </c>
      <c r="H12">
        <v>109190</v>
      </c>
    </row>
    <row r="13" spans="2:8" x14ac:dyDescent="0.3">
      <c r="B13" t="s">
        <v>194</v>
      </c>
      <c r="C13" t="s">
        <v>8</v>
      </c>
      <c r="D13">
        <v>40</v>
      </c>
      <c r="E13" t="s">
        <v>16</v>
      </c>
      <c r="F13" s="4">
        <v>44320</v>
      </c>
      <c r="G13" t="s">
        <v>12</v>
      </c>
      <c r="H13">
        <v>104410</v>
      </c>
    </row>
    <row r="14" spans="2:8" x14ac:dyDescent="0.3">
      <c r="B14" t="s">
        <v>177</v>
      </c>
      <c r="C14" t="s">
        <v>15</v>
      </c>
      <c r="D14">
        <v>30</v>
      </c>
      <c r="E14" t="s">
        <v>16</v>
      </c>
      <c r="F14" s="4">
        <v>44544</v>
      </c>
      <c r="G14" t="s">
        <v>21</v>
      </c>
      <c r="H14">
        <v>96800</v>
      </c>
    </row>
    <row r="15" spans="2:8" x14ac:dyDescent="0.3">
      <c r="B15" t="s">
        <v>123</v>
      </c>
      <c r="C15" t="s">
        <v>15</v>
      </c>
      <c r="D15">
        <v>28</v>
      </c>
      <c r="E15" t="s">
        <v>13</v>
      </c>
      <c r="F15" s="4">
        <v>43980</v>
      </c>
      <c r="G15" t="s">
        <v>21</v>
      </c>
      <c r="H15">
        <v>48170</v>
      </c>
    </row>
    <row r="16" spans="2:8" x14ac:dyDescent="0.3">
      <c r="B16" t="s">
        <v>140</v>
      </c>
      <c r="C16" t="s">
        <v>15</v>
      </c>
      <c r="D16">
        <v>21</v>
      </c>
      <c r="E16" t="s">
        <v>16</v>
      </c>
      <c r="F16" s="4">
        <v>44042</v>
      </c>
      <c r="G16" t="s">
        <v>9</v>
      </c>
      <c r="H16">
        <v>37920</v>
      </c>
    </row>
    <row r="17" spans="2:8" x14ac:dyDescent="0.3">
      <c r="B17" t="s">
        <v>178</v>
      </c>
      <c r="C17" t="s">
        <v>15</v>
      </c>
      <c r="D17">
        <v>34</v>
      </c>
      <c r="E17" t="s">
        <v>16</v>
      </c>
      <c r="F17" s="4">
        <v>44642</v>
      </c>
      <c r="G17" t="s">
        <v>9</v>
      </c>
      <c r="H17">
        <v>112650</v>
      </c>
    </row>
    <row r="18" spans="2:8" x14ac:dyDescent="0.3">
      <c r="B18" t="s">
        <v>165</v>
      </c>
      <c r="C18" t="s">
        <v>8</v>
      </c>
      <c r="D18">
        <v>34</v>
      </c>
      <c r="E18" t="s">
        <v>24</v>
      </c>
      <c r="F18" s="4">
        <v>44660</v>
      </c>
      <c r="G18" t="s">
        <v>19</v>
      </c>
      <c r="H18">
        <v>49630</v>
      </c>
    </row>
    <row r="19" spans="2:8" x14ac:dyDescent="0.3">
      <c r="B19" t="s">
        <v>199</v>
      </c>
      <c r="C19" t="s">
        <v>15</v>
      </c>
      <c r="D19">
        <v>36</v>
      </c>
      <c r="E19" t="s">
        <v>16</v>
      </c>
      <c r="F19" s="4">
        <v>43958</v>
      </c>
      <c r="G19" t="s">
        <v>12</v>
      </c>
      <c r="H19">
        <v>118840</v>
      </c>
    </row>
    <row r="20" spans="2:8" x14ac:dyDescent="0.3">
      <c r="B20" t="s">
        <v>159</v>
      </c>
      <c r="C20" t="s">
        <v>15</v>
      </c>
      <c r="D20">
        <v>30</v>
      </c>
      <c r="E20" t="s">
        <v>16</v>
      </c>
      <c r="F20" s="4">
        <v>44789</v>
      </c>
      <c r="G20" t="s">
        <v>12</v>
      </c>
      <c r="H20">
        <v>69710</v>
      </c>
    </row>
    <row r="21" spans="2:8" x14ac:dyDescent="0.3">
      <c r="B21" t="s">
        <v>197</v>
      </c>
      <c r="C21" t="s">
        <v>15</v>
      </c>
      <c r="D21">
        <v>20</v>
      </c>
      <c r="E21" t="s">
        <v>16</v>
      </c>
      <c r="F21" s="4">
        <v>44683</v>
      </c>
      <c r="G21" t="s">
        <v>9</v>
      </c>
      <c r="H21">
        <v>79570</v>
      </c>
    </row>
    <row r="22" spans="2:8" x14ac:dyDescent="0.3">
      <c r="B22" t="s">
        <v>154</v>
      </c>
      <c r="C22" t="s">
        <v>8</v>
      </c>
      <c r="D22">
        <v>22</v>
      </c>
      <c r="E22" t="s">
        <v>13</v>
      </c>
      <c r="F22" s="4">
        <v>44388</v>
      </c>
      <c r="G22" t="s">
        <v>9</v>
      </c>
      <c r="H22">
        <v>76900</v>
      </c>
    </row>
    <row r="23" spans="2:8" x14ac:dyDescent="0.3">
      <c r="B23" t="s">
        <v>182</v>
      </c>
      <c r="C23" t="s">
        <v>15</v>
      </c>
      <c r="D23">
        <v>27</v>
      </c>
      <c r="E23" t="s">
        <v>16</v>
      </c>
      <c r="F23" s="4">
        <v>44073</v>
      </c>
      <c r="G23" t="s">
        <v>19</v>
      </c>
      <c r="H23">
        <v>54970</v>
      </c>
    </row>
    <row r="24" spans="2:8" x14ac:dyDescent="0.3">
      <c r="B24" t="s">
        <v>118</v>
      </c>
      <c r="C24" t="s">
        <v>15</v>
      </c>
      <c r="D24">
        <v>37</v>
      </c>
      <c r="E24" t="s">
        <v>24</v>
      </c>
      <c r="F24" s="4">
        <v>44277</v>
      </c>
      <c r="G24" t="s">
        <v>12</v>
      </c>
      <c r="H24">
        <v>88050</v>
      </c>
    </row>
    <row r="25" spans="2:8" x14ac:dyDescent="0.3">
      <c r="B25" t="s">
        <v>192</v>
      </c>
      <c r="C25" t="s">
        <v>15</v>
      </c>
      <c r="D25">
        <v>43</v>
      </c>
      <c r="E25" t="s">
        <v>16</v>
      </c>
      <c r="F25" s="4">
        <v>44558</v>
      </c>
      <c r="G25" t="s">
        <v>19</v>
      </c>
      <c r="H25">
        <v>36040</v>
      </c>
    </row>
    <row r="26" spans="2:8" x14ac:dyDescent="0.3">
      <c r="B26" t="s">
        <v>111</v>
      </c>
      <c r="C26" t="s">
        <v>8</v>
      </c>
      <c r="D26">
        <v>42</v>
      </c>
      <c r="E26" t="s">
        <v>10</v>
      </c>
      <c r="F26" s="4">
        <v>44718</v>
      </c>
      <c r="G26" t="s">
        <v>9</v>
      </c>
      <c r="H26">
        <v>75000</v>
      </c>
    </row>
    <row r="27" spans="2:8" x14ac:dyDescent="0.3">
      <c r="B27" t="s">
        <v>149</v>
      </c>
      <c r="C27" t="s">
        <v>15</v>
      </c>
      <c r="D27">
        <v>35</v>
      </c>
      <c r="E27" t="s">
        <v>16</v>
      </c>
      <c r="F27" s="4">
        <v>44666</v>
      </c>
      <c r="G27" t="s">
        <v>9</v>
      </c>
      <c r="H27">
        <v>40400</v>
      </c>
    </row>
    <row r="28" spans="2:8" x14ac:dyDescent="0.3">
      <c r="B28" t="s">
        <v>196</v>
      </c>
      <c r="C28" t="s">
        <v>15</v>
      </c>
      <c r="D28">
        <v>24</v>
      </c>
      <c r="E28" t="s">
        <v>16</v>
      </c>
      <c r="F28" s="4">
        <v>44625</v>
      </c>
      <c r="G28" t="s">
        <v>12</v>
      </c>
      <c r="H28">
        <v>100420</v>
      </c>
    </row>
    <row r="29" spans="2:8" x14ac:dyDescent="0.3">
      <c r="B29" t="s">
        <v>120</v>
      </c>
      <c r="C29" t="s">
        <v>8</v>
      </c>
      <c r="D29">
        <v>31</v>
      </c>
      <c r="E29" t="s">
        <v>16</v>
      </c>
      <c r="F29" s="4">
        <v>44604</v>
      </c>
      <c r="G29" t="s">
        <v>12</v>
      </c>
      <c r="H29">
        <v>58100</v>
      </c>
    </row>
    <row r="30" spans="2:8" x14ac:dyDescent="0.3">
      <c r="B30" t="s">
        <v>114</v>
      </c>
      <c r="C30" t="s">
        <v>8</v>
      </c>
      <c r="D30">
        <v>44</v>
      </c>
      <c r="E30" t="s">
        <v>16</v>
      </c>
      <c r="F30" s="4">
        <v>44985</v>
      </c>
      <c r="G30" t="s">
        <v>12</v>
      </c>
      <c r="H30">
        <v>114870</v>
      </c>
    </row>
    <row r="31" spans="2:8" x14ac:dyDescent="0.3">
      <c r="B31" t="s">
        <v>158</v>
      </c>
      <c r="C31" t="s">
        <v>8</v>
      </c>
      <c r="D31">
        <v>32</v>
      </c>
      <c r="E31" t="s">
        <v>16</v>
      </c>
      <c r="F31" s="4">
        <v>44549</v>
      </c>
      <c r="G31" t="s">
        <v>9</v>
      </c>
      <c r="H31">
        <v>41570</v>
      </c>
    </row>
    <row r="32" spans="2:8" x14ac:dyDescent="0.3">
      <c r="B32" t="s">
        <v>173</v>
      </c>
      <c r="C32" t="s">
        <v>8</v>
      </c>
      <c r="D32">
        <v>30</v>
      </c>
      <c r="E32" t="s">
        <v>16</v>
      </c>
      <c r="F32" s="4">
        <v>44800</v>
      </c>
      <c r="G32" t="s">
        <v>9</v>
      </c>
      <c r="H32">
        <v>112570</v>
      </c>
    </row>
    <row r="33" spans="2:8" x14ac:dyDescent="0.3">
      <c r="B33" t="s">
        <v>151</v>
      </c>
      <c r="C33" t="s">
        <v>15</v>
      </c>
      <c r="D33">
        <v>26</v>
      </c>
      <c r="E33" t="s">
        <v>16</v>
      </c>
      <c r="F33" s="4">
        <v>44164</v>
      </c>
      <c r="G33" t="s">
        <v>9</v>
      </c>
      <c r="H33">
        <v>47360</v>
      </c>
    </row>
    <row r="34" spans="2:8" x14ac:dyDescent="0.3">
      <c r="B34" t="s">
        <v>126</v>
      </c>
      <c r="C34" t="s">
        <v>8</v>
      </c>
      <c r="D34">
        <v>21</v>
      </c>
      <c r="E34" t="s">
        <v>16</v>
      </c>
      <c r="F34" s="4">
        <v>44256</v>
      </c>
      <c r="G34" t="s">
        <v>21</v>
      </c>
      <c r="H34">
        <v>65920</v>
      </c>
    </row>
    <row r="35" spans="2:8" x14ac:dyDescent="0.3">
      <c r="B35" t="s">
        <v>200</v>
      </c>
      <c r="C35" t="s">
        <v>8</v>
      </c>
      <c r="D35">
        <v>28</v>
      </c>
      <c r="E35" t="s">
        <v>16</v>
      </c>
      <c r="F35" s="4">
        <v>44571</v>
      </c>
      <c r="G35" t="s">
        <v>9</v>
      </c>
      <c r="H35">
        <v>99970</v>
      </c>
    </row>
    <row r="36" spans="2:8" x14ac:dyDescent="0.3">
      <c r="B36" t="s">
        <v>133</v>
      </c>
      <c r="C36" t="s">
        <v>8</v>
      </c>
      <c r="D36">
        <v>25</v>
      </c>
      <c r="E36" t="s">
        <v>13</v>
      </c>
      <c r="F36" s="4">
        <v>44633</v>
      </c>
      <c r="G36" t="s">
        <v>12</v>
      </c>
      <c r="H36">
        <v>80700</v>
      </c>
    </row>
    <row r="37" spans="2:8" x14ac:dyDescent="0.3">
      <c r="B37" t="s">
        <v>155</v>
      </c>
      <c r="C37" t="s">
        <v>15</v>
      </c>
      <c r="D37">
        <v>24</v>
      </c>
      <c r="E37" t="s">
        <v>24</v>
      </c>
      <c r="F37" s="4">
        <v>44375</v>
      </c>
      <c r="G37" t="s">
        <v>21</v>
      </c>
      <c r="H37">
        <v>52610</v>
      </c>
    </row>
    <row r="38" spans="2:8" x14ac:dyDescent="0.3">
      <c r="B38" t="s">
        <v>180</v>
      </c>
      <c r="C38" t="s">
        <v>15</v>
      </c>
      <c r="D38">
        <v>29</v>
      </c>
      <c r="E38" t="s">
        <v>24</v>
      </c>
      <c r="F38" s="4">
        <v>44119</v>
      </c>
      <c r="G38" t="s">
        <v>12</v>
      </c>
      <c r="H38">
        <v>112110</v>
      </c>
    </row>
    <row r="39" spans="2:8" x14ac:dyDescent="0.3">
      <c r="B39" t="s">
        <v>152</v>
      </c>
      <c r="C39" t="s">
        <v>8</v>
      </c>
      <c r="D39">
        <v>27</v>
      </c>
      <c r="E39" t="s">
        <v>16</v>
      </c>
      <c r="F39" s="4">
        <v>44061</v>
      </c>
      <c r="G39" t="s">
        <v>56</v>
      </c>
      <c r="H39">
        <v>119110</v>
      </c>
    </row>
    <row r="40" spans="2:8" x14ac:dyDescent="0.3">
      <c r="B40" t="s">
        <v>150</v>
      </c>
      <c r="C40" t="s">
        <v>15</v>
      </c>
      <c r="D40">
        <v>22</v>
      </c>
      <c r="E40" t="s">
        <v>13</v>
      </c>
      <c r="F40" s="4">
        <v>44384</v>
      </c>
      <c r="G40" t="s">
        <v>19</v>
      </c>
      <c r="H40">
        <v>112780</v>
      </c>
    </row>
    <row r="41" spans="2:8" x14ac:dyDescent="0.3">
      <c r="B41" t="s">
        <v>175</v>
      </c>
      <c r="C41" t="s">
        <v>8</v>
      </c>
      <c r="D41">
        <v>36</v>
      </c>
      <c r="E41" t="s">
        <v>16</v>
      </c>
      <c r="F41" s="4">
        <v>44023</v>
      </c>
      <c r="G41" t="s">
        <v>9</v>
      </c>
      <c r="H41">
        <v>114890</v>
      </c>
    </row>
    <row r="42" spans="2:8" x14ac:dyDescent="0.3">
      <c r="B42" t="s">
        <v>146</v>
      </c>
      <c r="C42" t="s">
        <v>15</v>
      </c>
      <c r="D42">
        <v>27</v>
      </c>
      <c r="E42" t="s">
        <v>16</v>
      </c>
      <c r="F42" s="4">
        <v>44506</v>
      </c>
      <c r="G42" t="s">
        <v>21</v>
      </c>
      <c r="H42">
        <v>48980</v>
      </c>
    </row>
    <row r="43" spans="2:8" x14ac:dyDescent="0.3">
      <c r="B43" t="s">
        <v>170</v>
      </c>
      <c r="C43" t="s">
        <v>15</v>
      </c>
      <c r="D43">
        <v>21</v>
      </c>
      <c r="E43" t="s">
        <v>16</v>
      </c>
      <c r="F43" s="4">
        <v>44180</v>
      </c>
      <c r="G43" t="s">
        <v>56</v>
      </c>
      <c r="H43">
        <v>75880</v>
      </c>
    </row>
    <row r="44" spans="2:8" x14ac:dyDescent="0.3">
      <c r="B44" t="s">
        <v>167</v>
      </c>
      <c r="C44" t="s">
        <v>8</v>
      </c>
      <c r="D44">
        <v>28</v>
      </c>
      <c r="E44" t="s">
        <v>16</v>
      </c>
      <c r="F44" s="4">
        <v>44296</v>
      </c>
      <c r="G44" t="s">
        <v>19</v>
      </c>
      <c r="H44">
        <v>53240</v>
      </c>
    </row>
    <row r="45" spans="2:8" x14ac:dyDescent="0.3">
      <c r="B45" t="s">
        <v>122</v>
      </c>
      <c r="C45" t="s">
        <v>8</v>
      </c>
      <c r="D45">
        <v>34</v>
      </c>
      <c r="E45" t="s">
        <v>16</v>
      </c>
      <c r="F45" s="4">
        <v>44397</v>
      </c>
      <c r="G45" t="s">
        <v>21</v>
      </c>
      <c r="H45">
        <v>85000</v>
      </c>
    </row>
    <row r="46" spans="2:8" x14ac:dyDescent="0.3">
      <c r="B46" t="s">
        <v>179</v>
      </c>
      <c r="C46" t="s">
        <v>8</v>
      </c>
      <c r="D46">
        <v>21</v>
      </c>
      <c r="E46" t="s">
        <v>16</v>
      </c>
      <c r="F46" s="4">
        <v>44619</v>
      </c>
      <c r="G46" t="s">
        <v>12</v>
      </c>
      <c r="H46">
        <v>33920</v>
      </c>
    </row>
    <row r="47" spans="2:8" x14ac:dyDescent="0.3">
      <c r="B47" t="s">
        <v>188</v>
      </c>
      <c r="C47" t="s">
        <v>8</v>
      </c>
      <c r="D47">
        <v>33</v>
      </c>
      <c r="E47" t="s">
        <v>16</v>
      </c>
      <c r="F47" s="4">
        <v>44253</v>
      </c>
      <c r="G47" t="s">
        <v>12</v>
      </c>
      <c r="H47">
        <v>75280</v>
      </c>
    </row>
    <row r="48" spans="2:8" x14ac:dyDescent="0.3">
      <c r="B48" t="s">
        <v>130</v>
      </c>
      <c r="C48" t="s">
        <v>8</v>
      </c>
      <c r="D48">
        <v>34</v>
      </c>
      <c r="E48" t="s">
        <v>16</v>
      </c>
      <c r="F48" s="4">
        <v>44594</v>
      </c>
      <c r="G48" t="s">
        <v>21</v>
      </c>
      <c r="H48">
        <v>58940</v>
      </c>
    </row>
    <row r="49" spans="2:8" x14ac:dyDescent="0.3">
      <c r="B49" t="s">
        <v>136</v>
      </c>
      <c r="C49" t="s">
        <v>8</v>
      </c>
      <c r="D49">
        <v>28</v>
      </c>
      <c r="E49" t="s">
        <v>16</v>
      </c>
      <c r="F49" s="4">
        <v>44425</v>
      </c>
      <c r="G49" t="s">
        <v>9</v>
      </c>
      <c r="H49">
        <v>104770</v>
      </c>
    </row>
    <row r="50" spans="2:8" x14ac:dyDescent="0.3">
      <c r="B50" t="s">
        <v>125</v>
      </c>
      <c r="C50" t="s">
        <v>15</v>
      </c>
      <c r="D50">
        <v>21</v>
      </c>
      <c r="E50" t="s">
        <v>16</v>
      </c>
      <c r="F50" s="4">
        <v>44701</v>
      </c>
      <c r="G50" t="s">
        <v>9</v>
      </c>
      <c r="H50">
        <v>57090</v>
      </c>
    </row>
    <row r="51" spans="2:8" x14ac:dyDescent="0.3">
      <c r="B51" t="s">
        <v>160</v>
      </c>
      <c r="C51" t="s">
        <v>15</v>
      </c>
      <c r="D51">
        <v>27</v>
      </c>
      <c r="E51" t="s">
        <v>13</v>
      </c>
      <c r="F51" s="4">
        <v>44174</v>
      </c>
      <c r="G51" t="s">
        <v>21</v>
      </c>
      <c r="H51">
        <v>91650</v>
      </c>
    </row>
    <row r="52" spans="2:8" x14ac:dyDescent="0.3">
      <c r="B52" t="s">
        <v>183</v>
      </c>
      <c r="C52" t="s">
        <v>15</v>
      </c>
      <c r="D52">
        <v>42</v>
      </c>
      <c r="E52" t="s">
        <v>24</v>
      </c>
      <c r="F52" s="4">
        <v>44670</v>
      </c>
      <c r="G52" t="s">
        <v>21</v>
      </c>
      <c r="H52">
        <v>70270</v>
      </c>
    </row>
    <row r="53" spans="2:8" x14ac:dyDescent="0.3">
      <c r="B53" t="s">
        <v>129</v>
      </c>
      <c r="C53" t="s">
        <v>8</v>
      </c>
      <c r="D53">
        <v>28</v>
      </c>
      <c r="E53" t="s">
        <v>16</v>
      </c>
      <c r="F53" s="4">
        <v>44124</v>
      </c>
      <c r="G53" t="s">
        <v>21</v>
      </c>
      <c r="H53">
        <v>75970</v>
      </c>
    </row>
    <row r="54" spans="2:8" x14ac:dyDescent="0.3">
      <c r="B54" t="s">
        <v>112</v>
      </c>
      <c r="D54">
        <v>27</v>
      </c>
      <c r="E54" t="s">
        <v>13</v>
      </c>
      <c r="F54" s="4">
        <v>44212</v>
      </c>
      <c r="G54" t="s">
        <v>12</v>
      </c>
      <c r="H54">
        <v>90700</v>
      </c>
    </row>
    <row r="55" spans="2:8" x14ac:dyDescent="0.3">
      <c r="B55" t="s">
        <v>131</v>
      </c>
      <c r="C55" t="s">
        <v>15</v>
      </c>
      <c r="D55">
        <v>30</v>
      </c>
      <c r="E55" t="s">
        <v>16</v>
      </c>
      <c r="F55" s="4">
        <v>44607</v>
      </c>
      <c r="G55" t="s">
        <v>9</v>
      </c>
      <c r="H55">
        <v>60570</v>
      </c>
    </row>
    <row r="56" spans="2:8" x14ac:dyDescent="0.3">
      <c r="B56" t="s">
        <v>134</v>
      </c>
      <c r="C56" t="s">
        <v>15</v>
      </c>
      <c r="D56">
        <v>33</v>
      </c>
      <c r="E56" t="s">
        <v>16</v>
      </c>
      <c r="F56" s="4">
        <v>44103</v>
      </c>
      <c r="G56" t="s">
        <v>9</v>
      </c>
      <c r="H56">
        <v>115920</v>
      </c>
    </row>
    <row r="57" spans="2:8" x14ac:dyDescent="0.3">
      <c r="B57" t="s">
        <v>186</v>
      </c>
      <c r="C57" t="s">
        <v>8</v>
      </c>
      <c r="D57">
        <v>33</v>
      </c>
      <c r="E57" t="s">
        <v>16</v>
      </c>
      <c r="F57" s="4">
        <v>44006</v>
      </c>
      <c r="G57" t="s">
        <v>21</v>
      </c>
      <c r="H57">
        <v>65360</v>
      </c>
    </row>
    <row r="58" spans="2:8" x14ac:dyDescent="0.3">
      <c r="B58" t="s">
        <v>116</v>
      </c>
      <c r="D58">
        <v>30</v>
      </c>
      <c r="E58" t="s">
        <v>16</v>
      </c>
      <c r="F58" s="4">
        <v>44535</v>
      </c>
      <c r="G58" t="s">
        <v>21</v>
      </c>
      <c r="H58">
        <v>64000</v>
      </c>
    </row>
    <row r="59" spans="2:8" x14ac:dyDescent="0.3">
      <c r="B59" t="s">
        <v>195</v>
      </c>
      <c r="C59" t="s">
        <v>8</v>
      </c>
      <c r="D59">
        <v>34</v>
      </c>
      <c r="E59" t="s">
        <v>16</v>
      </c>
      <c r="F59" s="4">
        <v>44383</v>
      </c>
      <c r="G59" t="s">
        <v>21</v>
      </c>
      <c r="H59">
        <v>92450</v>
      </c>
    </row>
    <row r="60" spans="2:8" x14ac:dyDescent="0.3">
      <c r="B60" t="s">
        <v>113</v>
      </c>
      <c r="C60" t="s">
        <v>15</v>
      </c>
      <c r="D60">
        <v>31</v>
      </c>
      <c r="E60" t="s">
        <v>16</v>
      </c>
      <c r="F60" s="4">
        <v>44450</v>
      </c>
      <c r="G60" t="s">
        <v>12</v>
      </c>
      <c r="H60">
        <v>48950</v>
      </c>
    </row>
    <row r="61" spans="2:8" x14ac:dyDescent="0.3">
      <c r="B61" t="s">
        <v>185</v>
      </c>
      <c r="C61" t="s">
        <v>8</v>
      </c>
      <c r="D61">
        <v>27</v>
      </c>
      <c r="E61" t="s">
        <v>16</v>
      </c>
      <c r="F61" s="4">
        <v>44625</v>
      </c>
      <c r="G61" t="s">
        <v>12</v>
      </c>
      <c r="H61">
        <v>83750</v>
      </c>
    </row>
    <row r="62" spans="2:8" x14ac:dyDescent="0.3">
      <c r="B62" t="s">
        <v>166</v>
      </c>
      <c r="C62" t="s">
        <v>8</v>
      </c>
      <c r="D62">
        <v>40</v>
      </c>
      <c r="E62" t="s">
        <v>16</v>
      </c>
      <c r="F62" s="4">
        <v>44276</v>
      </c>
      <c r="G62" t="s">
        <v>12</v>
      </c>
      <c r="H62">
        <v>87620</v>
      </c>
    </row>
    <row r="63" spans="2:8" x14ac:dyDescent="0.3">
      <c r="B63" t="s">
        <v>184</v>
      </c>
      <c r="C63" t="s">
        <v>8</v>
      </c>
      <c r="D63">
        <v>20</v>
      </c>
      <c r="E63" t="s">
        <v>24</v>
      </c>
      <c r="F63" s="4">
        <v>44476</v>
      </c>
      <c r="G63" t="s">
        <v>19</v>
      </c>
      <c r="H63">
        <v>68900</v>
      </c>
    </row>
    <row r="64" spans="2:8" x14ac:dyDescent="0.3">
      <c r="B64" t="s">
        <v>157</v>
      </c>
      <c r="C64" t="s">
        <v>15</v>
      </c>
      <c r="D64">
        <v>32</v>
      </c>
      <c r="E64" t="s">
        <v>16</v>
      </c>
      <c r="F64" s="4">
        <v>44403</v>
      </c>
      <c r="G64" t="s">
        <v>19</v>
      </c>
      <c r="H64">
        <v>53540</v>
      </c>
    </row>
    <row r="65" spans="2:8" x14ac:dyDescent="0.3">
      <c r="B65" t="s">
        <v>172</v>
      </c>
      <c r="C65" t="s">
        <v>15</v>
      </c>
      <c r="D65">
        <v>28</v>
      </c>
      <c r="E65" t="s">
        <v>42</v>
      </c>
      <c r="F65" s="4">
        <v>44758</v>
      </c>
      <c r="G65" t="s">
        <v>19</v>
      </c>
      <c r="H65">
        <v>43510</v>
      </c>
    </row>
    <row r="66" spans="2:8" x14ac:dyDescent="0.3">
      <c r="B66" t="s">
        <v>127</v>
      </c>
      <c r="C66" t="s">
        <v>8</v>
      </c>
      <c r="D66">
        <v>38</v>
      </c>
      <c r="E66" t="s">
        <v>10</v>
      </c>
      <c r="F66" s="4">
        <v>44316</v>
      </c>
      <c r="G66" t="s">
        <v>19</v>
      </c>
      <c r="H66">
        <v>109160</v>
      </c>
    </row>
    <row r="67" spans="2:8" x14ac:dyDescent="0.3">
      <c r="B67" t="s">
        <v>198</v>
      </c>
      <c r="C67" t="s">
        <v>15</v>
      </c>
      <c r="D67">
        <v>40</v>
      </c>
      <c r="E67" t="s">
        <v>16</v>
      </c>
      <c r="F67" s="4">
        <v>44204</v>
      </c>
      <c r="G67" t="s">
        <v>9</v>
      </c>
      <c r="H67">
        <v>99750</v>
      </c>
    </row>
    <row r="68" spans="2:8" x14ac:dyDescent="0.3">
      <c r="B68" t="s">
        <v>124</v>
      </c>
      <c r="C68" t="s">
        <v>8</v>
      </c>
      <c r="D68">
        <v>31</v>
      </c>
      <c r="E68" t="s">
        <v>16</v>
      </c>
      <c r="F68" s="4">
        <v>44084</v>
      </c>
      <c r="G68" t="s">
        <v>12</v>
      </c>
      <c r="H68">
        <v>41980</v>
      </c>
    </row>
    <row r="69" spans="2:8" x14ac:dyDescent="0.3">
      <c r="B69" t="s">
        <v>187</v>
      </c>
      <c r="C69" t="s">
        <v>15</v>
      </c>
      <c r="D69">
        <v>36</v>
      </c>
      <c r="E69" t="s">
        <v>16</v>
      </c>
      <c r="F69" s="4">
        <v>44272</v>
      </c>
      <c r="G69" t="s">
        <v>21</v>
      </c>
      <c r="H69">
        <v>71380</v>
      </c>
    </row>
    <row r="70" spans="2:8" x14ac:dyDescent="0.3">
      <c r="B70" t="s">
        <v>191</v>
      </c>
      <c r="C70" t="s">
        <v>15</v>
      </c>
      <c r="D70">
        <v>27</v>
      </c>
      <c r="E70" t="s">
        <v>42</v>
      </c>
      <c r="F70" s="4">
        <v>44547</v>
      </c>
      <c r="G70" t="s">
        <v>9</v>
      </c>
      <c r="H70">
        <v>113280</v>
      </c>
    </row>
    <row r="71" spans="2:8" x14ac:dyDescent="0.3">
      <c r="B71" t="s">
        <v>181</v>
      </c>
      <c r="C71" t="s">
        <v>8</v>
      </c>
      <c r="D71">
        <v>33</v>
      </c>
      <c r="E71" t="s">
        <v>16</v>
      </c>
      <c r="F71" s="4">
        <v>44747</v>
      </c>
      <c r="G71" t="s">
        <v>21</v>
      </c>
      <c r="H71">
        <v>86570</v>
      </c>
    </row>
    <row r="72" spans="2:8" x14ac:dyDescent="0.3">
      <c r="B72" t="s">
        <v>139</v>
      </c>
      <c r="C72" t="s">
        <v>15</v>
      </c>
      <c r="D72">
        <v>26</v>
      </c>
      <c r="E72" t="s">
        <v>16</v>
      </c>
      <c r="F72" s="4">
        <v>44350</v>
      </c>
      <c r="G72" t="s">
        <v>9</v>
      </c>
      <c r="H72">
        <v>53540</v>
      </c>
    </row>
    <row r="73" spans="2:8" x14ac:dyDescent="0.3">
      <c r="B73" t="s">
        <v>190</v>
      </c>
      <c r="C73" t="s">
        <v>15</v>
      </c>
      <c r="D73">
        <v>37</v>
      </c>
      <c r="E73" t="s">
        <v>16</v>
      </c>
      <c r="F73" s="4">
        <v>44640</v>
      </c>
      <c r="G73" t="s">
        <v>12</v>
      </c>
      <c r="H73">
        <v>69070</v>
      </c>
    </row>
    <row r="74" spans="2:8" x14ac:dyDescent="0.3">
      <c r="B74" t="s">
        <v>121</v>
      </c>
      <c r="C74" t="s">
        <v>8</v>
      </c>
      <c r="D74">
        <v>30</v>
      </c>
      <c r="E74" t="s">
        <v>24</v>
      </c>
      <c r="F74" s="4">
        <v>44328</v>
      </c>
      <c r="G74" t="s">
        <v>21</v>
      </c>
      <c r="H74">
        <v>67910</v>
      </c>
    </row>
    <row r="75" spans="2:8" x14ac:dyDescent="0.3">
      <c r="B75" t="s">
        <v>119</v>
      </c>
      <c r="C75" t="s">
        <v>15</v>
      </c>
      <c r="D75">
        <v>30</v>
      </c>
      <c r="E75" t="s">
        <v>16</v>
      </c>
      <c r="F75" s="4">
        <v>44214</v>
      </c>
      <c r="G75" t="s">
        <v>12</v>
      </c>
      <c r="H75">
        <v>69120</v>
      </c>
    </row>
    <row r="76" spans="2:8" x14ac:dyDescent="0.3">
      <c r="B76" t="s">
        <v>132</v>
      </c>
      <c r="C76" t="s">
        <v>8</v>
      </c>
      <c r="D76">
        <v>34</v>
      </c>
      <c r="E76" t="s">
        <v>16</v>
      </c>
      <c r="F76" s="4">
        <v>44550</v>
      </c>
      <c r="G76" t="s">
        <v>21</v>
      </c>
      <c r="H76">
        <v>60130</v>
      </c>
    </row>
    <row r="77" spans="2:8" x14ac:dyDescent="0.3">
      <c r="B77" t="s">
        <v>161</v>
      </c>
      <c r="C77" t="s">
        <v>15</v>
      </c>
      <c r="D77">
        <v>23</v>
      </c>
      <c r="E77" t="s">
        <v>16</v>
      </c>
      <c r="F77" s="4">
        <v>44378</v>
      </c>
      <c r="G77" t="s">
        <v>9</v>
      </c>
      <c r="H77">
        <v>106460</v>
      </c>
    </row>
    <row r="78" spans="2:8" x14ac:dyDescent="0.3">
      <c r="B78" t="s">
        <v>148</v>
      </c>
      <c r="C78" t="s">
        <v>8</v>
      </c>
      <c r="D78">
        <v>37</v>
      </c>
      <c r="E78" t="s">
        <v>16</v>
      </c>
      <c r="F78" s="4">
        <v>44389</v>
      </c>
      <c r="G78" t="s">
        <v>56</v>
      </c>
      <c r="H78">
        <v>118100</v>
      </c>
    </row>
    <row r="79" spans="2:8" x14ac:dyDescent="0.3">
      <c r="B79" t="s">
        <v>164</v>
      </c>
      <c r="C79" t="s">
        <v>8</v>
      </c>
      <c r="D79">
        <v>36</v>
      </c>
      <c r="E79" t="s">
        <v>16</v>
      </c>
      <c r="F79" s="4">
        <v>44468</v>
      </c>
      <c r="G79" t="s">
        <v>9</v>
      </c>
      <c r="H79">
        <v>78390</v>
      </c>
    </row>
    <row r="80" spans="2:8" x14ac:dyDescent="0.3">
      <c r="B80" t="s">
        <v>147</v>
      </c>
      <c r="C80" t="s">
        <v>8</v>
      </c>
      <c r="D80">
        <v>30</v>
      </c>
      <c r="E80" t="s">
        <v>16</v>
      </c>
      <c r="F80" s="4">
        <v>44789</v>
      </c>
      <c r="G80" t="s">
        <v>9</v>
      </c>
      <c r="H80">
        <v>114180</v>
      </c>
    </row>
    <row r="81" spans="2:8" x14ac:dyDescent="0.3">
      <c r="B81" t="s">
        <v>189</v>
      </c>
      <c r="C81" t="s">
        <v>8</v>
      </c>
      <c r="D81">
        <v>28</v>
      </c>
      <c r="E81" t="s">
        <v>16</v>
      </c>
      <c r="F81" s="4">
        <v>44590</v>
      </c>
      <c r="G81" t="s">
        <v>9</v>
      </c>
      <c r="H81">
        <v>104120</v>
      </c>
    </row>
    <row r="82" spans="2:8" x14ac:dyDescent="0.3">
      <c r="B82" t="s">
        <v>138</v>
      </c>
      <c r="C82" t="s">
        <v>15</v>
      </c>
      <c r="D82">
        <v>30</v>
      </c>
      <c r="E82" t="s">
        <v>16</v>
      </c>
      <c r="F82" s="4">
        <v>44640</v>
      </c>
      <c r="G82" t="s">
        <v>9</v>
      </c>
      <c r="H82">
        <v>67950</v>
      </c>
    </row>
    <row r="83" spans="2:8" x14ac:dyDescent="0.3">
      <c r="B83" t="s">
        <v>137</v>
      </c>
      <c r="C83" t="s">
        <v>8</v>
      </c>
      <c r="D83">
        <v>29</v>
      </c>
      <c r="E83" t="s">
        <v>16</v>
      </c>
      <c r="F83" s="4">
        <v>43962</v>
      </c>
      <c r="G83" t="s">
        <v>12</v>
      </c>
      <c r="H83">
        <v>34980</v>
      </c>
    </row>
    <row r="84" spans="2:8" x14ac:dyDescent="0.3">
      <c r="B84" t="s">
        <v>153</v>
      </c>
      <c r="C84" t="s">
        <v>8</v>
      </c>
      <c r="D84">
        <v>24</v>
      </c>
      <c r="E84" t="s">
        <v>16</v>
      </c>
      <c r="F84" s="4">
        <v>44087</v>
      </c>
      <c r="G84" t="s">
        <v>12</v>
      </c>
      <c r="H84">
        <v>62780</v>
      </c>
    </row>
    <row r="85" spans="2:8" x14ac:dyDescent="0.3">
      <c r="B85" t="s">
        <v>117</v>
      </c>
      <c r="C85" t="s">
        <v>15</v>
      </c>
      <c r="D85">
        <v>20</v>
      </c>
      <c r="E85" t="s">
        <v>16</v>
      </c>
      <c r="F85" s="4">
        <v>44397</v>
      </c>
      <c r="G85" t="s">
        <v>12</v>
      </c>
      <c r="H85">
        <v>107700</v>
      </c>
    </row>
    <row r="86" spans="2:8" x14ac:dyDescent="0.3">
      <c r="B86" t="s">
        <v>168</v>
      </c>
      <c r="C86" t="s">
        <v>15</v>
      </c>
      <c r="D86">
        <v>25</v>
      </c>
      <c r="E86" t="s">
        <v>16</v>
      </c>
      <c r="F86" s="4">
        <v>44322</v>
      </c>
      <c r="G86" t="s">
        <v>19</v>
      </c>
      <c r="H86">
        <v>65700</v>
      </c>
    </row>
    <row r="87" spans="2:8" x14ac:dyDescent="0.3">
      <c r="B87" t="s">
        <v>135</v>
      </c>
      <c r="C87" t="s">
        <v>8</v>
      </c>
      <c r="D87">
        <v>33</v>
      </c>
      <c r="E87" t="s">
        <v>42</v>
      </c>
      <c r="F87" s="4">
        <v>44313</v>
      </c>
      <c r="G87" t="s">
        <v>12</v>
      </c>
      <c r="H87">
        <v>75480</v>
      </c>
    </row>
    <row r="88" spans="2:8" x14ac:dyDescent="0.3">
      <c r="B88" t="s">
        <v>174</v>
      </c>
      <c r="C88" t="s">
        <v>15</v>
      </c>
      <c r="D88">
        <v>33</v>
      </c>
      <c r="E88" t="s">
        <v>16</v>
      </c>
      <c r="F88" s="4">
        <v>44448</v>
      </c>
      <c r="G88" t="s">
        <v>12</v>
      </c>
      <c r="H88">
        <v>53870</v>
      </c>
    </row>
    <row r="89" spans="2:8" x14ac:dyDescent="0.3">
      <c r="B89" t="s">
        <v>141</v>
      </c>
      <c r="C89" t="s">
        <v>8</v>
      </c>
      <c r="D89">
        <v>36</v>
      </c>
      <c r="E89" t="s">
        <v>16</v>
      </c>
      <c r="F89" s="4">
        <v>44433</v>
      </c>
      <c r="G89" t="s">
        <v>19</v>
      </c>
      <c r="H89">
        <v>78540</v>
      </c>
    </row>
    <row r="90" spans="2:8" x14ac:dyDescent="0.3">
      <c r="B90" t="s">
        <v>193</v>
      </c>
      <c r="C90" t="s">
        <v>15</v>
      </c>
      <c r="D90">
        <v>19</v>
      </c>
      <c r="E90" t="s">
        <v>16</v>
      </c>
      <c r="F90" s="4">
        <v>44218</v>
      </c>
      <c r="G90" t="s">
        <v>9</v>
      </c>
      <c r="H90">
        <v>58960</v>
      </c>
    </row>
    <row r="91" spans="2:8" x14ac:dyDescent="0.3">
      <c r="B91" t="s">
        <v>162</v>
      </c>
      <c r="C91" t="s">
        <v>15</v>
      </c>
      <c r="D91">
        <v>46</v>
      </c>
      <c r="E91" t="s">
        <v>16</v>
      </c>
      <c r="F91" s="4">
        <v>44697</v>
      </c>
      <c r="G91" t="s">
        <v>9</v>
      </c>
      <c r="H91">
        <v>70610</v>
      </c>
    </row>
    <row r="92" spans="2:8" x14ac:dyDescent="0.3">
      <c r="B92" t="s">
        <v>171</v>
      </c>
      <c r="C92" t="s">
        <v>15</v>
      </c>
      <c r="D92">
        <v>33</v>
      </c>
      <c r="E92" t="s">
        <v>16</v>
      </c>
      <c r="F92" s="4">
        <v>44181</v>
      </c>
      <c r="G92" t="s">
        <v>21</v>
      </c>
      <c r="H92">
        <v>59430</v>
      </c>
    </row>
    <row r="93" spans="2:8" x14ac:dyDescent="0.3">
      <c r="B93" t="s">
        <v>144</v>
      </c>
      <c r="C93" t="s">
        <v>15</v>
      </c>
      <c r="D93">
        <v>33</v>
      </c>
      <c r="E93" t="s">
        <v>13</v>
      </c>
      <c r="F93" s="4">
        <v>44640</v>
      </c>
      <c r="G93" t="s">
        <v>9</v>
      </c>
      <c r="H93">
        <v>48530</v>
      </c>
    </row>
    <row r="94" spans="2:8" x14ac:dyDescent="0.3">
      <c r="B94" t="s">
        <v>163</v>
      </c>
      <c r="C94" t="s">
        <v>8</v>
      </c>
      <c r="D94">
        <v>33</v>
      </c>
      <c r="E94" t="s">
        <v>16</v>
      </c>
      <c r="F94" s="4">
        <v>44129</v>
      </c>
      <c r="G94" t="s">
        <v>12</v>
      </c>
      <c r="H94">
        <v>96140</v>
      </c>
    </row>
    <row r="95" spans="2:8" x14ac:dyDescent="0.3">
      <c r="B95" t="s">
        <v>156</v>
      </c>
      <c r="C95" t="s">
        <v>15</v>
      </c>
      <c r="D95">
        <v>20</v>
      </c>
      <c r="E95" t="s">
        <v>16</v>
      </c>
      <c r="F95" s="4">
        <v>44122</v>
      </c>
      <c r="G95" t="s">
        <v>12</v>
      </c>
      <c r="H95">
        <v>112650</v>
      </c>
    </row>
    <row r="96" spans="2:8" x14ac:dyDescent="0.3">
      <c r="B96" t="s">
        <v>176</v>
      </c>
      <c r="C96" t="s">
        <v>8</v>
      </c>
      <c r="D96">
        <v>32</v>
      </c>
      <c r="E96" t="s">
        <v>13</v>
      </c>
      <c r="F96" s="4">
        <v>44293</v>
      </c>
      <c r="G96" t="s">
        <v>12</v>
      </c>
      <c r="H96">
        <v>43840</v>
      </c>
    </row>
    <row r="97" spans="2:8" x14ac:dyDescent="0.3">
      <c r="B97" t="s">
        <v>143</v>
      </c>
      <c r="C97" t="s">
        <v>15</v>
      </c>
      <c r="D97">
        <v>31</v>
      </c>
      <c r="E97" t="s">
        <v>16</v>
      </c>
      <c r="F97" s="4">
        <v>44663</v>
      </c>
      <c r="G97" t="s">
        <v>9</v>
      </c>
      <c r="H97">
        <v>103550</v>
      </c>
    </row>
    <row r="98" spans="2:8" x14ac:dyDescent="0.3">
      <c r="B98" t="s">
        <v>201</v>
      </c>
      <c r="C98" t="s">
        <v>8</v>
      </c>
      <c r="D98">
        <v>32</v>
      </c>
      <c r="E98" t="s">
        <v>16</v>
      </c>
      <c r="F98" s="4">
        <v>44339</v>
      </c>
      <c r="G98" t="s">
        <v>56</v>
      </c>
      <c r="H98">
        <v>45510</v>
      </c>
    </row>
    <row r="99" spans="2:8" x14ac:dyDescent="0.3">
      <c r="B99" t="s">
        <v>142</v>
      </c>
      <c r="D99">
        <v>37</v>
      </c>
      <c r="E99" t="s">
        <v>24</v>
      </c>
      <c r="F99" s="4">
        <v>44085</v>
      </c>
      <c r="G99" t="s">
        <v>21</v>
      </c>
      <c r="H99">
        <v>115440</v>
      </c>
    </row>
    <row r="100" spans="2:8" x14ac:dyDescent="0.3">
      <c r="B100" t="s">
        <v>202</v>
      </c>
      <c r="C100" t="s">
        <v>8</v>
      </c>
      <c r="D100">
        <v>38</v>
      </c>
      <c r="E100" t="s">
        <v>13</v>
      </c>
      <c r="F100" s="4">
        <v>44268</v>
      </c>
      <c r="G100" t="s">
        <v>19</v>
      </c>
      <c r="H100">
        <v>56870</v>
      </c>
    </row>
    <row r="101" spans="2:8" x14ac:dyDescent="0.3">
      <c r="B101" t="s">
        <v>169</v>
      </c>
      <c r="C101" t="s">
        <v>8</v>
      </c>
      <c r="D101">
        <v>25</v>
      </c>
      <c r="E101" t="s">
        <v>16</v>
      </c>
      <c r="F101" s="4">
        <v>44144</v>
      </c>
      <c r="G101" t="s">
        <v>19</v>
      </c>
      <c r="H101">
        <v>92700</v>
      </c>
    </row>
    <row r="102" spans="2:8" x14ac:dyDescent="0.3">
      <c r="B102" t="s">
        <v>145</v>
      </c>
      <c r="D102">
        <v>32</v>
      </c>
      <c r="E102" t="s">
        <v>16</v>
      </c>
      <c r="F102" s="4">
        <v>44713</v>
      </c>
      <c r="G102" t="s">
        <v>12</v>
      </c>
      <c r="H102">
        <v>91310</v>
      </c>
    </row>
    <row r="103" spans="2:8" x14ac:dyDescent="0.3">
      <c r="B103" t="s">
        <v>115</v>
      </c>
      <c r="C103" t="s">
        <v>15</v>
      </c>
      <c r="D103">
        <v>33</v>
      </c>
      <c r="E103" t="s">
        <v>16</v>
      </c>
      <c r="F103" s="4">
        <v>44324</v>
      </c>
      <c r="G103" t="s">
        <v>19</v>
      </c>
      <c r="H103">
        <v>74550</v>
      </c>
    </row>
    <row r="104" spans="2:8" x14ac:dyDescent="0.3">
      <c r="B104" t="s">
        <v>128</v>
      </c>
      <c r="C104" t="s">
        <v>15</v>
      </c>
      <c r="D104">
        <v>25</v>
      </c>
      <c r="E104" t="s">
        <v>13</v>
      </c>
      <c r="F104" s="4">
        <v>44665</v>
      </c>
      <c r="G104" t="s">
        <v>9</v>
      </c>
      <c r="H104">
        <v>109190</v>
      </c>
    </row>
    <row r="105" spans="2:8" x14ac:dyDescent="0.3">
      <c r="B105" t="s">
        <v>194</v>
      </c>
      <c r="C105" t="s">
        <v>8</v>
      </c>
      <c r="D105">
        <v>40</v>
      </c>
      <c r="E105" t="s">
        <v>16</v>
      </c>
      <c r="F105" s="4">
        <v>44320</v>
      </c>
      <c r="G105" t="s">
        <v>12</v>
      </c>
      <c r="H105">
        <v>104410</v>
      </c>
    </row>
    <row r="106" spans="2:8" x14ac:dyDescent="0.3">
      <c r="B106" t="s">
        <v>177</v>
      </c>
      <c r="C106" t="s">
        <v>15</v>
      </c>
      <c r="D106">
        <v>30</v>
      </c>
      <c r="E106" t="s">
        <v>16</v>
      </c>
      <c r="F106" s="4">
        <v>44544</v>
      </c>
      <c r="G106" t="s">
        <v>21</v>
      </c>
      <c r="H106">
        <v>96800</v>
      </c>
    </row>
    <row r="107" spans="2:8" x14ac:dyDescent="0.3">
      <c r="B107" t="s">
        <v>123</v>
      </c>
      <c r="C107" t="s">
        <v>15</v>
      </c>
      <c r="D107">
        <v>28</v>
      </c>
      <c r="E107" t="s">
        <v>13</v>
      </c>
      <c r="F107" s="4">
        <v>43980</v>
      </c>
      <c r="G107" t="s">
        <v>21</v>
      </c>
      <c r="H107">
        <v>48170</v>
      </c>
    </row>
    <row r="108" spans="2:8" x14ac:dyDescent="0.3">
      <c r="B108" t="s">
        <v>140</v>
      </c>
      <c r="C108" t="s">
        <v>15</v>
      </c>
      <c r="D108">
        <v>21</v>
      </c>
      <c r="E108" t="s">
        <v>16</v>
      </c>
      <c r="F108" s="4">
        <v>44042</v>
      </c>
      <c r="G108" t="s">
        <v>9</v>
      </c>
      <c r="H108">
        <v>37920</v>
      </c>
    </row>
    <row r="109" spans="2:8" x14ac:dyDescent="0.3">
      <c r="B109" t="s">
        <v>178</v>
      </c>
      <c r="C109" t="s">
        <v>15</v>
      </c>
      <c r="D109">
        <v>34</v>
      </c>
      <c r="E109" t="s">
        <v>16</v>
      </c>
      <c r="F109" s="4">
        <v>44642</v>
      </c>
      <c r="G109" t="s">
        <v>9</v>
      </c>
      <c r="H109">
        <v>112650</v>
      </c>
    </row>
    <row r="110" spans="2:8" x14ac:dyDescent="0.3">
      <c r="B110" t="s">
        <v>165</v>
      </c>
      <c r="C110" t="s">
        <v>8</v>
      </c>
      <c r="D110">
        <v>34</v>
      </c>
      <c r="E110" t="s">
        <v>24</v>
      </c>
      <c r="F110" s="4">
        <v>44660</v>
      </c>
      <c r="G110" t="s">
        <v>19</v>
      </c>
      <c r="H110">
        <v>49630</v>
      </c>
    </row>
    <row r="111" spans="2:8" x14ac:dyDescent="0.3">
      <c r="B111" t="s">
        <v>199</v>
      </c>
      <c r="C111" t="s">
        <v>15</v>
      </c>
      <c r="D111">
        <v>36</v>
      </c>
      <c r="E111" t="s">
        <v>16</v>
      </c>
      <c r="F111" s="4">
        <v>43958</v>
      </c>
      <c r="G111" t="s">
        <v>12</v>
      </c>
      <c r="H111">
        <v>118840</v>
      </c>
    </row>
    <row r="112" spans="2:8" x14ac:dyDescent="0.3">
      <c r="B112" t="s">
        <v>159</v>
      </c>
      <c r="C112" t="s">
        <v>15</v>
      </c>
      <c r="D112">
        <v>30</v>
      </c>
      <c r="E112" t="s">
        <v>16</v>
      </c>
      <c r="F112" s="4">
        <v>44789</v>
      </c>
      <c r="G112" t="s">
        <v>12</v>
      </c>
      <c r="H112">
        <v>69710</v>
      </c>
    </row>
    <row r="113" spans="2:8" x14ac:dyDescent="0.3">
      <c r="B113" t="s">
        <v>197</v>
      </c>
      <c r="C113" t="s">
        <v>15</v>
      </c>
      <c r="D113">
        <v>20</v>
      </c>
      <c r="E113" t="s">
        <v>16</v>
      </c>
      <c r="F113" s="4">
        <v>44683</v>
      </c>
      <c r="G113" t="s">
        <v>9</v>
      </c>
      <c r="H113">
        <v>79570</v>
      </c>
    </row>
    <row r="114" spans="2:8" x14ac:dyDescent="0.3">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B918F-AEEB-4330-B8D2-98EA2564F4BE}">
  <dimension ref="B3:M33"/>
  <sheetViews>
    <sheetView zoomScale="36" zoomScaleNormal="145" workbookViewId="0">
      <selection activeCell="D4" sqref="D4"/>
    </sheetView>
  </sheetViews>
  <sheetFormatPr defaultRowHeight="14.4" x14ac:dyDescent="0.3"/>
  <cols>
    <col min="2" max="2" width="19" customWidth="1"/>
    <col min="4" max="4" width="11.21875" customWidth="1"/>
    <col min="7" max="7" width="12" customWidth="1"/>
    <col min="12" max="12" width="25.77734375" customWidth="1"/>
  </cols>
  <sheetData>
    <row r="3" spans="2:13" x14ac:dyDescent="0.3">
      <c r="B3" s="19" t="s">
        <v>223</v>
      </c>
      <c r="C3" s="14"/>
      <c r="D3" s="20" t="s">
        <v>238</v>
      </c>
    </row>
    <row r="5" spans="2:13" x14ac:dyDescent="0.3">
      <c r="B5" t="str" cm="1">
        <f t="array" aca="1" ref="B5:K33" ca="1">_xlfn._xlws.FILTER(staff[[Name]:[bonus]], staff[Department] = D3)</f>
        <v>trent boult</v>
      </c>
      <c r="C5" t="str">
        <f ca="1"/>
        <v>Others</v>
      </c>
      <c r="D5">
        <f ca="1"/>
        <v>30</v>
      </c>
      <c r="E5" t="str">
        <f ca="1"/>
        <v>Average</v>
      </c>
      <c r="F5">
        <f ca="1"/>
        <v>44019</v>
      </c>
      <c r="G5" t="str">
        <f ca="1"/>
        <v>sales</v>
      </c>
      <c r="H5">
        <f ca="1"/>
        <v>77472.100000000006</v>
      </c>
      <c r="I5" t="str">
        <f ca="1"/>
        <v>NZ</v>
      </c>
      <c r="J5">
        <f ca="1"/>
        <v>3.871232876712329</v>
      </c>
      <c r="K5">
        <f ca="1"/>
        <v>2324.163</v>
      </c>
      <c r="L5" s="14" t="s">
        <v>208</v>
      </c>
      <c r="M5" s="14">
        <f>COUNTIF(staff[Department],D3)</f>
        <v>29</v>
      </c>
    </row>
    <row r="6" spans="2:13" x14ac:dyDescent="0.3">
      <c r="B6" t="str">
        <f ca="1"/>
        <v>Rafaelita Blaksland</v>
      </c>
      <c r="C6" t="str">
        <f ca="1"/>
        <v>Female</v>
      </c>
      <c r="D6">
        <f ca="1"/>
        <v>38</v>
      </c>
      <c r="E6" t="str">
        <f ca="1"/>
        <v>Exceptional</v>
      </c>
      <c r="F6">
        <f ca="1"/>
        <v>44377</v>
      </c>
      <c r="G6" t="str">
        <f ca="1"/>
        <v>Sales</v>
      </c>
      <c r="H6">
        <f ca="1"/>
        <v>109160</v>
      </c>
      <c r="I6" t="str">
        <f ca="1"/>
        <v>NZ</v>
      </c>
      <c r="J6">
        <f ca="1"/>
        <v>2.8904109589041096</v>
      </c>
      <c r="K6">
        <f ca="1"/>
        <v>3274.7999999999997</v>
      </c>
      <c r="L6" s="14" t="s">
        <v>224</v>
      </c>
      <c r="M6" s="14">
        <f>AVERAGEIFS(staff[Salary],staff[Department],D3)</f>
        <v>68197.658620689661</v>
      </c>
    </row>
    <row r="7" spans="2:13" x14ac:dyDescent="0.3">
      <c r="B7" t="str">
        <f ca="1"/>
        <v>Sawini Chandan</v>
      </c>
      <c r="C7" t="str">
        <f ca="1"/>
        <v>Female</v>
      </c>
      <c r="D7">
        <f ca="1"/>
        <v>38</v>
      </c>
      <c r="E7" t="str">
        <f ca="1"/>
        <v>Exceptional</v>
      </c>
      <c r="F7">
        <f ca="1"/>
        <v>44316</v>
      </c>
      <c r="G7" t="str">
        <f ca="1"/>
        <v>Sales</v>
      </c>
      <c r="H7">
        <f ca="1"/>
        <v>109160</v>
      </c>
      <c r="I7" t="str">
        <f ca="1"/>
        <v>IND</v>
      </c>
      <c r="J7">
        <f ca="1"/>
        <v>3.0575342465753423</v>
      </c>
      <c r="K7">
        <f ca="1"/>
        <v>3274.7999999999997</v>
      </c>
      <c r="L7" s="14" t="s">
        <v>225</v>
      </c>
      <c r="M7" s="18">
        <f>AVERAGEIFS(staff[Age],staff[Department],D3)</f>
        <v>30.620689655172413</v>
      </c>
    </row>
    <row r="8" spans="2:13" x14ac:dyDescent="0.3">
      <c r="B8" t="str">
        <f ca="1"/>
        <v>Lindy Guillet</v>
      </c>
      <c r="C8" t="str">
        <f ca="1"/>
        <v>Male</v>
      </c>
      <c r="D8">
        <f ca="1"/>
        <v>22</v>
      </c>
      <c r="E8" t="str">
        <f ca="1"/>
        <v>Above average</v>
      </c>
      <c r="F8">
        <f ca="1"/>
        <v>44446</v>
      </c>
      <c r="G8" t="str">
        <f ca="1"/>
        <v>Sales</v>
      </c>
      <c r="H8">
        <f ca="1"/>
        <v>112780</v>
      </c>
      <c r="I8" t="str">
        <f ca="1"/>
        <v>NZ</v>
      </c>
      <c r="J8">
        <f ca="1"/>
        <v>2.7013698630136984</v>
      </c>
      <c r="K8">
        <f ca="1"/>
        <v>3383.3999999999996</v>
      </c>
      <c r="L8" s="14" t="s">
        <v>226</v>
      </c>
      <c r="M8" s="14">
        <f ca="1">AVERAGEIFS(staff[tenure],staff[Department],D3)</f>
        <v>2.8172886159659907</v>
      </c>
    </row>
    <row r="9" spans="2:13" x14ac:dyDescent="0.3">
      <c r="B9" t="str">
        <f ca="1"/>
        <v>Oran Buxcy</v>
      </c>
      <c r="C9" t="str">
        <f ca="1"/>
        <v>Female</v>
      </c>
      <c r="D9">
        <f ca="1"/>
        <v>38</v>
      </c>
      <c r="E9" t="str">
        <f ca="1"/>
        <v>Above average</v>
      </c>
      <c r="F9">
        <f ca="1"/>
        <v>44329</v>
      </c>
      <c r="G9" t="str">
        <f ca="1"/>
        <v>Sales</v>
      </c>
      <c r="H9">
        <f ca="1"/>
        <v>56870</v>
      </c>
      <c r="I9" t="str">
        <f ca="1"/>
        <v>NZ</v>
      </c>
      <c r="J9">
        <f ca="1"/>
        <v>3.021917808219178</v>
      </c>
      <c r="K9">
        <f ca="1"/>
        <v>1706.1000000000001</v>
      </c>
    </row>
    <row r="10" spans="2:13" x14ac:dyDescent="0.3">
      <c r="B10" t="str">
        <f ca="1"/>
        <v>Mirium Seemantini Shivakumar</v>
      </c>
      <c r="C10" t="str">
        <f ca="1"/>
        <v>Female</v>
      </c>
      <c r="D10">
        <f ca="1"/>
        <v>38</v>
      </c>
      <c r="E10" t="str">
        <f ca="1"/>
        <v>Above average</v>
      </c>
      <c r="F10">
        <f ca="1"/>
        <v>44268</v>
      </c>
      <c r="G10" t="str">
        <f ca="1"/>
        <v>Sales</v>
      </c>
      <c r="H10">
        <f ca="1"/>
        <v>56870</v>
      </c>
      <c r="I10" t="str">
        <f ca="1"/>
        <v>IND</v>
      </c>
      <c r="J10">
        <f ca="1"/>
        <v>3.1890410958904107</v>
      </c>
      <c r="K10">
        <f ca="1"/>
        <v>1706.1000000000001</v>
      </c>
    </row>
    <row r="11" spans="2:13" x14ac:dyDescent="0.3">
      <c r="B11" t="str">
        <f ca="1"/>
        <v>Krishnakanta Vellanki</v>
      </c>
      <c r="C11" t="str">
        <f ca="1"/>
        <v>Male</v>
      </c>
      <c r="D11">
        <f ca="1"/>
        <v>22</v>
      </c>
      <c r="E11" t="str">
        <f ca="1"/>
        <v>Above average</v>
      </c>
      <c r="F11">
        <f ca="1"/>
        <v>44384</v>
      </c>
      <c r="G11" t="str">
        <f ca="1"/>
        <v>Sales</v>
      </c>
      <c r="H11">
        <f ca="1"/>
        <v>112780</v>
      </c>
      <c r="I11" t="str">
        <f ca="1"/>
        <v>IND</v>
      </c>
      <c r="J11">
        <f ca="1"/>
        <v>2.871232876712329</v>
      </c>
      <c r="K11">
        <f ca="1"/>
        <v>3383.3999999999996</v>
      </c>
    </row>
    <row r="12" spans="2:13" x14ac:dyDescent="0.3">
      <c r="B12" t="str">
        <f ca="1"/>
        <v>Tatum Hush</v>
      </c>
      <c r="C12" t="str">
        <f ca="1"/>
        <v>Female</v>
      </c>
      <c r="D12">
        <f ca="1"/>
        <v>28</v>
      </c>
      <c r="E12" t="str">
        <f ca="1"/>
        <v>Average</v>
      </c>
      <c r="F12">
        <f ca="1"/>
        <v>44357</v>
      </c>
      <c r="G12" t="str">
        <f ca="1"/>
        <v>Sales</v>
      </c>
      <c r="H12">
        <f ca="1"/>
        <v>53240</v>
      </c>
      <c r="I12" t="str">
        <f ca="1"/>
        <v>NZ</v>
      </c>
      <c r="J12">
        <f ca="1"/>
        <v>2.9452054794520546</v>
      </c>
      <c r="K12">
        <f ca="1"/>
        <v>1597.1999999999998</v>
      </c>
    </row>
    <row r="13" spans="2:13" x14ac:dyDescent="0.3">
      <c r="B13" t="str">
        <f ca="1"/>
        <v>Hoyt D'Alesco</v>
      </c>
      <c r="C13" t="str">
        <f ca="1"/>
        <v>Male</v>
      </c>
      <c r="D13">
        <f ca="1"/>
        <v>32</v>
      </c>
      <c r="E13" t="str">
        <f ca="1"/>
        <v>Average</v>
      </c>
      <c r="F13">
        <f ca="1"/>
        <v>44465</v>
      </c>
      <c r="G13" t="str">
        <f ca="1"/>
        <v>Sales</v>
      </c>
      <c r="H13">
        <f ca="1"/>
        <v>53540</v>
      </c>
      <c r="I13" t="str">
        <f ca="1"/>
        <v>NZ</v>
      </c>
      <c r="J13">
        <f ca="1"/>
        <v>2.6493150684931508</v>
      </c>
      <c r="K13">
        <f ca="1"/>
        <v>1606.1999999999998</v>
      </c>
    </row>
    <row r="14" spans="2:13" x14ac:dyDescent="0.3">
      <c r="B14" t="str">
        <f ca="1"/>
        <v>Kath Bletsoe</v>
      </c>
      <c r="C14" t="str">
        <f ca="1"/>
        <v>Male</v>
      </c>
      <c r="D14">
        <f ca="1"/>
        <v>25</v>
      </c>
      <c r="E14" t="str">
        <f ca="1"/>
        <v>Average</v>
      </c>
      <c r="F14">
        <f ca="1"/>
        <v>44383</v>
      </c>
      <c r="G14" t="str">
        <f ca="1"/>
        <v>Sales</v>
      </c>
      <c r="H14">
        <f ca="1"/>
        <v>65700</v>
      </c>
      <c r="I14" t="str">
        <f ca="1"/>
        <v>NZ</v>
      </c>
      <c r="J14">
        <f ca="1"/>
        <v>2.8739726027397259</v>
      </c>
      <c r="K14">
        <f ca="1"/>
        <v>1971</v>
      </c>
    </row>
    <row r="15" spans="2:13" x14ac:dyDescent="0.3">
      <c r="B15" t="str">
        <f ca="1"/>
        <v>Gray Seamon</v>
      </c>
      <c r="C15" t="str">
        <f ca="1"/>
        <v>Female</v>
      </c>
      <c r="D15">
        <f ca="1"/>
        <v>36</v>
      </c>
      <c r="E15" t="str">
        <f ca="1"/>
        <v>Average</v>
      </c>
      <c r="F15">
        <f ca="1"/>
        <v>44494</v>
      </c>
      <c r="G15" t="str">
        <f ca="1"/>
        <v>Sales</v>
      </c>
      <c r="H15">
        <f ca="1"/>
        <v>78540</v>
      </c>
      <c r="I15" t="str">
        <f ca="1"/>
        <v>NZ</v>
      </c>
      <c r="J15">
        <f ca="1"/>
        <v>2.56986301369863</v>
      </c>
      <c r="K15">
        <f ca="1"/>
        <v>2356.1999999999998</v>
      </c>
    </row>
    <row r="16" spans="2:13" x14ac:dyDescent="0.3">
      <c r="B16" t="str">
        <f ca="1"/>
        <v>Alta Kaszper</v>
      </c>
      <c r="C16" t="str">
        <f ca="1"/>
        <v>Male</v>
      </c>
      <c r="D16">
        <f ca="1"/>
        <v>27</v>
      </c>
      <c r="E16" t="str">
        <f ca="1"/>
        <v>Average</v>
      </c>
      <c r="F16">
        <f ca="1"/>
        <v>44134</v>
      </c>
      <c r="G16" t="str">
        <f ca="1"/>
        <v>Sales</v>
      </c>
      <c r="H16">
        <f ca="1"/>
        <v>54970</v>
      </c>
      <c r="I16" t="str">
        <f ca="1"/>
        <v>NZ</v>
      </c>
      <c r="J16">
        <f ca="1"/>
        <v>3.5561643835616437</v>
      </c>
      <c r="K16">
        <f ca="1"/>
        <v>1649.1000000000001</v>
      </c>
    </row>
    <row r="17" spans="2:11" x14ac:dyDescent="0.3">
      <c r="B17" t="str">
        <f ca="1"/>
        <v>Hinda Label</v>
      </c>
      <c r="C17" t="str">
        <f ca="1"/>
        <v>Female</v>
      </c>
      <c r="D17">
        <f ca="1"/>
        <v>25</v>
      </c>
      <c r="E17" t="str">
        <f ca="1"/>
        <v>Average</v>
      </c>
      <c r="F17">
        <f ca="1"/>
        <v>44205</v>
      </c>
      <c r="G17" t="str">
        <f ca="1"/>
        <v>Sales</v>
      </c>
      <c r="H17">
        <f ca="1"/>
        <v>92700</v>
      </c>
      <c r="I17" t="str">
        <f ca="1"/>
        <v>NZ</v>
      </c>
      <c r="J17">
        <f ca="1"/>
        <v>3.3616438356164382</v>
      </c>
      <c r="K17">
        <f ca="1"/>
        <v>2781</v>
      </c>
    </row>
    <row r="18" spans="2:11" x14ac:dyDescent="0.3">
      <c r="B18" t="str">
        <f ca="1"/>
        <v>Bili Sizey</v>
      </c>
      <c r="C18" t="str">
        <f ca="1"/>
        <v>Male</v>
      </c>
      <c r="D18">
        <f ca="1"/>
        <v>43</v>
      </c>
      <c r="E18" t="str">
        <f ca="1"/>
        <v>Average</v>
      </c>
      <c r="F18">
        <f ca="1"/>
        <v>44620</v>
      </c>
      <c r="G18" t="str">
        <f ca="1"/>
        <v>Sales</v>
      </c>
      <c r="H18">
        <f ca="1"/>
        <v>36040</v>
      </c>
      <c r="I18" t="str">
        <f ca="1"/>
        <v>NZ</v>
      </c>
      <c r="J18">
        <f ca="1"/>
        <v>2.2246575342465755</v>
      </c>
      <c r="K18">
        <f ca="1"/>
        <v>1081.1999999999998</v>
      </c>
    </row>
    <row r="19" spans="2:11" x14ac:dyDescent="0.3">
      <c r="B19" t="str">
        <f ca="1"/>
        <v>Gigi Bohling</v>
      </c>
      <c r="C19" t="str">
        <f ca="1"/>
        <v>Male</v>
      </c>
      <c r="D19">
        <f ca="1"/>
        <v>33</v>
      </c>
      <c r="E19" t="str">
        <f ca="1"/>
        <v>Average</v>
      </c>
      <c r="F19">
        <f ca="1"/>
        <v>44385</v>
      </c>
      <c r="G19" t="str">
        <f ca="1"/>
        <v>Sales</v>
      </c>
      <c r="H19">
        <f ca="1"/>
        <v>74550</v>
      </c>
      <c r="I19" t="str">
        <f ca="1"/>
        <v>NZ</v>
      </c>
      <c r="J19">
        <f ca="1"/>
        <v>2.8684931506849316</v>
      </c>
      <c r="K19">
        <f ca="1"/>
        <v>2236.5</v>
      </c>
    </row>
    <row r="20" spans="2:11" x14ac:dyDescent="0.3">
      <c r="B20" t="str">
        <f ca="1"/>
        <v>Purnendu Vijayarangan</v>
      </c>
      <c r="C20" t="str">
        <f ca="1"/>
        <v>Female</v>
      </c>
      <c r="D20">
        <f ca="1"/>
        <v>25</v>
      </c>
      <c r="E20" t="str">
        <f ca="1"/>
        <v>Average</v>
      </c>
      <c r="F20">
        <f ca="1"/>
        <v>44144</v>
      </c>
      <c r="G20" t="str">
        <f ca="1"/>
        <v>Sales</v>
      </c>
      <c r="H20">
        <f ca="1"/>
        <v>92700</v>
      </c>
      <c r="I20" t="str">
        <f ca="1"/>
        <v>IND</v>
      </c>
      <c r="J20">
        <f ca="1"/>
        <v>3.5287671232876714</v>
      </c>
      <c r="K20">
        <f ca="1"/>
        <v>2781</v>
      </c>
    </row>
    <row r="21" spans="2:11" x14ac:dyDescent="0.3">
      <c r="B21" t="str">
        <f ca="1"/>
        <v>Yauvani Tarpa</v>
      </c>
      <c r="C21" t="str">
        <f ca="1"/>
        <v>Male</v>
      </c>
      <c r="D21">
        <f ca="1"/>
        <v>33</v>
      </c>
      <c r="E21" t="str">
        <f ca="1"/>
        <v>Average</v>
      </c>
      <c r="F21">
        <f ca="1"/>
        <v>44324</v>
      </c>
      <c r="G21" t="str">
        <f ca="1"/>
        <v>Sales</v>
      </c>
      <c r="H21">
        <f ca="1"/>
        <v>74550</v>
      </c>
      <c r="I21" t="str">
        <f ca="1"/>
        <v>IND</v>
      </c>
      <c r="J21">
        <f ca="1"/>
        <v>3.0356164383561643</v>
      </c>
      <c r="K21">
        <f ca="1"/>
        <v>2236.5</v>
      </c>
    </row>
    <row r="22" spans="2:11" x14ac:dyDescent="0.3">
      <c r="B22" t="str">
        <f ca="1"/>
        <v>Sanchali Shirish</v>
      </c>
      <c r="C22" t="str">
        <f ca="1"/>
        <v>Male</v>
      </c>
      <c r="D22">
        <f ca="1"/>
        <v>27</v>
      </c>
      <c r="E22" t="str">
        <f ca="1"/>
        <v>Average</v>
      </c>
      <c r="F22">
        <f ca="1"/>
        <v>44073</v>
      </c>
      <c r="G22" t="str">
        <f ca="1"/>
        <v>Sales</v>
      </c>
      <c r="H22">
        <f ca="1"/>
        <v>54970</v>
      </c>
      <c r="I22" t="str">
        <f ca="1"/>
        <v>IND</v>
      </c>
      <c r="J22">
        <f ca="1"/>
        <v>3.7232876712328768</v>
      </c>
      <c r="K22">
        <f ca="1"/>
        <v>1649.1000000000001</v>
      </c>
    </row>
    <row r="23" spans="2:11" x14ac:dyDescent="0.3">
      <c r="B23" t="str">
        <f ca="1"/>
        <v>Waheeda Vasuman</v>
      </c>
      <c r="C23" t="str">
        <f ca="1"/>
        <v>Male</v>
      </c>
      <c r="D23">
        <f ca="1"/>
        <v>43</v>
      </c>
      <c r="E23" t="str">
        <f ca="1"/>
        <v>Average</v>
      </c>
      <c r="F23">
        <f ca="1"/>
        <v>44558</v>
      </c>
      <c r="G23" t="str">
        <f ca="1"/>
        <v>Sales</v>
      </c>
      <c r="H23">
        <f ca="1"/>
        <v>36040</v>
      </c>
      <c r="I23" t="str">
        <f ca="1"/>
        <v>IND</v>
      </c>
      <c r="J23">
        <f ca="1"/>
        <v>2.3945205479452056</v>
      </c>
      <c r="K23">
        <f ca="1"/>
        <v>1081.1999999999998</v>
      </c>
    </row>
    <row r="24" spans="2:11" x14ac:dyDescent="0.3">
      <c r="B24" t="str">
        <f ca="1"/>
        <v>Anumati Shyamari Meherhomji</v>
      </c>
      <c r="C24" t="str">
        <f ca="1"/>
        <v>Female</v>
      </c>
      <c r="D24">
        <f ca="1"/>
        <v>28</v>
      </c>
      <c r="E24" t="str">
        <f ca="1"/>
        <v>Average</v>
      </c>
      <c r="F24">
        <f ca="1"/>
        <v>44296</v>
      </c>
      <c r="G24" t="str">
        <f ca="1"/>
        <v>Sales</v>
      </c>
      <c r="H24">
        <f ca="1"/>
        <v>53240</v>
      </c>
      <c r="I24" t="str">
        <f ca="1"/>
        <v>IND</v>
      </c>
      <c r="J24">
        <f ca="1"/>
        <v>3.1123287671232878</v>
      </c>
      <c r="K24">
        <f ca="1"/>
        <v>1597.1999999999998</v>
      </c>
    </row>
    <row r="25" spans="2:11" x14ac:dyDescent="0.3">
      <c r="B25" t="str">
        <f ca="1"/>
        <v>Geena Raghavanpillai</v>
      </c>
      <c r="C25" t="str">
        <f ca="1"/>
        <v>Male</v>
      </c>
      <c r="D25">
        <f ca="1"/>
        <v>32</v>
      </c>
      <c r="E25" t="str">
        <f ca="1"/>
        <v>Average</v>
      </c>
      <c r="F25">
        <f ca="1"/>
        <v>44403</v>
      </c>
      <c r="G25" t="str">
        <f ca="1"/>
        <v>Sales</v>
      </c>
      <c r="H25">
        <f ca="1"/>
        <v>53540</v>
      </c>
      <c r="I25" t="str">
        <f ca="1"/>
        <v>IND</v>
      </c>
      <c r="J25">
        <f ca="1"/>
        <v>2.8191780821917809</v>
      </c>
      <c r="K25">
        <f ca="1"/>
        <v>1606.1999999999998</v>
      </c>
    </row>
    <row r="26" spans="2:11" x14ac:dyDescent="0.3">
      <c r="B26" t="str">
        <f ca="1"/>
        <v>Abhaya Priyavardhan</v>
      </c>
      <c r="C26" t="str">
        <f ca="1"/>
        <v>Male</v>
      </c>
      <c r="D26">
        <f ca="1"/>
        <v>25</v>
      </c>
      <c r="E26" t="str">
        <f ca="1"/>
        <v>Average</v>
      </c>
      <c r="F26">
        <f ca="1"/>
        <v>44322</v>
      </c>
      <c r="G26" t="str">
        <f ca="1"/>
        <v>Sales</v>
      </c>
      <c r="H26">
        <f ca="1"/>
        <v>65700</v>
      </c>
      <c r="I26" t="str">
        <f ca="1"/>
        <v>IND</v>
      </c>
      <c r="J26">
        <f ca="1"/>
        <v>3.0410958904109591</v>
      </c>
      <c r="K26">
        <f ca="1"/>
        <v>1971</v>
      </c>
    </row>
    <row r="27" spans="2:11" x14ac:dyDescent="0.3">
      <c r="B27" t="str">
        <f ca="1"/>
        <v>Shulabh Qutub Sundaramoorthy</v>
      </c>
      <c r="C27" t="str">
        <f ca="1"/>
        <v>Female</v>
      </c>
      <c r="D27">
        <f ca="1"/>
        <v>36</v>
      </c>
      <c r="E27" t="str">
        <f ca="1"/>
        <v>Average</v>
      </c>
      <c r="F27">
        <f ca="1"/>
        <v>44433</v>
      </c>
      <c r="G27" t="str">
        <f ca="1"/>
        <v>Sales</v>
      </c>
      <c r="H27">
        <f ca="1"/>
        <v>78540</v>
      </c>
      <c r="I27" t="str">
        <f ca="1"/>
        <v>IND</v>
      </c>
      <c r="J27">
        <f ca="1"/>
        <v>2.7369863013698632</v>
      </c>
      <c r="K27">
        <f ca="1"/>
        <v>2356.1999999999998</v>
      </c>
    </row>
    <row r="28" spans="2:11" x14ac:dyDescent="0.3">
      <c r="B28" t="str">
        <f ca="1"/>
        <v>Violante Courtonne</v>
      </c>
      <c r="C28" t="str">
        <f ca="1"/>
        <v>Female</v>
      </c>
      <c r="D28">
        <f ca="1"/>
        <v>34</v>
      </c>
      <c r="E28" t="str">
        <f ca="1"/>
        <v>Poor</v>
      </c>
      <c r="F28">
        <f ca="1"/>
        <v>44721</v>
      </c>
      <c r="G28" t="str">
        <f ca="1"/>
        <v>Sales</v>
      </c>
      <c r="H28">
        <f ca="1"/>
        <v>49630</v>
      </c>
      <c r="I28" t="str">
        <f ca="1"/>
        <v>NZ</v>
      </c>
      <c r="J28">
        <f ca="1"/>
        <v>1.9479452054794522</v>
      </c>
      <c r="K28">
        <f ca="1"/>
        <v>992.6</v>
      </c>
    </row>
    <row r="29" spans="2:11" x14ac:dyDescent="0.3">
      <c r="B29" t="str">
        <f ca="1"/>
        <v>Hyacinthie Braybrooke</v>
      </c>
      <c r="C29" t="str">
        <f ca="1"/>
        <v>Female</v>
      </c>
      <c r="D29">
        <f ca="1"/>
        <v>20</v>
      </c>
      <c r="E29" t="str">
        <f ca="1"/>
        <v>Poor</v>
      </c>
      <c r="F29">
        <f ca="1"/>
        <v>44537</v>
      </c>
      <c r="G29" t="str">
        <f ca="1"/>
        <v>Sales</v>
      </c>
      <c r="H29">
        <f ca="1"/>
        <v>68900</v>
      </c>
      <c r="I29" t="str">
        <f ca="1"/>
        <v>NZ</v>
      </c>
      <c r="J29">
        <f ca="1"/>
        <v>2.452054794520548</v>
      </c>
      <c r="K29">
        <f ca="1"/>
        <v>2067</v>
      </c>
    </row>
    <row r="30" spans="2:11" x14ac:dyDescent="0.3">
      <c r="B30" t="str">
        <f ca="1"/>
        <v>Daruka Ghazali</v>
      </c>
      <c r="C30" t="str">
        <f ca="1"/>
        <v>Female</v>
      </c>
      <c r="D30">
        <f ca="1"/>
        <v>34</v>
      </c>
      <c r="E30" t="str">
        <f ca="1"/>
        <v>Poor</v>
      </c>
      <c r="F30">
        <f ca="1"/>
        <v>44660</v>
      </c>
      <c r="G30" t="str">
        <f ca="1"/>
        <v>Sales</v>
      </c>
      <c r="H30">
        <f ca="1"/>
        <v>49630</v>
      </c>
      <c r="I30" t="str">
        <f ca="1"/>
        <v>IND</v>
      </c>
      <c r="J30">
        <f ca="1"/>
        <v>2.1150684931506851</v>
      </c>
      <c r="K30">
        <f ca="1"/>
        <v>1488.9</v>
      </c>
    </row>
    <row r="31" spans="2:11" x14ac:dyDescent="0.3">
      <c r="B31" t="str">
        <f ca="1"/>
        <v>Devasree Fullara Saurin</v>
      </c>
      <c r="C31" t="str">
        <f ca="1"/>
        <v>Female</v>
      </c>
      <c r="D31">
        <f ca="1"/>
        <v>20</v>
      </c>
      <c r="E31" t="str">
        <f ca="1"/>
        <v>Poor</v>
      </c>
      <c r="F31">
        <f ca="1"/>
        <v>44476</v>
      </c>
      <c r="G31" t="str">
        <f ca="1"/>
        <v>Sales</v>
      </c>
      <c r="H31">
        <f ca="1"/>
        <v>68900</v>
      </c>
      <c r="I31" t="str">
        <f ca="1"/>
        <v>IND</v>
      </c>
      <c r="J31">
        <f ca="1"/>
        <v>2.6191780821917807</v>
      </c>
      <c r="K31">
        <f ca="1"/>
        <v>2067</v>
      </c>
    </row>
    <row r="32" spans="2:11" x14ac:dyDescent="0.3">
      <c r="B32" t="str">
        <f ca="1"/>
        <v>Drusy MacCombe</v>
      </c>
      <c r="C32" t="str">
        <f ca="1"/>
        <v>Male</v>
      </c>
      <c r="D32">
        <f ca="1"/>
        <v>28</v>
      </c>
      <c r="E32" t="str">
        <f ca="1"/>
        <v>Very poor</v>
      </c>
      <c r="F32">
        <f ca="1"/>
        <v>44820</v>
      </c>
      <c r="G32" t="str">
        <f ca="1"/>
        <v>Sales</v>
      </c>
      <c r="H32">
        <f ca="1"/>
        <v>43510</v>
      </c>
      <c r="I32" t="str">
        <f ca="1"/>
        <v>NZ</v>
      </c>
      <c r="J32">
        <f ca="1"/>
        <v>1.6767123287671233</v>
      </c>
      <c r="K32">
        <f ca="1"/>
        <v>870.2</v>
      </c>
    </row>
    <row r="33" spans="2:11" x14ac:dyDescent="0.3">
      <c r="B33" t="str">
        <f ca="1"/>
        <v>Rupak Mehra</v>
      </c>
      <c r="C33" t="str">
        <f ca="1"/>
        <v>Male</v>
      </c>
      <c r="D33">
        <f ca="1"/>
        <v>28</v>
      </c>
      <c r="E33" t="str">
        <f ca="1"/>
        <v>Very poor</v>
      </c>
      <c r="F33">
        <f ca="1"/>
        <v>44758</v>
      </c>
      <c r="G33" t="str">
        <f ca="1"/>
        <v>Sales</v>
      </c>
      <c r="H33">
        <f ca="1"/>
        <v>43510</v>
      </c>
      <c r="I33" t="str">
        <f ca="1"/>
        <v>IND</v>
      </c>
      <c r="J33">
        <f ca="1"/>
        <v>1.8465753424657534</v>
      </c>
      <c r="K33">
        <f ca="1"/>
        <v>870.2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ED339-DED9-4F64-AA22-7C85C78DB8AF}">
  <dimension ref="B3:P60"/>
  <sheetViews>
    <sheetView topLeftCell="A10" zoomScale="49" zoomScaleNormal="113" workbookViewId="0">
      <selection activeCell="E37" sqref="E37"/>
    </sheetView>
  </sheetViews>
  <sheetFormatPr defaultRowHeight="14.4" x14ac:dyDescent="0.3"/>
  <cols>
    <col min="2" max="2" width="13.77734375" bestFit="1" customWidth="1"/>
    <col min="3" max="3" width="14.21875" bestFit="1" customWidth="1"/>
    <col min="4" max="5" width="15.77734375" bestFit="1" customWidth="1"/>
    <col min="15" max="15" width="10.88671875" customWidth="1"/>
    <col min="16" max="16" width="12.109375" customWidth="1"/>
  </cols>
  <sheetData>
    <row r="3" spans="2:16" x14ac:dyDescent="0.3">
      <c r="B3" s="21" t="s">
        <v>231</v>
      </c>
      <c r="C3" t="s">
        <v>230</v>
      </c>
      <c r="N3" t="s">
        <v>255</v>
      </c>
      <c r="O3" t="s">
        <v>256</v>
      </c>
      <c r="P3" t="s">
        <v>257</v>
      </c>
    </row>
    <row r="4" spans="2:16" x14ac:dyDescent="0.3">
      <c r="B4" s="22" t="s">
        <v>239</v>
      </c>
      <c r="C4" s="28"/>
      <c r="M4" cm="1">
        <f t="array" ref="M4:M43">_xlfn.SEQUENCE(40)</f>
        <v>1</v>
      </c>
      <c r="N4" s="30">
        <f>EDATE(DATE(2020,4,1),M4)</f>
        <v>43952</v>
      </c>
      <c r="O4">
        <f>COUNTIFS(staff[Date Joined],"&gt;="&amp;N4,staff[Date Joined],"&lt;="&amp;EOMONTH(N4,0))</f>
        <v>3</v>
      </c>
      <c r="P4">
        <f>SUM($O$4:O4)</f>
        <v>3</v>
      </c>
    </row>
    <row r="5" spans="2:16" x14ac:dyDescent="0.3">
      <c r="B5" s="29" t="s">
        <v>240</v>
      </c>
      <c r="C5" s="28">
        <v>3</v>
      </c>
      <c r="M5">
        <v>2</v>
      </c>
      <c r="N5" s="30">
        <f>EDATE(DATE(2020,4,1),M5)</f>
        <v>43983</v>
      </c>
      <c r="O5">
        <f>COUNTIFS(staff[Date Joined],"&gt;="&amp;N5,staff[Date Joined],"&lt;="&amp;EOMONTH(N5,0))</f>
        <v>1</v>
      </c>
      <c r="P5">
        <f>SUM($O$4:O5)</f>
        <v>4</v>
      </c>
    </row>
    <row r="6" spans="2:16" x14ac:dyDescent="0.3">
      <c r="B6" s="29" t="s">
        <v>241</v>
      </c>
      <c r="C6" s="28">
        <v>4</v>
      </c>
      <c r="M6">
        <v>3</v>
      </c>
      <c r="N6" s="30">
        <f t="shared" ref="N6:N43" si="0">EDATE(DATE(2020,4,1),M6)</f>
        <v>44013</v>
      </c>
      <c r="O6">
        <f>COUNTIFS(staff[Date Joined],"&gt;="&amp;N6,staff[Date Joined],"&lt;="&amp;EOMONTH(N6,0))</f>
        <v>6</v>
      </c>
      <c r="P6">
        <f>SUM($O$4:O6)</f>
        <v>10</v>
      </c>
    </row>
    <row r="7" spans="2:16" x14ac:dyDescent="0.3">
      <c r="B7" s="29" t="s">
        <v>242</v>
      </c>
      <c r="C7" s="28">
        <v>9</v>
      </c>
      <c r="M7">
        <v>4</v>
      </c>
      <c r="N7" s="30">
        <f t="shared" si="0"/>
        <v>44044</v>
      </c>
      <c r="O7">
        <f>COUNTIFS(staff[Date Joined],"&gt;="&amp;N7,staff[Date Joined],"&lt;="&amp;EOMONTH(N7,0))</f>
        <v>3</v>
      </c>
      <c r="P7">
        <f>SUM($O$4:O7)</f>
        <v>13</v>
      </c>
    </row>
    <row r="8" spans="2:16" x14ac:dyDescent="0.3">
      <c r="B8" s="29" t="s">
        <v>243</v>
      </c>
      <c r="C8" s="28">
        <v>12</v>
      </c>
      <c r="M8">
        <v>5</v>
      </c>
      <c r="N8" s="30">
        <f t="shared" si="0"/>
        <v>44075</v>
      </c>
      <c r="O8">
        <f>COUNTIFS(staff[Date Joined],"&gt;="&amp;N8,staff[Date Joined],"&lt;="&amp;EOMONTH(N8,0))</f>
        <v>6</v>
      </c>
      <c r="P8">
        <f>SUM($O$4:O8)</f>
        <v>19</v>
      </c>
    </row>
    <row r="9" spans="2:16" x14ac:dyDescent="0.3">
      <c r="B9" s="29" t="s">
        <v>244</v>
      </c>
      <c r="C9" s="28">
        <v>18</v>
      </c>
      <c r="M9">
        <v>6</v>
      </c>
      <c r="N9" s="30">
        <f t="shared" si="0"/>
        <v>44105</v>
      </c>
      <c r="O9">
        <f>COUNTIFS(staff[Date Joined],"&gt;="&amp;N9,staff[Date Joined],"&lt;="&amp;EOMONTH(N9,0))</f>
        <v>6</v>
      </c>
      <c r="P9">
        <f>SUM($O$4:O9)</f>
        <v>25</v>
      </c>
    </row>
    <row r="10" spans="2:16" x14ac:dyDescent="0.3">
      <c r="B10" s="29" t="s">
        <v>245</v>
      </c>
      <c r="C10" s="28">
        <v>24</v>
      </c>
      <c r="M10">
        <v>7</v>
      </c>
      <c r="N10" s="30">
        <f t="shared" si="0"/>
        <v>44136</v>
      </c>
      <c r="O10">
        <f>COUNTIFS(staff[Date Joined],"&gt;="&amp;N10,staff[Date Joined],"&lt;="&amp;EOMONTH(N10,0))</f>
        <v>6</v>
      </c>
      <c r="P10">
        <f>SUM($O$4:O10)</f>
        <v>31</v>
      </c>
    </row>
    <row r="11" spans="2:16" x14ac:dyDescent="0.3">
      <c r="B11" s="29" t="s">
        <v>246</v>
      </c>
      <c r="C11" s="28">
        <v>30</v>
      </c>
      <c r="M11">
        <v>8</v>
      </c>
      <c r="N11" s="30">
        <f t="shared" si="0"/>
        <v>44166</v>
      </c>
      <c r="O11">
        <f>COUNTIFS(staff[Date Joined],"&gt;="&amp;N11,staff[Date Joined],"&lt;="&amp;EOMONTH(N11,0))</f>
        <v>7</v>
      </c>
      <c r="P11">
        <f>SUM($O$4:O11)</f>
        <v>38</v>
      </c>
    </row>
    <row r="12" spans="2:16" x14ac:dyDescent="0.3">
      <c r="B12" s="29" t="s">
        <v>247</v>
      </c>
      <c r="C12" s="28">
        <v>37</v>
      </c>
      <c r="M12">
        <v>9</v>
      </c>
      <c r="N12" s="30">
        <f t="shared" si="0"/>
        <v>44197</v>
      </c>
      <c r="O12">
        <f>COUNTIFS(staff[Date Joined],"&gt;="&amp;N12,staff[Date Joined],"&lt;="&amp;EOMONTH(N12,0))</f>
        <v>6</v>
      </c>
      <c r="P12">
        <f>SUM($O$4:O12)</f>
        <v>44</v>
      </c>
    </row>
    <row r="13" spans="2:16" x14ac:dyDescent="0.3">
      <c r="B13" s="22" t="s">
        <v>248</v>
      </c>
      <c r="C13" s="28"/>
      <c r="M13">
        <v>10</v>
      </c>
      <c r="N13" s="30">
        <f t="shared" si="0"/>
        <v>44228</v>
      </c>
      <c r="O13">
        <f>COUNTIFS(staff[Date Joined],"&gt;="&amp;N13,staff[Date Joined],"&lt;="&amp;EOMONTH(N13,0))</f>
        <v>4</v>
      </c>
      <c r="P13">
        <f>SUM($O$4:O13)</f>
        <v>48</v>
      </c>
    </row>
    <row r="14" spans="2:16" x14ac:dyDescent="0.3">
      <c r="B14" s="29" t="s">
        <v>249</v>
      </c>
      <c r="C14" s="28">
        <v>6</v>
      </c>
      <c r="M14">
        <v>11</v>
      </c>
      <c r="N14" s="30">
        <f t="shared" si="0"/>
        <v>44256</v>
      </c>
      <c r="O14">
        <f>COUNTIFS(staff[Date Joined],"&gt;="&amp;N14,staff[Date Joined],"&lt;="&amp;EOMONTH(N14,0))</f>
        <v>9</v>
      </c>
      <c r="P14">
        <f>SUM($O$4:O14)</f>
        <v>57</v>
      </c>
    </row>
    <row r="15" spans="2:16" x14ac:dyDescent="0.3">
      <c r="B15" s="29" t="s">
        <v>250</v>
      </c>
      <c r="C15" s="28">
        <v>10</v>
      </c>
      <c r="M15">
        <v>12</v>
      </c>
      <c r="N15" s="30">
        <f t="shared" si="0"/>
        <v>44287</v>
      </c>
      <c r="O15">
        <f>COUNTIFS(staff[Date Joined],"&gt;="&amp;N15,staff[Date Joined],"&lt;="&amp;EOMONTH(N15,0))</f>
        <v>5</v>
      </c>
      <c r="P15">
        <f>SUM($O$4:O15)</f>
        <v>62</v>
      </c>
    </row>
    <row r="16" spans="2:16" x14ac:dyDescent="0.3">
      <c r="B16" s="29" t="s">
        <v>251</v>
      </c>
      <c r="C16" s="28">
        <v>19</v>
      </c>
      <c r="M16">
        <v>13</v>
      </c>
      <c r="N16" s="30">
        <f t="shared" si="0"/>
        <v>44317</v>
      </c>
      <c r="O16">
        <f>COUNTIFS(staff[Date Joined],"&gt;="&amp;N16,staff[Date Joined],"&lt;="&amp;EOMONTH(N16,0))</f>
        <v>10</v>
      </c>
      <c r="P16">
        <f>SUM($O$4:O16)</f>
        <v>72</v>
      </c>
    </row>
    <row r="17" spans="2:16" x14ac:dyDescent="0.3">
      <c r="B17" s="29" t="s">
        <v>252</v>
      </c>
      <c r="C17" s="28">
        <v>24</v>
      </c>
      <c r="M17">
        <v>14</v>
      </c>
      <c r="N17" s="30">
        <f t="shared" si="0"/>
        <v>44348</v>
      </c>
      <c r="O17">
        <f>COUNTIFS(staff[Date Joined],"&gt;="&amp;N17,staff[Date Joined],"&lt;="&amp;EOMONTH(N17,0))</f>
        <v>6</v>
      </c>
      <c r="P17">
        <f>SUM($O$4:O17)</f>
        <v>78</v>
      </c>
    </row>
    <row r="18" spans="2:16" x14ac:dyDescent="0.3">
      <c r="B18" s="29" t="s">
        <v>240</v>
      </c>
      <c r="C18" s="28">
        <v>34</v>
      </c>
      <c r="M18">
        <v>15</v>
      </c>
      <c r="N18" s="30">
        <f t="shared" si="0"/>
        <v>44378</v>
      </c>
      <c r="O18">
        <f>COUNTIFS(staff[Date Joined],"&gt;="&amp;N18,staff[Date Joined],"&lt;="&amp;EOMONTH(N18,0))</f>
        <v>13</v>
      </c>
      <c r="P18">
        <f>SUM($O$4:O18)</f>
        <v>91</v>
      </c>
    </row>
    <row r="19" spans="2:16" x14ac:dyDescent="0.3">
      <c r="B19" s="29" t="s">
        <v>241</v>
      </c>
      <c r="C19" s="28">
        <v>40</v>
      </c>
      <c r="M19">
        <v>16</v>
      </c>
      <c r="N19" s="30">
        <f t="shared" si="0"/>
        <v>44409</v>
      </c>
      <c r="O19">
        <f>COUNTIFS(staff[Date Joined],"&gt;="&amp;N19,staff[Date Joined],"&lt;="&amp;EOMONTH(N19,0))</f>
        <v>4</v>
      </c>
      <c r="P19">
        <f>SUM($O$4:O19)</f>
        <v>95</v>
      </c>
    </row>
    <row r="20" spans="2:16" x14ac:dyDescent="0.3">
      <c r="B20" s="29" t="s">
        <v>242</v>
      </c>
      <c r="C20" s="28">
        <v>53</v>
      </c>
      <c r="M20">
        <v>17</v>
      </c>
      <c r="N20" s="30">
        <f t="shared" si="0"/>
        <v>44440</v>
      </c>
      <c r="O20">
        <f>COUNTIFS(staff[Date Joined],"&gt;="&amp;N20,staff[Date Joined],"&lt;="&amp;EOMONTH(N20,0))</f>
        <v>11</v>
      </c>
      <c r="P20">
        <f>SUM($O$4:O20)</f>
        <v>106</v>
      </c>
    </row>
    <row r="21" spans="2:16" x14ac:dyDescent="0.3">
      <c r="B21" s="29" t="s">
        <v>243</v>
      </c>
      <c r="C21" s="28">
        <v>57</v>
      </c>
      <c r="M21">
        <v>18</v>
      </c>
      <c r="N21" s="30">
        <f t="shared" si="0"/>
        <v>44470</v>
      </c>
      <c r="O21">
        <f>COUNTIFS(staff[Date Joined],"&gt;="&amp;N21,staff[Date Joined],"&lt;="&amp;EOMONTH(N21,0))</f>
        <v>3</v>
      </c>
      <c r="P21">
        <f>SUM($O$4:O21)</f>
        <v>109</v>
      </c>
    </row>
    <row r="22" spans="2:16" x14ac:dyDescent="0.3">
      <c r="B22" s="29" t="s">
        <v>244</v>
      </c>
      <c r="C22" s="28">
        <v>68</v>
      </c>
      <c r="M22">
        <v>19</v>
      </c>
      <c r="N22" s="30">
        <f t="shared" si="0"/>
        <v>44501</v>
      </c>
      <c r="O22">
        <f>COUNTIFS(staff[Date Joined],"&gt;="&amp;N22,staff[Date Joined],"&lt;="&amp;EOMONTH(N22,0))</f>
        <v>4</v>
      </c>
      <c r="P22">
        <f>SUM($O$4:O22)</f>
        <v>113</v>
      </c>
    </row>
    <row r="23" spans="2:16" x14ac:dyDescent="0.3">
      <c r="B23" s="29" t="s">
        <v>245</v>
      </c>
      <c r="C23" s="28">
        <v>71</v>
      </c>
      <c r="M23">
        <v>20</v>
      </c>
      <c r="N23" s="30">
        <f t="shared" si="0"/>
        <v>44531</v>
      </c>
      <c r="O23">
        <f>COUNTIFS(staff[Date Joined],"&gt;="&amp;N23,staff[Date Joined],"&lt;="&amp;EOMONTH(N23,0))</f>
        <v>7</v>
      </c>
      <c r="P23">
        <f>SUM($O$4:O23)</f>
        <v>120</v>
      </c>
    </row>
    <row r="24" spans="2:16" x14ac:dyDescent="0.3">
      <c r="B24" s="29" t="s">
        <v>246</v>
      </c>
      <c r="C24" s="28">
        <v>75</v>
      </c>
      <c r="M24">
        <v>21</v>
      </c>
      <c r="N24" s="30">
        <f t="shared" si="0"/>
        <v>44562</v>
      </c>
      <c r="O24">
        <f>COUNTIFS(staff[Date Joined],"&gt;="&amp;N24,staff[Date Joined],"&lt;="&amp;EOMONTH(N24,0))</f>
        <v>3</v>
      </c>
      <c r="P24">
        <f>SUM($O$4:O24)</f>
        <v>123</v>
      </c>
    </row>
    <row r="25" spans="2:16" x14ac:dyDescent="0.3">
      <c r="B25" s="29" t="s">
        <v>247</v>
      </c>
      <c r="C25" s="28">
        <v>82</v>
      </c>
      <c r="M25">
        <v>22</v>
      </c>
      <c r="N25" s="30">
        <f t="shared" si="0"/>
        <v>44593</v>
      </c>
      <c r="O25">
        <f>COUNTIFS(staff[Date Joined],"&gt;="&amp;N25,staff[Date Joined],"&lt;="&amp;EOMONTH(N25,0))</f>
        <v>10</v>
      </c>
      <c r="P25">
        <f>SUM($O$4:O25)</f>
        <v>133</v>
      </c>
    </row>
    <row r="26" spans="2:16" x14ac:dyDescent="0.3">
      <c r="B26" s="22" t="s">
        <v>253</v>
      </c>
      <c r="C26" s="28"/>
      <c r="M26">
        <v>23</v>
      </c>
      <c r="N26" s="30">
        <f t="shared" si="0"/>
        <v>44621</v>
      </c>
      <c r="O26">
        <f>COUNTIFS(staff[Date Joined],"&gt;="&amp;N26,staff[Date Joined],"&lt;="&amp;EOMONTH(N26,0))</f>
        <v>9</v>
      </c>
      <c r="P26">
        <f>SUM($O$4:O26)</f>
        <v>142</v>
      </c>
    </row>
    <row r="27" spans="2:16" x14ac:dyDescent="0.3">
      <c r="B27" s="29" t="s">
        <v>249</v>
      </c>
      <c r="C27" s="28">
        <v>3</v>
      </c>
      <c r="M27">
        <v>24</v>
      </c>
      <c r="N27" s="30">
        <f t="shared" si="0"/>
        <v>44652</v>
      </c>
      <c r="O27">
        <f>COUNTIFS(staff[Date Joined],"&gt;="&amp;N27,staff[Date Joined],"&lt;="&amp;EOMONTH(N27,0))</f>
        <v>9</v>
      </c>
      <c r="P27">
        <f>SUM($O$4:O27)</f>
        <v>151</v>
      </c>
    </row>
    <row r="28" spans="2:16" x14ac:dyDescent="0.3">
      <c r="B28" s="29" t="s">
        <v>250</v>
      </c>
      <c r="C28" s="28">
        <v>13</v>
      </c>
      <c r="M28">
        <v>25</v>
      </c>
      <c r="N28" s="30">
        <f t="shared" si="0"/>
        <v>44682</v>
      </c>
      <c r="O28">
        <f>COUNTIFS(staff[Date Joined],"&gt;="&amp;N28,staff[Date Joined],"&lt;="&amp;EOMONTH(N28,0))</f>
        <v>9</v>
      </c>
      <c r="P28">
        <f>SUM($O$4:O28)</f>
        <v>160</v>
      </c>
    </row>
    <row r="29" spans="2:16" x14ac:dyDescent="0.3">
      <c r="B29" s="29" t="s">
        <v>251</v>
      </c>
      <c r="C29" s="28">
        <v>22</v>
      </c>
      <c r="M29">
        <v>26</v>
      </c>
      <c r="N29" s="30">
        <f t="shared" si="0"/>
        <v>44713</v>
      </c>
      <c r="O29">
        <f>COUNTIFS(staff[Date Joined],"&gt;="&amp;N29,staff[Date Joined],"&lt;="&amp;EOMONTH(N29,0))</f>
        <v>7</v>
      </c>
      <c r="P29">
        <f>SUM($O$4:O29)</f>
        <v>167</v>
      </c>
    </row>
    <row r="30" spans="2:16" x14ac:dyDescent="0.3">
      <c r="B30" s="29" t="s">
        <v>252</v>
      </c>
      <c r="C30" s="28">
        <v>31</v>
      </c>
      <c r="M30">
        <v>27</v>
      </c>
      <c r="N30" s="30">
        <f t="shared" si="0"/>
        <v>44743</v>
      </c>
      <c r="O30">
        <f>COUNTIFS(staff[Date Joined],"&gt;="&amp;N30,staff[Date Joined],"&lt;="&amp;EOMONTH(N30,0))</f>
        <v>5</v>
      </c>
      <c r="P30">
        <f>SUM($O$4:O30)</f>
        <v>172</v>
      </c>
    </row>
    <row r="31" spans="2:16" x14ac:dyDescent="0.3">
      <c r="B31" s="29" t="s">
        <v>240</v>
      </c>
      <c r="C31" s="28">
        <v>40</v>
      </c>
      <c r="M31">
        <v>28</v>
      </c>
      <c r="N31" s="30">
        <f t="shared" si="0"/>
        <v>44774</v>
      </c>
      <c r="O31">
        <f>COUNTIFS(staff[Date Joined],"&gt;="&amp;N31,staff[Date Joined],"&lt;="&amp;EOMONTH(N31,0))</f>
        <v>5</v>
      </c>
      <c r="P31">
        <f>SUM($O$4:O31)</f>
        <v>177</v>
      </c>
    </row>
    <row r="32" spans="2:16" x14ac:dyDescent="0.3">
      <c r="B32" s="29" t="s">
        <v>241</v>
      </c>
      <c r="C32" s="28">
        <v>47</v>
      </c>
      <c r="M32">
        <v>29</v>
      </c>
      <c r="N32" s="30">
        <f t="shared" si="0"/>
        <v>44805</v>
      </c>
      <c r="O32">
        <f>COUNTIFS(staff[Date Joined],"&gt;="&amp;N32,staff[Date Joined],"&lt;="&amp;EOMONTH(N32,0))</f>
        <v>2</v>
      </c>
      <c r="P32">
        <f>SUM($O$4:O32)</f>
        <v>179</v>
      </c>
    </row>
    <row r="33" spans="2:16" x14ac:dyDescent="0.3">
      <c r="B33" s="29" t="s">
        <v>242</v>
      </c>
      <c r="C33" s="28">
        <v>52</v>
      </c>
      <c r="M33">
        <v>30</v>
      </c>
      <c r="N33" s="30">
        <f t="shared" si="0"/>
        <v>44835</v>
      </c>
      <c r="O33">
        <f>COUNTIFS(staff[Date Joined],"&gt;="&amp;N33,staff[Date Joined],"&lt;="&amp;EOMONTH(N33,0))</f>
        <v>3</v>
      </c>
      <c r="P33">
        <f>SUM($O$4:O33)</f>
        <v>182</v>
      </c>
    </row>
    <row r="34" spans="2:16" x14ac:dyDescent="0.3">
      <c r="B34" s="29" t="s">
        <v>243</v>
      </c>
      <c r="C34" s="28">
        <v>57</v>
      </c>
      <c r="M34">
        <v>31</v>
      </c>
      <c r="N34" s="30">
        <f t="shared" si="0"/>
        <v>44866</v>
      </c>
      <c r="O34">
        <f>COUNTIFS(staff[Date Joined],"&gt;="&amp;N34,staff[Date Joined],"&lt;="&amp;EOMONTH(N34,0))</f>
        <v>0</v>
      </c>
      <c r="P34">
        <f>SUM($O$4:O34)</f>
        <v>182</v>
      </c>
    </row>
    <row r="35" spans="2:16" x14ac:dyDescent="0.3">
      <c r="B35" s="29" t="s">
        <v>244</v>
      </c>
      <c r="C35" s="28">
        <v>59</v>
      </c>
      <c r="M35">
        <v>32</v>
      </c>
      <c r="N35" s="30">
        <f t="shared" si="0"/>
        <v>44896</v>
      </c>
      <c r="O35">
        <f>COUNTIFS(staff[Date Joined],"&gt;="&amp;N35,staff[Date Joined],"&lt;="&amp;EOMONTH(N35,0))</f>
        <v>0</v>
      </c>
      <c r="P35">
        <f>SUM($O$4:O35)</f>
        <v>182</v>
      </c>
    </row>
    <row r="36" spans="2:16" x14ac:dyDescent="0.3">
      <c r="B36" s="29" t="s">
        <v>245</v>
      </c>
      <c r="C36" s="28">
        <v>62</v>
      </c>
      <c r="M36">
        <v>33</v>
      </c>
      <c r="N36" s="30">
        <f t="shared" si="0"/>
        <v>44927</v>
      </c>
      <c r="O36">
        <f>COUNTIFS(staff[Date Joined],"&gt;="&amp;N36,staff[Date Joined],"&lt;="&amp;EOMONTH(N36,0))</f>
        <v>0</v>
      </c>
      <c r="P36">
        <f>SUM($O$4:O36)</f>
        <v>182</v>
      </c>
    </row>
    <row r="37" spans="2:16" x14ac:dyDescent="0.3">
      <c r="B37" s="22" t="s">
        <v>254</v>
      </c>
      <c r="C37" s="28"/>
      <c r="M37">
        <v>34</v>
      </c>
      <c r="N37" s="30">
        <f t="shared" si="0"/>
        <v>44958</v>
      </c>
      <c r="O37">
        <f>COUNTIFS(staff[Date Joined],"&gt;="&amp;N37,staff[Date Joined],"&lt;="&amp;EOMONTH(N37,0))</f>
        <v>1</v>
      </c>
      <c r="P37">
        <f>SUM($O$4:O37)</f>
        <v>183</v>
      </c>
    </row>
    <row r="38" spans="2:16" x14ac:dyDescent="0.3">
      <c r="B38" s="29" t="s">
        <v>250</v>
      </c>
      <c r="C38" s="28">
        <v>1</v>
      </c>
      <c r="M38">
        <v>35</v>
      </c>
      <c r="N38" s="30">
        <f t="shared" si="0"/>
        <v>44986</v>
      </c>
      <c r="O38">
        <f>COUNTIFS(staff[Date Joined],"&gt;="&amp;N38,staff[Date Joined],"&lt;="&amp;EOMONTH(N38,0))</f>
        <v>0</v>
      </c>
      <c r="P38">
        <f>SUM($O$4:O38)</f>
        <v>183</v>
      </c>
    </row>
    <row r="39" spans="2:16" x14ac:dyDescent="0.3">
      <c r="B39" s="29" t="s">
        <v>252</v>
      </c>
      <c r="C39" s="28">
        <v>2</v>
      </c>
      <c r="M39">
        <v>36</v>
      </c>
      <c r="N39" s="30">
        <f t="shared" si="0"/>
        <v>45017</v>
      </c>
      <c r="O39">
        <f>COUNTIFS(staff[Date Joined],"&gt;="&amp;N39,staff[Date Joined],"&lt;="&amp;EOMONTH(N39,0))</f>
        <v>1</v>
      </c>
      <c r="P39">
        <f>SUM($O$4:O39)</f>
        <v>184</v>
      </c>
    </row>
    <row r="40" spans="2:16" x14ac:dyDescent="0.3">
      <c r="B40" s="22" t="s">
        <v>229</v>
      </c>
      <c r="C40" s="28"/>
      <c r="M40">
        <v>37</v>
      </c>
      <c r="N40" s="30">
        <f t="shared" si="0"/>
        <v>45047</v>
      </c>
      <c r="O40">
        <f>COUNTIFS(staff[Date Joined],"&gt;="&amp;N40,staff[Date Joined],"&lt;="&amp;EOMONTH(N40,0))</f>
        <v>0</v>
      </c>
      <c r="P40">
        <f>SUM($O$4:O40)</f>
        <v>184</v>
      </c>
    </row>
    <row r="41" spans="2:16" x14ac:dyDescent="0.3">
      <c r="M41">
        <v>38</v>
      </c>
      <c r="N41" s="30">
        <f t="shared" si="0"/>
        <v>45078</v>
      </c>
      <c r="O41">
        <f>COUNTIFS(staff[Date Joined],"&gt;="&amp;N41,staff[Date Joined],"&lt;="&amp;EOMONTH(N41,0))</f>
        <v>0</v>
      </c>
      <c r="P41">
        <f>SUM($O$4:O41)</f>
        <v>184</v>
      </c>
    </row>
    <row r="42" spans="2:16" x14ac:dyDescent="0.3">
      <c r="M42">
        <v>39</v>
      </c>
      <c r="N42" s="30">
        <f t="shared" si="0"/>
        <v>45108</v>
      </c>
      <c r="O42">
        <f>COUNTIFS(staff[Date Joined],"&gt;="&amp;N42,staff[Date Joined],"&lt;="&amp;EOMONTH(N42,0))</f>
        <v>0</v>
      </c>
      <c r="P42">
        <f>SUM($O$4:O42)</f>
        <v>184</v>
      </c>
    </row>
    <row r="43" spans="2:16" x14ac:dyDescent="0.3">
      <c r="M43">
        <v>40</v>
      </c>
      <c r="N43" s="30">
        <f t="shared" si="0"/>
        <v>45139</v>
      </c>
      <c r="O43">
        <f>COUNTIFS(staff[Date Joined],"&gt;="&amp;N43,staff[Date Joined],"&lt;="&amp;EOMONTH(N43,0))</f>
        <v>0</v>
      </c>
      <c r="P43">
        <f>SUM($O$4:O43)</f>
        <v>184</v>
      </c>
    </row>
    <row r="44" spans="2:16" x14ac:dyDescent="0.3">
      <c r="N44" s="30"/>
    </row>
    <row r="45" spans="2:16" x14ac:dyDescent="0.3">
      <c r="N45" s="30"/>
    </row>
    <row r="46" spans="2:16" x14ac:dyDescent="0.3">
      <c r="N46" s="30"/>
    </row>
    <row r="47" spans="2:16" x14ac:dyDescent="0.3">
      <c r="N47" s="30"/>
    </row>
    <row r="48" spans="2:16" x14ac:dyDescent="0.3">
      <c r="N48" s="30"/>
    </row>
    <row r="49" spans="14:14" x14ac:dyDescent="0.3">
      <c r="N49" s="30"/>
    </row>
    <row r="50" spans="14:14" x14ac:dyDescent="0.3">
      <c r="N50" s="30"/>
    </row>
    <row r="51" spans="14:14" x14ac:dyDescent="0.3">
      <c r="N51" s="30"/>
    </row>
    <row r="52" spans="14:14" x14ac:dyDescent="0.3">
      <c r="N52" s="30"/>
    </row>
    <row r="53" spans="14:14" x14ac:dyDescent="0.3">
      <c r="N53" s="30"/>
    </row>
    <row r="54" spans="14:14" x14ac:dyDescent="0.3">
      <c r="N54" s="30"/>
    </row>
    <row r="55" spans="14:14" x14ac:dyDescent="0.3">
      <c r="N55" s="30"/>
    </row>
    <row r="56" spans="14:14" x14ac:dyDescent="0.3">
      <c r="N56" s="30"/>
    </row>
    <row r="57" spans="14:14" x14ac:dyDescent="0.3">
      <c r="N57" s="30"/>
    </row>
    <row r="58" spans="14:14" x14ac:dyDescent="0.3">
      <c r="N58" s="30"/>
    </row>
    <row r="59" spans="14:14" x14ac:dyDescent="0.3">
      <c r="N59" s="30"/>
    </row>
    <row r="60" spans="14:14" x14ac:dyDescent="0.3">
      <c r="N60" s="30"/>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487CB-574F-4293-8AA9-7E8A6CD5ED39}">
  <dimension ref="A1:X30"/>
  <sheetViews>
    <sheetView zoomScale="92" workbookViewId="0">
      <selection activeCell="D15" sqref="D15"/>
    </sheetView>
  </sheetViews>
  <sheetFormatPr defaultRowHeight="14.4" x14ac:dyDescent="0.3"/>
  <cols>
    <col min="1" max="1" width="8.88671875" style="35"/>
    <col min="2" max="2" width="15.88671875" style="35" bestFit="1" customWidth="1"/>
    <col min="3" max="3" width="13.88671875" style="35" bestFit="1" customWidth="1"/>
    <col min="4" max="4" width="15.88671875" style="35" bestFit="1" customWidth="1"/>
    <col min="5" max="5" width="8.88671875" style="35"/>
    <col min="6" max="6" width="14" style="35" customWidth="1"/>
    <col min="7" max="13" width="8.88671875" style="35"/>
    <col min="14" max="14" width="15.88671875" style="35" bestFit="1" customWidth="1"/>
    <col min="15" max="15" width="13.88671875" style="35" bestFit="1" customWidth="1"/>
    <col min="16" max="16" width="15.88671875" style="35" bestFit="1" customWidth="1"/>
    <col min="17" max="17" width="8.88671875" style="35"/>
    <col min="18" max="18" width="12.44140625" style="35" customWidth="1"/>
    <col min="19" max="16384" width="8.88671875" style="35"/>
  </cols>
  <sheetData>
    <row r="1" spans="1:24" s="32" customFormat="1" ht="34.200000000000003" customHeight="1" x14ac:dyDescent="0.5">
      <c r="J1" s="36" t="s">
        <v>261</v>
      </c>
    </row>
    <row r="2" spans="1:24" ht="23.4" x14ac:dyDescent="0.45">
      <c r="A2" s="33"/>
      <c r="B2" s="33"/>
      <c r="C2" s="33"/>
      <c r="D2" s="33"/>
      <c r="E2" s="37" t="s">
        <v>205</v>
      </c>
      <c r="F2" s="33"/>
      <c r="G2" s="33"/>
      <c r="H2" s="33"/>
      <c r="I2" s="33"/>
      <c r="J2" s="33"/>
      <c r="K2" s="33"/>
      <c r="L2" s="33"/>
      <c r="M2" s="34"/>
      <c r="N2" s="34"/>
      <c r="O2" s="34"/>
      <c r="P2" s="34"/>
      <c r="Q2" s="34"/>
      <c r="R2" s="34"/>
      <c r="S2" s="38" t="s">
        <v>207</v>
      </c>
      <c r="T2" s="34"/>
      <c r="U2" s="34"/>
      <c r="V2" s="34"/>
      <c r="W2" s="34"/>
      <c r="X2" s="34"/>
    </row>
    <row r="3" spans="1:24" x14ac:dyDescent="0.3">
      <c r="A3" s="33"/>
      <c r="B3" s="33"/>
      <c r="C3" s="33"/>
      <c r="D3" s="33"/>
      <c r="E3" s="33"/>
      <c r="F3" s="33"/>
      <c r="G3" s="33"/>
      <c r="H3" s="33"/>
      <c r="I3" s="33"/>
      <c r="J3" s="33"/>
      <c r="K3" s="33"/>
      <c r="L3" s="33"/>
      <c r="M3" s="34"/>
      <c r="N3" s="34"/>
      <c r="O3" s="34"/>
      <c r="P3" s="34"/>
      <c r="Q3" s="34"/>
      <c r="R3" s="34"/>
      <c r="S3" s="34"/>
      <c r="T3" s="34"/>
      <c r="U3" s="34"/>
      <c r="V3" s="34"/>
      <c r="W3" s="34"/>
      <c r="X3" s="34"/>
    </row>
    <row r="4" spans="1:24" x14ac:dyDescent="0.3">
      <c r="A4" s="33"/>
      <c r="B4" s="33"/>
      <c r="C4" s="33"/>
      <c r="D4" s="33"/>
      <c r="E4" s="33"/>
      <c r="F4" s="33"/>
      <c r="G4" s="33"/>
      <c r="H4" s="33"/>
      <c r="I4" s="33"/>
      <c r="J4" s="33"/>
      <c r="K4" s="33"/>
      <c r="L4" s="33"/>
      <c r="M4" s="34"/>
      <c r="N4" s="41" t="s">
        <v>256</v>
      </c>
      <c r="O4" s="34"/>
      <c r="P4" s="41" t="s">
        <v>260</v>
      </c>
      <c r="Q4" s="34"/>
      <c r="R4" s="41" t="s">
        <v>209</v>
      </c>
      <c r="S4" s="34"/>
      <c r="T4" s="34"/>
      <c r="U4" s="34"/>
      <c r="V4" s="34"/>
      <c r="W4" s="34"/>
      <c r="X4" s="34"/>
    </row>
    <row r="5" spans="1:24" ht="28.2" customHeight="1" x14ac:dyDescent="0.3">
      <c r="A5" s="33"/>
      <c r="B5" s="39" t="s">
        <v>258</v>
      </c>
      <c r="C5" s="33"/>
      <c r="D5" s="40" t="s">
        <v>260</v>
      </c>
      <c r="E5" s="33"/>
      <c r="F5" s="40" t="s">
        <v>209</v>
      </c>
      <c r="G5" s="33"/>
      <c r="H5" s="33"/>
      <c r="I5" s="33"/>
      <c r="J5" s="33"/>
      <c r="K5" s="33"/>
      <c r="L5" s="33"/>
      <c r="M5" s="34"/>
      <c r="N5" s="42">
        <f>COUNTIF(staff[Country],"IND")</f>
        <v>92</v>
      </c>
      <c r="O5" s="34"/>
      <c r="P5" s="44">
        <f>COUNTIFS(staff[Gender],"Female",staff[Country],"IND")/N5</f>
        <v>0.46739130434782611</v>
      </c>
      <c r="Q5" s="34"/>
      <c r="R5" s="45">
        <f>AVERAGEIFS(staff[Salary],staff[Country],"IND")</f>
        <v>77366.521739130432</v>
      </c>
      <c r="S5" s="34"/>
      <c r="T5" s="34"/>
      <c r="U5" s="34"/>
      <c r="V5" s="34"/>
      <c r="W5" s="34"/>
      <c r="X5" s="34"/>
    </row>
    <row r="6" spans="1:24" ht="43.2" customHeight="1" x14ac:dyDescent="0.3">
      <c r="A6" s="33"/>
      <c r="B6" s="42">
        <f>COUNTIF(staff[Country],"NZ")</f>
        <v>92</v>
      </c>
      <c r="C6" s="43"/>
      <c r="D6" s="44">
        <f>COUNTIFS(staff[Gender],"Female",staff[Country],"NZ")/B6</f>
        <v>0.46739130434782611</v>
      </c>
      <c r="E6" s="33"/>
      <c r="F6" s="45">
        <f>AVERAGEIFS(staff[Salary],staff[Country],"NZ")</f>
        <v>76984.153260869556</v>
      </c>
      <c r="G6" s="33"/>
      <c r="H6" s="33"/>
      <c r="I6" s="33"/>
      <c r="J6" s="33"/>
      <c r="K6" s="33"/>
      <c r="L6" s="33"/>
      <c r="M6" s="34"/>
      <c r="N6" s="34"/>
      <c r="O6" s="34"/>
      <c r="P6" s="34"/>
      <c r="Q6" s="34"/>
      <c r="R6" s="34"/>
      <c r="S6" s="34"/>
      <c r="T6" s="34"/>
      <c r="U6" s="34"/>
      <c r="V6" s="34"/>
      <c r="W6" s="34"/>
      <c r="X6" s="34"/>
    </row>
    <row r="7" spans="1:24" x14ac:dyDescent="0.3">
      <c r="A7" s="33"/>
      <c r="B7" s="33"/>
      <c r="C7" s="33"/>
      <c r="D7" s="33"/>
      <c r="E7" s="33"/>
      <c r="F7" s="33"/>
      <c r="G7" s="33"/>
      <c r="H7" s="33"/>
      <c r="I7" s="33"/>
      <c r="J7" s="33"/>
      <c r="K7" s="33"/>
      <c r="L7" s="33"/>
      <c r="M7" s="34"/>
      <c r="N7" s="34"/>
      <c r="O7" s="34"/>
      <c r="P7" s="34"/>
      <c r="Q7" s="34"/>
      <c r="R7" s="34"/>
      <c r="S7" s="34"/>
      <c r="T7" s="34"/>
      <c r="U7" s="34"/>
      <c r="V7" s="34"/>
      <c r="W7" s="34"/>
      <c r="X7" s="34"/>
    </row>
    <row r="8" spans="1:24" x14ac:dyDescent="0.3">
      <c r="A8" s="33"/>
      <c r="B8" s="33"/>
      <c r="C8" s="33"/>
      <c r="D8" s="33"/>
      <c r="E8" s="33"/>
      <c r="F8" s="33"/>
      <c r="G8" s="33"/>
      <c r="H8" s="33"/>
      <c r="I8" s="33"/>
      <c r="J8" s="33"/>
      <c r="K8" s="33"/>
      <c r="L8" s="33"/>
      <c r="M8" s="34"/>
      <c r="N8" s="34"/>
      <c r="O8" s="34"/>
      <c r="P8" s="34"/>
      <c r="Q8" s="34"/>
      <c r="R8" s="34"/>
      <c r="S8" s="34"/>
      <c r="T8" s="34"/>
      <c r="U8" s="34"/>
      <c r="V8" s="34"/>
      <c r="W8" s="34"/>
      <c r="X8" s="34"/>
    </row>
    <row r="9" spans="1:24" x14ac:dyDescent="0.3">
      <c r="A9" s="33"/>
      <c r="B9" s="33"/>
      <c r="C9" s="33"/>
      <c r="D9" s="33"/>
      <c r="E9" s="33"/>
      <c r="F9" s="33"/>
      <c r="G9" s="33"/>
      <c r="H9" s="33"/>
      <c r="I9" s="33"/>
      <c r="J9" s="33"/>
      <c r="K9" s="33"/>
      <c r="L9" s="33"/>
      <c r="M9" s="34"/>
      <c r="N9" s="34"/>
      <c r="O9" s="34"/>
      <c r="P9" s="34"/>
      <c r="Q9" s="34"/>
      <c r="R9" s="34"/>
      <c r="S9" s="34"/>
      <c r="T9" s="34"/>
      <c r="U9" s="34"/>
      <c r="V9" s="34"/>
      <c r="W9" s="34"/>
      <c r="X9" s="34"/>
    </row>
    <row r="10" spans="1:24" x14ac:dyDescent="0.3">
      <c r="A10" s="33"/>
      <c r="B10" s="33"/>
      <c r="C10" s="33"/>
      <c r="D10" s="33"/>
      <c r="E10" s="33"/>
      <c r="F10" s="33"/>
      <c r="G10" s="33"/>
      <c r="H10" s="33"/>
      <c r="I10" s="33"/>
      <c r="J10" s="33"/>
      <c r="K10" s="33"/>
      <c r="L10" s="33"/>
      <c r="M10" s="34"/>
      <c r="N10" s="21" t="s">
        <v>231</v>
      </c>
      <c r="O10" t="s">
        <v>230</v>
      </c>
      <c r="P10" t="s">
        <v>233</v>
      </c>
      <c r="Q10" s="34"/>
      <c r="R10" s="34"/>
      <c r="S10" s="34"/>
      <c r="T10" s="34"/>
      <c r="U10" s="34"/>
      <c r="V10" s="34"/>
      <c r="W10" s="34"/>
      <c r="X10" s="34"/>
    </row>
    <row r="11" spans="1:24" x14ac:dyDescent="0.3">
      <c r="A11" s="33"/>
      <c r="B11" s="21" t="s">
        <v>231</v>
      </c>
      <c r="C11" t="s">
        <v>230</v>
      </c>
      <c r="D11" t="s">
        <v>233</v>
      </c>
      <c r="E11" s="33"/>
      <c r="F11" s="33"/>
      <c r="G11" s="33"/>
      <c r="H11" s="33"/>
      <c r="I11" s="33"/>
      <c r="J11" s="33"/>
      <c r="K11" s="33"/>
      <c r="L11" s="33"/>
      <c r="M11" s="34"/>
      <c r="N11" s="22" t="s">
        <v>207</v>
      </c>
      <c r="O11" s="28"/>
      <c r="P11" s="28"/>
      <c r="Q11" s="34"/>
      <c r="R11" s="34"/>
      <c r="S11" s="34"/>
      <c r="T11" s="34"/>
      <c r="U11" s="34"/>
      <c r="V11" s="34"/>
      <c r="W11" s="34"/>
      <c r="X11" s="34"/>
    </row>
    <row r="12" spans="1:24" x14ac:dyDescent="0.3">
      <c r="A12" s="33"/>
      <c r="B12" s="22" t="s">
        <v>205</v>
      </c>
      <c r="C12" s="28"/>
      <c r="D12" s="28"/>
      <c r="E12" s="33"/>
      <c r="F12" s="33"/>
      <c r="G12" s="33"/>
      <c r="H12" s="33"/>
      <c r="I12" s="33"/>
      <c r="J12" s="33"/>
      <c r="K12" s="33"/>
      <c r="L12" s="33"/>
      <c r="M12" s="34"/>
      <c r="N12" s="29" t="s">
        <v>21</v>
      </c>
      <c r="O12" s="28">
        <v>19</v>
      </c>
      <c r="P12" s="28">
        <v>72472.631578947374</v>
      </c>
      <c r="Q12" s="34"/>
      <c r="R12" s="34"/>
      <c r="S12" s="34"/>
      <c r="T12" s="34"/>
      <c r="U12" s="34"/>
      <c r="V12" s="34"/>
      <c r="W12" s="34"/>
      <c r="X12" s="34"/>
    </row>
    <row r="13" spans="1:24" x14ac:dyDescent="0.3">
      <c r="A13" s="33"/>
      <c r="B13" s="29" t="s">
        <v>21</v>
      </c>
      <c r="C13" s="28">
        <v>19</v>
      </c>
      <c r="D13" s="6">
        <v>72472.631578947374</v>
      </c>
      <c r="E13" s="33"/>
      <c r="F13" s="33"/>
      <c r="G13" s="33"/>
      <c r="H13" s="33"/>
      <c r="I13" s="33"/>
      <c r="J13" s="33"/>
      <c r="K13" s="33"/>
      <c r="L13" s="33"/>
      <c r="M13" s="34"/>
      <c r="N13" s="29" t="s">
        <v>56</v>
      </c>
      <c r="O13" s="28">
        <v>4</v>
      </c>
      <c r="P13" s="28">
        <v>89650</v>
      </c>
      <c r="Q13" s="34"/>
      <c r="R13" s="34"/>
      <c r="S13" s="34"/>
      <c r="T13" s="34"/>
      <c r="U13" s="34"/>
      <c r="V13" s="34"/>
      <c r="W13" s="34"/>
      <c r="X13" s="34"/>
    </row>
    <row r="14" spans="1:24" x14ac:dyDescent="0.3">
      <c r="A14" s="33"/>
      <c r="B14" s="29" t="s">
        <v>56</v>
      </c>
      <c r="C14" s="28">
        <v>4</v>
      </c>
      <c r="D14" s="6">
        <v>89650</v>
      </c>
      <c r="E14" s="33"/>
      <c r="F14" s="33"/>
      <c r="G14" s="33"/>
      <c r="H14" s="33"/>
      <c r="I14" s="33"/>
      <c r="J14" s="33"/>
      <c r="K14" s="33"/>
      <c r="L14" s="33"/>
      <c r="M14" s="34"/>
      <c r="N14" s="29" t="s">
        <v>9</v>
      </c>
      <c r="O14" s="28">
        <v>28</v>
      </c>
      <c r="P14" s="28">
        <v>82345</v>
      </c>
      <c r="Q14" s="34"/>
      <c r="R14" s="34"/>
      <c r="S14" s="34"/>
      <c r="T14" s="34"/>
      <c r="U14" s="34"/>
      <c r="V14" s="34"/>
      <c r="W14" s="34"/>
      <c r="X14" s="34"/>
    </row>
    <row r="15" spans="1:24" x14ac:dyDescent="0.3">
      <c r="A15" s="33"/>
      <c r="B15" s="29" t="s">
        <v>9</v>
      </c>
      <c r="C15" s="28">
        <v>27</v>
      </c>
      <c r="D15" s="6">
        <v>81222.592592592599</v>
      </c>
      <c r="E15" s="33"/>
      <c r="F15" s="33"/>
      <c r="G15" s="33"/>
      <c r="H15" s="33"/>
      <c r="I15" s="33"/>
      <c r="J15" s="33"/>
      <c r="K15" s="33"/>
      <c r="L15" s="33"/>
      <c r="M15" s="34"/>
      <c r="N15" s="29" t="s">
        <v>19</v>
      </c>
      <c r="O15" s="28">
        <v>14</v>
      </c>
      <c r="P15" s="28">
        <v>67866.428571428565</v>
      </c>
      <c r="Q15" s="34"/>
      <c r="R15" s="34"/>
      <c r="S15" s="34"/>
      <c r="T15" s="34"/>
      <c r="U15" s="34"/>
      <c r="V15" s="34"/>
      <c r="W15" s="34"/>
      <c r="X15" s="34"/>
    </row>
    <row r="16" spans="1:24" x14ac:dyDescent="0.3">
      <c r="A16" s="33"/>
      <c r="B16" s="29" t="s">
        <v>19</v>
      </c>
      <c r="C16" s="28">
        <v>14</v>
      </c>
      <c r="D16" s="6">
        <v>67866.428571428565</v>
      </c>
      <c r="E16" s="33"/>
      <c r="F16" s="33"/>
      <c r="G16" s="33"/>
      <c r="H16" s="33"/>
      <c r="I16" s="33"/>
      <c r="J16" s="33"/>
      <c r="K16" s="33"/>
      <c r="L16" s="33"/>
      <c r="M16" s="34"/>
      <c r="N16" s="29" t="s">
        <v>12</v>
      </c>
      <c r="O16" s="28">
        <v>27</v>
      </c>
      <c r="P16" s="28">
        <v>78753.703703703708</v>
      </c>
      <c r="Q16" s="34"/>
      <c r="R16" s="34"/>
      <c r="S16" s="34"/>
      <c r="T16" s="34"/>
      <c r="U16" s="34"/>
      <c r="V16" s="34"/>
      <c r="W16" s="34"/>
      <c r="X16" s="34"/>
    </row>
    <row r="17" spans="1:24" x14ac:dyDescent="0.3">
      <c r="A17" s="33"/>
      <c r="B17" s="29" t="s">
        <v>12</v>
      </c>
      <c r="C17" s="28">
        <v>27</v>
      </c>
      <c r="D17" s="6">
        <v>78753.703703703708</v>
      </c>
      <c r="E17" s="33"/>
      <c r="F17" s="33"/>
      <c r="G17" s="33"/>
      <c r="H17" s="33"/>
      <c r="I17" s="33"/>
      <c r="J17" s="33"/>
      <c r="K17" s="33"/>
      <c r="L17" s="33"/>
      <c r="M17" s="34"/>
      <c r="N17" s="34"/>
      <c r="O17" s="34"/>
      <c r="P17" s="34"/>
      <c r="Q17" s="34"/>
      <c r="R17" s="34"/>
      <c r="S17" s="34"/>
      <c r="T17" s="34"/>
      <c r="U17" s="34"/>
      <c r="V17" s="34"/>
      <c r="W17" s="34"/>
      <c r="X17" s="34"/>
    </row>
    <row r="18" spans="1:24" x14ac:dyDescent="0.3">
      <c r="A18" s="33"/>
      <c r="B18" s="33"/>
      <c r="C18" s="33"/>
      <c r="D18" s="33"/>
      <c r="E18" s="33"/>
      <c r="F18" s="33"/>
      <c r="G18" s="33"/>
      <c r="H18" s="33"/>
      <c r="I18" s="33"/>
      <c r="J18" s="33"/>
      <c r="K18" s="33"/>
      <c r="L18" s="33"/>
      <c r="M18" s="34"/>
      <c r="N18" s="34"/>
      <c r="O18" s="34"/>
      <c r="P18" s="34"/>
      <c r="Q18" s="34"/>
      <c r="R18" s="34"/>
      <c r="S18" s="34"/>
      <c r="T18" s="34"/>
      <c r="U18" s="34"/>
      <c r="V18" s="34"/>
      <c r="W18" s="34"/>
      <c r="X18" s="34"/>
    </row>
    <row r="19" spans="1:24" x14ac:dyDescent="0.3">
      <c r="A19" s="33"/>
      <c r="B19" s="31"/>
      <c r="C19" s="31"/>
      <c r="D19" s="31"/>
      <c r="E19" s="33"/>
      <c r="F19" s="33"/>
      <c r="G19" s="33"/>
      <c r="H19" s="33"/>
      <c r="I19" s="33"/>
      <c r="J19" s="33"/>
      <c r="K19" s="33"/>
      <c r="L19" s="33"/>
      <c r="M19" s="34"/>
      <c r="N19" s="34"/>
      <c r="O19" s="34"/>
      <c r="P19" s="34"/>
      <c r="Q19" s="34"/>
      <c r="R19" s="34"/>
      <c r="S19" s="34"/>
      <c r="T19" s="34"/>
      <c r="U19" s="34"/>
      <c r="V19" s="34"/>
      <c r="W19" s="34"/>
      <c r="X19" s="34"/>
    </row>
    <row r="20" spans="1:24" x14ac:dyDescent="0.3">
      <c r="A20" s="33"/>
      <c r="B20" s="31"/>
      <c r="C20" s="31"/>
      <c r="D20" s="31"/>
      <c r="E20" s="33"/>
      <c r="F20" s="33"/>
      <c r="G20" s="33"/>
      <c r="H20" s="33"/>
      <c r="I20" s="33"/>
      <c r="J20" s="33"/>
      <c r="K20" s="33"/>
      <c r="L20" s="33"/>
      <c r="M20" s="34"/>
      <c r="N20" s="34"/>
      <c r="O20" s="34"/>
      <c r="P20" s="34"/>
      <c r="Q20" s="34"/>
      <c r="R20" s="34"/>
      <c r="S20" s="34"/>
      <c r="T20" s="34"/>
      <c r="U20" s="34"/>
      <c r="V20" s="34"/>
      <c r="W20" s="34"/>
      <c r="X20" s="34"/>
    </row>
    <row r="21" spans="1:24" x14ac:dyDescent="0.3">
      <c r="A21" s="33"/>
      <c r="B21" s="31"/>
      <c r="C21" s="31"/>
      <c r="D21" s="31"/>
      <c r="E21" s="33"/>
      <c r="F21" s="33"/>
      <c r="G21" s="33"/>
      <c r="H21" s="33"/>
      <c r="I21" s="33"/>
      <c r="J21" s="33"/>
      <c r="K21" s="33"/>
      <c r="L21" s="33"/>
      <c r="M21" s="34"/>
      <c r="N21" s="34"/>
      <c r="O21" s="34"/>
      <c r="P21" s="34"/>
      <c r="Q21" s="34"/>
      <c r="R21" s="34"/>
      <c r="S21" s="34"/>
      <c r="T21" s="34"/>
      <c r="U21" s="34"/>
      <c r="V21" s="34"/>
      <c r="W21" s="34"/>
      <c r="X21" s="34"/>
    </row>
    <row r="22" spans="1:24" x14ac:dyDescent="0.3">
      <c r="A22" s="33"/>
      <c r="B22" s="31"/>
      <c r="C22" s="31"/>
      <c r="D22" s="31"/>
      <c r="E22" s="33"/>
      <c r="F22" s="33"/>
      <c r="G22" s="33"/>
      <c r="H22" s="33"/>
      <c r="I22" s="33"/>
      <c r="J22" s="33"/>
      <c r="K22" s="33"/>
      <c r="L22" s="33"/>
      <c r="M22" s="34"/>
      <c r="N22" s="34"/>
      <c r="O22" s="34"/>
      <c r="P22" s="34"/>
      <c r="Q22" s="34"/>
      <c r="R22" s="34"/>
      <c r="S22" s="34"/>
      <c r="T22" s="34"/>
      <c r="U22" s="34"/>
      <c r="V22" s="34"/>
      <c r="W22" s="34"/>
      <c r="X22" s="34"/>
    </row>
    <row r="23" spans="1:24" x14ac:dyDescent="0.3">
      <c r="A23" s="33"/>
      <c r="B23" s="31"/>
      <c r="C23" s="31"/>
      <c r="D23" s="31"/>
      <c r="E23" s="33"/>
      <c r="F23" s="33"/>
      <c r="G23" s="33"/>
      <c r="H23" s="33"/>
      <c r="I23" s="33"/>
      <c r="J23" s="33"/>
      <c r="K23" s="33"/>
      <c r="L23" s="33"/>
      <c r="M23" s="34"/>
      <c r="N23" s="34"/>
      <c r="O23" s="34"/>
      <c r="P23" s="34"/>
      <c r="Q23" s="34"/>
      <c r="R23" s="34"/>
      <c r="S23" s="34"/>
      <c r="T23" s="34"/>
      <c r="U23" s="34"/>
      <c r="V23" s="34"/>
      <c r="W23" s="34"/>
      <c r="X23" s="34"/>
    </row>
    <row r="24" spans="1:24" x14ac:dyDescent="0.3">
      <c r="A24" s="33"/>
      <c r="B24" s="31"/>
      <c r="C24" s="31"/>
      <c r="D24" s="31"/>
      <c r="E24" s="33"/>
      <c r="F24" s="33"/>
      <c r="G24" s="33"/>
      <c r="H24" s="33"/>
      <c r="I24" s="33"/>
      <c r="J24" s="33"/>
      <c r="K24" s="33"/>
      <c r="L24" s="33"/>
      <c r="M24" s="34"/>
      <c r="N24" s="34"/>
      <c r="O24" s="34"/>
      <c r="P24" s="34"/>
      <c r="Q24" s="34"/>
      <c r="R24" s="34"/>
      <c r="S24" s="34"/>
      <c r="T24" s="34"/>
      <c r="U24" s="34"/>
      <c r="V24" s="34"/>
      <c r="W24" s="34"/>
      <c r="X24" s="34"/>
    </row>
    <row r="25" spans="1:24" x14ac:dyDescent="0.3">
      <c r="A25" s="33"/>
      <c r="B25" s="31"/>
      <c r="C25" s="31"/>
      <c r="D25" s="31"/>
      <c r="E25" s="33"/>
      <c r="F25" s="33"/>
      <c r="G25" s="33"/>
      <c r="H25" s="33"/>
      <c r="I25" s="33"/>
      <c r="J25" s="33"/>
      <c r="K25" s="33"/>
      <c r="L25" s="33"/>
      <c r="M25" s="34"/>
      <c r="N25" s="34"/>
      <c r="O25" s="34"/>
      <c r="P25" s="34"/>
      <c r="Q25" s="34"/>
      <c r="R25" s="34"/>
      <c r="S25" s="34"/>
      <c r="T25" s="34"/>
      <c r="U25" s="34"/>
      <c r="V25" s="34"/>
      <c r="W25" s="34"/>
      <c r="X25" s="34"/>
    </row>
    <row r="26" spans="1:24" x14ac:dyDescent="0.3">
      <c r="A26" s="33"/>
      <c r="B26" s="31"/>
      <c r="C26" s="31"/>
      <c r="D26" s="31"/>
      <c r="E26" s="33"/>
      <c r="F26" s="33"/>
      <c r="G26" s="33"/>
      <c r="H26" s="33"/>
      <c r="I26" s="33"/>
      <c r="J26" s="33"/>
      <c r="K26" s="33"/>
      <c r="L26" s="33"/>
      <c r="M26" s="34"/>
      <c r="N26" s="34"/>
      <c r="O26" s="34"/>
      <c r="P26" s="34"/>
      <c r="Q26" s="34"/>
      <c r="R26" s="34"/>
      <c r="S26" s="34"/>
      <c r="T26" s="34"/>
      <c r="U26" s="34"/>
      <c r="V26" s="34"/>
      <c r="W26" s="34"/>
      <c r="X26" s="34"/>
    </row>
    <row r="27" spans="1:24" x14ac:dyDescent="0.3">
      <c r="A27" s="33"/>
      <c r="B27" s="31"/>
      <c r="C27" s="31"/>
      <c r="D27" s="31"/>
      <c r="E27" s="33"/>
      <c r="F27" s="33"/>
      <c r="G27" s="33"/>
      <c r="H27" s="33"/>
      <c r="I27" s="33"/>
      <c r="J27" s="33"/>
      <c r="K27" s="33"/>
      <c r="L27" s="33"/>
      <c r="M27" s="34"/>
      <c r="N27" s="34"/>
      <c r="O27" s="34"/>
      <c r="P27" s="34"/>
      <c r="Q27" s="34"/>
      <c r="R27" s="34"/>
      <c r="S27" s="34"/>
      <c r="T27" s="34"/>
      <c r="U27" s="34"/>
      <c r="V27" s="34"/>
      <c r="W27" s="34"/>
      <c r="X27" s="34"/>
    </row>
    <row r="28" spans="1:24" x14ac:dyDescent="0.3">
      <c r="A28" s="33"/>
      <c r="B28" s="31"/>
      <c r="C28" s="31"/>
      <c r="D28" s="31"/>
      <c r="E28" s="33"/>
      <c r="F28" s="33"/>
      <c r="G28" s="33"/>
      <c r="H28" s="33"/>
      <c r="I28" s="33"/>
      <c r="J28" s="33"/>
      <c r="K28" s="33"/>
      <c r="L28" s="33"/>
      <c r="M28" s="34"/>
      <c r="N28" s="34"/>
      <c r="O28" s="34"/>
      <c r="P28" s="34"/>
      <c r="Q28" s="34"/>
      <c r="R28" s="34"/>
      <c r="S28" s="34"/>
      <c r="T28" s="34"/>
      <c r="U28" s="34"/>
      <c r="V28" s="34"/>
      <c r="W28" s="34"/>
      <c r="X28" s="34"/>
    </row>
    <row r="29" spans="1:24" x14ac:dyDescent="0.3">
      <c r="A29" s="33"/>
      <c r="B29" s="33"/>
      <c r="C29" s="33"/>
      <c r="D29" s="33"/>
      <c r="E29" s="33"/>
      <c r="F29" s="33"/>
      <c r="G29" s="33"/>
      <c r="H29" s="33"/>
      <c r="I29" s="33"/>
      <c r="J29" s="33"/>
      <c r="K29" s="33"/>
      <c r="L29" s="33"/>
      <c r="M29" s="34"/>
      <c r="N29" s="34"/>
      <c r="O29" s="34"/>
      <c r="P29" s="34"/>
      <c r="Q29" s="34"/>
      <c r="R29" s="34"/>
      <c r="S29" s="34"/>
      <c r="T29" s="34"/>
      <c r="U29" s="34"/>
      <c r="V29" s="34"/>
      <c r="W29" s="34"/>
      <c r="X29" s="34"/>
    </row>
    <row r="30" spans="1:24" x14ac:dyDescent="0.3">
      <c r="M30"/>
      <c r="N30"/>
      <c r="O30"/>
      <c r="P30"/>
      <c r="Q30"/>
      <c r="R30"/>
      <c r="S30"/>
      <c r="T30"/>
      <c r="U30"/>
      <c r="V30"/>
      <c r="W30"/>
      <c r="X3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F11BB-3FE7-4931-8F60-F02B31E48661}">
  <dimension ref="B3:E11"/>
  <sheetViews>
    <sheetView tabSelected="1" workbookViewId="0">
      <selection activeCell="H19" sqref="H19"/>
    </sheetView>
  </sheetViews>
  <sheetFormatPr defaultRowHeight="14.4" x14ac:dyDescent="0.3"/>
  <cols>
    <col min="3" max="3" width="15.6640625" bestFit="1" customWidth="1"/>
    <col min="4" max="4" width="15.5546875" bestFit="1" customWidth="1"/>
    <col min="5" max="5" width="10.44140625" bestFit="1" customWidth="1"/>
    <col min="6" max="7" width="12" bestFit="1" customWidth="1"/>
    <col min="8" max="8" width="15.5546875" bestFit="1" customWidth="1"/>
    <col min="9" max="9" width="18.6640625" bestFit="1" customWidth="1"/>
    <col min="10" max="10" width="17.44140625" bestFit="1" customWidth="1"/>
  </cols>
  <sheetData>
    <row r="3" spans="2:5" x14ac:dyDescent="0.3">
      <c r="B3" s="24">
        <v>3</v>
      </c>
      <c r="C3" s="23" t="s">
        <v>227</v>
      </c>
    </row>
    <row r="6" spans="2:5" x14ac:dyDescent="0.3">
      <c r="D6" s="21" t="s">
        <v>228</v>
      </c>
    </row>
    <row r="7" spans="2:5" x14ac:dyDescent="0.3">
      <c r="C7" s="21" t="s">
        <v>232</v>
      </c>
      <c r="D7" t="s">
        <v>8</v>
      </c>
      <c r="E7" t="s">
        <v>15</v>
      </c>
    </row>
    <row r="8" spans="2:5" x14ac:dyDescent="0.3">
      <c r="C8" s="22" t="s">
        <v>230</v>
      </c>
      <c r="D8" s="28">
        <v>86</v>
      </c>
      <c r="E8" s="28">
        <v>89</v>
      </c>
    </row>
    <row r="9" spans="2:5" x14ac:dyDescent="0.3">
      <c r="C9" s="22" t="s">
        <v>233</v>
      </c>
      <c r="D9" s="7">
        <v>78284.186046511633</v>
      </c>
      <c r="E9" s="7">
        <v>74915.168539325838</v>
      </c>
    </row>
    <row r="10" spans="2:5" x14ac:dyDescent="0.3">
      <c r="C10" s="22" t="s">
        <v>234</v>
      </c>
      <c r="D10" s="17">
        <v>31.406976744186046</v>
      </c>
      <c r="E10" s="17">
        <v>29.393258426966291</v>
      </c>
    </row>
    <row r="11" spans="2:5" x14ac:dyDescent="0.3">
      <c r="C11" s="22" t="s">
        <v>235</v>
      </c>
      <c r="D11" s="17">
        <v>2.7394711691621536</v>
      </c>
      <c r="E11" s="17">
        <v>2.7303678620901941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2DE7A2-BAC4-4624-B70C-5573153BA4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Data</vt:lpstr>
      <vt:lpstr>All Staff</vt:lpstr>
      <vt:lpstr>salary spread</vt:lpstr>
      <vt:lpstr>salary vs rating</vt:lpstr>
      <vt:lpstr>India Staff</vt:lpstr>
      <vt:lpstr>info_2.0</vt:lpstr>
      <vt:lpstr>employee trend</vt:lpstr>
      <vt:lpstr>final report</vt:lpstr>
      <vt:lpstr>male vs female</vt:lpstr>
      <vt:lpstr>india_staff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VENGATESH K</cp:lastModifiedBy>
  <dcterms:created xsi:type="dcterms:W3CDTF">2021-03-14T20:21:32Z</dcterms:created>
  <dcterms:modified xsi:type="dcterms:W3CDTF">2024-05-20T05:05:20Z</dcterms:modified>
</cp:coreProperties>
</file>