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https://xilligencepvtltd-my.sharepoint.com/personal/venkateshwaran_t_xilligence_com/Documents/Documents/TamWeel/Transact-BSDD/"/>
    </mc:Choice>
  </mc:AlternateContent>
  <xr:revisionPtr revIDLastSave="3" documentId="8_{5C069986-307F-4FAF-80D5-02BC16ECDCF5}" xr6:coauthVersionLast="47" xr6:coauthVersionMax="47" xr10:uidLastSave="{BAE44E93-F600-47C5-BA5A-DF4F6DCEE919}"/>
  <bookViews>
    <workbookView xWindow="-120" yWindow="-120" windowWidth="20730" windowHeight="11040" firstSheet="2" activeTab="4" xr2:uid="{34B9B0DD-6F0B-4ACC-9BC1-C4AB8BF480EB}"/>
  </bookViews>
  <sheets>
    <sheet name="Day1 - E2E Accounting Entries" sheetId="1" r:id="rId1"/>
    <sheet name="Day2 - Simulated Schedule" sheetId="6" r:id="rId2"/>
    <sheet name="Day4-Cooling Period Cancelation" sheetId="2" r:id="rId3"/>
    <sheet name="Day4 - Deferment" sheetId="3" r:id="rId4"/>
    <sheet name="Day4 - Early Settlement" sheetId="7" r:id="rId5"/>
    <sheet name="Day4 - IRR &amp; Flat Rate" sheetId="8" r:id="rId6"/>
    <sheet name="Day4 - Product Setup" sheetId="9" r:id="rId7"/>
    <sheet name="Day4 - Partial Settlement" sheetId="10" r:id="rId8"/>
    <sheet name="Day4 - Partial Settlement (RT)" sheetId="11" r:id="rId9"/>
    <sheet name="Day4 - Principal Decrease - Ins" sheetId="12" r:id="rId10"/>
    <sheet name="Day4 - Principal Dec - Term" sheetId="13" r:id="rId11"/>
    <sheet name="DayN- APR with Flat Rate" sheetId="18" r:id="rId12"/>
    <sheet name="DayN - Proposed Acc Entries" sheetId="14" r:id="rId13"/>
    <sheet name="DayN - LOS - LMS Mapping Field" sheetId="15" r:id="rId14"/>
    <sheet name="DayN-File Upload" sheetId="16" r:id="rId15"/>
    <sheet name="DayN-DefermentWith Overdue" sheetId="24" r:id="rId16"/>
    <sheet name="SA Transact Grace Schedule" sheetId="34" r:id="rId17"/>
    <sheet name="VAT e-invoice temp" sheetId="33" r:id="rId18"/>
    <sheet name="513744" sheetId="32" r:id="rId19"/>
    <sheet name="financing department pending " sheetId="25" r:id="rId20"/>
    <sheet name="grace period calculation" sheetId="29" r:id="rId21"/>
    <sheet name="fekher" sheetId="28" r:id="rId22"/>
    <sheet name="Sheet4" sheetId="22" r:id="rId23"/>
    <sheet name="Day2 - Simulated Schedule (2)" sheetId="26" r:id="rId24"/>
    <sheet name="financing department pending is" sheetId="27" state="hidden" r:id="rId25"/>
  </sheets>
  <externalReferences>
    <externalReference r:id="rId26"/>
    <externalReference r:id="rId27"/>
    <externalReference r:id="rId28"/>
  </externalReferences>
  <definedNames>
    <definedName name="a" localSheetId="16">#REF!</definedName>
    <definedName name="a">#REF!</definedName>
    <definedName name="Attendance" comment="Please Select 'N/A' if not applicable, 'No' if a designated attendee was not in attendance and 'Yes' if the attendee was in attendance" localSheetId="16">#REF!</definedName>
    <definedName name="Attendance" comment="Please Select 'N/A' if not applicable, 'No' if a designated attendee was not in attendance and 'Yes' if the attendee was in attendance">#REF!</definedName>
    <definedName name="BSDStatus">#REF!</definedName>
    <definedName name="Effort">#REF!</definedName>
    <definedName name="fhgcnhfv">'[1]Drop Down Fields'!$D$16:$D$19</definedName>
    <definedName name="FollowUPCategory">#REF!</definedName>
    <definedName name="FollowUpStatus">#REF!</definedName>
    <definedName name="FSDStatus">#REF!</definedName>
    <definedName name="GapPriority">#REF!</definedName>
    <definedName name="GapStatus">#REF!</definedName>
    <definedName name="Level">#REF!</definedName>
    <definedName name="MoSCoW">#REF!</definedName>
    <definedName name="NewGapStatus">#REF!</definedName>
    <definedName name="NewGapType">#REF!</definedName>
    <definedName name="Owner">#REF!</definedName>
    <definedName name="Priority">#REF!</definedName>
    <definedName name="ProcessStatus">#REF!</definedName>
    <definedName name="RAG">#REF!</definedName>
    <definedName name="ScopingGapStatus">#REF!</definedName>
    <definedName name="ScopingGapType">#REF!</definedName>
    <definedName name="Statu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41" i="34" l="1"/>
  <c r="U37" i="34"/>
  <c r="U36" i="34"/>
  <c r="C36" i="34"/>
  <c r="U35" i="34"/>
  <c r="S35" i="34"/>
  <c r="G35" i="34"/>
  <c r="E35" i="34"/>
  <c r="S34" i="34"/>
  <c r="U40" i="34" s="1"/>
  <c r="G34" i="34"/>
  <c r="E34" i="34" s="1"/>
  <c r="U33" i="34"/>
  <c r="S33" i="34"/>
  <c r="U39" i="34" s="1"/>
  <c r="G33" i="34"/>
  <c r="E33" i="34"/>
  <c r="S32" i="34"/>
  <c r="U38" i="34" s="1"/>
  <c r="G32" i="34"/>
  <c r="E32" i="34"/>
  <c r="U31" i="34"/>
  <c r="S31" i="34"/>
  <c r="G31" i="34"/>
  <c r="E31" i="34"/>
  <c r="S30" i="34"/>
  <c r="G30" i="34"/>
  <c r="E30" i="34"/>
  <c r="U29" i="34"/>
  <c r="S29" i="34"/>
  <c r="G29" i="34"/>
  <c r="E29" i="34"/>
  <c r="U28" i="34"/>
  <c r="S28" i="34"/>
  <c r="U34" i="34" s="1"/>
  <c r="G28" i="34"/>
  <c r="E28" i="34"/>
  <c r="U27" i="34"/>
  <c r="S27" i="34"/>
  <c r="G27" i="34"/>
  <c r="E27" i="34"/>
  <c r="S26" i="34"/>
  <c r="U32" i="34" s="1"/>
  <c r="G26" i="34"/>
  <c r="E26" i="34"/>
  <c r="U25" i="34"/>
  <c r="S25" i="34"/>
  <c r="G25" i="34"/>
  <c r="E25" i="34"/>
  <c r="S24" i="34"/>
  <c r="U30" i="34" s="1"/>
  <c r="G24" i="34"/>
  <c r="E24" i="34"/>
  <c r="U23" i="34"/>
  <c r="S23" i="34"/>
  <c r="G23" i="34"/>
  <c r="E23" i="34"/>
  <c r="S22" i="34"/>
  <c r="G22" i="34"/>
  <c r="E22" i="34"/>
  <c r="U21" i="34"/>
  <c r="S21" i="34"/>
  <c r="G21" i="34"/>
  <c r="E21" i="34"/>
  <c r="S20" i="34"/>
  <c r="U26" i="34" s="1"/>
  <c r="G20" i="34"/>
  <c r="E20" i="34"/>
  <c r="U19" i="34"/>
  <c r="S19" i="34"/>
  <c r="G19" i="34"/>
  <c r="E19" i="34"/>
  <c r="S18" i="34"/>
  <c r="U24" i="34" s="1"/>
  <c r="G18" i="34"/>
  <c r="E18" i="34"/>
  <c r="S17" i="34"/>
  <c r="G17" i="34"/>
  <c r="E17" i="34"/>
  <c r="U16" i="34"/>
  <c r="S16" i="34"/>
  <c r="U22" i="34" s="1"/>
  <c r="G16" i="34"/>
  <c r="E16" i="34"/>
  <c r="U15" i="34"/>
  <c r="S15" i="34"/>
  <c r="G15" i="34"/>
  <c r="E15" i="34"/>
  <c r="U14" i="34"/>
  <c r="S14" i="34"/>
  <c r="U20" i="34" s="1"/>
  <c r="G14" i="34"/>
  <c r="E14" i="34"/>
  <c r="U13" i="34"/>
  <c r="S13" i="34"/>
  <c r="G13" i="34"/>
  <c r="E13" i="34"/>
  <c r="U12" i="34"/>
  <c r="S12" i="34"/>
  <c r="U18" i="34" s="1"/>
  <c r="G12" i="34"/>
  <c r="E12" i="34"/>
  <c r="S11" i="34"/>
  <c r="U17" i="34" s="1"/>
  <c r="G11" i="34"/>
  <c r="E11" i="34"/>
  <c r="S10" i="34"/>
  <c r="G10" i="34"/>
  <c r="E10" i="34"/>
  <c r="S9" i="34"/>
  <c r="G9" i="34"/>
  <c r="G36" i="34" s="1"/>
  <c r="E9" i="34"/>
  <c r="S8" i="34"/>
  <c r="O8" i="34"/>
  <c r="E8" i="34"/>
  <c r="S7" i="34"/>
  <c r="O7" i="34"/>
  <c r="E7" i="34"/>
  <c r="S6" i="34"/>
  <c r="R6" i="34"/>
  <c r="O6" i="34"/>
  <c r="P6" i="34" s="1"/>
  <c r="Q6" i="34" s="1"/>
  <c r="P7" i="34" s="1"/>
  <c r="Q7" i="34" s="1"/>
  <c r="P8" i="34" s="1"/>
  <c r="Q8" i="34" s="1"/>
  <c r="E6" i="34"/>
  <c r="S5" i="34"/>
  <c r="U5" i="34" s="1"/>
  <c r="U3" i="34" s="1"/>
  <c r="S3" i="34"/>
  <c r="E36" i="34" l="1"/>
  <c r="F2" i="6"/>
  <c r="M17" i="26"/>
  <c r="M18" i="26"/>
  <c r="M19" i="26"/>
  <c r="M20" i="26"/>
  <c r="M21" i="26"/>
  <c r="M22" i="26"/>
  <c r="M23" i="26"/>
  <c r="M24" i="26"/>
  <c r="M25" i="26"/>
  <c r="M26" i="26"/>
  <c r="M27" i="26"/>
  <c r="M28" i="26"/>
  <c r="M29" i="26"/>
  <c r="M30" i="26"/>
  <c r="M31" i="26"/>
  <c r="M32" i="26"/>
  <c r="M33" i="26"/>
  <c r="M34" i="26"/>
  <c r="M35" i="26"/>
  <c r="M36" i="26"/>
  <c r="M37" i="26"/>
  <c r="M38" i="26"/>
  <c r="M39" i="26"/>
  <c r="M40" i="26"/>
  <c r="M41" i="26"/>
  <c r="M42" i="26"/>
  <c r="M43" i="26"/>
  <c r="M44" i="26"/>
  <c r="M45" i="26"/>
  <c r="M46" i="26"/>
  <c r="M47" i="26"/>
  <c r="M48" i="26"/>
  <c r="M49" i="26"/>
  <c r="M50" i="26"/>
  <c r="M51" i="26"/>
  <c r="M52" i="26"/>
  <c r="M53" i="26"/>
  <c r="M54" i="26"/>
  <c r="M55" i="26"/>
  <c r="M56" i="26"/>
  <c r="M57" i="26"/>
  <c r="M58" i="26"/>
  <c r="M59" i="26"/>
  <c r="M60" i="26"/>
  <c r="M61" i="26"/>
  <c r="M62" i="26"/>
  <c r="M63" i="26"/>
  <c r="M64" i="26"/>
  <c r="M65" i="26"/>
  <c r="M66" i="26"/>
  <c r="M67" i="26"/>
  <c r="M68" i="26"/>
  <c r="M69" i="26"/>
  <c r="M70" i="26"/>
  <c r="M71" i="26"/>
  <c r="M72" i="26"/>
  <c r="M73" i="26"/>
  <c r="M74" i="26"/>
  <c r="M75" i="26"/>
  <c r="M76" i="26"/>
  <c r="M16" i="26"/>
  <c r="K89" i="29"/>
  <c r="H89" i="29"/>
  <c r="M87" i="29"/>
  <c r="M86" i="29"/>
  <c r="M85" i="29"/>
  <c r="M84" i="29"/>
  <c r="M83" i="29"/>
  <c r="M82" i="29"/>
  <c r="M81" i="29"/>
  <c r="M80" i="29"/>
  <c r="M79" i="29"/>
  <c r="M78" i="29"/>
  <c r="M77" i="29"/>
  <c r="M76" i="29"/>
  <c r="M75" i="29"/>
  <c r="M74" i="29"/>
  <c r="M73" i="29"/>
  <c r="M72" i="29"/>
  <c r="M71" i="29"/>
  <c r="M70" i="29"/>
  <c r="M69" i="29"/>
  <c r="M68" i="29"/>
  <c r="M67" i="29"/>
  <c r="M66" i="29"/>
  <c r="M65" i="29"/>
  <c r="M64" i="29"/>
  <c r="M63" i="29"/>
  <c r="M62" i="29"/>
  <c r="M61" i="29"/>
  <c r="M60" i="29"/>
  <c r="M59" i="29"/>
  <c r="M58" i="29"/>
  <c r="M57" i="29"/>
  <c r="M56" i="29"/>
  <c r="M55" i="29"/>
  <c r="M54" i="29"/>
  <c r="M53" i="29"/>
  <c r="M52" i="29"/>
  <c r="M51" i="29"/>
  <c r="M50" i="29"/>
  <c r="M49" i="29"/>
  <c r="M48" i="29"/>
  <c r="M47" i="29"/>
  <c r="M46" i="29"/>
  <c r="M45" i="29"/>
  <c r="M44" i="29"/>
  <c r="M43" i="29"/>
  <c r="M42" i="29"/>
  <c r="M41" i="29"/>
  <c r="M40" i="29"/>
  <c r="M39" i="29"/>
  <c r="M38" i="29"/>
  <c r="M37" i="29"/>
  <c r="M36" i="29"/>
  <c r="M35" i="29"/>
  <c r="M34" i="29"/>
  <c r="M33" i="29"/>
  <c r="M32" i="29"/>
  <c r="M31" i="29"/>
  <c r="M30" i="29"/>
  <c r="M29" i="29"/>
  <c r="M28" i="29"/>
  <c r="J28" i="29"/>
  <c r="I28" i="29"/>
  <c r="C28" i="29"/>
  <c r="M27" i="29"/>
  <c r="K24" i="29"/>
  <c r="G21" i="29"/>
  <c r="G15" i="29"/>
  <c r="G22" i="29" s="1"/>
  <c r="G23" i="29" s="1"/>
  <c r="G14" i="29"/>
  <c r="B28" i="29" l="1"/>
  <c r="G20" i="29"/>
  <c r="F89" i="29" s="1"/>
  <c r="D29" i="29"/>
  <c r="G16" i="29"/>
  <c r="E28" i="29" s="1"/>
  <c r="F28" i="29" l="1"/>
  <c r="D21" i="29"/>
  <c r="J29" i="29"/>
  <c r="I29" i="29"/>
  <c r="C29" i="29"/>
  <c r="D30" i="29"/>
  <c r="B29" i="29"/>
  <c r="G18" i="29"/>
  <c r="K19" i="29" l="1"/>
  <c r="K15" i="29"/>
  <c r="D31" i="29"/>
  <c r="B30" i="29"/>
  <c r="J30" i="29"/>
  <c r="I30" i="29"/>
  <c r="C30" i="29"/>
  <c r="K14" i="29"/>
  <c r="F29" i="29"/>
  <c r="K12" i="29"/>
  <c r="K13" i="29" s="1"/>
  <c r="K21" i="29" s="1"/>
  <c r="G28" i="29" s="1"/>
  <c r="K28" i="29" l="1"/>
  <c r="H28" i="29"/>
  <c r="L28" i="29" s="1"/>
  <c r="E29" i="29" s="1"/>
  <c r="C31" i="29"/>
  <c r="D32" i="29"/>
  <c r="B31" i="29"/>
  <c r="J31" i="29"/>
  <c r="I31" i="29"/>
  <c r="K22" i="29"/>
  <c r="G19" i="29"/>
  <c r="G89" i="29"/>
  <c r="F30" i="29"/>
  <c r="AB28" i="29" l="1"/>
  <c r="G29" i="29"/>
  <c r="F31" i="29"/>
  <c r="C32" i="29"/>
  <c r="D33" i="29"/>
  <c r="B32" i="29"/>
  <c r="J32" i="29"/>
  <c r="I32" i="29"/>
  <c r="K29" i="29" l="1"/>
  <c r="O29" i="29" s="1"/>
  <c r="H29" i="29"/>
  <c r="C33" i="29"/>
  <c r="D34" i="29"/>
  <c r="B33" i="29"/>
  <c r="I33" i="29"/>
  <c r="J33" i="29"/>
  <c r="F32" i="29"/>
  <c r="AB29" i="29" l="1"/>
  <c r="L29" i="29"/>
  <c r="E30" i="29" s="1"/>
  <c r="J34" i="29"/>
  <c r="I34" i="29"/>
  <c r="C34" i="29"/>
  <c r="D35" i="29"/>
  <c r="B34" i="29"/>
  <c r="F33" i="29"/>
  <c r="G30" i="29" l="1"/>
  <c r="K30" i="29" s="1"/>
  <c r="K34" i="29"/>
  <c r="F34" i="29"/>
  <c r="J35" i="29"/>
  <c r="I35" i="29"/>
  <c r="C35" i="29"/>
  <c r="D36" i="29"/>
  <c r="B35" i="29"/>
  <c r="H30" i="29" l="1"/>
  <c r="O30" i="29"/>
  <c r="F35" i="29"/>
  <c r="I36" i="29"/>
  <c r="J36" i="29"/>
  <c r="B36" i="29"/>
  <c r="D37" i="29"/>
  <c r="C36" i="29"/>
  <c r="K35" i="29"/>
  <c r="AB30" i="29" l="1"/>
  <c r="L30" i="29"/>
  <c r="E31" i="29" s="1"/>
  <c r="K36" i="29"/>
  <c r="F36" i="29"/>
  <c r="J37" i="29"/>
  <c r="I37" i="29"/>
  <c r="C37" i="29"/>
  <c r="D38" i="29"/>
  <c r="B37" i="29"/>
  <c r="G31" i="29" l="1"/>
  <c r="K31" i="29" s="1"/>
  <c r="D39" i="29"/>
  <c r="B38" i="29"/>
  <c r="C38" i="29"/>
  <c r="J38" i="29"/>
  <c r="I38" i="29"/>
  <c r="K37" i="29"/>
  <c r="F37" i="29"/>
  <c r="O31" i="29" l="1"/>
  <c r="H31" i="29"/>
  <c r="F38" i="29"/>
  <c r="K38" i="29"/>
  <c r="C39" i="29"/>
  <c r="D40" i="29"/>
  <c r="B39" i="29"/>
  <c r="I39" i="29"/>
  <c r="J39" i="29"/>
  <c r="AB31" i="29" l="1"/>
  <c r="L31" i="29"/>
  <c r="E32" i="29" s="1"/>
  <c r="D41" i="29"/>
  <c r="C40" i="29"/>
  <c r="B40" i="29"/>
  <c r="J40" i="29"/>
  <c r="I40" i="29"/>
  <c r="F39" i="29"/>
  <c r="K39" i="29"/>
  <c r="G32" i="29" l="1"/>
  <c r="K32" i="29" s="1"/>
  <c r="F40" i="29"/>
  <c r="I41" i="29"/>
  <c r="C41" i="29"/>
  <c r="B41" i="29"/>
  <c r="D42" i="29"/>
  <c r="J41" i="29"/>
  <c r="K40" i="29"/>
  <c r="O32" i="29" l="1"/>
  <c r="H32" i="29"/>
  <c r="K41" i="29"/>
  <c r="J42" i="29"/>
  <c r="I42" i="29"/>
  <c r="C42" i="29"/>
  <c r="B42" i="29"/>
  <c r="D43" i="29"/>
  <c r="F41" i="29"/>
  <c r="AB32" i="29" l="1"/>
  <c r="L32" i="29"/>
  <c r="E33" i="29" s="1"/>
  <c r="J43" i="29"/>
  <c r="I43" i="29"/>
  <c r="C43" i="29"/>
  <c r="B43" i="29"/>
  <c r="D44" i="29"/>
  <c r="K42" i="29"/>
  <c r="F42" i="29"/>
  <c r="G33" i="29" l="1"/>
  <c r="K33" i="29" s="1"/>
  <c r="B44" i="29"/>
  <c r="D45" i="29"/>
  <c r="C44" i="29"/>
  <c r="J44" i="29"/>
  <c r="I44" i="29"/>
  <c r="K43" i="29"/>
  <c r="F43" i="29"/>
  <c r="O33" i="29" l="1"/>
  <c r="H33" i="29"/>
  <c r="F44" i="29"/>
  <c r="C45" i="29"/>
  <c r="B45" i="29"/>
  <c r="D46" i="29"/>
  <c r="J45" i="29"/>
  <c r="I45" i="29"/>
  <c r="K44" i="29"/>
  <c r="AB33" i="29" l="1"/>
  <c r="L33" i="29"/>
  <c r="E34" i="29" s="1"/>
  <c r="C46" i="29"/>
  <c r="B46" i="29"/>
  <c r="D47" i="29"/>
  <c r="I46" i="29"/>
  <c r="J46" i="29"/>
  <c r="F45" i="29"/>
  <c r="K45" i="29"/>
  <c r="G34" i="29" l="1"/>
  <c r="F46" i="29"/>
  <c r="J47" i="29"/>
  <c r="I47" i="29"/>
  <c r="C47" i="29"/>
  <c r="B47" i="29"/>
  <c r="D48" i="29"/>
  <c r="K46" i="29"/>
  <c r="O34" i="29" l="1"/>
  <c r="H34" i="29"/>
  <c r="J48" i="29"/>
  <c r="I48" i="29"/>
  <c r="B48" i="29"/>
  <c r="C48" i="29"/>
  <c r="D49" i="29"/>
  <c r="F47" i="29"/>
  <c r="K47" i="29"/>
  <c r="AB34" i="29" l="1"/>
  <c r="L34" i="29"/>
  <c r="E35" i="29" s="1"/>
  <c r="F48" i="29"/>
  <c r="K48" i="29"/>
  <c r="B49" i="29"/>
  <c r="D50" i="29"/>
  <c r="J49" i="29"/>
  <c r="I49" i="29"/>
  <c r="C49" i="29"/>
  <c r="G35" i="29" l="1"/>
  <c r="F49" i="29"/>
  <c r="C50" i="29"/>
  <c r="B50" i="29"/>
  <c r="D51" i="29"/>
  <c r="I50" i="29"/>
  <c r="J50" i="29"/>
  <c r="K49" i="29"/>
  <c r="H35" i="29" l="1"/>
  <c r="O35" i="29"/>
  <c r="K50" i="29"/>
  <c r="F50" i="29"/>
  <c r="I51" i="29"/>
  <c r="C51" i="29"/>
  <c r="B51" i="29"/>
  <c r="D52" i="29"/>
  <c r="J51" i="29"/>
  <c r="AB35" i="29" l="1"/>
  <c r="L35" i="29"/>
  <c r="E36" i="29" s="1"/>
  <c r="J52" i="29"/>
  <c r="I52" i="29"/>
  <c r="C52" i="29"/>
  <c r="B52" i="29"/>
  <c r="D53" i="29"/>
  <c r="K51" i="29"/>
  <c r="F51" i="29"/>
  <c r="G36" i="29" l="1"/>
  <c r="D54" i="29"/>
  <c r="J53" i="29"/>
  <c r="I53" i="29"/>
  <c r="B53" i="29"/>
  <c r="C53" i="29"/>
  <c r="K52" i="29"/>
  <c r="F52" i="29"/>
  <c r="O36" i="29" l="1"/>
  <c r="H36" i="29"/>
  <c r="K53" i="29"/>
  <c r="F53" i="29"/>
  <c r="C54" i="29"/>
  <c r="B54" i="29"/>
  <c r="I54" i="29"/>
  <c r="D55" i="29"/>
  <c r="J54" i="29"/>
  <c r="AB36" i="29" l="1"/>
  <c r="L36" i="29"/>
  <c r="E37" i="29" s="1"/>
  <c r="K54" i="29"/>
  <c r="F54" i="29"/>
  <c r="I55" i="29"/>
  <c r="J55" i="29"/>
  <c r="C55" i="29"/>
  <c r="B55" i="29"/>
  <c r="D56" i="29"/>
  <c r="G37" i="29" l="1"/>
  <c r="F55" i="29"/>
  <c r="K55" i="29"/>
  <c r="J56" i="29"/>
  <c r="I56" i="29"/>
  <c r="C56" i="29"/>
  <c r="B56" i="29"/>
  <c r="D57" i="29"/>
  <c r="H37" i="29" l="1"/>
  <c r="O37" i="29"/>
  <c r="D58" i="29"/>
  <c r="J57" i="29"/>
  <c r="I57" i="29"/>
  <c r="B57" i="29"/>
  <c r="C57" i="29"/>
  <c r="K56" i="29"/>
  <c r="F56" i="29"/>
  <c r="AB37" i="29" l="1"/>
  <c r="L37" i="29"/>
  <c r="E38" i="29" s="1"/>
  <c r="K57" i="29"/>
  <c r="F57" i="29"/>
  <c r="C58" i="29"/>
  <c r="B58" i="29"/>
  <c r="D59" i="29"/>
  <c r="J58" i="29"/>
  <c r="I58" i="29"/>
  <c r="G38" i="29" l="1"/>
  <c r="F58" i="29"/>
  <c r="I59" i="29"/>
  <c r="J59" i="29"/>
  <c r="C59" i="29"/>
  <c r="B59" i="29"/>
  <c r="D60" i="29"/>
  <c r="O38" i="29" l="1"/>
  <c r="H38" i="29"/>
  <c r="J60" i="29"/>
  <c r="I60" i="29"/>
  <c r="C60" i="29"/>
  <c r="B60" i="29"/>
  <c r="D61" i="29"/>
  <c r="F59" i="29"/>
  <c r="AB38" i="29" l="1"/>
  <c r="L38" i="29"/>
  <c r="E39" i="29" s="1"/>
  <c r="D62" i="29"/>
  <c r="B61" i="29"/>
  <c r="J61" i="29"/>
  <c r="I61" i="29"/>
  <c r="C61" i="29"/>
  <c r="F60" i="29"/>
  <c r="G39" i="29" l="1"/>
  <c r="C62" i="29"/>
  <c r="B62" i="29"/>
  <c r="D63" i="29"/>
  <c r="J62" i="29"/>
  <c r="I62" i="29"/>
  <c r="F61" i="29"/>
  <c r="O39" i="29" l="1"/>
  <c r="H39" i="29"/>
  <c r="I63" i="29"/>
  <c r="C63" i="29"/>
  <c r="B63" i="29"/>
  <c r="J63" i="29"/>
  <c r="D64" i="29"/>
  <c r="F62" i="29"/>
  <c r="AB39" i="29" l="1"/>
  <c r="L39" i="29"/>
  <c r="E40" i="29" s="1"/>
  <c r="G40" i="29" s="1"/>
  <c r="L64" i="29"/>
  <c r="J64" i="29"/>
  <c r="I64" i="29"/>
  <c r="H64" i="29"/>
  <c r="C64" i="29"/>
  <c r="B64" i="29"/>
  <c r="D65" i="29"/>
  <c r="F63" i="29"/>
  <c r="H40" i="29" l="1"/>
  <c r="L40" i="29" s="1"/>
  <c r="E41" i="29" s="1"/>
  <c r="G41" i="29" s="1"/>
  <c r="O40" i="29"/>
  <c r="G64" i="29"/>
  <c r="F64" i="29"/>
  <c r="D66" i="29"/>
  <c r="L65" i="29"/>
  <c r="J65" i="29"/>
  <c r="I65" i="29"/>
  <c r="H65" i="29"/>
  <c r="C65" i="29"/>
  <c r="B65" i="29"/>
  <c r="K64" i="29"/>
  <c r="H41" i="29" l="1"/>
  <c r="L41" i="29" s="1"/>
  <c r="E42" i="29" s="1"/>
  <c r="G42" i="29" s="1"/>
  <c r="O41" i="29"/>
  <c r="G65" i="29"/>
  <c r="F65" i="29"/>
  <c r="C66" i="29"/>
  <c r="B66" i="29"/>
  <c r="D67" i="29"/>
  <c r="L66" i="29"/>
  <c r="J66" i="29"/>
  <c r="I66" i="29"/>
  <c r="H66" i="29"/>
  <c r="K65" i="29"/>
  <c r="O42" i="29" l="1"/>
  <c r="H42" i="29"/>
  <c r="L42" i="29" s="1"/>
  <c r="E43" i="29" s="1"/>
  <c r="G43" i="29" s="1"/>
  <c r="I67" i="29"/>
  <c r="H67" i="29"/>
  <c r="J67" i="29"/>
  <c r="C67" i="29"/>
  <c r="B67" i="29"/>
  <c r="D68" i="29"/>
  <c r="L67" i="29"/>
  <c r="F66" i="29"/>
  <c r="K66" i="29" s="1"/>
  <c r="G66" i="29"/>
  <c r="O43" i="29" l="1"/>
  <c r="H43" i="29"/>
  <c r="L43" i="29" s="1"/>
  <c r="E44" i="29" s="1"/>
  <c r="G44" i="29" s="1"/>
  <c r="G67" i="29"/>
  <c r="F67" i="29"/>
  <c r="L68" i="29"/>
  <c r="J68" i="29"/>
  <c r="I68" i="29"/>
  <c r="H68" i="29"/>
  <c r="C68" i="29"/>
  <c r="B68" i="29"/>
  <c r="D69" i="29"/>
  <c r="K67" i="29"/>
  <c r="O44" i="29" l="1"/>
  <c r="H44" i="29"/>
  <c r="L44" i="29" s="1"/>
  <c r="E45" i="29" s="1"/>
  <c r="G45" i="29" s="1"/>
  <c r="D70" i="29"/>
  <c r="L69" i="29"/>
  <c r="J69" i="29"/>
  <c r="I69" i="29"/>
  <c r="H69" i="29"/>
  <c r="B69" i="29"/>
  <c r="C69" i="29"/>
  <c r="G68" i="29"/>
  <c r="F68" i="29"/>
  <c r="K68" i="29" s="1"/>
  <c r="O45" i="29" l="1"/>
  <c r="H45" i="29"/>
  <c r="L45" i="29" s="1"/>
  <c r="E46" i="29" s="1"/>
  <c r="G46" i="29" s="1"/>
  <c r="G69" i="29"/>
  <c r="F69" i="29"/>
  <c r="K69" i="29" s="1"/>
  <c r="C70" i="29"/>
  <c r="B70" i="29"/>
  <c r="D71" i="29"/>
  <c r="L70" i="29"/>
  <c r="J70" i="29"/>
  <c r="I70" i="29"/>
  <c r="H70" i="29"/>
  <c r="H46" i="29" l="1"/>
  <c r="L46" i="29" s="1"/>
  <c r="E47" i="29" s="1"/>
  <c r="G47" i="29" s="1"/>
  <c r="O46" i="29"/>
  <c r="I71" i="29"/>
  <c r="H71" i="29"/>
  <c r="J71" i="29"/>
  <c r="C71" i="29"/>
  <c r="B71" i="29"/>
  <c r="D72" i="29"/>
  <c r="L71" i="29"/>
  <c r="F70" i="29"/>
  <c r="K70" i="29" s="1"/>
  <c r="G70" i="29"/>
  <c r="O47" i="29" l="1"/>
  <c r="H47" i="29"/>
  <c r="L47" i="29" s="1"/>
  <c r="E48" i="29" s="1"/>
  <c r="G48" i="29" s="1"/>
  <c r="G71" i="29"/>
  <c r="F71" i="29"/>
  <c r="K71" i="29" s="1"/>
  <c r="L72" i="29"/>
  <c r="J72" i="29"/>
  <c r="I72" i="29"/>
  <c r="H72" i="29"/>
  <c r="C72" i="29"/>
  <c r="B72" i="29"/>
  <c r="D73" i="29"/>
  <c r="H48" i="29" l="1"/>
  <c r="L48" i="29" s="1"/>
  <c r="E49" i="29" s="1"/>
  <c r="G49" i="29" s="1"/>
  <c r="H49" i="29" s="1"/>
  <c r="L49" i="29" s="1"/>
  <c r="E50" i="29" s="1"/>
  <c r="G50" i="29" s="1"/>
  <c r="H50" i="29" s="1"/>
  <c r="L50" i="29" s="1"/>
  <c r="E51" i="29" s="1"/>
  <c r="G51" i="29" s="1"/>
  <c r="H51" i="29" s="1"/>
  <c r="L51" i="29" s="1"/>
  <c r="E52" i="29" s="1"/>
  <c r="O48" i="29"/>
  <c r="G72" i="29"/>
  <c r="F72" i="29"/>
  <c r="K72" i="29" s="1"/>
  <c r="D74" i="29"/>
  <c r="B73" i="29"/>
  <c r="L73" i="29"/>
  <c r="J73" i="29"/>
  <c r="I73" i="29"/>
  <c r="H73" i="29"/>
  <c r="C73" i="29"/>
  <c r="G52" i="29" l="1"/>
  <c r="H52" i="29" s="1"/>
  <c r="L52" i="29" s="1"/>
  <c r="E53" i="29" s="1"/>
  <c r="G73" i="29"/>
  <c r="F73" i="29"/>
  <c r="K73" i="29"/>
  <c r="C74" i="29"/>
  <c r="B74" i="29"/>
  <c r="D75" i="29"/>
  <c r="L74" i="29"/>
  <c r="J74" i="29"/>
  <c r="I74" i="29"/>
  <c r="H74" i="29"/>
  <c r="G53" i="29" l="1"/>
  <c r="H53" i="29" s="1"/>
  <c r="L53" i="29" s="1"/>
  <c r="E54" i="29" s="1"/>
  <c r="I75" i="29"/>
  <c r="H75" i="29"/>
  <c r="C75" i="29"/>
  <c r="B75" i="29"/>
  <c r="J75" i="29"/>
  <c r="D76" i="29"/>
  <c r="L75" i="29"/>
  <c r="F74" i="29"/>
  <c r="G74" i="29"/>
  <c r="K74" i="29"/>
  <c r="G54" i="29" l="1"/>
  <c r="H54" i="29" s="1"/>
  <c r="L54" i="29" s="1"/>
  <c r="E55" i="29" s="1"/>
  <c r="L76" i="29"/>
  <c r="J76" i="29"/>
  <c r="I76" i="29"/>
  <c r="H76" i="29"/>
  <c r="C76" i="29"/>
  <c r="B76" i="29"/>
  <c r="D77" i="29"/>
  <c r="G75" i="29"/>
  <c r="F75" i="29"/>
  <c r="K75" i="29" s="1"/>
  <c r="G55" i="29" l="1"/>
  <c r="H55" i="29" s="1"/>
  <c r="L55" i="29" s="1"/>
  <c r="E56" i="29" s="1"/>
  <c r="D78" i="29"/>
  <c r="L77" i="29"/>
  <c r="J77" i="29"/>
  <c r="I77" i="29"/>
  <c r="H77" i="29"/>
  <c r="C77" i="29"/>
  <c r="B77" i="29"/>
  <c r="G76" i="29"/>
  <c r="F76" i="29"/>
  <c r="K76" i="29"/>
  <c r="G56" i="29" l="1"/>
  <c r="H56" i="29" s="1"/>
  <c r="L56" i="29" s="1"/>
  <c r="E57" i="29" s="1"/>
  <c r="C78" i="29"/>
  <c r="B78" i="29"/>
  <c r="D79" i="29"/>
  <c r="L78" i="29"/>
  <c r="J78" i="29"/>
  <c r="I78" i="29"/>
  <c r="H78" i="29"/>
  <c r="G77" i="29"/>
  <c r="F77" i="29"/>
  <c r="K77" i="29" s="1"/>
  <c r="G57" i="29" l="1"/>
  <c r="H57" i="29" s="1"/>
  <c r="L57" i="29" s="1"/>
  <c r="E58" i="29" s="1"/>
  <c r="I79" i="29"/>
  <c r="H79" i="29"/>
  <c r="C79" i="29"/>
  <c r="B79" i="29"/>
  <c r="D80" i="29"/>
  <c r="J79" i="29"/>
  <c r="L79" i="29"/>
  <c r="F78" i="29"/>
  <c r="K78" i="29" s="1"/>
  <c r="G78" i="29"/>
  <c r="G58" i="29" l="1"/>
  <c r="L80" i="29"/>
  <c r="J80" i="29"/>
  <c r="I80" i="29"/>
  <c r="H80" i="29"/>
  <c r="C80" i="29"/>
  <c r="B80" i="29"/>
  <c r="D81" i="29"/>
  <c r="G79" i="29"/>
  <c r="F79" i="29"/>
  <c r="K79" i="29"/>
  <c r="K58" i="29" l="1"/>
  <c r="H58" i="29" s="1"/>
  <c r="L58" i="29" s="1"/>
  <c r="E59" i="29" s="1"/>
  <c r="G59" i="29" s="1"/>
  <c r="D82" i="29"/>
  <c r="L81" i="29"/>
  <c r="J81" i="29"/>
  <c r="I81" i="29"/>
  <c r="H81" i="29"/>
  <c r="B81" i="29"/>
  <c r="C81" i="29"/>
  <c r="G80" i="29"/>
  <c r="F80" i="29"/>
  <c r="K80" i="29"/>
  <c r="K59" i="29" l="1"/>
  <c r="H59" i="29" s="1"/>
  <c r="L59" i="29" s="1"/>
  <c r="E60" i="29" s="1"/>
  <c r="G60" i="29" s="1"/>
  <c r="C82" i="29"/>
  <c r="B82" i="29"/>
  <c r="D83" i="29"/>
  <c r="L82" i="29"/>
  <c r="J82" i="29"/>
  <c r="I82" i="29"/>
  <c r="H82" i="29"/>
  <c r="G81" i="29"/>
  <c r="F81" i="29"/>
  <c r="K81" i="29" s="1"/>
  <c r="K60" i="29" l="1"/>
  <c r="H60" i="29" s="1"/>
  <c r="L60" i="29" s="1"/>
  <c r="E61" i="29" s="1"/>
  <c r="G61" i="29" s="1"/>
  <c r="F82" i="29"/>
  <c r="K82" i="29" s="1"/>
  <c r="G82" i="29"/>
  <c r="I83" i="29"/>
  <c r="H83" i="29"/>
  <c r="C83" i="29"/>
  <c r="B83" i="29"/>
  <c r="J83" i="29"/>
  <c r="D84" i="29"/>
  <c r="L83" i="29"/>
  <c r="K61" i="29" l="1"/>
  <c r="H61" i="29" s="1"/>
  <c r="L61" i="29" s="1"/>
  <c r="E62" i="29" s="1"/>
  <c r="G62" i="29" s="1"/>
  <c r="G83" i="29"/>
  <c r="F83" i="29"/>
  <c r="L84" i="29"/>
  <c r="J84" i="29"/>
  <c r="I84" i="29"/>
  <c r="H84" i="29"/>
  <c r="C84" i="29"/>
  <c r="B84" i="29"/>
  <c r="D85" i="29"/>
  <c r="K83" i="29"/>
  <c r="K62" i="29" l="1"/>
  <c r="H62" i="29" s="1"/>
  <c r="L62" i="29" s="1"/>
  <c r="E63" i="29" s="1"/>
  <c r="G63" i="29" s="1"/>
  <c r="D86" i="29"/>
  <c r="L85" i="29"/>
  <c r="J85" i="29"/>
  <c r="I85" i="29"/>
  <c r="H85" i="29"/>
  <c r="B85" i="29"/>
  <c r="C85" i="29"/>
  <c r="G84" i="29"/>
  <c r="F84" i="29"/>
  <c r="K84" i="29" s="1"/>
  <c r="K63" i="29" l="1"/>
  <c r="H63" i="29" s="1"/>
  <c r="L63" i="29" s="1"/>
  <c r="E64" i="29" s="1"/>
  <c r="E65" i="29" s="1"/>
  <c r="E66" i="29" s="1"/>
  <c r="E67" i="29" s="1"/>
  <c r="E68" i="29" s="1"/>
  <c r="E69" i="29" s="1"/>
  <c r="E70" i="29" s="1"/>
  <c r="E71" i="29" s="1"/>
  <c r="E72" i="29" s="1"/>
  <c r="E73" i="29" s="1"/>
  <c r="E74" i="29" s="1"/>
  <c r="E75" i="29" s="1"/>
  <c r="E76" i="29" s="1"/>
  <c r="E77" i="29" s="1"/>
  <c r="E78" i="29" s="1"/>
  <c r="E79" i="29" s="1"/>
  <c r="E80" i="29" s="1"/>
  <c r="E81" i="29" s="1"/>
  <c r="E82" i="29" s="1"/>
  <c r="E83" i="29" s="1"/>
  <c r="E84" i="29" s="1"/>
  <c r="E85" i="29" s="1"/>
  <c r="G85" i="29"/>
  <c r="F85" i="29"/>
  <c r="C86" i="29"/>
  <c r="B86" i="29"/>
  <c r="D87" i="29"/>
  <c r="L86" i="29"/>
  <c r="J86" i="29"/>
  <c r="I86" i="29"/>
  <c r="H86" i="29"/>
  <c r="K85" i="29"/>
  <c r="I87" i="29" l="1"/>
  <c r="I88" i="29" s="1"/>
  <c r="I89" i="29" s="1"/>
  <c r="J87" i="29"/>
  <c r="J88" i="29" s="1"/>
  <c r="J89" i="29" s="1"/>
  <c r="H87" i="29"/>
  <c r="H88" i="29" s="1"/>
  <c r="C87" i="29"/>
  <c r="B87" i="29"/>
  <c r="L87" i="29"/>
  <c r="F86" i="29"/>
  <c r="G86" i="29"/>
  <c r="E86" i="29"/>
  <c r="K86" i="29"/>
  <c r="E87" i="29" l="1"/>
  <c r="G87" i="29"/>
  <c r="F87" i="29"/>
  <c r="F88" i="29" s="1"/>
  <c r="K87" i="29" l="1"/>
  <c r="K88" i="29" s="1"/>
  <c r="AD28" i="29"/>
  <c r="AE28" i="29" s="1"/>
  <c r="G88" i="29"/>
  <c r="F7" i="26" l="1"/>
  <c r="C7" i="26" s="1"/>
  <c r="N17" i="26"/>
  <c r="N18" i="26"/>
  <c r="N19" i="26"/>
  <c r="N20" i="26"/>
  <c r="N21" i="26"/>
  <c r="N22" i="26"/>
  <c r="N23" i="26"/>
  <c r="N24" i="26"/>
  <c r="N25" i="26"/>
  <c r="N26" i="26"/>
  <c r="N27" i="26"/>
  <c r="N28" i="26"/>
  <c r="N29" i="26"/>
  <c r="N30" i="26"/>
  <c r="N31" i="26"/>
  <c r="N32" i="26"/>
  <c r="N33" i="26"/>
  <c r="N34" i="26"/>
  <c r="N35" i="26"/>
  <c r="N36" i="26"/>
  <c r="N37" i="26"/>
  <c r="N38" i="26"/>
  <c r="N39" i="26"/>
  <c r="N40" i="26"/>
  <c r="N41" i="26"/>
  <c r="N42" i="26"/>
  <c r="N43" i="26"/>
  <c r="N44" i="26"/>
  <c r="N45" i="26"/>
  <c r="N46" i="26"/>
  <c r="N47" i="26"/>
  <c r="N48" i="26"/>
  <c r="N49" i="26"/>
  <c r="N50" i="26"/>
  <c r="N51" i="26"/>
  <c r="N52" i="26"/>
  <c r="N53" i="26"/>
  <c r="N54" i="26"/>
  <c r="N55" i="26"/>
  <c r="N56" i="26"/>
  <c r="N57" i="26"/>
  <c r="N58" i="26"/>
  <c r="N59" i="26"/>
  <c r="N60" i="26"/>
  <c r="N61" i="26"/>
  <c r="N62" i="26"/>
  <c r="N63" i="26"/>
  <c r="N64" i="26"/>
  <c r="N65" i="26"/>
  <c r="N66" i="26"/>
  <c r="N67" i="26"/>
  <c r="N68" i="26"/>
  <c r="N69" i="26"/>
  <c r="N70" i="26"/>
  <c r="N71" i="26"/>
  <c r="N72" i="26"/>
  <c r="N73" i="26"/>
  <c r="N74" i="26"/>
  <c r="N75" i="26"/>
  <c r="N76"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17" i="26"/>
  <c r="J16" i="26"/>
  <c r="J14" i="8"/>
  <c r="J15" i="8"/>
  <c r="J16" i="8"/>
  <c r="J17" i="8"/>
  <c r="J18" i="8"/>
  <c r="J19" i="8"/>
  <c r="J20" i="8"/>
  <c r="J21" i="8"/>
  <c r="J22" i="8"/>
  <c r="J23" i="8"/>
  <c r="J24" i="8"/>
  <c r="J13" i="8"/>
  <c r="J6" i="8" s="1"/>
  <c r="J12" i="8"/>
  <c r="O19" i="26"/>
  <c r="O20" i="26"/>
  <c r="O21" i="26"/>
  <c r="O22" i="26"/>
  <c r="O23" i="26"/>
  <c r="O24" i="26"/>
  <c r="O25" i="26"/>
  <c r="O26" i="26"/>
  <c r="O27" i="26"/>
  <c r="O28" i="26"/>
  <c r="O29" i="26"/>
  <c r="O30" i="26"/>
  <c r="O31" i="26"/>
  <c r="O32" i="26"/>
  <c r="O33" i="26"/>
  <c r="O34" i="26"/>
  <c r="O35" i="26"/>
  <c r="O36" i="26"/>
  <c r="O37" i="26"/>
  <c r="O38" i="26"/>
  <c r="O39" i="26"/>
  <c r="O40" i="26"/>
  <c r="O41" i="26"/>
  <c r="O42" i="26"/>
  <c r="O43" i="26"/>
  <c r="O44" i="26"/>
  <c r="O45" i="26"/>
  <c r="O46" i="26"/>
  <c r="O47" i="26"/>
  <c r="O48" i="26"/>
  <c r="O49" i="26"/>
  <c r="O50" i="26"/>
  <c r="O51" i="26"/>
  <c r="O52" i="26"/>
  <c r="O53" i="26"/>
  <c r="O54" i="26"/>
  <c r="O55" i="26"/>
  <c r="O56" i="26"/>
  <c r="O57" i="26"/>
  <c r="O58" i="26"/>
  <c r="O59" i="26"/>
  <c r="O60" i="26"/>
  <c r="O61" i="26"/>
  <c r="O62" i="26"/>
  <c r="O63" i="26"/>
  <c r="O64" i="26"/>
  <c r="O65" i="26"/>
  <c r="O66" i="26"/>
  <c r="O67" i="26"/>
  <c r="O68" i="26"/>
  <c r="O69" i="26"/>
  <c r="O70" i="26"/>
  <c r="O71" i="26"/>
  <c r="O72" i="26"/>
  <c r="O73" i="26"/>
  <c r="O74" i="26"/>
  <c r="O75" i="26"/>
  <c r="O76" i="26"/>
  <c r="O18" i="26"/>
  <c r="O17" i="26"/>
  <c r="B2" i="26"/>
  <c r="B4" i="26" s="1"/>
  <c r="F6" i="6"/>
  <c r="F5" i="6" s="1"/>
  <c r="F4" i="6" s="1"/>
  <c r="O77" i="26" l="1"/>
  <c r="E10" i="26"/>
  <c r="E46" i="24"/>
  <c r="D46" i="24"/>
  <c r="E30" i="24"/>
  <c r="D30" i="24"/>
  <c r="E16" i="24"/>
  <c r="D16" i="24"/>
  <c r="B57" i="18"/>
  <c r="C56" i="18"/>
  <c r="B56" i="18"/>
  <c r="C54" i="18"/>
  <c r="C53" i="18"/>
  <c r="B53" i="18"/>
  <c r="G50" i="18"/>
  <c r="E50" i="18"/>
  <c r="B49" i="18"/>
  <c r="F49" i="18" s="1"/>
  <c r="B48" i="18"/>
  <c r="F48" i="18" s="1"/>
  <c r="B47" i="18"/>
  <c r="F47" i="18" s="1"/>
  <c r="B46" i="18"/>
  <c r="F46" i="18" s="1"/>
  <c r="B45" i="18"/>
  <c r="F45" i="18" s="1"/>
  <c r="B44" i="18"/>
  <c r="F44" i="18" s="1"/>
  <c r="B43" i="18"/>
  <c r="F43" i="18" s="1"/>
  <c r="B42" i="18"/>
  <c r="F42" i="18" s="1"/>
  <c r="B41" i="18"/>
  <c r="F41" i="18" s="1"/>
  <c r="B40" i="18"/>
  <c r="F40" i="18" s="1"/>
  <c r="B39" i="18"/>
  <c r="F39" i="18" s="1"/>
  <c r="B38" i="18"/>
  <c r="F38" i="18" s="1"/>
  <c r="D33" i="18" s="1"/>
  <c r="C55" i="18" s="1"/>
  <c r="D34" i="18"/>
  <c r="D31" i="18"/>
  <c r="D30" i="18"/>
  <c r="B30" i="18"/>
  <c r="C57" i="18" s="1"/>
  <c r="I25" i="18"/>
  <c r="H25" i="18"/>
  <c r="F25" i="18"/>
  <c r="E25" i="18"/>
  <c r="B24" i="18"/>
  <c r="G24" i="18" s="1"/>
  <c r="B23" i="18"/>
  <c r="G23" i="18" s="1"/>
  <c r="B22" i="18"/>
  <c r="G22" i="18" s="1"/>
  <c r="B21" i="18"/>
  <c r="G21" i="18" s="1"/>
  <c r="B20" i="18"/>
  <c r="G20" i="18" s="1"/>
  <c r="B19" i="18"/>
  <c r="G19" i="18" s="1"/>
  <c r="B18" i="18"/>
  <c r="G18" i="18" s="1"/>
  <c r="B17" i="18"/>
  <c r="G17" i="18" s="1"/>
  <c r="B16" i="18"/>
  <c r="G16" i="18" s="1"/>
  <c r="B15" i="18"/>
  <c r="G15" i="18" s="1"/>
  <c r="B14" i="18"/>
  <c r="G14" i="18" s="1"/>
  <c r="B13" i="18"/>
  <c r="G13" i="18" s="1"/>
  <c r="D7" i="18" s="1"/>
  <c r="B55" i="18" s="1"/>
  <c r="D8" i="18"/>
  <c r="D5" i="18"/>
  <c r="D4" i="18"/>
  <c r="B54" i="18" s="1"/>
  <c r="D54" i="18" l="1"/>
  <c r="D57" i="18"/>
  <c r="D56" i="18"/>
  <c r="D55" i="18"/>
  <c r="B50" i="18"/>
  <c r="E13" i="14"/>
  <c r="E15" i="14" s="1"/>
  <c r="J13" i="14"/>
  <c r="E28" i="14" s="1"/>
  <c r="E14" i="14"/>
  <c r="E18" i="14"/>
  <c r="E19" i="14"/>
  <c r="E21" i="14" s="1"/>
  <c r="J21" i="14"/>
  <c r="E26" i="14" s="1"/>
  <c r="E27" i="14" s="1"/>
  <c r="E53" i="14" s="1"/>
  <c r="E54" i="14" s="1"/>
  <c r="E22" i="14"/>
  <c r="E23" i="14" s="1"/>
  <c r="E36" i="14" s="1"/>
  <c r="E24" i="14"/>
  <c r="E33" i="14"/>
  <c r="E37" i="14"/>
  <c r="E126" i="14"/>
  <c r="J18" i="14" l="1"/>
  <c r="E20" i="14"/>
  <c r="E29" i="14"/>
  <c r="E38" i="14"/>
  <c r="E39" i="14"/>
  <c r="E55" i="14"/>
  <c r="E56" i="14" s="1"/>
  <c r="E25" i="14"/>
  <c r="O17" i="13"/>
  <c r="O15" i="13"/>
  <c r="O14" i="12"/>
  <c r="O13" i="12"/>
  <c r="O15" i="12" s="1"/>
  <c r="G133" i="11"/>
  <c r="E133" i="11"/>
  <c r="G132" i="11"/>
  <c r="E132" i="11"/>
  <c r="G68" i="11"/>
  <c r="E68" i="11"/>
  <c r="P11" i="11"/>
  <c r="P10" i="11"/>
  <c r="P9" i="11"/>
  <c r="E30" i="14" l="1"/>
  <c r="J19" i="14"/>
  <c r="O16" i="13"/>
  <c r="G134" i="11"/>
  <c r="E134" i="11"/>
  <c r="G164" i="10"/>
  <c r="F140" i="10"/>
  <c r="G141" i="10" s="1"/>
  <c r="G138" i="10"/>
  <c r="F131" i="10"/>
  <c r="F134" i="10" s="1"/>
  <c r="G135" i="10" s="1"/>
  <c r="G129" i="10"/>
  <c r="F123" i="10"/>
  <c r="G124" i="10" s="1"/>
  <c r="G121" i="10"/>
  <c r="F114" i="10"/>
  <c r="F117" i="10" s="1"/>
  <c r="G118" i="10" s="1"/>
  <c r="G112" i="10"/>
  <c r="I101" i="10"/>
  <c r="G100" i="10"/>
  <c r="G99" i="10"/>
  <c r="G25" i="10"/>
  <c r="E25" i="10"/>
  <c r="R17" i="10"/>
  <c r="Q17" i="10"/>
  <c r="R16" i="10"/>
  <c r="R15" i="10"/>
  <c r="R11" i="10"/>
  <c r="Q11" i="10"/>
  <c r="Q10" i="10"/>
  <c r="Q12" i="10" l="1"/>
  <c r="E41" i="14"/>
  <c r="E31" i="14"/>
  <c r="E40" i="14"/>
  <c r="R12" i="10"/>
  <c r="G101" i="10"/>
  <c r="G115" i="10"/>
  <c r="G132" i="10"/>
  <c r="E46" i="14" l="1"/>
  <c r="E47" i="14" s="1"/>
  <c r="E48" i="14" s="1"/>
  <c r="E42" i="14"/>
  <c r="C57" i="8"/>
  <c r="B57" i="8"/>
  <c r="B56" i="8"/>
  <c r="C54" i="8"/>
  <c r="B54" i="8"/>
  <c r="G51" i="8"/>
  <c r="B50" i="8"/>
  <c r="I50" i="8" s="1"/>
  <c r="B49" i="8"/>
  <c r="I49" i="8" s="1"/>
  <c r="B48" i="8"/>
  <c r="I48" i="8" s="1"/>
  <c r="B47" i="8"/>
  <c r="I47" i="8" s="1"/>
  <c r="B46" i="8"/>
  <c r="I46" i="8" s="1"/>
  <c r="B45" i="8"/>
  <c r="I45" i="8" s="1"/>
  <c r="B44" i="8"/>
  <c r="I44" i="8" s="1"/>
  <c r="B43" i="8"/>
  <c r="I43" i="8" s="1"/>
  <c r="B42" i="8"/>
  <c r="I42" i="8" s="1"/>
  <c r="B41" i="8"/>
  <c r="I41" i="8" s="1"/>
  <c r="B40" i="8"/>
  <c r="I40" i="8" s="1"/>
  <c r="B39" i="8"/>
  <c r="D33" i="8"/>
  <c r="D30" i="8"/>
  <c r="G29" i="8"/>
  <c r="D29" i="8"/>
  <c r="F25" i="8"/>
  <c r="B24" i="8"/>
  <c r="G24" i="8" s="1"/>
  <c r="B23" i="8"/>
  <c r="G23" i="8" s="1"/>
  <c r="B22" i="8"/>
  <c r="G22" i="8" s="1"/>
  <c r="B21" i="8"/>
  <c r="G21" i="8" s="1"/>
  <c r="B20" i="8"/>
  <c r="G20" i="8" s="1"/>
  <c r="B19" i="8"/>
  <c r="G19" i="8" s="1"/>
  <c r="B18" i="8"/>
  <c r="G18" i="8" s="1"/>
  <c r="B17" i="8"/>
  <c r="G17" i="8" s="1"/>
  <c r="B16" i="8"/>
  <c r="G16" i="8" s="1"/>
  <c r="B15" i="8"/>
  <c r="G15" i="8" s="1"/>
  <c r="B14" i="8"/>
  <c r="G14" i="8" s="1"/>
  <c r="B13" i="8"/>
  <c r="G13" i="8" s="1"/>
  <c r="D8" i="8"/>
  <c r="D5" i="8"/>
  <c r="D4" i="8"/>
  <c r="B55" i="8" s="1"/>
  <c r="E49" i="14" l="1"/>
  <c r="E51" i="14" s="1"/>
  <c r="E50" i="14"/>
  <c r="E44" i="14"/>
  <c r="E43" i="14"/>
  <c r="E45" i="14" s="1"/>
  <c r="C55" i="8"/>
  <c r="D32" i="8"/>
  <c r="E32" i="8" s="1"/>
  <c r="F31" i="8"/>
  <c r="D57" i="8"/>
  <c r="B51" i="8"/>
  <c r="D55" i="8"/>
  <c r="I39" i="8"/>
  <c r="B29" i="8" s="1"/>
  <c r="D7" i="8"/>
  <c r="B25" i="8"/>
  <c r="D25" i="8" s="1"/>
  <c r="C58" i="8"/>
  <c r="B58" i="8" l="1"/>
  <c r="D58" i="8" s="1"/>
  <c r="E4" i="8"/>
  <c r="J29" i="8"/>
  <c r="C56" i="8"/>
  <c r="D56" i="8" s="1"/>
  <c r="G62" i="7" l="1"/>
  <c r="A47" i="7"/>
  <c r="D22" i="7"/>
  <c r="C22" i="7"/>
  <c r="C21" i="7"/>
  <c r="C20" i="7"/>
  <c r="D20" i="7" s="1"/>
  <c r="D23" i="7" s="1"/>
  <c r="B2" i="6"/>
  <c r="B4" i="6" s="1"/>
  <c r="E21" i="1"/>
  <c r="E10" i="1"/>
  <c r="E8" i="1"/>
  <c r="E9" i="1" s="1"/>
  <c r="E20" i="1" s="1"/>
  <c r="J7" i="1"/>
  <c r="E12" i="1" s="1"/>
  <c r="E13" i="1" s="1"/>
  <c r="E37" i="1" s="1"/>
  <c r="E38" i="1" s="1"/>
  <c r="E4" i="1"/>
  <c r="E5" i="1" s="1"/>
  <c r="J3" i="1"/>
  <c r="E14" i="1" s="1"/>
  <c r="E23" i="1" s="1"/>
  <c r="E6" i="1" l="1"/>
  <c r="E7" i="1"/>
  <c r="E39" i="1"/>
  <c r="E40" i="1" s="1"/>
  <c r="J4" i="1"/>
  <c r="E16" i="1" s="1"/>
  <c r="E25" i="1" s="1"/>
  <c r="C23" i="7"/>
  <c r="E11" i="1"/>
  <c r="E24" i="1"/>
  <c r="E15" i="1"/>
  <c r="E22" i="1"/>
  <c r="E17" i="1" l="1"/>
  <c r="J5" i="1"/>
  <c r="E30" i="1"/>
  <c r="E31" i="1" s="1"/>
  <c r="E32" i="1" s="1"/>
  <c r="E26" i="1"/>
  <c r="E28" i="1" l="1"/>
  <c r="E27" i="1"/>
  <c r="E29" i="1" s="1"/>
  <c r="E33" i="1"/>
  <c r="E35" i="1" s="1"/>
  <c r="E34" i="1"/>
  <c r="E2" i="26"/>
  <c r="E5" i="26" s="1"/>
  <c r="F17" i="26" l="1"/>
  <c r="E4" i="26"/>
  <c r="Q17" i="26" l="1"/>
  <c r="E17" i="26"/>
  <c r="P17" i="26" s="1"/>
  <c r="K17" i="26" l="1"/>
  <c r="F18" i="26" l="1"/>
  <c r="E18" i="26" l="1"/>
  <c r="Q18" i="26"/>
  <c r="P18" i="26" l="1"/>
  <c r="K18" i="26"/>
  <c r="F19" i="26" l="1"/>
  <c r="E19" i="26" l="1"/>
  <c r="Q19" i="26"/>
  <c r="P19" i="26" l="1"/>
  <c r="K19" i="26"/>
  <c r="F20" i="26" s="1"/>
  <c r="E20" i="26" l="1"/>
  <c r="Q20" i="26"/>
  <c r="K20" i="26" l="1"/>
  <c r="F21" i="26" s="1"/>
  <c r="P20" i="26"/>
  <c r="E21" i="26" l="1"/>
  <c r="Q21" i="26"/>
  <c r="K21" i="26" l="1"/>
  <c r="F22" i="26" s="1"/>
  <c r="P21" i="26"/>
  <c r="E22" i="26" l="1"/>
  <c r="Q22" i="26"/>
  <c r="K22" i="26" l="1"/>
  <c r="F23" i="26" s="1"/>
  <c r="P22" i="26"/>
  <c r="E23" i="26" l="1"/>
  <c r="Q23" i="26"/>
  <c r="K23" i="26" l="1"/>
  <c r="F24" i="26" s="1"/>
  <c r="P23" i="26"/>
  <c r="E24" i="26" l="1"/>
  <c r="Q24" i="26"/>
  <c r="K24" i="26" l="1"/>
  <c r="F25" i="26" s="1"/>
  <c r="P24" i="26"/>
  <c r="E25" i="26" l="1"/>
  <c r="Q25" i="26"/>
  <c r="K25" i="26" l="1"/>
  <c r="F26" i="26" s="1"/>
  <c r="P25" i="26"/>
  <c r="E26" i="26" l="1"/>
  <c r="Q26" i="26"/>
  <c r="K26" i="26" l="1"/>
  <c r="F27" i="26" s="1"/>
  <c r="P26" i="26"/>
  <c r="E27" i="26" l="1"/>
  <c r="Q27" i="26"/>
  <c r="K27" i="26" l="1"/>
  <c r="F28" i="26" s="1"/>
  <c r="P27" i="26"/>
  <c r="E28" i="26" l="1"/>
  <c r="Q28" i="26"/>
  <c r="K28" i="26" l="1"/>
  <c r="F29" i="26" s="1"/>
  <c r="P28" i="26"/>
  <c r="E29" i="26" l="1"/>
  <c r="Q29" i="26"/>
  <c r="K29" i="26" l="1"/>
  <c r="F30" i="26" s="1"/>
  <c r="P29" i="26"/>
  <c r="E30" i="26" l="1"/>
  <c r="Q30" i="26"/>
  <c r="K30" i="26" l="1"/>
  <c r="F31" i="26" s="1"/>
  <c r="P30" i="26"/>
  <c r="E31" i="26" l="1"/>
  <c r="Q31" i="26"/>
  <c r="K31" i="26" l="1"/>
  <c r="F32" i="26" s="1"/>
  <c r="P31" i="26"/>
  <c r="Q32" i="26" l="1"/>
  <c r="E32" i="26"/>
  <c r="K32" i="26" l="1"/>
  <c r="F33" i="26" s="1"/>
  <c r="P32" i="26"/>
  <c r="Q33" i="26" l="1"/>
  <c r="E33" i="26"/>
  <c r="K33" i="26" l="1"/>
  <c r="F34" i="26" s="1"/>
  <c r="P33" i="26"/>
  <c r="Q34" i="26" l="1"/>
  <c r="E34" i="26"/>
  <c r="K34" i="26" l="1"/>
  <c r="F35" i="26" s="1"/>
  <c r="P34" i="26"/>
  <c r="Q35" i="26" l="1"/>
  <c r="E35" i="26"/>
  <c r="K35" i="26" l="1"/>
  <c r="F36" i="26" s="1"/>
  <c r="P35" i="26"/>
  <c r="E36" i="26" l="1"/>
  <c r="Q36" i="26"/>
  <c r="K36" i="26" l="1"/>
  <c r="F37" i="26" s="1"/>
  <c r="P36" i="26"/>
  <c r="E37" i="26" l="1"/>
  <c r="Q37" i="26"/>
  <c r="K37" i="26" l="1"/>
  <c r="F38" i="26" s="1"/>
  <c r="P37" i="26"/>
  <c r="E38" i="26" l="1"/>
  <c r="Q38" i="26"/>
  <c r="K38" i="26" l="1"/>
  <c r="F39" i="26" s="1"/>
  <c r="P38" i="26"/>
  <c r="E39" i="26" l="1"/>
  <c r="Q39" i="26"/>
  <c r="K39" i="26" l="1"/>
  <c r="F40" i="26" s="1"/>
  <c r="P39" i="26"/>
  <c r="E40" i="26" l="1"/>
  <c r="Q40" i="26"/>
  <c r="K40" i="26" l="1"/>
  <c r="F41" i="26" s="1"/>
  <c r="P40" i="26"/>
  <c r="E41" i="26" l="1"/>
  <c r="Q41" i="26"/>
  <c r="K41" i="26" l="1"/>
  <c r="F42" i="26" s="1"/>
  <c r="P41" i="26"/>
  <c r="E42" i="26" l="1"/>
  <c r="Q42" i="26"/>
  <c r="K42" i="26" l="1"/>
  <c r="F43" i="26" s="1"/>
  <c r="P42" i="26"/>
  <c r="E43" i="26" l="1"/>
  <c r="Q43" i="26"/>
  <c r="K43" i="26" l="1"/>
  <c r="F44" i="26" s="1"/>
  <c r="P43" i="26"/>
  <c r="E44" i="26" l="1"/>
  <c r="Q44" i="26"/>
  <c r="K44" i="26" l="1"/>
  <c r="F45" i="26" s="1"/>
  <c r="P44" i="26"/>
  <c r="E45" i="26" l="1"/>
  <c r="Q45" i="26"/>
  <c r="K45" i="26" l="1"/>
  <c r="F46" i="26" s="1"/>
  <c r="P45" i="26"/>
  <c r="E46" i="26" l="1"/>
  <c r="Q46" i="26"/>
  <c r="K46" i="26" l="1"/>
  <c r="F47" i="26" s="1"/>
  <c r="P46" i="26"/>
  <c r="E47" i="26" l="1"/>
  <c r="Q47" i="26"/>
  <c r="K47" i="26" l="1"/>
  <c r="F48" i="26" s="1"/>
  <c r="P47" i="26"/>
  <c r="E48" i="26" l="1"/>
  <c r="Q48" i="26"/>
  <c r="K48" i="26" l="1"/>
  <c r="F49" i="26" s="1"/>
  <c r="P48" i="26"/>
  <c r="E49" i="26" l="1"/>
  <c r="Q49" i="26"/>
  <c r="K49" i="26" l="1"/>
  <c r="F50" i="26" s="1"/>
  <c r="P49" i="26"/>
  <c r="E50" i="26" l="1"/>
  <c r="Q50" i="26"/>
  <c r="K50" i="26" l="1"/>
  <c r="F51" i="26" s="1"/>
  <c r="P50" i="26"/>
  <c r="E51" i="26" l="1"/>
  <c r="Q51" i="26"/>
  <c r="K51" i="26" l="1"/>
  <c r="F52" i="26" s="1"/>
  <c r="P51" i="26"/>
  <c r="E52" i="26" l="1"/>
  <c r="Q52" i="26"/>
  <c r="K52" i="26" l="1"/>
  <c r="F53" i="26" s="1"/>
  <c r="P52" i="26"/>
  <c r="E53" i="26" l="1"/>
  <c r="Q53" i="26"/>
  <c r="K53" i="26" l="1"/>
  <c r="F54" i="26" s="1"/>
  <c r="P53" i="26"/>
  <c r="E54" i="26" l="1"/>
  <c r="Q54" i="26"/>
  <c r="K54" i="26" l="1"/>
  <c r="F55" i="26" s="1"/>
  <c r="P54" i="26"/>
  <c r="E55" i="26" l="1"/>
  <c r="Q55" i="26"/>
  <c r="K55" i="26" l="1"/>
  <c r="F56" i="26" s="1"/>
  <c r="P55" i="26"/>
  <c r="E56" i="26" l="1"/>
  <c r="Q56" i="26"/>
  <c r="K56" i="26" l="1"/>
  <c r="F57" i="26" s="1"/>
  <c r="P56" i="26"/>
  <c r="E57" i="26" l="1"/>
  <c r="Q57" i="26"/>
  <c r="K57" i="26" l="1"/>
  <c r="F58" i="26" s="1"/>
  <c r="P57" i="26"/>
  <c r="E58" i="26" l="1"/>
  <c r="Q58" i="26"/>
  <c r="K58" i="26" l="1"/>
  <c r="F59" i="26" s="1"/>
  <c r="P58" i="26"/>
  <c r="E59" i="26" l="1"/>
  <c r="Q59" i="26"/>
  <c r="K59" i="26" l="1"/>
  <c r="F60" i="26" s="1"/>
  <c r="P59" i="26"/>
  <c r="E60" i="26" l="1"/>
  <c r="Q60" i="26"/>
  <c r="K60" i="26" l="1"/>
  <c r="F61" i="26" s="1"/>
  <c r="P60" i="26"/>
  <c r="E61" i="26" l="1"/>
  <c r="Q61" i="26"/>
  <c r="K61" i="26" l="1"/>
  <c r="P61" i="26"/>
  <c r="F62" i="26" l="1"/>
  <c r="E62" i="26" l="1"/>
  <c r="Q62" i="26"/>
  <c r="P62" i="26" l="1"/>
  <c r="K62" i="26"/>
  <c r="F63" i="26" s="1"/>
  <c r="E63" i="26" l="1"/>
  <c r="Q63" i="26"/>
  <c r="K63" i="26" l="1"/>
  <c r="F64" i="26" s="1"/>
  <c r="P63" i="26"/>
  <c r="E64" i="26" l="1"/>
  <c r="Q64" i="26"/>
  <c r="K64" i="26" l="1"/>
  <c r="F65" i="26" s="1"/>
  <c r="P64" i="26"/>
  <c r="E65" i="26" l="1"/>
  <c r="Q65" i="26"/>
  <c r="K65" i="26" l="1"/>
  <c r="F66" i="26" s="1"/>
  <c r="P65" i="26"/>
  <c r="E66" i="26" l="1"/>
  <c r="Q66" i="26"/>
  <c r="K66" i="26" l="1"/>
  <c r="F67" i="26" s="1"/>
  <c r="P66" i="26"/>
  <c r="E67" i="26" l="1"/>
  <c r="Q67" i="26"/>
  <c r="K67" i="26" l="1"/>
  <c r="P67" i="26"/>
  <c r="F68" i="26" l="1"/>
  <c r="E68" i="26" l="1"/>
  <c r="Q68" i="26"/>
  <c r="P68" i="26" l="1"/>
  <c r="K68" i="26"/>
  <c r="F69" i="26" s="1"/>
  <c r="E69" i="26" l="1"/>
  <c r="Q69" i="26"/>
  <c r="K69" i="26" l="1"/>
  <c r="F70" i="26" s="1"/>
  <c r="P69" i="26"/>
  <c r="E70" i="26" l="1"/>
  <c r="Q70" i="26"/>
  <c r="K70" i="26" l="1"/>
  <c r="F71" i="26" s="1"/>
  <c r="P70" i="26"/>
  <c r="E71" i="26" l="1"/>
  <c r="Q71" i="26"/>
  <c r="K71" i="26" l="1"/>
  <c r="F72" i="26" s="1"/>
  <c r="P71" i="26"/>
  <c r="E72" i="26" l="1"/>
  <c r="Q72" i="26"/>
  <c r="K72" i="26" l="1"/>
  <c r="F73" i="26" s="1"/>
  <c r="P72" i="26"/>
  <c r="E73" i="26" l="1"/>
  <c r="Q73" i="26"/>
  <c r="K73" i="26" l="1"/>
  <c r="F74" i="26" s="1"/>
  <c r="P73" i="26"/>
  <c r="E74" i="26" l="1"/>
  <c r="Q74" i="26"/>
  <c r="K74" i="26" l="1"/>
  <c r="F75" i="26" s="1"/>
  <c r="P74" i="26"/>
  <c r="E75" i="26" l="1"/>
  <c r="Q75" i="26"/>
  <c r="K75" i="26" l="1"/>
  <c r="F76" i="26" s="1"/>
  <c r="F77" i="26" s="1"/>
  <c r="P75" i="26"/>
  <c r="Q76" i="26" l="1"/>
  <c r="E76" i="26"/>
  <c r="E9" i="26"/>
  <c r="E8" i="26" s="1"/>
  <c r="K76" i="26" l="1"/>
  <c r="P76" i="26"/>
</calcChain>
</file>

<file path=xl/sharedStrings.xml><?xml version="1.0" encoding="utf-8"?>
<sst xmlns="http://schemas.openxmlformats.org/spreadsheetml/2006/main" count="4173" uniqueCount="1770">
  <si>
    <t>Stage</t>
  </si>
  <si>
    <t>Debit/Credit</t>
  </si>
  <si>
    <t>Accounting Entries</t>
  </si>
  <si>
    <t>Description</t>
  </si>
  <si>
    <t>Core/ Customized</t>
  </si>
  <si>
    <t>Account Reflection</t>
  </si>
  <si>
    <t>Status - Request</t>
  </si>
  <si>
    <t>DR</t>
  </si>
  <si>
    <t>No Accounting Entry</t>
  </si>
  <si>
    <t>Finance Amount</t>
  </si>
  <si>
    <t>CR</t>
  </si>
  <si>
    <t>Admin Fee 1%</t>
  </si>
  <si>
    <t>Status - Approval</t>
  </si>
  <si>
    <t>GIT</t>
  </si>
  <si>
    <t>Goods in Transit</t>
  </si>
  <si>
    <t>On Balance Sheet</t>
  </si>
  <si>
    <t>VAT</t>
  </si>
  <si>
    <t>Purchase Order</t>
  </si>
  <si>
    <t xml:space="preserve">Purchase Order </t>
  </si>
  <si>
    <t>Net Finance Amount</t>
  </si>
  <si>
    <t>Status - Purchase</t>
  </si>
  <si>
    <t xml:space="preserve">GIT </t>
  </si>
  <si>
    <t>Profit Amount</t>
  </si>
  <si>
    <t>Purchases</t>
  </si>
  <si>
    <t>Purchase</t>
  </si>
  <si>
    <t>Buy Broker's account</t>
  </si>
  <si>
    <t xml:space="preserve">Internal Account </t>
  </si>
  <si>
    <t>Finance / Sale</t>
  </si>
  <si>
    <t>CURACCOUNT</t>
  </si>
  <si>
    <t>AA Arrangeement - ACCOUNT</t>
  </si>
  <si>
    <t>Back</t>
  </si>
  <si>
    <t>RECDEFPFT</t>
  </si>
  <si>
    <t xml:space="preserve">Profit Receivable </t>
  </si>
  <si>
    <t>ACCDEFPFT</t>
  </si>
  <si>
    <t>Unearned Accrued Profit</t>
  </si>
  <si>
    <t>Admin Fee Due with VAT</t>
  </si>
  <si>
    <t>Dr</t>
  </si>
  <si>
    <t>DUEADMINFEE</t>
  </si>
  <si>
    <t xml:space="preserve">Admin Fee </t>
  </si>
  <si>
    <t>Cr</t>
  </si>
  <si>
    <t>ACCADMINFEE</t>
  </si>
  <si>
    <t>Unamortise Admin Fee</t>
  </si>
  <si>
    <t>DUEVAT</t>
  </si>
  <si>
    <t>VAT Receivable</t>
  </si>
  <si>
    <t>VAT Payable</t>
  </si>
  <si>
    <t>Payment to Customer</t>
  </si>
  <si>
    <t>Sell Broker's Account</t>
  </si>
  <si>
    <t>Customer's Account</t>
  </si>
  <si>
    <t xml:space="preserve">Disbursment/Repayment Account </t>
  </si>
  <si>
    <t>Broker Settlement
(incase of different)</t>
  </si>
  <si>
    <t>Buy Broker's Account</t>
  </si>
  <si>
    <t>Recovery of Admin Fee &amp; VAT</t>
  </si>
  <si>
    <t>Actual Repayment to Customer (Net of Financing)</t>
  </si>
  <si>
    <t>BF Account</t>
  </si>
  <si>
    <t>Customer Bank Account</t>
  </si>
  <si>
    <t>XYZ bank account- customer current account</t>
  </si>
  <si>
    <t>Upfront Admin Fee By Customer</t>
  </si>
  <si>
    <t>Actual Repayment to Customer (Full Financing)</t>
  </si>
  <si>
    <t>Daily Amortization Profit based on reducing balance</t>
  </si>
  <si>
    <t>Unearned Accrued  Profit</t>
  </si>
  <si>
    <t>PL/ Income</t>
  </si>
  <si>
    <t>PL Category</t>
  </si>
  <si>
    <t>Daily Amortization of Admin Fee based on reducing balance</t>
  </si>
  <si>
    <t>Unamortised Admin Fee</t>
  </si>
  <si>
    <t xml:space="preserve">On Installment Date </t>
  </si>
  <si>
    <t xml:space="preserve">DUEACCOUNT </t>
  </si>
  <si>
    <t xml:space="preserve">Principal Portion due of Installment </t>
  </si>
  <si>
    <t>By Core</t>
  </si>
  <si>
    <t>AA Arrangement - ACCOUNT</t>
  </si>
  <si>
    <t>DUEDEFPFT</t>
  </si>
  <si>
    <t xml:space="preserve">Profit Portion due of Installment </t>
  </si>
  <si>
    <t>Repayment of Finance</t>
  </si>
  <si>
    <t xml:space="preserve">Customer's Account </t>
  </si>
  <si>
    <t>DUEACCOUNT</t>
  </si>
  <si>
    <t>Principal portion of repayment</t>
  </si>
  <si>
    <t>Profit portion of repayment</t>
  </si>
  <si>
    <t>Payoff</t>
  </si>
  <si>
    <t>Outstanding Principal Amount</t>
  </si>
  <si>
    <t>Outstanding Profit Amount</t>
  </si>
  <si>
    <t>Unearned Accrued Profit Amount</t>
  </si>
  <si>
    <t>With Bonus amount if applied</t>
  </si>
  <si>
    <t>Cancellation – Cooling Period</t>
  </si>
  <si>
    <t>Reversal of Admin Fee</t>
  </si>
  <si>
    <t>Income GL</t>
  </si>
  <si>
    <t>Customer A/c.</t>
  </si>
  <si>
    <t>Reversal of Profit</t>
  </si>
  <si>
    <t>Unearned Profit</t>
  </si>
  <si>
    <t>Principal Settlement</t>
  </si>
  <si>
    <t>SADAD ENTRY</t>
  </si>
  <si>
    <t>Recovery Entry 24-04-2024</t>
  </si>
  <si>
    <t>BF Bank Account</t>
  </si>
  <si>
    <t xml:space="preserve">Internal  Account   </t>
  </si>
  <si>
    <t>SADAD Fee Entry - 24-04-2024</t>
  </si>
  <si>
    <t xml:space="preserve">PL - Expense </t>
  </si>
  <si>
    <t xml:space="preserve">Internal  Account    </t>
  </si>
  <si>
    <t>VAT Entry - 24-04-2024</t>
  </si>
  <si>
    <t>VAT Asset</t>
  </si>
  <si>
    <t>Transfer of Funds to Settlement Acocunt 24-04-2024</t>
  </si>
  <si>
    <t>Customer Account - Settlement account</t>
  </si>
  <si>
    <t>Instalment Settlement Entry - 28-04-2024</t>
  </si>
  <si>
    <t>Customer Account - settlement account</t>
  </si>
  <si>
    <t>Receivable (total bill amount) - loan account</t>
  </si>
  <si>
    <t>Payment Schedule</t>
  </si>
  <si>
    <t>Generated Date: 16-Aug-2024 16:24:21</t>
  </si>
  <si>
    <t>Date</t>
  </si>
  <si>
    <t>Defer Date</t>
  </si>
  <si>
    <t>Total Due</t>
  </si>
  <si>
    <t>Total Cap</t>
  </si>
  <si>
    <t>Principal</t>
  </si>
  <si>
    <t>Principal Profit</t>
  </si>
  <si>
    <t>REC Profit</t>
  </si>
  <si>
    <t>Charge</t>
  </si>
  <si>
    <t>Tax</t>
  </si>
  <si>
    <t>Total Pymt</t>
  </si>
  <si>
    <t>Outstanding</t>
  </si>
  <si>
    <t>O/S Principal + Profit</t>
  </si>
  <si>
    <t>'-100,000.00'</t>
  </si>
  <si>
    <t>'-132,785.38'</t>
  </si>
  <si>
    <t>'-98,755.50'</t>
  </si>
  <si>
    <t>'-130,572.29'</t>
  </si>
  <si>
    <t>'-97,467.06'</t>
  </si>
  <si>
    <t>'-128,359.20'</t>
  </si>
  <si>
    <t>'-96,229.50'</t>
  </si>
  <si>
    <t>'-126,146.11'</t>
  </si>
  <si>
    <t>'-94,948.48'</t>
  </si>
  <si>
    <t>'-123,933.02'</t>
  </si>
  <si>
    <t>'-93,685.71'</t>
  </si>
  <si>
    <t>'-121,719.93'</t>
  </si>
  <si>
    <t>'-92,380.05'</t>
  </si>
  <si>
    <t>'-119,506.84'</t>
  </si>
  <si>
    <t>'-91,091.57'</t>
  </si>
  <si>
    <t>'-117,293.75'</t>
  </si>
  <si>
    <t>'-89,790.20'</t>
  </si>
  <si>
    <t>'-115,080.66'</t>
  </si>
  <si>
    <t>'-88,446.81'</t>
  </si>
  <si>
    <t>'-112,867.57'</t>
  </si>
  <si>
    <t>'-87,118.97'</t>
  </si>
  <si>
    <t>'-110,654.48'</t>
  </si>
  <si>
    <t>'-85,749.71'</t>
  </si>
  <si>
    <t>'-108,441.39'</t>
  </si>
  <si>
    <t>'-84,394.87'</t>
  </si>
  <si>
    <t>'-106,228.30'</t>
  </si>
  <si>
    <t>'-83,026.47'</t>
  </si>
  <si>
    <t>'-104,015.21'</t>
  </si>
  <si>
    <t>'-81,563.96'</t>
  </si>
  <si>
    <t>'-101,802.12'</t>
  </si>
  <si>
    <t>'-80,167.23'</t>
  </si>
  <si>
    <t>'-99,589.03'</t>
  </si>
  <si>
    <t>'-78,730.63'</t>
  </si>
  <si>
    <t>'-97,375.94'</t>
  </si>
  <si>
    <t>'-77,305.54'</t>
  </si>
  <si>
    <t>'-95,162.85'</t>
  </si>
  <si>
    <t>'-75,841.23'</t>
  </si>
  <si>
    <t>'-92,949.76'</t>
  </si>
  <si>
    <t>'-74,387.22'</t>
  </si>
  <si>
    <t>'-90,736.67'</t>
  </si>
  <si>
    <t>'-72,918.66'</t>
  </si>
  <si>
    <t>'-88,523.58'</t>
  </si>
  <si>
    <t>'-71,411.85'</t>
  </si>
  <si>
    <t>'-86,310.49'</t>
  </si>
  <si>
    <t>'-69,913.51'</t>
  </si>
  <si>
    <t>'-84,097.40'</t>
  </si>
  <si>
    <t>'-68,377.60'</t>
  </si>
  <si>
    <t>'-81,884.31'</t>
  </si>
  <si>
    <t>'-66,848.89'</t>
  </si>
  <si>
    <t>'-79,671.22'</t>
  </si>
  <si>
    <t>'-65,304.88'</t>
  </si>
  <si>
    <t>'-77,458.13'</t>
  </si>
  <si>
    <t>'-63,682.16'</t>
  </si>
  <si>
    <t>'-75,245.04'</t>
  </si>
  <si>
    <t>'-62,106.45'</t>
  </si>
  <si>
    <t>'-73,031.95'</t>
  </si>
  <si>
    <t>'-60,494.92'</t>
  </si>
  <si>
    <t>'-70,818.86'</t>
  </si>
  <si>
    <t>'-58,887.31'</t>
  </si>
  <si>
    <t>'-68,605.77'</t>
  </si>
  <si>
    <t>'-57,244.60'</t>
  </si>
  <si>
    <t>'-66,392.68'</t>
  </si>
  <si>
    <t>'-55,604.46'</t>
  </si>
  <si>
    <t>'-64,179.59'</t>
  </si>
  <si>
    <t>'-53,947.90'</t>
  </si>
  <si>
    <t>'-61,966.50'</t>
  </si>
  <si>
    <t>'-52,257.35'</t>
  </si>
  <si>
    <t>'-59,753.41'</t>
  </si>
  <si>
    <t>'-50,567.29'</t>
  </si>
  <si>
    <t>'-57,540.32'</t>
  </si>
  <si>
    <t>'-48,843.99'</t>
  </si>
  <si>
    <t>'-55,327.23'</t>
  </si>
  <si>
    <t>'-47,119.77'</t>
  </si>
  <si>
    <t>'-53,114.14'</t>
  </si>
  <si>
    <t>'-45,378.29'</t>
  </si>
  <si>
    <t>'-50,901.05'</t>
  </si>
  <si>
    <t>'-43,575.43'</t>
  </si>
  <si>
    <t>'-48,687.96'</t>
  </si>
  <si>
    <t>'-41,798.48'</t>
  </si>
  <si>
    <t>'-46,474.87'</t>
  </si>
  <si>
    <t>'-39,990.25'</t>
  </si>
  <si>
    <t>'-44,261.78'</t>
  </si>
  <si>
    <t>'-38,177.41'</t>
  </si>
  <si>
    <t>'-42,048.69'</t>
  </si>
  <si>
    <t>'-36,334.10'</t>
  </si>
  <si>
    <t>'-39,835.60'</t>
  </si>
  <si>
    <t>'-34,484.67'</t>
  </si>
  <si>
    <t>'-37,622.51'</t>
  </si>
  <si>
    <t>'-32,616.73'</t>
  </si>
  <si>
    <t>'-35,409.42'</t>
  </si>
  <si>
    <t>'-30,719.56'</t>
  </si>
  <si>
    <t>'-33,196.33'</t>
  </si>
  <si>
    <t>'-28,813.94'</t>
  </si>
  <si>
    <t>'-30,983.24'</t>
  </si>
  <si>
    <t>'-26,879.94'</t>
  </si>
  <si>
    <t>'-28,770.15'</t>
  </si>
  <si>
    <t>'-24,935.89'</t>
  </si>
  <si>
    <t>'-26,557.06'</t>
  </si>
  <si>
    <t>'-22,972.38'</t>
  </si>
  <si>
    <t>'-24,343.97'</t>
  </si>
  <si>
    <t>'-20,974.38'</t>
  </si>
  <si>
    <t>'-22,130.88'</t>
  </si>
  <si>
    <t>'-18,971.22'</t>
  </si>
  <si>
    <t>'-19,917.79'</t>
  </si>
  <si>
    <t>'-16,941.88'</t>
  </si>
  <si>
    <t>'-17,704.70'</t>
  </si>
  <si>
    <t>'-14,898.36'</t>
  </si>
  <si>
    <t>'-15,491.61'</t>
  </si>
  <si>
    <t>'-12,829.57'</t>
  </si>
  <si>
    <t>'-13,278.52'</t>
  </si>
  <si>
    <t>'-10,744.89'</t>
  </si>
  <si>
    <t>'-11,065.43'</t>
  </si>
  <si>
    <t>'-8,639.34'</t>
  </si>
  <si>
    <t>'-8,852.34'</t>
  </si>
  <si>
    <t>'-6,509.93'</t>
  </si>
  <si>
    <t>'-6,639.25'</t>
  </si>
  <si>
    <t>'-4,362.00'</t>
  </si>
  <si>
    <t>'-4,426.16'</t>
  </si>
  <si>
    <t>'-2,191.16'</t>
  </si>
  <si>
    <t>'-2,213.07'</t>
  </si>
  <si>
    <t>Generated Date: 16-Aug-2024 16:18:24</t>
  </si>
  <si>
    <t>Profit</t>
  </si>
  <si>
    <t>'-99,307.67'</t>
  </si>
  <si>
    <t>'-98,017.61'</t>
  </si>
  <si>
    <t>'-96,686.17'</t>
  </si>
  <si>
    <t>'-95,371.74'</t>
  </si>
  <si>
    <t>'-94,045.10'</t>
  </si>
  <si>
    <t>'-92,677.93'</t>
  </si>
  <si>
    <t>'-91,326.25'</t>
  </si>
  <si>
    <t>'-89,934.62'</t>
  </si>
  <si>
    <t>'-88,557.44'</t>
  </si>
  <si>
    <t>'-87,167.46'</t>
  </si>
  <si>
    <t>'-85,686.16'</t>
  </si>
  <si>
    <t>'-84,269.49'</t>
  </si>
  <si>
    <t>'-82,814.39'</t>
  </si>
  <si>
    <t>'-81,371.03'</t>
  </si>
  <si>
    <t>'-79,889.86'</t>
  </si>
  <si>
    <t>'-78,419.32'</t>
  </si>
  <si>
    <t>'-76,935.11'</t>
  </si>
  <si>
    <t>'-75,414.04'</t>
  </si>
  <si>
    <t>'-73,901.90'</t>
  </si>
  <si>
    <t>'-72,353.54'</t>
  </si>
  <si>
    <t>'-70,812.95'</t>
  </si>
  <si>
    <t>'-69,258.04'</t>
  </si>
  <si>
    <t>'-67,626.38'</t>
  </si>
  <si>
    <t>'-66,041.85'</t>
  </si>
  <si>
    <t>'-64,422.79'</t>
  </si>
  <si>
    <t>'-62,808.49'</t>
  </si>
  <si>
    <t>'-61,160.35'</t>
  </si>
  <si>
    <t>'-59,515.72'</t>
  </si>
  <si>
    <t>'-57,855.81'</t>
  </si>
  <si>
    <t>'-56,163.12'</t>
  </si>
  <si>
    <t>'-54,472.05'</t>
  </si>
  <si>
    <t>'-52,748.93'</t>
  </si>
  <si>
    <t>'-51,026.12'</t>
  </si>
  <si>
    <t>'-49,287.30'</t>
  </si>
  <si>
    <t>'-47,487.99'</t>
  </si>
  <si>
    <t>'-45,716.28'</t>
  </si>
  <si>
    <t>'-43,914.40'</t>
  </si>
  <si>
    <t>'-42,109.48'</t>
  </si>
  <si>
    <t>'-40,275.16'</t>
  </si>
  <si>
    <t>'-38,436.41'</t>
  </si>
  <si>
    <t>'-36,580.57'</t>
  </si>
  <si>
    <t>'-34,696.52'</t>
  </si>
  <si>
    <t>'-32,805.92'</t>
  </si>
  <si>
    <t>'-30,887.91'</t>
  </si>
  <si>
    <t>'-28,961.91'</t>
  </si>
  <si>
    <t>'-27,018.01'</t>
  </si>
  <si>
    <t>'-25,039.84'</t>
  </si>
  <si>
    <t>'-23,059.49'</t>
  </si>
  <si>
    <t>'-21,053.82'</t>
  </si>
  <si>
    <t>'-19,036.42'</t>
  </si>
  <si>
    <t>'-16,994.56'</t>
  </si>
  <si>
    <t>'-14,939.43'</t>
  </si>
  <si>
    <t>'-12,865.20'</t>
  </si>
  <si>
    <t>'-10,767.83'</t>
  </si>
  <si>
    <t>'-8,654.82'</t>
  </si>
  <si>
    <t>'-6,519.58'</t>
  </si>
  <si>
    <t>'-4,367.09'</t>
  </si>
  <si>
    <t>'-2,194.59'</t>
  </si>
  <si>
    <t>Generated Date: 16-Aug-2024 16:21:17</t>
  </si>
  <si>
    <t>'-99,309.74'</t>
  </si>
  <si>
    <t>'-98,020.75'</t>
  </si>
  <si>
    <t>'-96,690.34'</t>
  </si>
  <si>
    <t>'-95,376.97'</t>
  </si>
  <si>
    <t>'-94,051.38'</t>
  </si>
  <si>
    <t>'-92,685.22'</t>
  </si>
  <si>
    <t>'-91,334.58'</t>
  </si>
  <si>
    <t>'-89,943.96'</t>
  </si>
  <si>
    <t>'-88,567.82'</t>
  </si>
  <si>
    <t>'-87,178.87'</t>
  </si>
  <si>
    <t>'-85,698.49'</t>
  </si>
  <si>
    <t>'-84,282.84'</t>
  </si>
  <si>
    <t>'-82,828.72'</t>
  </si>
  <si>
    <t>'-81,386.37'</t>
  </si>
  <si>
    <t>'-79,906.17'</t>
  </si>
  <si>
    <t>'-78,436.62'</t>
  </si>
  <si>
    <t>'-76,953.40'</t>
  </si>
  <si>
    <t>'-75,433.28'</t>
  </si>
  <si>
    <t>'-73,922.11'</t>
  </si>
  <si>
    <t>'-72,374.69'</t>
  </si>
  <si>
    <t>'-70,835.06'</t>
  </si>
  <si>
    <t>'-69,281.10'</t>
  </si>
  <si>
    <t>'-67,650.30'</t>
  </si>
  <si>
    <t>'-66,066.71'</t>
  </si>
  <si>
    <t>'-64,448.55'</t>
  </si>
  <si>
    <t>'-62,835.17'</t>
  </si>
  <si>
    <t>'-61,187.91'</t>
  </si>
  <si>
    <t>'-59,544.19'</t>
  </si>
  <si>
    <t>'-57,885.17'</t>
  </si>
  <si>
    <t>'-56,193.34'</t>
  </si>
  <si>
    <t>'-54,503.14'</t>
  </si>
  <si>
    <t>'-52,780.85'</t>
  </si>
  <si>
    <t>'-51,058.90'</t>
  </si>
  <si>
    <t>'-49,320.92'</t>
  </si>
  <si>
    <t>'-47,522.36'</t>
  </si>
  <si>
    <t>'-45,751.47'</t>
  </si>
  <si>
    <t>'-43,950.37'</t>
  </si>
  <si>
    <t>'-42,146.25'</t>
  </si>
  <si>
    <t>'-40,312.69'</t>
  </si>
  <si>
    <t>'-38,474.72'</t>
  </si>
  <si>
    <t>'-36,619.64'</t>
  </si>
  <si>
    <t>'-34,736.31'</t>
  </si>
  <si>
    <t>'-32,846.45'</t>
  </si>
  <si>
    <t>'-30,929.14'</t>
  </si>
  <si>
    <t>'-29,003.85'</t>
  </si>
  <si>
    <t>'-27,060.65'</t>
  </si>
  <si>
    <t>'-25,083.12'</t>
  </si>
  <si>
    <t>'-23,103.43'</t>
  </si>
  <si>
    <t>'-21,098.39'</t>
  </si>
  <si>
    <t>'-19,081.62'</t>
  </si>
  <si>
    <t>'-17,040.36'</t>
  </si>
  <si>
    <t>'-14,985.83'</t>
  </si>
  <si>
    <t>'-12,912.19'</t>
  </si>
  <si>
    <t>'-10,815.37'</t>
  </si>
  <si>
    <t>'-8,702.92'</t>
  </si>
  <si>
    <t>'-7,685.33'</t>
  </si>
  <si>
    <t>Deferment - Original</t>
  </si>
  <si>
    <t>Deferment - Term Increased</t>
  </si>
  <si>
    <t>Deferment - Add Residual</t>
  </si>
  <si>
    <t>Generated Date: 12-Aug-2024 18:52:41</t>
  </si>
  <si>
    <t>Offer Expiry Date</t>
  </si>
  <si>
    <t>15 Days</t>
  </si>
  <si>
    <t>Grace Period</t>
  </si>
  <si>
    <t>Offer Issue Date</t>
  </si>
  <si>
    <t>System Date</t>
  </si>
  <si>
    <t>'-105,459.11'</t>
  </si>
  <si>
    <t>customer request</t>
  </si>
  <si>
    <t xml:space="preserve">payoff </t>
  </si>
  <si>
    <t>'-43,941.29'</t>
  </si>
  <si>
    <t>payoff request</t>
  </si>
  <si>
    <t>'-39,946.63'</t>
  </si>
  <si>
    <t>'-35,951.97'</t>
  </si>
  <si>
    <t>'-31,957.31'</t>
  </si>
  <si>
    <t>'-27,962.65'</t>
  </si>
  <si>
    <t>'-23,967.99'</t>
  </si>
  <si>
    <t>'-19,973.33'</t>
  </si>
  <si>
    <t>'-15,978.67'</t>
  </si>
  <si>
    <t>'-11,984.01'</t>
  </si>
  <si>
    <t>'-7,989.35'</t>
  </si>
  <si>
    <t>'-3,994.69'</t>
  </si>
  <si>
    <t>Bonus</t>
  </si>
  <si>
    <t>Principal O/s</t>
  </si>
  <si>
    <t>Profit Current month installment</t>
  </si>
  <si>
    <t xml:space="preserve">Payoff Charge </t>
  </si>
  <si>
    <t>Generated Date: 12-Jun-2024 18:26:24</t>
  </si>
  <si>
    <t>the customer will send request for early sttlement and on 19-Mar-24 it will expire</t>
  </si>
  <si>
    <t>early settlement bill expiry date</t>
  </si>
  <si>
    <t>sadad bill issuance</t>
  </si>
  <si>
    <t>'-39,249.30'</t>
  </si>
  <si>
    <t>'-36,022.25'</t>
  </si>
  <si>
    <t>'-32,709.36'</t>
  </si>
  <si>
    <t>'-29,354.41'</t>
  </si>
  <si>
    <t>'-25,915.32'</t>
  </si>
  <si>
    <t>'-22,427.49'</t>
  </si>
  <si>
    <t>'-18,871.45'</t>
  </si>
  <si>
    <t>'-15,233.96'</t>
  </si>
  <si>
    <t>'-11,537.23'</t>
  </si>
  <si>
    <t>'-7,760.93'</t>
  </si>
  <si>
    <t>'-3,918.05'</t>
  </si>
  <si>
    <t>4MONTHS</t>
  </si>
  <si>
    <t>PAYOFF FEE</t>
  </si>
  <si>
    <t>28MAY,JUNE &amp; JULY SHOULD BE TREATED AS FEE</t>
  </si>
  <si>
    <t>28APR SHOULD BE TREATED AS PROFIT ACCRUAL</t>
  </si>
  <si>
    <t>From 21 till 28 of month customer cannot request for early payoff</t>
  </si>
  <si>
    <t>expiry</t>
  </si>
  <si>
    <t>prior 1 day of bill issuance date</t>
  </si>
  <si>
    <t>Simulation Details</t>
  </si>
  <si>
    <t>Amount</t>
  </si>
  <si>
    <t>Profit Start Date</t>
  </si>
  <si>
    <t>Rate</t>
  </si>
  <si>
    <t>Total Profit</t>
  </si>
  <si>
    <t>Term</t>
  </si>
  <si>
    <t>1Y</t>
  </si>
  <si>
    <t>Instalment Amount</t>
  </si>
  <si>
    <t>1st Instalment Date</t>
  </si>
  <si>
    <t>APR</t>
  </si>
  <si>
    <t>Last Intalment Date</t>
  </si>
  <si>
    <t>Flat Rate</t>
  </si>
  <si>
    <t>Simulation Reference</t>
  </si>
  <si>
    <t>AASIM240312PJW03LG</t>
  </si>
  <si>
    <t># on Accrual Days</t>
  </si>
  <si>
    <t>Arrangement</t>
  </si>
  <si>
    <t>AA24031JMN87</t>
  </si>
  <si>
    <t>REC Profit = IRR</t>
  </si>
  <si>
    <t xml:space="preserve">Arrangement / Contract Details </t>
  </si>
  <si>
    <t>IRR</t>
  </si>
  <si>
    <t>Arrangement Reference</t>
  </si>
  <si>
    <t>AA24031HGFQ5</t>
  </si>
  <si>
    <t>IS Contract</t>
  </si>
  <si>
    <t>IS24031XRVB9</t>
  </si>
  <si>
    <t>'-211,995.63'</t>
  </si>
  <si>
    <t>'-194,329.33'</t>
  </si>
  <si>
    <t>'-176,663.03'</t>
  </si>
  <si>
    <t>'-158,996.73'</t>
  </si>
  <si>
    <t>'-141,330.43'</t>
  </si>
  <si>
    <t>'-123,664.13'</t>
  </si>
  <si>
    <t>'-105,997.83'</t>
  </si>
  <si>
    <t>'-88,331.53'</t>
  </si>
  <si>
    <t>'-70,665.23'</t>
  </si>
  <si>
    <t>'-52,998.93'</t>
  </si>
  <si>
    <t>'-35,332.63'</t>
  </si>
  <si>
    <t>'-17,666.33'</t>
  </si>
  <si>
    <t>Variance Analysis</t>
  </si>
  <si>
    <t>Offer Letter</t>
  </si>
  <si>
    <t>Finance Arrangement</t>
  </si>
  <si>
    <t>Difference</t>
  </si>
  <si>
    <t>The approved IRR rate for 350 days however in workaround solution goes to 365 days which resulted changed in approved IRR.</t>
  </si>
  <si>
    <t>There is an impact on reporting where IRR is missing on AA.ARR.INTEREST</t>
  </si>
  <si>
    <t>CRC &amp; CRF reports will not reflects any rate in finance report</t>
  </si>
  <si>
    <t>Impact on Early settlement amount</t>
  </si>
  <si>
    <t>Impact on Early settlement fee and partial ssettlement fee amounts</t>
  </si>
  <si>
    <t xml:space="preserve">Impact on APR if workaround approach is also used for simulation </t>
  </si>
  <si>
    <t>Product</t>
  </si>
  <si>
    <t>Product Attributes</t>
  </si>
  <si>
    <t>T24 Table Name</t>
  </si>
  <si>
    <t>T24 Field Name</t>
  </si>
  <si>
    <t>FREquency in which the Interest is Paid/Collected</t>
  </si>
  <si>
    <t>Business Values</t>
  </si>
  <si>
    <t>Is given business rule fixed for all Contracts or can be modified at Contract level</t>
  </si>
  <si>
    <t>If there is a change in the business rule, for example an interest rate change, does it affect existing Contracts also or only new Contracts</t>
  </si>
  <si>
    <t>RESETTING - During any Renewal Activities (for eg : change.product, rollover or reset) the property conditions will be reset from the product.
NON-RESETTING - During any Renewal Activities property conditions will be maintained from the Arrangement level.</t>
  </si>
  <si>
    <t>Comments</t>
  </si>
  <si>
    <t>Currency</t>
  </si>
  <si>
    <t>AA.PRODUCT.DESIGNER</t>
  </si>
  <si>
    <t>CURRENCY</t>
  </si>
  <si>
    <t>Allowed Currency to open contract</t>
  </si>
  <si>
    <t>SAR</t>
  </si>
  <si>
    <t>FIXED</t>
  </si>
  <si>
    <t>Mode of Operation</t>
  </si>
  <si>
    <t>AA.PRD.DES.CUSTOMER</t>
  </si>
  <si>
    <t>CUSTOMER/ROLE</t>
  </si>
  <si>
    <t>Single Person / More than 1 person allowed</t>
  </si>
  <si>
    <t>Single</t>
  </si>
  <si>
    <t>Eligibility</t>
  </si>
  <si>
    <t>AA.PRD.DES.ELIGIBILITY</t>
  </si>
  <si>
    <t>RULE</t>
  </si>
  <si>
    <t>Customer eligibility criteria to get into the Contract like Age,Customer Group etc</t>
  </si>
  <si>
    <t>NO</t>
  </si>
  <si>
    <t>IBAN</t>
  </si>
  <si>
    <t>AA.PRD.DES.ACCOUNT</t>
  </si>
  <si>
    <t>ALD.ID.TYPE</t>
  </si>
  <si>
    <t>Is IBAN applicable</t>
  </si>
  <si>
    <t>Legacy Contract ID</t>
  </si>
  <si>
    <t>Legacy Contract ID (Data Migration)</t>
  </si>
  <si>
    <t>Category</t>
  </si>
  <si>
    <t>CATEGORY</t>
  </si>
  <si>
    <t>GL Category(can be filled later)</t>
  </si>
  <si>
    <t>TO BE SHARED BY FINANCE</t>
  </si>
  <si>
    <t>Base Date</t>
  </si>
  <si>
    <t>BASE.DATE</t>
  </si>
  <si>
    <t>What should be the Base date to considered, Contract Date or Disbursement Date</t>
  </si>
  <si>
    <t>Disbursement Date</t>
  </si>
  <si>
    <t>Date Convention</t>
  </si>
  <si>
    <t>DATE.CONVENTION</t>
  </si>
  <si>
    <t>What should be the days convention to collect the Interest &amp; Charges if the collection days is Holiday like Forward, Backward, Forward Same Month</t>
  </si>
  <si>
    <t>CALENDER</t>
  </si>
  <si>
    <t>NEGOTIABLE</t>
  </si>
  <si>
    <t>Limit</t>
  </si>
  <si>
    <t>AA.PRD.DES.LIMIT</t>
  </si>
  <si>
    <t>LIMIT.REFERENCE</t>
  </si>
  <si>
    <t xml:space="preserve">Is Limit applicable for this product?  </t>
  </si>
  <si>
    <t>YES</t>
  </si>
  <si>
    <t>Negotiable</t>
  </si>
  <si>
    <t>Credit Check</t>
  </si>
  <si>
    <t>AC.BALANCE.TYPE</t>
  </si>
  <si>
    <t>EXCLUDE.CR.CHECK</t>
  </si>
  <si>
    <t>Determines whether Limit should be hit during Transactions like Disbursement, Make Due etc (This should be set in every Balance type created for the Property like Principal, Interest &amp; Charges)</t>
  </si>
  <si>
    <t>only principal</t>
  </si>
  <si>
    <t>Alerts</t>
  </si>
  <si>
    <t>AA.PRD.DES.ALERTS</t>
  </si>
  <si>
    <t>EVENT</t>
  </si>
  <si>
    <t>Mobile Alerts required</t>
  </si>
  <si>
    <t>Messaging/Advices</t>
  </si>
  <si>
    <t>AA.PRD.DES.ACTIVITY.MESSAGING</t>
  </si>
  <si>
    <t>ADVICE</t>
  </si>
  <si>
    <t>Print advices sent to Customer like Loan Sanction Letter, Disbursement, schedule etc</t>
  </si>
  <si>
    <t>Change Product</t>
  </si>
  <si>
    <t>AA.PRD.DES.CHANGE.PRODUCT</t>
  </si>
  <si>
    <t>Config</t>
  </si>
  <si>
    <t>Can this Loan can be modified into other Loan products?</t>
  </si>
  <si>
    <t>N/A</t>
  </si>
  <si>
    <t>Charge Override</t>
  </si>
  <si>
    <t>AA.PRD.DES.CHARGE.OVERRIDE</t>
  </si>
  <si>
    <t>Will the Product allow Charge waive - Fixed Charge ?</t>
  </si>
  <si>
    <t>Constraint/Restriction</t>
  </si>
  <si>
    <t>AA.PRD.DES.CONSTRAINT</t>
  </si>
  <si>
    <t>AA Loan has a privilege of doing Backdated activities, Do you want to allow or Restrict. Setup required to restrict</t>
  </si>
  <si>
    <t>Overdue</t>
  </si>
  <si>
    <t>AA.PRD.DES.OVERDUE</t>
  </si>
  <si>
    <t>Business process of Unpaid Loan Dues</t>
  </si>
  <si>
    <t>Interest/profit</t>
  </si>
  <si>
    <t>Rules</t>
  </si>
  <si>
    <t>Penalty / Charity Interest</t>
  </si>
  <si>
    <t>Accrual Frequency</t>
  </si>
  <si>
    <t>AA.ACCRUAL.FREQUENCY</t>
  </si>
  <si>
    <t>DEFAULT.LCY/FCY</t>
  </si>
  <si>
    <t>Daily or Monthly or Quarterly</t>
  </si>
  <si>
    <t>Daily</t>
  </si>
  <si>
    <t>Interest Schedule</t>
  </si>
  <si>
    <t>AA.PRD.DES.PAYMENT.SCHEDULE</t>
  </si>
  <si>
    <t>FREQUENCY</t>
  </si>
  <si>
    <t>Frequency in which the Interest is Paid/Collected</t>
  </si>
  <si>
    <t>Monthly(EMI)</t>
  </si>
  <si>
    <t>Loan frequency must match with customer salary date</t>
  </si>
  <si>
    <t>Collection Method</t>
  </si>
  <si>
    <t>PAYMENT.METHOD</t>
  </si>
  <si>
    <t>Always Due to collect from the Customer on the Scheduled Date</t>
  </si>
  <si>
    <t>Due</t>
  </si>
  <si>
    <t>Interest Basis</t>
  </si>
  <si>
    <t>AA.PRD.DES.INTEREST</t>
  </si>
  <si>
    <t>DAY.BASIS</t>
  </si>
  <si>
    <t>Interest calculation method 
(360/360, 366/365, 366/360)</t>
  </si>
  <si>
    <t>Actual/365 = E</t>
  </si>
  <si>
    <t>Accrual Rule</t>
  </si>
  <si>
    <t>ACCRUAL.RULE</t>
  </si>
  <si>
    <t>Actual days balance to be included for Accruals (First, Last &amp; Both)</t>
  </si>
  <si>
    <t>First</t>
  </si>
  <si>
    <t>Threshold</t>
  </si>
  <si>
    <t>CALC.THRESHOLD</t>
  </si>
  <si>
    <t>NA</t>
  </si>
  <si>
    <t>Interest Type</t>
  </si>
  <si>
    <t>Fixed or Floating or Periodic</t>
  </si>
  <si>
    <t>Fixed</t>
  </si>
  <si>
    <t>Fixed Rate</t>
  </si>
  <si>
    <t>will come from LOS</t>
  </si>
  <si>
    <t>Floating Rate(linke to Internal Bank Index)</t>
  </si>
  <si>
    <t xml:space="preserve">Fixed Rate (Linked to External Index such as AEIBOR , or varies according to Amount).  
</t>
  </si>
  <si>
    <t>Rate Type</t>
  </si>
  <si>
    <t>RATE.TYPE</t>
  </si>
  <si>
    <t>Specifies whether Interest definition is based on a rate or amount and in case of rate what type of rate.
Reducing rate, Flat rate, Flat amount, weighted Average Rate.</t>
  </si>
  <si>
    <t>Reducing Rate</t>
  </si>
  <si>
    <t>Tier Type / Interest Calculation method</t>
  </si>
  <si>
    <t>RATE.TIER.TYPE</t>
  </si>
  <si>
    <t>Rules for calculation, please provide example - is it straight forward percentage on the eligible balance, or does the percentage vary depending on the balance?</t>
  </si>
  <si>
    <t>Minimum Interest</t>
  </si>
  <si>
    <t>MIN.INT.AMOUNT</t>
  </si>
  <si>
    <t>Minimum Interest amount  to be paid by the customer, for this product</t>
  </si>
  <si>
    <t>Minimum Interest Waive</t>
  </si>
  <si>
    <t>MIN.INT.WAIVE</t>
  </si>
  <si>
    <t>If the Calculated Interest is lesser than Minimum Interest Amount, whether the Interest is to be collected or not collected from the customer</t>
  </si>
  <si>
    <t>Charges Collection</t>
  </si>
  <si>
    <t>AA.PRD.DES.CHARGE</t>
  </si>
  <si>
    <t>If the Contract does not contain sufficient funds for charges, what is the business process?</t>
  </si>
  <si>
    <t>Fees &amp; Charges</t>
  </si>
  <si>
    <t>Activity</t>
  </si>
  <si>
    <t>Frequency 
(If scheduled)</t>
  </si>
  <si>
    <t>Rules for calculation, if any</t>
  </si>
  <si>
    <t>Transaction Name 
(If Activity Based)</t>
  </si>
  <si>
    <t>Charge Type</t>
  </si>
  <si>
    <t>Fixed Amount</t>
  </si>
  <si>
    <t>Percentage
(If Calculated)</t>
  </si>
  <si>
    <t>Min Charge</t>
  </si>
  <si>
    <t>Max Charge</t>
  </si>
  <si>
    <t>Charge Tier</t>
  </si>
  <si>
    <t>PL Category (Acctng)</t>
  </si>
  <si>
    <t>Upfront Admin Fee</t>
  </si>
  <si>
    <t>Monthly Charges Leived</t>
  </si>
  <si>
    <t>Treatment of PL credit is amortized over the life of contract through straight line method- Activity based</t>
  </si>
  <si>
    <t>1% or Max. of 5000 whichever is lower</t>
  </si>
  <si>
    <t>non tracking</t>
  </si>
  <si>
    <t>Monthly Admin Fee</t>
  </si>
  <si>
    <t>AA.PRD.DES.ACTIVITY.CHARGES</t>
  </si>
  <si>
    <t>Fee charged against the Loan Principal Decrease</t>
  </si>
  <si>
    <t>Monthly Installment</t>
  </si>
  <si>
    <t>1% or Max. of 5000 whichever is lower and divided by No. of Installments</t>
  </si>
  <si>
    <t>CALCULATED</t>
  </si>
  <si>
    <t>Payoff Fee (Early Settlement Fee)</t>
  </si>
  <si>
    <t>Loan Closure charges before Maturity</t>
  </si>
  <si>
    <t>Three months Profit proceeding months if available else remaining days profit</t>
  </si>
  <si>
    <t>Partial Payment Fee</t>
  </si>
  <si>
    <t>Loan repayment installment changes, changes either in Payment Amount or Decrese/Increase in Term</t>
  </si>
  <si>
    <t xml:space="preserve">rebate </t>
  </si>
  <si>
    <t>Bill Type</t>
  </si>
  <si>
    <t>BILL.TYPE</t>
  </si>
  <si>
    <t>On What bill type that the Overdue processing should Apply EX: Payment Bill (P+I), Activity Charges etc</t>
  </si>
  <si>
    <t>PAYMENT BILL</t>
  </si>
  <si>
    <t>Overdue Status</t>
  </si>
  <si>
    <t>OVERDUE.STATUS</t>
  </si>
  <si>
    <t>List of Overdue Aging Process that the bill should undergo, EBLOOKUP records to be configured</t>
  </si>
  <si>
    <t>RETAIL</t>
  </si>
  <si>
    <t>Grace</t>
  </si>
  <si>
    <t>Bucket 1 - Satge I</t>
  </si>
  <si>
    <t xml:space="preserve">1 to 30 </t>
  </si>
  <si>
    <t>BF need to be confirm whether they go for number of days or bills.</t>
  </si>
  <si>
    <t>Bucket 2 - Stage IIA</t>
  </si>
  <si>
    <t>31 to 60</t>
  </si>
  <si>
    <t>System will recalculate bucket based on repayment of instalment.</t>
  </si>
  <si>
    <t>Bucket 3 - Stage IIB</t>
  </si>
  <si>
    <t>61 to 90</t>
  </si>
  <si>
    <t>Bucket 4 - Stage IIIA</t>
  </si>
  <si>
    <t>91-120</t>
  </si>
  <si>
    <t>Bucket 5 - Stage IIIB</t>
  </si>
  <si>
    <t>121-150</t>
  </si>
  <si>
    <t>Bucket 6 - Stage VIA</t>
  </si>
  <si>
    <t>151-180</t>
  </si>
  <si>
    <t>Bucket N - Stage IVB</t>
  </si>
  <si>
    <t>180+</t>
  </si>
  <si>
    <t>Aging all - Suspend</t>
  </si>
  <si>
    <t>AGE.ALL.BILLS</t>
  </si>
  <si>
    <t>Suspension of Contract is Allowed, ie Accrual are not taken into P&amp;L</t>
  </si>
  <si>
    <t>Suspension will be applied only on upcoming profit and not on overdue bills. We need to make the Property as Suspend. Previous accrual would not be reversed.</t>
  </si>
  <si>
    <t>From which OD Status the Suspension should apply</t>
  </si>
  <si>
    <t>STAGE IIIA - 91-120</t>
  </si>
  <si>
    <t>Arrangement Bill Type</t>
  </si>
  <si>
    <t>ARR.BILL.TYPE</t>
  </si>
  <si>
    <t>Overall Status of the Contract should be Determined by the Bill Type</t>
  </si>
  <si>
    <t>INSTALLMENT for all</t>
  </si>
  <si>
    <t>Payment Rules</t>
  </si>
  <si>
    <t>Payment Type</t>
  </si>
  <si>
    <t>AA.PRD.DES.PAYMENT.RULES</t>
  </si>
  <si>
    <t>APPLICATION.TYPE</t>
  </si>
  <si>
    <t>How the Payment rule should be applied, By Date or By Property or Current Balances</t>
  </si>
  <si>
    <t>Order of Payment</t>
  </si>
  <si>
    <t>APPLICATION.ORDER</t>
  </si>
  <si>
    <t>On what order the Payment Bill should be Paid Ex: Oldest First or Newest First</t>
  </si>
  <si>
    <t>OLDEST</t>
  </si>
  <si>
    <t>Sequence</t>
  </si>
  <si>
    <t>SEQUENCE</t>
  </si>
  <si>
    <t>Sequence in settling the Dues, Like Revenues First followed by the Principal, EX: Charges, Interest, Commisions, Insurance, Principal</t>
  </si>
  <si>
    <t>FEE + PROFIT + PRINCIPAL</t>
  </si>
  <si>
    <t>Charity added in sequence on 16-08-23</t>
  </si>
  <si>
    <t>Remainder Activity</t>
  </si>
  <si>
    <t>REMAINDER.ACTIVITY</t>
  </si>
  <si>
    <t>What should be allocation of Any Excess remittances more than the Loan Due amount</t>
  </si>
  <si>
    <t>not allowed</t>
  </si>
  <si>
    <t>1. After Settling Dues, Do Principal Decrease</t>
  </si>
  <si>
    <t>As per MB</t>
  </si>
  <si>
    <t>2. After Settling Dues, park it as Advance for Future Bill</t>
  </si>
  <si>
    <t>3. After Settling Dues, Park it in Allocated Credit (to Settle Future Bills)</t>
  </si>
  <si>
    <t>4. Do not allow more than the Due Amount</t>
  </si>
  <si>
    <t>Payment Rules must be defined for the Below</t>
  </si>
  <si>
    <t>1. Installment Payment</t>
  </si>
  <si>
    <t>2. Principal Decrease</t>
  </si>
  <si>
    <t>3. Loan Payoff</t>
  </si>
  <si>
    <t>Payout Rules</t>
  </si>
  <si>
    <t>AA.PRD.DES.PAYOUT.RULES</t>
  </si>
  <si>
    <t>How the Payout rule should be applied - Default vaule is By Property for Disbursement</t>
  </si>
  <si>
    <t>as per MB</t>
  </si>
  <si>
    <t>Sequence in Disbursing the Sanctioned Amount with any Bonus, EX: Bonus, Disbursement Amount (Principal)</t>
  </si>
  <si>
    <t>By Default Disburse activity</t>
  </si>
  <si>
    <t>no</t>
  </si>
  <si>
    <t>PAYMENT.TYPE</t>
  </si>
  <si>
    <t>Type of Payment Bill ex: Constant, Liner, Interest Only etc</t>
  </si>
  <si>
    <r>
      <t xml:space="preserve">Constant / Special
</t>
    </r>
    <r>
      <rPr>
        <sz val="9"/>
        <color rgb="FF7030A0"/>
        <rFont val="Aptos Narrow"/>
        <family val="2"/>
        <scheme val="minor"/>
      </rPr>
      <t>Payment Type 1=(Principal + profit)
Payment Type2=Advance Period Profit
Payment Type 3= Miscelleneous Expenses</t>
    </r>
  </si>
  <si>
    <t>Disbursement - For Auto Disbursement activity</t>
  </si>
  <si>
    <t>Auto</t>
  </si>
  <si>
    <t>Payment Method</t>
  </si>
  <si>
    <t>Method of Collecting the Payment - Bill needs to made Due (Default Due for Loan)</t>
  </si>
  <si>
    <t>DUE</t>
  </si>
  <si>
    <t>Payment Frequency</t>
  </si>
  <si>
    <t>PAYMENT.FREQ</t>
  </si>
  <si>
    <t>Frequency of Collecting the Installments Ex: Monthly, Every 3 Months, or @ Defined Frequncy</t>
  </si>
  <si>
    <t>MONTHLY</t>
  </si>
  <si>
    <t>Property</t>
  </si>
  <si>
    <t>PROPERTY</t>
  </si>
  <si>
    <t>Payment split up property wise, Principal, Interest, Penalty, Charges</t>
  </si>
  <si>
    <t>Principal + Profit + Charge (Admin Fee + VAT)</t>
  </si>
  <si>
    <t>BF will confirm whether the Admin Fee be part of repayment schedule in case of monthly admin fee charge</t>
  </si>
  <si>
    <t>Start Date</t>
  </si>
  <si>
    <t>START.DATE</t>
  </si>
  <si>
    <t>Start date of the Loan Installment to begin</t>
  </si>
  <si>
    <t>yes</t>
  </si>
  <si>
    <t>End Date</t>
  </si>
  <si>
    <t>END.DATE</t>
  </si>
  <si>
    <t>End date of the Installment or Maturity</t>
  </si>
  <si>
    <t>Actual Amount</t>
  </si>
  <si>
    <t>ACTUAL.AMT</t>
  </si>
  <si>
    <t>Any Fixed Installment needs to be collected irrespective of Calculated Payment</t>
  </si>
  <si>
    <t>On Activity</t>
  </si>
  <si>
    <t>ON.ACTIVITY</t>
  </si>
  <si>
    <t>List of Activities on which the payment schedule needs to be recalculated. Ex: On Interest changes, whether payment or term of the contract to be recalculated</t>
  </si>
  <si>
    <t>Recalculate</t>
  </si>
  <si>
    <t>RECALCULATE</t>
  </si>
  <si>
    <t>Values to be defined with the Above setup, predefined values Term, Payment, Residual, Nothing</t>
  </si>
  <si>
    <t>Recalculation Frequency</t>
  </si>
  <si>
    <t>RECALC.FREQUENCY</t>
  </si>
  <si>
    <t>Frequency is required if any of the recalution type is set as "Nothing"</t>
  </si>
  <si>
    <t>MONTHLY ( end of the month)</t>
  </si>
  <si>
    <t>Repay from Credit Balance</t>
  </si>
  <si>
    <t>APPLY.PAYMENT</t>
  </si>
  <si>
    <t>Any Allocated Credit available in Loan will be used for settling the Payment bill before debiting the customer Account</t>
  </si>
  <si>
    <t>Yes</t>
  </si>
  <si>
    <t>Expiry Days</t>
  </si>
  <si>
    <t>AA.PRD.DES.PAYOFF</t>
  </si>
  <si>
    <t>EXPIRY.DAYS</t>
  </si>
  <si>
    <t>Days to expire after a Payoff Bill is generated
(After the expiry date, the bill will be deleted)</t>
  </si>
  <si>
    <t>Settlement</t>
  </si>
  <si>
    <t>Payin Payment Type</t>
  </si>
  <si>
    <t>AA.PRD.DES.SETTLEMENT</t>
  </si>
  <si>
    <t>Payment type based on which the Settlement will be processed (This should be same as defined in the Schedule)</t>
  </si>
  <si>
    <r>
      <t xml:space="preserve">constant
</t>
    </r>
    <r>
      <rPr>
        <sz val="9"/>
        <color rgb="FF7030A0"/>
        <rFont val="Aptos Narrow"/>
        <family val="2"/>
        <scheme val="minor"/>
      </rPr>
      <t>Payment Type 1=(Principal + profit)
Payment Type 2= Charges</t>
    </r>
  </si>
  <si>
    <t>Payin Settlement (Active Y/N)</t>
  </si>
  <si>
    <t>PAYIN.SETTLEMENT</t>
  </si>
  <si>
    <t>This is the Switch to turn On or Off the Settlement Processing - What should be the vaule by default</t>
  </si>
  <si>
    <r>
      <rPr>
        <strike/>
        <sz val="9"/>
        <color theme="1"/>
        <rFont val="Aptos Narrow"/>
        <family val="2"/>
        <scheme val="minor"/>
      </rPr>
      <t xml:space="preserve">
</t>
    </r>
    <r>
      <rPr>
        <sz val="9"/>
        <color rgb="FF7030A0"/>
        <rFont val="Aptos Narrow"/>
        <family val="2"/>
        <scheme val="minor"/>
      </rPr>
      <t>YES</t>
    </r>
  </si>
  <si>
    <t>Debit Rule</t>
  </si>
  <si>
    <t>PAYIN.AC.DB.RULE</t>
  </si>
  <si>
    <t>This helps in utilisation of funds available in Customer Account, Full, Partial &amp; None</t>
  </si>
  <si>
    <t xml:space="preserve">PARTIAL </t>
  </si>
  <si>
    <r>
      <t xml:space="preserve"> </t>
    </r>
    <r>
      <rPr>
        <sz val="9"/>
        <color rgb="FF7030A0"/>
        <rFont val="Aptos Narrow"/>
        <family val="2"/>
        <scheme val="minor"/>
      </rPr>
      <t>Negotiable</t>
    </r>
  </si>
  <si>
    <t>RC Condition</t>
  </si>
  <si>
    <t>PAYIN.RC.CONDITION</t>
  </si>
  <si>
    <t>Frequency to retry the settlement process</t>
  </si>
  <si>
    <t xml:space="preserve">RC </t>
  </si>
  <si>
    <t>RC Type</t>
  </si>
  <si>
    <t>PAYIN.RC.TYPE</t>
  </si>
  <si>
    <t>Default will be AA</t>
  </si>
  <si>
    <t>AA</t>
  </si>
  <si>
    <t>Payout Payment Type</t>
  </si>
  <si>
    <t>PAYOUT.PPTY.CLASS</t>
  </si>
  <si>
    <t>Property based on which the Settlement will be processed (This should be same as defined in the Schedule)</t>
  </si>
  <si>
    <t>Account</t>
  </si>
  <si>
    <t>Payout Settlement (Active Y/N)</t>
  </si>
  <si>
    <t>PAYOUT.SETTLEMENT</t>
  </si>
  <si>
    <t>Term Amount</t>
  </si>
  <si>
    <t>Maturity Date Convention</t>
  </si>
  <si>
    <t>AA.PRD.DES.TERM.AMOUNT</t>
  </si>
  <si>
    <t>MAT.DATE.CONVENTION</t>
  </si>
  <si>
    <t>This setup is to determine the Maturity Date when falls on Holiday (If Yes, System will reference date Convention in ACCOUNT property, If NO system will raise Override if end date is HOLIDAY)</t>
  </si>
  <si>
    <t>Calender Date</t>
  </si>
  <si>
    <t>Revolving</t>
  </si>
  <si>
    <t>REVOLVING</t>
  </si>
  <si>
    <t>Field value required if the Facility is of Revolving Nature</t>
  </si>
  <si>
    <t>Non-Revolving</t>
  </si>
  <si>
    <t>Cooling Period</t>
  </si>
  <si>
    <t>COOLING.PERIOD</t>
  </si>
  <si>
    <t>Cooling Period untill the Loan can be disbursed from the creation date</t>
  </si>
  <si>
    <t>10 Days</t>
  </si>
  <si>
    <t xml:space="preserve">Maker &amp; Checker is required </t>
  </si>
  <si>
    <t>Cancel Period</t>
  </si>
  <si>
    <t>CANCEL.PERIOD</t>
  </si>
  <si>
    <t>Cancel Period by which the Loan to be disbursed partially, if not system will cancel the Agreement</t>
  </si>
  <si>
    <t>Full Commitment</t>
  </si>
  <si>
    <t>FULL.COMMITMENT.ACTIVITY</t>
  </si>
  <si>
    <t>Determines whether the Loan should be Disbursed fully</t>
  </si>
  <si>
    <t>15% on charge amount</t>
  </si>
  <si>
    <t>RC.PRODUCT.PRIORITY</t>
  </si>
  <si>
    <t>Aa Product Name</t>
  </si>
  <si>
    <t>This field is used to define the priority in order of AA product group. For example LOANS, Deposits etc</t>
  </si>
  <si>
    <t>Aa Contract Party</t>
  </si>
  <si>
    <t xml:space="preserve">
This field is used to link to the transaction level priorities that have been set up in the application RC.CONTRACT.PRIORITY and will be applied.</t>
  </si>
  <si>
    <t>RC.CONTRACT.PRIORITY</t>
  </si>
  <si>
    <t>Due Type.1</t>
  </si>
  <si>
    <t>This field is used to define the a type of priority conditions, which are predefined</t>
  </si>
  <si>
    <t>DUE.RULE</t>
  </si>
  <si>
    <t>This is a predefined list of preferences for each of the values defined in DUE.RULE.</t>
  </si>
  <si>
    <t xml:space="preserve">5 INSTALLMENT </t>
  </si>
  <si>
    <t>5 PROFIT</t>
  </si>
  <si>
    <t>5 PRINCIPAL</t>
  </si>
  <si>
    <t>Transaction Amount</t>
  </si>
  <si>
    <t>Debit</t>
  </si>
  <si>
    <t>Credit</t>
  </si>
  <si>
    <t>Findings</t>
  </si>
  <si>
    <t>ACCDEFERREDPFT</t>
  </si>
  <si>
    <t>Profit reduced by recovered amount in Payment Schedule.</t>
  </si>
  <si>
    <t xml:space="preserve">PL </t>
  </si>
  <si>
    <t>Installment amount recalculated keeping the tenor of deal intact.</t>
  </si>
  <si>
    <t>Recovered profit immediately taken into PL.</t>
  </si>
  <si>
    <t>Arrangement Int. A/c.</t>
  </si>
  <si>
    <t>AA SUSPENSE</t>
  </si>
  <si>
    <t>Profit &amp; Principal being recorded with recovered amount as per stated entries</t>
  </si>
  <si>
    <t>Receivable Profit</t>
  </si>
  <si>
    <t>RECDEFERREDPFT</t>
  </si>
  <si>
    <t>Challenge</t>
  </si>
  <si>
    <t>SETTLEMENT A/C.</t>
  </si>
  <si>
    <t>APR recalculated on revised payment schedule not considering partial payment amount.</t>
  </si>
  <si>
    <t>No reflection of partial payment on schedule</t>
  </si>
  <si>
    <t>Prinaicpal</t>
  </si>
  <si>
    <t>PARTIAL SETTLEMENT - ORIGINAL (1 of 3)</t>
  </si>
  <si>
    <t>After 5 Inst. Compression As Advance Installment (2 of 3)</t>
  </si>
  <si>
    <t>After Maturity Decrease 5 Months (3 of 3)</t>
  </si>
  <si>
    <t>For Financial Institution</t>
  </si>
  <si>
    <t>3 INSTALLMENTS</t>
  </si>
  <si>
    <t>3 PRINCIPAL</t>
  </si>
  <si>
    <t>3 PROFIT</t>
  </si>
  <si>
    <t>Partial Settlement (Revised Term)</t>
  </si>
  <si>
    <t>Original</t>
  </si>
  <si>
    <t>Revised Term</t>
  </si>
  <si>
    <t>Generated Date: 18-Aug-2024 19:58:09</t>
  </si>
  <si>
    <t>'-500,000.00'</t>
  </si>
  <si>
    <t>'-572,552.76'</t>
  </si>
  <si>
    <t>'-492,632.60'</t>
  </si>
  <si>
    <t>'-563,010.21'</t>
  </si>
  <si>
    <t>'-485,233.15'</t>
  </si>
  <si>
    <t>'-553,467.66'</t>
  </si>
  <si>
    <t>'-477,947.09'</t>
  </si>
  <si>
    <t>'-543,925.11'</t>
  </si>
  <si>
    <t>'-470,555.45'</t>
  </si>
  <si>
    <t>'-534,382.56'</t>
  </si>
  <si>
    <t>'-463,201.14'</t>
  </si>
  <si>
    <t>'-524,840.01'</t>
  </si>
  <si>
    <t>'-455,743.14'</t>
  </si>
  <si>
    <t>'-515,297.46'</t>
  </si>
  <si>
    <t>'-448,319.94'</t>
  </si>
  <si>
    <t>'-505,754.91'</t>
  </si>
  <si>
    <t>6 INSTALLMENT</t>
  </si>
  <si>
    <t>'-440,862.22'</t>
  </si>
  <si>
    <t>'-496,212.36'</t>
  </si>
  <si>
    <t>FEE</t>
  </si>
  <si>
    <t>'-433,303.69'</t>
  </si>
  <si>
    <t>'-486,669.81'</t>
  </si>
  <si>
    <t>PRINCIPAL</t>
  </si>
  <si>
    <t>'-425,776.14'</t>
  </si>
  <si>
    <t>'-477,127.26'</t>
  </si>
  <si>
    <t>'-418,149.72'</t>
  </si>
  <si>
    <t>'-467,584.71'</t>
  </si>
  <si>
    <t>'-410,551.70'</t>
  </si>
  <si>
    <t>'-458,042.16'</t>
  </si>
  <si>
    <t>'-402,918.35'</t>
  </si>
  <si>
    <t>'-448,499.61'</t>
  </si>
  <si>
    <t>'-395,068.18'</t>
  </si>
  <si>
    <t>'-438,957.06'</t>
  </si>
  <si>
    <t>'-387,362.83'</t>
  </si>
  <si>
    <t>'-429,414.51'</t>
  </si>
  <si>
    <t>'-379,563.54'</t>
  </si>
  <si>
    <t>'-419,871.96'</t>
  </si>
  <si>
    <t>'-371,786.08'</t>
  </si>
  <si>
    <t>'-410,329.41'</t>
  </si>
  <si>
    <t>'-363,916.69'</t>
  </si>
  <si>
    <t>'-400,786.86'</t>
  </si>
  <si>
    <t>'-356,066.47'</t>
  </si>
  <si>
    <t>'-391,244.31'</t>
  </si>
  <si>
    <t>'-348,179.75'</t>
  </si>
  <si>
    <t>'-381,701.76'</t>
  </si>
  <si>
    <t>'-340,204.12'</t>
  </si>
  <si>
    <t>'-372,159.21'</t>
  </si>
  <si>
    <t>'-332,243.63'</t>
  </si>
  <si>
    <t>'-362,616.66'</t>
  </si>
  <si>
    <t>'-324,196.28'</t>
  </si>
  <si>
    <t>'-353,074.11'</t>
  </si>
  <si>
    <t>'-316,161.35'</t>
  </si>
  <si>
    <t>'-343,531.56'</t>
  </si>
  <si>
    <t>'-308,089.05'</t>
  </si>
  <si>
    <t>'-333,989.01'</t>
  </si>
  <si>
    <t>'-299,840.57'</t>
  </si>
  <si>
    <t>'-324,446.46'</t>
  </si>
  <si>
    <t>'-291,692.38'</t>
  </si>
  <si>
    <t>'-314,903.91'</t>
  </si>
  <si>
    <t>'-283,462.54'</t>
  </si>
  <si>
    <t>'-305,361.36'</t>
  </si>
  <si>
    <t>'-275,238.18'</t>
  </si>
  <si>
    <t>'-295,818.81'</t>
  </si>
  <si>
    <t>'-266,934.29'</t>
  </si>
  <si>
    <t>'-286,276.26'</t>
  </si>
  <si>
    <t>'-258,633.07'</t>
  </si>
  <si>
    <t>'-276,733.71'</t>
  </si>
  <si>
    <t>'-250,293.25'</t>
  </si>
  <si>
    <t>'-267,191.16'</t>
  </si>
  <si>
    <t>'-241,877.10'</t>
  </si>
  <si>
    <t>'-257,648.61'</t>
  </si>
  <si>
    <t>'-233,459.36'</t>
  </si>
  <si>
    <t>'-248,106.06'</t>
  </si>
  <si>
    <t>'-224,967.45'</t>
  </si>
  <si>
    <t>'-238,563.51'</t>
  </si>
  <si>
    <t>'-216,471.07'</t>
  </si>
  <si>
    <t>'-229,020.96'</t>
  </si>
  <si>
    <t>'-207,935.18'</t>
  </si>
  <si>
    <t>'-219,478.41'</t>
  </si>
  <si>
    <t>'-199,266.02'</t>
  </si>
  <si>
    <t>'-209,935.86'</t>
  </si>
  <si>
    <t>'-190,650.12'</t>
  </si>
  <si>
    <t>'-200,393.31'</t>
  </si>
  <si>
    <t>'-181,965.56'</t>
  </si>
  <si>
    <t>'-190,850.76'</t>
  </si>
  <si>
    <t>'-173,269.21'</t>
  </si>
  <si>
    <t>'-181,308.21'</t>
  </si>
  <si>
    <t>'-164,506.43'</t>
  </si>
  <si>
    <t>'-171,765.66'</t>
  </si>
  <si>
    <t>'-155,728.89'</t>
  </si>
  <si>
    <t>'-162,223.11'</t>
  </si>
  <si>
    <t>'-146,910.53'</t>
  </si>
  <si>
    <t>'-152,680.56'</t>
  </si>
  <si>
    <t>'-138,029.12'</t>
  </si>
  <si>
    <t>'-143,138.01'</t>
  </si>
  <si>
    <t>'-129,128.45'</t>
  </si>
  <si>
    <t>'-133,595.46'</t>
  </si>
  <si>
    <t>'-120,167.02'</t>
  </si>
  <si>
    <t>'-124,052.91'</t>
  </si>
  <si>
    <t>'-111,183.29'</t>
  </si>
  <si>
    <t>'-114,510.36'</t>
  </si>
  <si>
    <t>'-102,157.78'</t>
  </si>
  <si>
    <t>'-104,967.81'</t>
  </si>
  <si>
    <t>'-93,059.65'</t>
  </si>
  <si>
    <t>'-95,425.26'</t>
  </si>
  <si>
    <t>'-83,949.86'</t>
  </si>
  <si>
    <t>'-85,882.71'</t>
  </si>
  <si>
    <t>'-74,785.11'</t>
  </si>
  <si>
    <t>'-76,340.16'</t>
  </si>
  <si>
    <t>'-65,590.34'</t>
  </si>
  <si>
    <t>'-66,797.61'</t>
  </si>
  <si>
    <t>'-56,342.97'</t>
  </si>
  <si>
    <t>'-57,255.06'</t>
  </si>
  <si>
    <t>'-47,062.43'</t>
  </si>
  <si>
    <t>'-47,712.51'</t>
  </si>
  <si>
    <t>'-37,738.74'</t>
  </si>
  <si>
    <t>'-38,169.96'</t>
  </si>
  <si>
    <t>'-28,366.03'</t>
  </si>
  <si>
    <t>'-28,627.41'</t>
  </si>
  <si>
    <t>'-18,955.39'</t>
  </si>
  <si>
    <t>'-19,084.86'</t>
  </si>
  <si>
    <t>'-9,498.15'</t>
  </si>
  <si>
    <t>'-9,542.31'</t>
  </si>
  <si>
    <t>Generated Date: 18-Aug-2024 20:13:24</t>
  </si>
  <si>
    <t>'-404,571.69'</t>
  </si>
  <si>
    <t>'-464,126.01'</t>
  </si>
  <si>
    <t>'-398,092.85'</t>
  </si>
  <si>
    <t>'-455,531.08'</t>
  </si>
  <si>
    <t>'-391,573.38'</t>
  </si>
  <si>
    <t>'-446,936.15'</t>
  </si>
  <si>
    <t>'-384,954.07'</t>
  </si>
  <si>
    <t>'-438,341.22'</t>
  </si>
  <si>
    <t>'-378,366.11'</t>
  </si>
  <si>
    <t>'-429,746.29'</t>
  </si>
  <si>
    <t>'-371,680.17'</t>
  </si>
  <si>
    <t>'-421,151.36'</t>
  </si>
  <si>
    <t>'-365,023.00'</t>
  </si>
  <si>
    <t>'-412,556.43'</t>
  </si>
  <si>
    <t>'-358,331.12'</t>
  </si>
  <si>
    <t>'-403,961.50'</t>
  </si>
  <si>
    <t>'-351,423.57'</t>
  </si>
  <si>
    <t>'-395,366.57'</t>
  </si>
  <si>
    <t>'-344,660.79'</t>
  </si>
  <si>
    <t>'-386,771.64'</t>
  </si>
  <si>
    <t>'-337,804.79'</t>
  </si>
  <si>
    <t>'-378,176.71'</t>
  </si>
  <si>
    <t>'-330,971.01'</t>
  </si>
  <si>
    <t>'-369,581.78'</t>
  </si>
  <si>
    <t>'-324,045.94'</t>
  </si>
  <si>
    <t>'-360,986.85'</t>
  </si>
  <si>
    <t>'-317,140.43'</t>
  </si>
  <si>
    <t>'-352,391.92'</t>
  </si>
  <si>
    <t>'-310,198.92'</t>
  </si>
  <si>
    <t>'-343,796.99'</t>
  </si>
  <si>
    <t>'-303,169.05'</t>
  </si>
  <si>
    <t>'-335,202.06'</t>
  </si>
  <si>
    <t>'-296,154.70'</t>
  </si>
  <si>
    <t>'-326,607.13'</t>
  </si>
  <si>
    <t>'-289,053.97'</t>
  </si>
  <si>
    <t>'-318,012.20'</t>
  </si>
  <si>
    <t>'-281,966.03'</t>
  </si>
  <si>
    <t>'-309,417.27'</t>
  </si>
  <si>
    <t>'-274,841.14'</t>
  </si>
  <si>
    <t>'-300,822.34'</t>
  </si>
  <si>
    <t>'-267,540.43'</t>
  </si>
  <si>
    <t>'-292,227.41'</t>
  </si>
  <si>
    <t>'-260,340.33'</t>
  </si>
  <si>
    <t>'-283,632.48'</t>
  </si>
  <si>
    <t>'-253,058.91'</t>
  </si>
  <si>
    <t>'-275,037.55'</t>
  </si>
  <si>
    <t>'-245,783.31'</t>
  </si>
  <si>
    <t>'-266,442.62'</t>
  </si>
  <si>
    <t>'-238,428.44'</t>
  </si>
  <si>
    <t>'-257,847.69'</t>
  </si>
  <si>
    <t>'-231,076.56'</t>
  </si>
  <si>
    <t>'-249,252.76'</t>
  </si>
  <si>
    <t>'-223,686.35'</t>
  </si>
  <si>
    <t>'-240,657.83'</t>
  </si>
  <si>
    <t>'-216,219.99'</t>
  </si>
  <si>
    <t>'-232,062.90'</t>
  </si>
  <si>
    <t>'-208,752.33'</t>
  </si>
  <si>
    <t>'-223,467.97'</t>
  </si>
  <si>
    <t>'-201,210.63'</t>
  </si>
  <si>
    <t>'-214,873.04'</t>
  </si>
  <si>
    <t>'-193,664.72'</t>
  </si>
  <si>
    <t>'-206,278.11'</t>
  </si>
  <si>
    <t>'-186,079.46'</t>
  </si>
  <si>
    <t>'-197,683.18'</t>
  </si>
  <si>
    <t>'-178,360.78'</t>
  </si>
  <si>
    <t>'-189,088.25'</t>
  </si>
  <si>
    <t>'-170,695.74'</t>
  </si>
  <si>
    <t>'-180,493.32'</t>
  </si>
  <si>
    <t>'-162,962.03'</t>
  </si>
  <si>
    <t>'-171,898.39'</t>
  </si>
  <si>
    <t>'-155,216.71'</t>
  </si>
  <si>
    <t>'-163,303.46'</t>
  </si>
  <si>
    <t>'-147,404.90'</t>
  </si>
  <si>
    <t>'-154,708.53'</t>
  </si>
  <si>
    <t>'-139,578.47'</t>
  </si>
  <si>
    <t>'-146,113.60'</t>
  </si>
  <si>
    <t>'-131,711.23'</t>
  </si>
  <si>
    <t>'-137,518.67'</t>
  </si>
  <si>
    <t>'-123,780.83'</t>
  </si>
  <si>
    <t>'-128,923.74'</t>
  </si>
  <si>
    <t>'-115,831.23'</t>
  </si>
  <si>
    <t>'-120,328.81'</t>
  </si>
  <si>
    <t>'-107,820.71'</t>
  </si>
  <si>
    <t>'-111,733.88'</t>
  </si>
  <si>
    <t>'-99,787.91'</t>
  </si>
  <si>
    <t>'-103,138.95'</t>
  </si>
  <si>
    <t>'-91,713.23'</t>
  </si>
  <si>
    <t>'-94,544.02'</t>
  </si>
  <si>
    <t>'-83,565.60'</t>
  </si>
  <si>
    <t>'-85,949.09'</t>
  </si>
  <si>
    <t>'-75,406.34'</t>
  </si>
  <si>
    <t>'-77,354.16'</t>
  </si>
  <si>
    <t>'-67,191.86'</t>
  </si>
  <si>
    <t>'-68,759.23'</t>
  </si>
  <si>
    <t>'-58,947.24'</t>
  </si>
  <si>
    <t>'-60,164.30'</t>
  </si>
  <si>
    <t>'-50,649.72'</t>
  </si>
  <si>
    <t>'-51,569.37'</t>
  </si>
  <si>
    <t>'-42,318.85'</t>
  </si>
  <si>
    <t>'-42,974.44'</t>
  </si>
  <si>
    <t>'-33,944.55'</t>
  </si>
  <si>
    <t>'-34,379.51'</t>
  </si>
  <si>
    <t>'-25,520.88'</t>
  </si>
  <si>
    <t>'-25,784.58'</t>
  </si>
  <si>
    <t>'-17,059.00'</t>
  </si>
  <si>
    <t>'-17,189.65'</t>
  </si>
  <si>
    <t>'-8,550.14'</t>
  </si>
  <si>
    <t>'-8,594.72'</t>
  </si>
  <si>
    <t>Principal Decrease - Installment</t>
  </si>
  <si>
    <t>Generated Date: 18-Aug-2024 16:17:24</t>
  </si>
  <si>
    <t>Fee</t>
  </si>
  <si>
    <t>6 Installment</t>
  </si>
  <si>
    <t>Generated Date: 18-Aug-2024 16:28:08</t>
  </si>
  <si>
    <t>'-400,000.00'</t>
  </si>
  <si>
    <t>'-391,037.34'</t>
  </si>
  <si>
    <t>'-394,325.01'</t>
  </si>
  <si>
    <t>'-382,670.60'</t>
  </si>
  <si>
    <t>'-389,841.86'</t>
  </si>
  <si>
    <t>'-374,482.87'</t>
  </si>
  <si>
    <t>'-385,716.73'</t>
  </si>
  <si>
    <t>'-366,079.97'</t>
  </si>
  <si>
    <t>'-381,161.26'</t>
  </si>
  <si>
    <t>'-357,716.11'</t>
  </si>
  <si>
    <t>'-376,683.87'</t>
  </si>
  <si>
    <t>'-349,140.95'</t>
  </si>
  <si>
    <t>'-371,783.88'</t>
  </si>
  <si>
    <t>'-286,095.90'</t>
  </si>
  <si>
    <t>'-308,738.83'</t>
  </si>
  <si>
    <t>'-277,761.66'</t>
  </si>
  <si>
    <t>'-296,488.50'</t>
  </si>
  <si>
    <t>'-269,740.39'</t>
  </si>
  <si>
    <t>'-284,238.17'</t>
  </si>
  <si>
    <t>'-261,464.51'</t>
  </si>
  <si>
    <t>'-271,987.84'</t>
  </si>
  <si>
    <t>'-253,195.10'</t>
  </si>
  <si>
    <t>'-259,737.51'</t>
  </si>
  <si>
    <t>'-244,675.43'</t>
  </si>
  <si>
    <t>'-247,487.18'</t>
  </si>
  <si>
    <t>'-236,150.40'</t>
  </si>
  <si>
    <t>'-235,236.85'</t>
  </si>
  <si>
    <t>'-227,495.58'</t>
  </si>
  <si>
    <t>'-222,986.52'</t>
  </si>
  <si>
    <t>'-218,373.78'</t>
  </si>
  <si>
    <t>'-210,736.19'</t>
  </si>
  <si>
    <t>'-209,448.30'</t>
  </si>
  <si>
    <t>'-198,485.86'</t>
  </si>
  <si>
    <t>'-200,284.05'</t>
  </si>
  <si>
    <t>'-186,235.53'</t>
  </si>
  <si>
    <t>'-191,083.14'</t>
  </si>
  <si>
    <t>'-173,985.20'</t>
  </si>
  <si>
    <t>'-181,648.29'</t>
  </si>
  <si>
    <t>'-161,734.87'</t>
  </si>
  <si>
    <t>'-172,163.64'</t>
  </si>
  <si>
    <t>'-149,484.54'</t>
  </si>
  <si>
    <t>'-162,534.59'</t>
  </si>
  <si>
    <t>'-137,234.21'</t>
  </si>
  <si>
    <t>'-152,679.10'</t>
  </si>
  <si>
    <t>'-124,983.88'</t>
  </si>
  <si>
    <t>'-142,753.38'</t>
  </si>
  <si>
    <t>'-112,733.55'</t>
  </si>
  <si>
    <t>'-132,606.43'</t>
  </si>
  <si>
    <t>'-100,483.22'</t>
  </si>
  <si>
    <t>'-122,375.10'</t>
  </si>
  <si>
    <t>'-88,232.89'</t>
  </si>
  <si>
    <t>'-111,987.99'</t>
  </si>
  <si>
    <t>'-75,982.56'</t>
  </si>
  <si>
    <t>'-101,277.72'</t>
  </si>
  <si>
    <t>'-63,732.23'</t>
  </si>
  <si>
    <t>'-90,569.39'</t>
  </si>
  <si>
    <t>'-51,481.90'</t>
  </si>
  <si>
    <t>'-79,653.54'</t>
  </si>
  <si>
    <t>'-39,231.57'</t>
  </si>
  <si>
    <t>'-68,615.97'</t>
  </si>
  <si>
    <t>'-26,981.24'</t>
  </si>
  <si>
    <t>'-57,376.65'</t>
  </si>
  <si>
    <t>'-14,730.91'</t>
  </si>
  <si>
    <t>'-45,999.91'</t>
  </si>
  <si>
    <t>'-2,480.58'</t>
  </si>
  <si>
    <t>'-34,449.95'</t>
  </si>
  <si>
    <t>Principal Decrease - Term Reduction</t>
  </si>
  <si>
    <t>Instalment Settlement Entry - 
28-04-2024</t>
  </si>
  <si>
    <t>DUEDEFERREDPFT</t>
  </si>
  <si>
    <t>PL/ Expense</t>
  </si>
  <si>
    <t>Write-off Internal Account / PL</t>
  </si>
  <si>
    <t>Internal Account / PL</t>
  </si>
  <si>
    <t>Write off</t>
  </si>
  <si>
    <t>Due Partial Settlement Fee</t>
  </si>
  <si>
    <t>DUEPARTIALFEE</t>
  </si>
  <si>
    <t xml:space="preserve">Early Settlement - Patrial Settlement of 6 Instalments  </t>
  </si>
  <si>
    <t xml:space="preserve">Early Settlement - Patrial Settlement of 5 Instalments </t>
  </si>
  <si>
    <t>Bonus / Rebate</t>
  </si>
  <si>
    <t>PAYBONUS</t>
  </si>
  <si>
    <t>Due Early Settlement Fee</t>
  </si>
  <si>
    <t>DUEEARLYFEE</t>
  </si>
  <si>
    <t>Early Settlement</t>
  </si>
  <si>
    <t>Daily Realization of Admin Fee</t>
  </si>
  <si>
    <t>Daily Realization Profit</t>
  </si>
  <si>
    <t>Brokerage Fee Payable</t>
  </si>
  <si>
    <t>Internal Payable</t>
  </si>
  <si>
    <t>Brokerage Fee Expense</t>
  </si>
  <si>
    <t>BROKERFEE - PL</t>
  </si>
  <si>
    <t>Brokerage Fee</t>
  </si>
  <si>
    <t>Inventory - IA</t>
  </si>
  <si>
    <t>On Spot</t>
  </si>
  <si>
    <t>On Request</t>
  </si>
  <si>
    <t xml:space="preserve">Nostro Account </t>
  </si>
  <si>
    <t>TA - Bank Account</t>
  </si>
  <si>
    <t>Offer Acceptance</t>
  </si>
  <si>
    <t>Purchase Stage</t>
  </si>
  <si>
    <t>Buy Broker</t>
  </si>
  <si>
    <t xml:space="preserve">Purchase  - </t>
  </si>
  <si>
    <t>SMB</t>
  </si>
  <si>
    <t>N</t>
  </si>
  <si>
    <t>CORE</t>
  </si>
  <si>
    <t>IS.CONTRACT&gt;BR.FEE.TAX.AMT.FCY</t>
  </si>
  <si>
    <t>BR.FEE.TAX.AMT.FCY</t>
  </si>
  <si>
    <t>Auto generated</t>
  </si>
  <si>
    <t>LMS Session</t>
  </si>
  <si>
    <t>CHAR</t>
  </si>
  <si>
    <t>brFeeTaxAmountFcy</t>
  </si>
  <si>
    <t>IS.CONTRACT&gt;BR.FEE.TAX.AMT</t>
  </si>
  <si>
    <t>BR.FEE.TAX.AMT</t>
  </si>
  <si>
    <t>NUMBER</t>
  </si>
  <si>
    <t>brFeeTaxAmount</t>
  </si>
  <si>
    <t>IS.CONTRACT&gt;BR.FEE.TAX.BASE.AMT</t>
  </si>
  <si>
    <t>BR.FEE.TAX.BASE.AMT</t>
  </si>
  <si>
    <t>brFeeTaxBaseAmt</t>
  </si>
  <si>
    <t>IS.CONTRACT&gt;BR.FEE.CR.ACCT</t>
  </si>
  <si>
    <t>BR.FEE.CR.ACCT</t>
  </si>
  <si>
    <t>brFeeBSCrAcct</t>
  </si>
  <si>
    <t>IS.CONTRACT&gt;BR.FEE.BS.ACCTG</t>
  </si>
  <si>
    <t>BR.FEE.BS.ACCTG</t>
  </si>
  <si>
    <t>brFeeBSAcctg</t>
  </si>
  <si>
    <t>IS.CONTRACT&gt;BR.FEE.BANK.SHARE</t>
  </si>
  <si>
    <t>BR.FEE.BANK.SHARE</t>
  </si>
  <si>
    <t>brFeeBankShareAmt</t>
  </si>
  <si>
    <t>IS.CONTRACT&gt;BR.FEE.BROKER.SHARE</t>
  </si>
  <si>
    <t>BR.FEE.BROKER.SHARE</t>
  </si>
  <si>
    <t>brFeeBrokerShareAmt</t>
  </si>
  <si>
    <t>brFeeCreditAccount</t>
  </si>
  <si>
    <t>IS.CONTRACT&gt;BR.FEE.DR.ACCT</t>
  </si>
  <si>
    <t>BR.FEE.DR.ACCT</t>
  </si>
  <si>
    <t>brFeeDebitAccount</t>
  </si>
  <si>
    <t>Y</t>
  </si>
  <si>
    <t>IS.CONTRACT&gt;BR.FEE.DR.TYPE</t>
  </si>
  <si>
    <t>BR.FEE.DR.TYPE</t>
  </si>
  <si>
    <t>DROPDOWN</t>
  </si>
  <si>
    <t>brFeeDebitType</t>
  </si>
  <si>
    <t>IS.CONTRACT&gt;BR.CHRG.AMT.FCY</t>
  </si>
  <si>
    <t>BR.CHRG.AMT.FCY</t>
  </si>
  <si>
    <t>brFeeChargeAmtFcy</t>
  </si>
  <si>
    <t>IS.CONTRACT&gt;BR.CHRG.AMT</t>
  </si>
  <si>
    <t>BR.CHRG.AMT</t>
  </si>
  <si>
    <t>brFeeChargeAmount</t>
  </si>
  <si>
    <t>IS.CONTRACT&gt;BR.FEE.CCY</t>
  </si>
  <si>
    <t>BR.FEE.CCY</t>
  </si>
  <si>
    <t>brFeeCurrency</t>
  </si>
  <si>
    <t>IS.CONTRACT&gt;BR.CHRG.CODE</t>
  </si>
  <si>
    <t>BR.CHRG.CODE</t>
  </si>
  <si>
    <t>brFeeChargeCode</t>
  </si>
  <si>
    <t>TA</t>
  </si>
  <si>
    <t>LF</t>
  </si>
  <si>
    <t>LOCAL FIELD REQUIRED</t>
  </si>
  <si>
    <t>Not Available</t>
  </si>
  <si>
    <t>Customer IBAN</t>
  </si>
  <si>
    <t>LOS</t>
  </si>
  <si>
    <t>Customer Bank Code</t>
  </si>
  <si>
    <t>IS.CONTRACT&gt;DAO</t>
  </si>
  <si>
    <t>DAO</t>
  </si>
  <si>
    <t>Dao</t>
  </si>
  <si>
    <t>IS.CONTRACT&gt;SIM.REF</t>
  </si>
  <si>
    <t>SIM.REF</t>
  </si>
  <si>
    <t>Simulation Refrence</t>
  </si>
  <si>
    <t>IS.CONTRACT&gt;ARRANGEMENT</t>
  </si>
  <si>
    <t>ARRANGEMENT</t>
  </si>
  <si>
    <t>Simulated Arrangement Id</t>
  </si>
  <si>
    <t>IS.CONTRACT&gt;SMB.COMM.BROKER</t>
  </si>
  <si>
    <t>SMB.COMM.BROKER</t>
  </si>
  <si>
    <t>Commodity Broker</t>
  </si>
  <si>
    <t>IS.CONTRACT&gt;SMB.INF.PRODUCT</t>
  </si>
  <si>
    <t>SMB.INF.PRODUCT</t>
  </si>
  <si>
    <t>AA Product</t>
  </si>
  <si>
    <t>IS.CONTRACT&gt;SMB.PROFIT.RATE</t>
  </si>
  <si>
    <t>SMB.PROFIT.RATE</t>
  </si>
  <si>
    <t>profitRate</t>
  </si>
  <si>
    <t>IS.CONTRACT&gt;SMB.TENOR</t>
  </si>
  <si>
    <t>SMB.TENOR</t>
  </si>
  <si>
    <t>tenor</t>
  </si>
  <si>
    <t>IS.CONTRACT&gt;SMB.DOC.ID</t>
  </si>
  <si>
    <t>SMB.DOC.ID</t>
  </si>
  <si>
    <t>documentId</t>
  </si>
  <si>
    <t>IS.CONTRACT&gt;SMB.EIGER.ID</t>
  </si>
  <si>
    <t>SMB.EIGER.ID</t>
  </si>
  <si>
    <t>VendorRefId</t>
  </si>
  <si>
    <t>IS.CONTRACT&gt;SMB.OFFER.DATE</t>
  </si>
  <si>
    <t>SMB.OFFER.DATE</t>
  </si>
  <si>
    <t>DATE</t>
  </si>
  <si>
    <t>loanOfferDate</t>
  </si>
  <si>
    <t>IS.CONTRACT&gt;SMB.HYP.REG.ID</t>
  </si>
  <si>
    <t>SMB.HYP.REG.ID</t>
  </si>
  <si>
    <t>hyperPayRegId</t>
  </si>
  <si>
    <t>IS.CONTRACT&gt;SMB.APP.ID</t>
  </si>
  <si>
    <t>SMB.APP.ID</t>
  </si>
  <si>
    <t>applicationId</t>
  </si>
  <si>
    <t>IS.CONTRACT&gt;SMB.PAYMENT.MODE</t>
  </si>
  <si>
    <t>SMB.PAYMENT.MODE</t>
  </si>
  <si>
    <t>paymentMode</t>
  </si>
  <si>
    <t>IS.CONTRACT&gt;SMB.UPFRONT</t>
  </si>
  <si>
    <t>SMB.UPFRONT</t>
  </si>
  <si>
    <t>adminFee</t>
  </si>
  <si>
    <t>IS.CONTRACT&gt;CUSTOMER.ACCT</t>
  </si>
  <si>
    <t>CUSTOMER.ACCT</t>
  </si>
  <si>
    <t>customerAccount</t>
  </si>
  <si>
    <t>IS.CONTRACT&gt;PURCHASE.PRICE</t>
  </si>
  <si>
    <t>PURCHASE.PRICE</t>
  </si>
  <si>
    <t>purchasePrice.1.1</t>
  </si>
  <si>
    <t>IS.CONTRACT&gt;QUANTITY</t>
  </si>
  <si>
    <t>QUANTITY</t>
  </si>
  <si>
    <t>purchaseQuantity.1.1</t>
  </si>
  <si>
    <t>IS.CONTRACT&gt;UNIT.PRICE</t>
  </si>
  <si>
    <t>UNIT.PRICE</t>
  </si>
  <si>
    <t>unitPrice.1.1</t>
  </si>
  <si>
    <t>IS.CONTRACT&gt;SELL.BR.WASH.ACCT</t>
  </si>
  <si>
    <t>SELL.BR.WASH.ACCT</t>
  </si>
  <si>
    <t>sellBrokerWashAcct.1.1</t>
  </si>
  <si>
    <t>IS.CONTRACT&gt;SELL.BROKER.ACCT</t>
  </si>
  <si>
    <t>SELL.BROKER.ACCT</t>
  </si>
  <si>
    <t>sellBrokerAcct.1.1</t>
  </si>
  <si>
    <t>IS.CONTRACT&gt;SELL.BROKER</t>
  </si>
  <si>
    <t>SELL.BROKER</t>
  </si>
  <si>
    <t>sellBroker.1.1</t>
  </si>
  <si>
    <t>IS.CONTRACT&gt;BUY.BR.WASH.ACCT</t>
  </si>
  <si>
    <t>BUY.BR.WASH.ACCT</t>
  </si>
  <si>
    <t>buyBrokerWashAcct.1.1</t>
  </si>
  <si>
    <t>IS.CONTRACT&gt;BUY.BROKER.ACCT</t>
  </si>
  <si>
    <t>BUY.BROKER.ACCT</t>
  </si>
  <si>
    <t>buyBrokerAcct.1.1</t>
  </si>
  <si>
    <t>IS.CONTRACT&gt;BUY.BROKER</t>
  </si>
  <si>
    <t>BUY.BROKER</t>
  </si>
  <si>
    <t>buyBroker.1.1</t>
  </si>
  <si>
    <t>IS.CONTRACT&gt;COMMODITY</t>
  </si>
  <si>
    <t>COMMODITY</t>
  </si>
  <si>
    <t>commodity.1</t>
  </si>
  <si>
    <t>IS.CONTRACT&gt;REQUEST.AMOUNT</t>
  </si>
  <si>
    <t>REQUEST.AMOUNT</t>
  </si>
  <si>
    <t>requestAmount</t>
  </si>
  <si>
    <t>IS.CONTRACT&gt;DESCRIPTION</t>
  </si>
  <si>
    <t>DESCRIPTION</t>
  </si>
  <si>
    <t>GB assetDescription</t>
  </si>
  <si>
    <t>IS.CONTRACT&gt;VALUE.DATE</t>
  </si>
  <si>
    <t>VALUE.DATE</t>
  </si>
  <si>
    <t>valueDate</t>
  </si>
  <si>
    <t>IS.CONTRACT&gt;CURRENCY</t>
  </si>
  <si>
    <t>currency</t>
  </si>
  <si>
    <t>IS.CONTRACT&gt;STATUS.VALUE.DATE</t>
  </si>
  <si>
    <t>STATUS.VALUE.DATE</t>
  </si>
  <si>
    <t>statusValueDate</t>
  </si>
  <si>
    <t>IS.CONTRACT&gt;STATUS</t>
  </si>
  <si>
    <t>STATUS</t>
  </si>
  <si>
    <t>status</t>
  </si>
  <si>
    <t>IS.CONTRACT&gt;PRODUCT</t>
  </si>
  <si>
    <t>PRODUCT</t>
  </si>
  <si>
    <t>ISProduct</t>
  </si>
  <si>
    <t>IS.CONTRACT&gt;CUSTOMER</t>
  </si>
  <si>
    <t>CUSTOMER</t>
  </si>
  <si>
    <t>customer</t>
  </si>
  <si>
    <t>Simulation ref</t>
  </si>
  <si>
    <t>Finance Info</t>
  </si>
  <si>
    <t>tenure</t>
  </si>
  <si>
    <t>No. Of Installment</t>
  </si>
  <si>
    <t>LOS Session</t>
  </si>
  <si>
    <t>amountfinanced</t>
  </si>
  <si>
    <t>(21,6)</t>
  </si>
  <si>
    <t>Requested Amount</t>
  </si>
  <si>
    <t>Basic Obligation</t>
  </si>
  <si>
    <t>Any future costs</t>
  </si>
  <si>
    <t>Transportation and communications expenses</t>
  </si>
  <si>
    <t>Individual insurance expenses</t>
  </si>
  <si>
    <t>Health care expenses</t>
  </si>
  <si>
    <t>Domestic workers’ wages</t>
  </si>
  <si>
    <t>Electricity services</t>
  </si>
  <si>
    <t>Housing expenses</t>
  </si>
  <si>
    <t>Food expenses</t>
  </si>
  <si>
    <t>totaldeductions</t>
  </si>
  <si>
    <t>VARCHAR2</t>
  </si>
  <si>
    <t>Education expenses</t>
  </si>
  <si>
    <t>Employment Info</t>
  </si>
  <si>
    <t>totalallownces</t>
  </si>
  <si>
    <t>Other Allowance</t>
  </si>
  <si>
    <t>Transfer Allowance</t>
  </si>
  <si>
    <t>housingallowance</t>
  </si>
  <si>
    <t>Housing Allowance</t>
  </si>
  <si>
    <t>basicsalary</t>
  </si>
  <si>
    <t>Basic Salary</t>
  </si>
  <si>
    <t>totalyrsinempl</t>
  </si>
  <si>
    <t>Total Monthly Income</t>
  </si>
  <si>
    <t>yearsatcurrempl</t>
  </si>
  <si>
    <t>Experience at Current Employment</t>
  </si>
  <si>
    <t>cg_subsec</t>
  </si>
  <si>
    <t>Customer Type (Civilian/Military</t>
  </si>
  <si>
    <t>Grade</t>
  </si>
  <si>
    <t>commercialregistrationnumber</t>
  </si>
  <si>
    <t>20 CHAR</t>
  </si>
  <si>
    <t>Commercial Number</t>
  </si>
  <si>
    <t>cg_sectype</t>
  </si>
  <si>
    <t>Type of Sector</t>
  </si>
  <si>
    <t>joiningdate</t>
  </si>
  <si>
    <t>Joining Date</t>
  </si>
  <si>
    <t>cg_occupationjobtitle</t>
  </si>
  <si>
    <t>Occupation/Position Job Title</t>
  </si>
  <si>
    <t>other_emp_busname</t>
  </si>
  <si>
    <t>360 CHAR</t>
  </si>
  <si>
    <t>Employer Name</t>
  </si>
  <si>
    <t>cg_employmentstatus</t>
  </si>
  <si>
    <t>Nature Of Employment</t>
  </si>
  <si>
    <t>Contact Info</t>
  </si>
  <si>
    <t>email</t>
  </si>
  <si>
    <t>200 CHAR</t>
  </si>
  <si>
    <t>E-Mail</t>
  </si>
  <si>
    <t>phone2</t>
  </si>
  <si>
    <t>60 CHAR</t>
  </si>
  <si>
    <t>Mobile Phone 2</t>
  </si>
  <si>
    <t>mobile</t>
  </si>
  <si>
    <t>Mobile Phone</t>
  </si>
  <si>
    <t>ID Info</t>
  </si>
  <si>
    <t>date_of_expiry</t>
  </si>
  <si>
    <t> ID Expiry Date</t>
  </si>
  <si>
    <t>idnumber</t>
  </si>
  <si>
    <t>80 CHAR</t>
  </si>
  <si>
    <t>ID Number</t>
  </si>
  <si>
    <t>cg_idtype</t>
  </si>
  <si>
    <t>ID type</t>
  </si>
  <si>
    <t>Personal Info</t>
  </si>
  <si>
    <t>National ID or Iqma Number</t>
  </si>
  <si>
    <t>cg_residencetype</t>
  </si>
  <si>
    <t> Type of Residence</t>
  </si>
  <si>
    <t>no_of_dependents</t>
  </si>
  <si>
    <t>Number Of Dependents</t>
  </si>
  <si>
    <t>cg_maritalstatus</t>
  </si>
  <si>
    <t>Social Status</t>
  </si>
  <si>
    <t>sex</t>
  </si>
  <si>
    <t>1 CHAR</t>
  </si>
  <si>
    <t>Gender</t>
  </si>
  <si>
    <t>cg_nationalityid</t>
  </si>
  <si>
    <t>Nationality</t>
  </si>
  <si>
    <t>age</t>
  </si>
  <si>
    <t>Age</t>
  </si>
  <si>
    <t>dobdoi</t>
  </si>
  <si>
    <t>Date of Birth</t>
  </si>
  <si>
    <t>custfamilyname_1</t>
  </si>
  <si>
    <t>Family Name (Arabic)</t>
  </si>
  <si>
    <t>custlname_1</t>
  </si>
  <si>
    <t> Third Name (Arabic)</t>
  </si>
  <si>
    <t>custmname_1</t>
  </si>
  <si>
    <t> Middle Name (Arabic)</t>
  </si>
  <si>
    <t>custfname_1</t>
  </si>
  <si>
    <t> First Name (Arabic)</t>
  </si>
  <si>
    <t>custlname</t>
  </si>
  <si>
    <t>Family Name</t>
  </si>
  <si>
    <t>custtname</t>
  </si>
  <si>
    <t> Third Name</t>
  </si>
  <si>
    <t>custmname</t>
  </si>
  <si>
    <t> Middle Name</t>
  </si>
  <si>
    <t>custfname</t>
  </si>
  <si>
    <t> First Name</t>
  </si>
  <si>
    <t>cg_salutation</t>
  </si>
  <si>
    <t>Title </t>
  </si>
  <si>
    <t>Built Name2</t>
  </si>
  <si>
    <t>Mandatory</t>
  </si>
  <si>
    <t>Ref Fields</t>
  </si>
  <si>
    <t>Mapping</t>
  </si>
  <si>
    <t>Technical Name</t>
  </si>
  <si>
    <t>LMS Required from LOS</t>
  </si>
  <si>
    <t>Source</t>
  </si>
  <si>
    <t>Values</t>
  </si>
  <si>
    <t>Enabled</t>
  </si>
  <si>
    <t>Type</t>
  </si>
  <si>
    <t>Loan Application Fields</t>
  </si>
  <si>
    <t>ACCOUNT_NO</t>
  </si>
  <si>
    <t>CIF_ID</t>
  </si>
  <si>
    <t>TRAN_DT</t>
  </si>
  <si>
    <t>AMOUNT</t>
  </si>
  <si>
    <t>CONTRACT_NO</t>
  </si>
  <si>
    <t>reference for transaction</t>
  </si>
  <si>
    <t>RECEIVEDFROM</t>
  </si>
  <si>
    <t>Fransi bank</t>
  </si>
  <si>
    <t>TWQ0081815</t>
  </si>
  <si>
    <t>Primary Applicant</t>
  </si>
  <si>
    <t>Direct Bank Transfer Payment</t>
  </si>
  <si>
    <t>SNB bank</t>
  </si>
  <si>
    <t>TWQ0081816</t>
  </si>
  <si>
    <t>Insurance Payment for Total Loss</t>
  </si>
  <si>
    <t>SADAD</t>
  </si>
  <si>
    <t>Alinma bank</t>
  </si>
  <si>
    <t>TWQ0081817</t>
  </si>
  <si>
    <t>Cancelled Contract Payment</t>
  </si>
  <si>
    <t>Credit Card (POS)</t>
  </si>
  <si>
    <t>GIB bank</t>
  </si>
  <si>
    <t>TWQ0081818</t>
  </si>
  <si>
    <t>Payment from NPL Customers</t>
  </si>
  <si>
    <t>Debit Card (POS)</t>
  </si>
  <si>
    <t>AlBilad bank</t>
  </si>
  <si>
    <t>TWQ0081819</t>
  </si>
  <si>
    <t>Early Loan Settlement Payment</t>
  </si>
  <si>
    <t> Credit Note Payment</t>
  </si>
  <si>
    <t>Saud british bank</t>
  </si>
  <si>
    <t>TWQ0081820</t>
  </si>
  <si>
    <t>Court Payment</t>
  </si>
  <si>
    <t> Direct Cheque Payment</t>
  </si>
  <si>
    <t>ANB bank</t>
  </si>
  <si>
    <t>TWQ0081821</t>
  </si>
  <si>
    <t>Third Parties Payment without Template</t>
  </si>
  <si>
    <t>SAIB bank</t>
  </si>
  <si>
    <t>TWQ0081822</t>
  </si>
  <si>
    <t>Third Parties Payment with Template</t>
  </si>
  <si>
    <t>Alrajhi bank</t>
  </si>
  <si>
    <t>TWQ0081823</t>
  </si>
  <si>
    <t>Insurance (Compensation)</t>
  </si>
  <si>
    <t>Riyad bank</t>
  </si>
  <si>
    <t>TWQ0081824</t>
  </si>
  <si>
    <t>Auction</t>
  </si>
  <si>
    <t>Aljazira bank</t>
  </si>
  <si>
    <t>TWQ0081825</t>
  </si>
  <si>
    <t>Payoff invoice generation date</t>
  </si>
  <si>
    <t>Payoff Invoice Amount- Total</t>
  </si>
  <si>
    <t xml:space="preserve">Arrangement Details </t>
  </si>
  <si>
    <t>AASIM24032TC0MXHSX</t>
  </si>
  <si>
    <t>AASIM24032MKW7FWGV</t>
  </si>
  <si>
    <t>AA24032X111V</t>
  </si>
  <si>
    <t xml:space="preserve">LO System Functions </t>
  </si>
  <si>
    <t>Desbursment Ijarah</t>
  </si>
  <si>
    <t xml:space="preserve">Trail Balance </t>
  </si>
  <si>
    <t xml:space="preserve">Desbursment Tawareuq </t>
  </si>
  <si>
    <t>Desbursment Murabaha</t>
  </si>
  <si>
    <t>S No</t>
  </si>
  <si>
    <t>Column1</t>
  </si>
  <si>
    <t xml:space="preserve">Account </t>
  </si>
  <si>
    <t>Account Type</t>
  </si>
  <si>
    <t xml:space="preserve">Credit </t>
  </si>
  <si>
    <t>Cancle contract</t>
  </si>
  <si>
    <t>Collection of Down Payment</t>
  </si>
  <si>
    <t>1104000001- Account Recievable</t>
  </si>
  <si>
    <t xml:space="preserve">Decline contract </t>
  </si>
  <si>
    <t>I/C   bank GL</t>
  </si>
  <si>
    <t>Payment Captuering</t>
  </si>
  <si>
    <t>Recording of New Facility</t>
  </si>
  <si>
    <t>1106310001 - Inventory</t>
  </si>
  <si>
    <t xml:space="preserve">Reschdualing </t>
  </si>
  <si>
    <t>2104310001 - Deferred Rev - Interest</t>
  </si>
  <si>
    <t xml:space="preserve">Loan Transfer </t>
  </si>
  <si>
    <t>2104310002 - Deferred insurance revenues</t>
  </si>
  <si>
    <t xml:space="preserve">Waiver </t>
  </si>
  <si>
    <t>2112100004 - VAT Non Due</t>
  </si>
  <si>
    <t>2112000001 - Output VAT 15% for domestic</t>
  </si>
  <si>
    <t xml:space="preserve">Refund </t>
  </si>
  <si>
    <t>1104000001 - Account Recievable</t>
  </si>
  <si>
    <t xml:space="preserve">Payment Reversal </t>
  </si>
  <si>
    <t xml:space="preserve">Total Loss </t>
  </si>
  <si>
    <t>Purchase of New Asset</t>
  </si>
  <si>
    <t xml:space="preserve">Services </t>
  </si>
  <si>
    <t>1112000001 - Input VAT 15% Domestic</t>
  </si>
  <si>
    <t xml:space="preserve">Early Termination </t>
  </si>
  <si>
    <t>2101000001 - A/c Payable</t>
  </si>
  <si>
    <t xml:space="preserve">Charges </t>
  </si>
  <si>
    <t>Recording of Admin Fees</t>
  </si>
  <si>
    <t>2104310003 - Deferred Revenue-Admin Fees</t>
  </si>
  <si>
    <t xml:space="preserve"> </t>
  </si>
  <si>
    <t>Tawaruq Event</t>
  </si>
  <si>
    <t>1104000004 - Ashton vendor</t>
  </si>
  <si>
    <t>Customer services transaction</t>
  </si>
  <si>
    <t>1105310003 - Clearing Account Kastle</t>
  </si>
  <si>
    <t>Payment for excess balance</t>
  </si>
  <si>
    <t>1105310002 - Clearing Acount</t>
  </si>
  <si>
    <t>Refund</t>
  </si>
  <si>
    <t>bank -O/C</t>
  </si>
  <si>
    <t>financed amount -admin fees (CR)</t>
  </si>
  <si>
    <t>financed amount -admin fees (DR)</t>
  </si>
  <si>
    <t>Recording of fajr</t>
  </si>
  <si>
    <t xml:space="preserve">600000293-fajr investment </t>
  </si>
  <si>
    <t>2104310001 - Deferred Revenue Profit Auto (Kifah)</t>
  </si>
  <si>
    <t>Installment Payment</t>
  </si>
  <si>
    <t>1105310002 - Clearing account</t>
  </si>
  <si>
    <t>XXX</t>
  </si>
  <si>
    <t>Principal Receivable Overdue</t>
  </si>
  <si>
    <t>Profit  Receivable Overdue</t>
  </si>
  <si>
    <t>Adjust Bill</t>
  </si>
  <si>
    <t>Waiver on Tawarruq Principal*</t>
  </si>
  <si>
    <t>Waiver on Tawarruq Profit**</t>
  </si>
  <si>
    <t>* colud be set as Internal Account or PL head- TA will let us know</t>
  </si>
  <si>
    <t>** colud be set as Internal Account or PL head- TA will let us know</t>
  </si>
  <si>
    <t>Pre-Deferment</t>
  </si>
  <si>
    <t>overdue bills-AA240430Q2Q6</t>
  </si>
  <si>
    <t>Scenario1- Post- Overdue Deferment added in next instalement</t>
  </si>
  <si>
    <t xml:space="preserve">Scenario-2 Post- Overdue Deferment Term Extended </t>
  </si>
  <si>
    <t xml:space="preserve">Accounting entries </t>
  </si>
  <si>
    <t>in this case backdated entries will be Debit Profit from expense and Debit current Principal Receivable. In both the cases Overdue item will be Credited with their respective heads,</t>
  </si>
  <si>
    <t>cancelation sheet</t>
  </si>
  <si>
    <t xml:space="preserve">Write off </t>
  </si>
  <si>
    <t xml:space="preserve">Partial Settlement </t>
  </si>
  <si>
    <t>Murthy please review with the responsible department</t>
  </si>
  <si>
    <t xml:space="preserve">service module </t>
  </si>
  <si>
    <t xml:space="preserve">manuall process for twrek </t>
  </si>
  <si>
    <t xml:space="preserve">APIS report </t>
  </si>
  <si>
    <t>Murthy have to discuss with system arbia</t>
  </si>
  <si>
    <t>FA</t>
  </si>
  <si>
    <t>Effcetive rate</t>
  </si>
  <si>
    <t>There are 2 types of cancellation</t>
  </si>
  <si>
    <t>cancelation Process</t>
  </si>
  <si>
    <t>2- after disbursement the contract and  the financed amount transferred to customer in this case
 there are procedures form central bank we have to follow it:</t>
  </si>
  <si>
    <t>1-after disbursement the contract and the financed amount not transferred to customer in this case just, 
we make (cancel contract maker and cancel contract checker) and the impact in GL is disbursement entries reversed.</t>
  </si>
  <si>
    <r>
      <rPr>
        <b/>
        <u/>
        <sz val="11"/>
        <color theme="1"/>
        <rFont val="Aptos Narrow"/>
        <family val="2"/>
        <scheme val="minor"/>
      </rPr>
      <t>A-customer</t>
    </r>
    <r>
      <rPr>
        <b/>
        <sz val="11"/>
        <color theme="1"/>
        <rFont val="Aptos Narrow"/>
        <family val="2"/>
        <scheme val="minor"/>
      </rPr>
      <t xml:space="preserve"> have to return the financed amount to the company.</t>
    </r>
  </si>
  <si>
    <r>
      <rPr>
        <b/>
        <u/>
        <sz val="11"/>
        <color theme="1"/>
        <rFont val="Aptos Narrow"/>
        <family val="2"/>
        <scheme val="minor"/>
      </rPr>
      <t>B- confession</t>
    </r>
    <r>
      <rPr>
        <b/>
        <sz val="11"/>
        <color theme="1"/>
        <rFont val="Aptos Narrow"/>
        <family val="2"/>
        <scheme val="minor"/>
      </rPr>
      <t xml:space="preserve">   from the customer he want to cancel the contract and he return the amount to our bank account.</t>
    </r>
  </si>
  <si>
    <r>
      <rPr>
        <b/>
        <u/>
        <sz val="11"/>
        <color theme="1"/>
        <rFont val="Aptos Narrow"/>
        <family val="2"/>
        <scheme val="minor"/>
      </rPr>
      <t>C-bank account statement</t>
    </r>
    <r>
      <rPr>
        <b/>
        <sz val="11"/>
        <color theme="1"/>
        <rFont val="Aptos Narrow"/>
        <family val="2"/>
        <scheme val="minor"/>
      </rPr>
      <t xml:space="preserve"> from the customer to check the financed amount movement in his account
 iif the customer use the amount or transfer part or whole of amount in this case we inform him he have to
 close the contract by early termination but if there isn’t any movement for the financed amount just we transfer
 the amount to him then he immediately return the amount to the company 
in this case we have to cancel the contract and the impact in GL disbursement entries reversed.</t>
    </r>
  </si>
  <si>
    <t>Twark product pending isuees</t>
  </si>
  <si>
    <t>funcution</t>
  </si>
  <si>
    <t>finance department comment</t>
  </si>
  <si>
    <t>please refer to  excel sheet(twrek working sheet) named as financing department pending isuees</t>
  </si>
  <si>
    <t>Status</t>
  </si>
  <si>
    <t>1. The total outstanding will not be rested. </t>
  </si>
  <si>
    <t>2. You can capture a payment after writ off and it will be deducted from
     the total outstanding but hase aspecific GL indector like attched below.</t>
  </si>
  <si>
    <t>3. DPD will keep increasing and assigned to a collector. </t>
  </si>
  <si>
    <t>4. The status will appear as "Write off" and it will not be included in the portfolio report. </t>
  </si>
  <si>
    <t>bank GL</t>
  </si>
  <si>
    <t>Write off GL</t>
  </si>
  <si>
    <t>Bad Debts Recoveries</t>
  </si>
  <si>
    <t>Account Receivable</t>
  </si>
  <si>
    <t>Deferred Rev-Interes</t>
  </si>
  <si>
    <t>Provision - Doubtful Debts</t>
  </si>
  <si>
    <r>
      <t>DR (</t>
    </r>
    <r>
      <rPr>
        <b/>
        <sz val="9"/>
        <color theme="1"/>
        <rFont val="Aptos Narrow"/>
        <family val="2"/>
        <scheme val="minor"/>
      </rPr>
      <t>Rev-Interes amount)</t>
    </r>
  </si>
  <si>
    <r>
      <t xml:space="preserve">CR </t>
    </r>
    <r>
      <rPr>
        <b/>
        <sz val="9"/>
        <color theme="1"/>
        <rFont val="Aptos Narrow"/>
        <family val="2"/>
        <scheme val="minor"/>
      </rPr>
      <t>(total outstanding amount)</t>
    </r>
  </si>
  <si>
    <t>GL impact</t>
  </si>
  <si>
    <r>
      <rPr>
        <b/>
        <sz val="11"/>
        <color theme="1"/>
        <rFont val="Aptos Narrow"/>
        <family val="2"/>
        <scheme val="minor"/>
      </rPr>
      <t>DR</t>
    </r>
    <r>
      <rPr>
        <sz val="11"/>
        <color theme="1"/>
        <rFont val="Aptos Narrow"/>
        <family val="2"/>
        <scheme val="minor"/>
      </rPr>
      <t xml:space="preserve"> </t>
    </r>
    <r>
      <rPr>
        <b/>
        <sz val="9"/>
        <color theme="1"/>
        <rFont val="Aptos Narrow"/>
        <family val="2"/>
        <scheme val="minor"/>
      </rPr>
      <t>(amount paid  after write off )</t>
    </r>
  </si>
  <si>
    <r>
      <rPr>
        <b/>
        <sz val="11"/>
        <color theme="1"/>
        <rFont val="Aptos Narrow"/>
        <family val="2"/>
        <scheme val="minor"/>
      </rPr>
      <t>CR</t>
    </r>
    <r>
      <rPr>
        <b/>
        <sz val="8"/>
        <color theme="1"/>
        <rFont val="Aptos Narrow"/>
        <family val="2"/>
        <scheme val="minor"/>
      </rPr>
      <t xml:space="preserve"> (amount paid  after write off )</t>
    </r>
  </si>
  <si>
    <r>
      <t xml:space="preserve">DR </t>
    </r>
    <r>
      <rPr>
        <b/>
        <sz val="10"/>
        <color theme="1"/>
        <rFont val="Aptos Narrow"/>
        <family val="2"/>
        <scheme val="minor"/>
      </rPr>
      <t>(principal total outstanding amount)</t>
    </r>
    <r>
      <rPr>
        <b/>
        <sz val="11"/>
        <color theme="1"/>
        <rFont val="Aptos Narrow"/>
        <family val="2"/>
        <scheme val="minor"/>
      </rPr>
      <t xml:space="preserve">  </t>
    </r>
  </si>
  <si>
    <t>Financial details impact</t>
  </si>
  <si>
    <t>The total outstanding will not be rested. </t>
  </si>
  <si>
    <t>reflect in decreasing outstanding balance by amount paid</t>
  </si>
  <si>
    <t>discuss internally  then SA team</t>
  </si>
  <si>
    <t>Restructure</t>
  </si>
  <si>
    <t>discussion with abdulkareem.almidani@tamweel-aloula.com</t>
  </si>
  <si>
    <t>Inventory</t>
  </si>
  <si>
    <t>Purchase of New Asset_2</t>
  </si>
  <si>
    <t>commodity</t>
  </si>
  <si>
    <t xml:space="preserve"> Disbursement</t>
  </si>
  <si>
    <t xml:space="preserve">Admin fees </t>
  </si>
  <si>
    <t>NORMAL - Rental Payment</t>
  </si>
  <si>
    <t>REFUND - Refund</t>
  </si>
  <si>
    <t>1103310542 - Gulf International Bank Tamweel 20000001232-O/C</t>
  </si>
  <si>
    <t>Restructure GL</t>
  </si>
  <si>
    <t xml:space="preserve"> Inventory</t>
  </si>
  <si>
    <t>A/c Payable</t>
  </si>
  <si>
    <t>Account Recievable</t>
  </si>
  <si>
    <t>Ashton vendor</t>
  </si>
  <si>
    <t>Deferred Rev - Interest</t>
  </si>
  <si>
    <t>Output VAT 15% for domestic</t>
  </si>
  <si>
    <t>Deferred Revenue-Admin Fees</t>
  </si>
  <si>
    <t>buy and sell broker account</t>
  </si>
  <si>
    <t xml:space="preserve">clearing account </t>
  </si>
  <si>
    <t>New contract</t>
  </si>
  <si>
    <t>old contract</t>
  </si>
  <si>
    <t xml:space="preserve">reschedulement there are several steps:
-request from customer for reschdulment current contract with collection department 
-check the eligibility for the customer to restructure by credit team.
-if the customer is elgibale creat new twrek contract with its all stages and this new contract financed amount will be
(prinple amount+overdues amount for the current contract).
-relate reschedule checker stage for old contract  by acceptance from customer in new contract .
-after sign the  new contract and approve the promissory note GL for new contract is disbursed.
-Restructure entries for old contarct is disbursed.
</t>
  </si>
  <si>
    <t>clearing account  (in case of restructure in new twrek contract no financed amount transferred it closed current contract)</t>
  </si>
  <si>
    <t>please refer to  excel sheet(twrek working sheet) named as Grace period calculation</t>
  </si>
  <si>
    <t>manuall process for twrek</t>
  </si>
  <si>
    <t>Purchase of New Asset_</t>
  </si>
  <si>
    <t xml:space="preserve">Credit customer balance </t>
  </si>
  <si>
    <t xml:space="preserve">REFUND in case not integration with bank this will made manullay by refund function </t>
  </si>
  <si>
    <t>after we finsh all procedures (Purchase of New Asset_commodity_Credit customer balance _admin fees deduction) customer balance will be credit with 24613.65(financed amount)
we will manully transfer this amount to customer bank account (IPAN NO) then reflect in  GL DR customer balance by same amount after trasfer (refund function)</t>
  </si>
  <si>
    <t>GL manuall process for twrek</t>
  </si>
  <si>
    <t>GL name</t>
  </si>
  <si>
    <t xml:space="preserve">Example based on T24 </t>
  </si>
  <si>
    <t xml:space="preserve">in case not integration with bank this 
will made manullay by refund   function  </t>
  </si>
  <si>
    <t>in this case we need screen to review the transactions before proceed transfer the financed amount to customer account by refund funcution.
- after we finsh all procedures (Purchase of New Asset_commodity_Credit customer balance _admin fees deduction) customer balance will be credit with 24613.65(financed amount)
   we will manully transfer this amount to customer bank account (IPAN NO) then reflect in  GL DR customer balance by same amount after trasfer (refund function).</t>
  </si>
  <si>
    <t>sub product for twrek (External Purchasing Debts&amp;Internal Purchasing Debts)</t>
  </si>
  <si>
    <t xml:space="preserve">ballon payment </t>
  </si>
  <si>
    <t>EMI without ins</t>
  </si>
  <si>
    <t>Tenor</t>
  </si>
  <si>
    <t>flate rate</t>
  </si>
  <si>
    <t>Principal according to SA calculation</t>
  </si>
  <si>
    <t>Principal Profit according to SA calculation</t>
  </si>
  <si>
    <t>differnce in Princple</t>
  </si>
  <si>
    <t>diffrence in profit</t>
  </si>
  <si>
    <t>Annual profit amount</t>
  </si>
  <si>
    <t>total profit amount</t>
  </si>
  <si>
    <t>please refer to  excel sheet(twrek working sheet) named Day2 - Simulated Schedule (2)</t>
  </si>
  <si>
    <t>Repayment schdual ,IRR calculation,profit calculation and APR calculation</t>
  </si>
  <si>
    <t>TAMWEEL ALOULA COMPANY</t>
  </si>
  <si>
    <t>(CLOSED JOINT STOCK COMPANY)</t>
  </si>
  <si>
    <t>Amortization Table</t>
  </si>
  <si>
    <t>Loan ID</t>
  </si>
  <si>
    <t>رقم العقد</t>
  </si>
  <si>
    <t>SN</t>
  </si>
  <si>
    <t>عقود غير موجوده في المحفظة</t>
  </si>
  <si>
    <t>Name</t>
  </si>
  <si>
    <t>اسم العميل</t>
  </si>
  <si>
    <t>VAT finance</t>
  </si>
  <si>
    <t>Corporate</t>
  </si>
  <si>
    <t>ID no</t>
  </si>
  <si>
    <t>رقم الهوية</t>
  </si>
  <si>
    <t>One time</t>
  </si>
  <si>
    <t>Retail</t>
  </si>
  <si>
    <t>Contract type</t>
  </si>
  <si>
    <t>حالة العقد</t>
  </si>
  <si>
    <t>If there is any issue please contact :-</t>
  </si>
  <si>
    <t>VAT on principle type</t>
  </si>
  <si>
    <t>نوع الضريبة المضافة على المبلغ الممول</t>
  </si>
  <si>
    <t>Mohamad dawod</t>
  </si>
  <si>
    <t>Cash Price</t>
  </si>
  <si>
    <t>Total Cost Term</t>
  </si>
  <si>
    <t>mohamad.dawod@tamweel-aloula.com</t>
  </si>
  <si>
    <t>Down Payment</t>
  </si>
  <si>
    <t>Cost Inst</t>
  </si>
  <si>
    <t>Vat on down payment</t>
  </si>
  <si>
    <t>Total Contract Amount</t>
  </si>
  <si>
    <t>Financed Amount</t>
  </si>
  <si>
    <t>EMI</t>
  </si>
  <si>
    <t>VAT on financed</t>
  </si>
  <si>
    <t>RV-Balloon</t>
  </si>
  <si>
    <t>Insurance</t>
  </si>
  <si>
    <t>Interest</t>
  </si>
  <si>
    <t>VAT %</t>
  </si>
  <si>
    <t>Net APR (NetExcl.insurance&amp;Fees)</t>
  </si>
  <si>
    <t>System profit input</t>
  </si>
  <si>
    <t>Insurance Amount</t>
  </si>
  <si>
    <t>N#of repayment</t>
  </si>
  <si>
    <t xml:space="preserve">VAT On  Insurance </t>
  </si>
  <si>
    <t>Finance IRR (Monthly)</t>
  </si>
  <si>
    <t xml:space="preserve">Admin Fees </t>
  </si>
  <si>
    <t xml:space="preserve">VAT On  Admin </t>
  </si>
  <si>
    <t>Admin Fees %</t>
  </si>
  <si>
    <t>Grace period</t>
  </si>
  <si>
    <t>Total contract maturity</t>
  </si>
  <si>
    <t>Financed</t>
  </si>
  <si>
    <t>حالة القسط</t>
  </si>
  <si>
    <t>رقم القسط</t>
  </si>
  <si>
    <t>قيمة الأصل الابتدائية</t>
  </si>
  <si>
    <t>التأمين</t>
  </si>
  <si>
    <t>الربح</t>
  </si>
  <si>
    <t>الأصل</t>
  </si>
  <si>
    <t>قيمة الضريبة على القيمة الممولة</t>
  </si>
  <si>
    <t>قيمة الضريبة على التأمين</t>
  </si>
  <si>
    <t>القسط الشهرى</t>
  </si>
  <si>
    <t>القيمة المتبقية من الأصل</t>
  </si>
  <si>
    <t>Ins#</t>
  </si>
  <si>
    <t>Inst status</t>
  </si>
  <si>
    <t>Opening Balance (Capital)</t>
  </si>
  <si>
    <t xml:space="preserve">VAT On  Finance Amount </t>
  </si>
  <si>
    <t>Ending Balance (Capital)</t>
  </si>
  <si>
    <t>Total</t>
  </si>
  <si>
    <t xml:space="preserve">(ملحق لرقم العقد المذكور اعلاه ليصحح معدل النسبة السنوى APR المذكور بصفحة ملخص العقد - جدول الدفعات)
</t>
  </si>
  <si>
    <t>التاريخ</t>
  </si>
  <si>
    <t>التوقيع</t>
  </si>
  <si>
    <t>updated form date 1/07/2020</t>
  </si>
  <si>
    <t>Comparing contract GL</t>
  </si>
  <si>
    <t>TA GL</t>
  </si>
  <si>
    <t>T24 GL</t>
  </si>
  <si>
    <t>TRANS DATE</t>
  </si>
  <si>
    <t>Event</t>
  </si>
  <si>
    <t>Account Code</t>
  </si>
  <si>
    <t>14/01/2024</t>
  </si>
  <si>
    <t>17/01/2024</t>
  </si>
  <si>
    <t>report with all APIS fees this report have attached items  Date-customer name-ID NO -fees amount</t>
  </si>
  <si>
    <t xml:space="preserve">APIS GL impact for each customer </t>
  </si>
  <si>
    <t>Th GL will be (APIS name) expense as DR ,APIS Accrued expenses as CR ,Description  in GL will be customer ID NO.</t>
  </si>
  <si>
    <t>Write off +bulk write off (specific criteria)</t>
  </si>
  <si>
    <t>RESTRUCTURE (rescheduling)</t>
  </si>
  <si>
    <t>Top Up (internal purshase dept)</t>
  </si>
  <si>
    <t>external  purshase dept</t>
  </si>
  <si>
    <r>
      <t>Reports</t>
    </r>
    <r>
      <rPr>
        <b/>
        <sz val="8"/>
        <color theme="1"/>
        <rFont val="Calibri"/>
        <family val="2"/>
      </rPr>
      <t> </t>
    </r>
    <r>
      <rPr>
        <b/>
        <sz val="10"/>
        <color rgb="FF000000"/>
        <rFont val="Times New Roman"/>
        <family val="1"/>
      </rPr>
      <t xml:space="preserve"> </t>
    </r>
    <r>
      <rPr>
        <b/>
        <sz val="11"/>
        <color theme="1"/>
        <rFont val="Aptos Narrow"/>
        <family val="2"/>
        <scheme val="minor"/>
      </rPr>
      <t>(I will send )</t>
    </r>
  </si>
  <si>
    <t>Principal BY tamweel</t>
  </si>
  <si>
    <t>Principal Profit by tamweel</t>
  </si>
  <si>
    <t>Total Pymt  by tamweel</t>
  </si>
  <si>
    <t>Total Pymt  by SA</t>
  </si>
  <si>
    <t>IT action</t>
  </si>
  <si>
    <t>Confirmed by IT team</t>
  </si>
  <si>
    <t>will discuss with SA</t>
  </si>
  <si>
    <t xml:space="preserve">reviewed by dawwod </t>
  </si>
  <si>
    <t>Provisioning</t>
  </si>
  <si>
    <t>Cost centre and profit centre configuration</t>
  </si>
  <si>
    <t>Session required with SA and TA finance team</t>
  </si>
  <si>
    <t>API costing</t>
  </si>
  <si>
    <t>Updated Status 16/01/2025</t>
  </si>
  <si>
    <t>Closed</t>
  </si>
  <si>
    <t>LM side is closed, but LOS is still open.</t>
  </si>
  <si>
    <t>Please confirm which contract will be used, 3 or 4 (SAMA one or TA one)?</t>
  </si>
  <si>
    <t>Nazim to check with Murthy, Nazim to share the sample reports extracts with Murthy</t>
  </si>
  <si>
    <t>Nazim and Murthy</t>
  </si>
  <si>
    <t>TA have to share the GL entry frequency for each third-party API.
Nazim to Manage this</t>
  </si>
  <si>
    <t>During the write-off session, TA has provided provisioning entry. Which has to be discussed with the SA Finance team. TA to confirm that they want this entry stage or not.
TA session required with the SA finance team is required to discuss that provisioning is covered through IFRS9 or provisioning</t>
  </si>
  <si>
    <t>Same as point 12, Topup</t>
  </si>
  <si>
    <r>
      <t xml:space="preserve">TA needs to have subproduct for </t>
    </r>
    <r>
      <rPr>
        <b/>
        <sz val="11"/>
        <color theme="1"/>
        <rFont val="Aptos Narrow"/>
        <family val="2"/>
        <scheme val="minor"/>
      </rPr>
      <t>Top-up</t>
    </r>
    <r>
      <rPr>
        <sz val="11"/>
        <color theme="1"/>
        <rFont val="Aptos Narrow"/>
        <family val="2"/>
        <scheme val="minor"/>
      </rPr>
      <t xml:space="preserve"> e.g. Tawarruq (Top-up), in which the old Loan will be closed and new loan will be opened (as we are doing in restructure (top-up).
For the sub product the GL should be separated therefore a new product will be created with different name and category. 
</t>
    </r>
    <r>
      <rPr>
        <b/>
        <sz val="11"/>
        <color theme="1"/>
        <rFont val="Aptos Narrow"/>
        <family val="2"/>
        <scheme val="minor"/>
      </rPr>
      <t xml:space="preserve">Buy-out </t>
    </r>
    <r>
      <rPr>
        <sz val="11"/>
        <color theme="1"/>
        <rFont val="Aptos Narrow"/>
        <family val="2"/>
        <scheme val="minor"/>
      </rPr>
      <t>for a new financing, if customer has requested to settle its existing other bank loan then funds will be sent to that bank as per defined %. this will also required new product as new category.            
For both cases, we need to involve LOS team plus some new fields will be added in list of fields file.BSDD will be updated according. Moreover, please also mention product name in product setup sheet with category.</t>
    </r>
  </si>
  <si>
    <t>Same as point12</t>
  </si>
  <si>
    <t>All functionalities are available in LMS, Integration discussion is required</t>
  </si>
  <si>
    <t>Closed, SAMA contract will be used for contract 3</t>
  </si>
  <si>
    <t xml:space="preserve">Grace period </t>
  </si>
  <si>
    <t xml:space="preserve">Closed, we have sent the email and TA has accepted Tranasct Grace Schedule </t>
  </si>
  <si>
    <t>Financing Type</t>
  </si>
  <si>
    <t>LOV:
New Loan
Restructured
Top-up
Buy-Out</t>
  </si>
  <si>
    <t xml:space="preserve">Old Arrangement Refrence </t>
  </si>
  <si>
    <t xml:space="preserve">Buy-out Amount </t>
  </si>
  <si>
    <t>Restrucutre Type</t>
  </si>
  <si>
    <t>LOV:
Principal Only
Principal + Profit
Top-up with Principal
Top-up with Principal and Profit</t>
  </si>
  <si>
    <t>Top-up Type</t>
  </si>
  <si>
    <t xml:space="preserve">LOV:
Top-up with Principal
Top-up with Principal and Profit
</t>
  </si>
  <si>
    <t>Input Field</t>
  </si>
  <si>
    <t>BH.REST.ARR.ID</t>
  </si>
  <si>
    <t>BH.PFT.REST.TYPE</t>
  </si>
  <si>
    <t>IS.CONTRACT&gt;BH.PFT.REST.TYPE</t>
  </si>
  <si>
    <t>IS.CONTRACT&gt;BH.REST.ARR.ID</t>
  </si>
  <si>
    <t>RestructureInfo</t>
  </si>
  <si>
    <t>TopupInfo</t>
  </si>
  <si>
    <t>Buy-outAmt</t>
  </si>
  <si>
    <t>OldArrRef</t>
  </si>
  <si>
    <t>Finance Type</t>
  </si>
  <si>
    <t>LOV</t>
  </si>
  <si>
    <t xml:space="preserve">Y
</t>
  </si>
  <si>
    <t>NOTE: ALI TO SHARE THE PROCESS OF EB FILE UPLOAD</t>
  </si>
  <si>
    <t>Personal Finance - Personal Finance Product (New Finance, Restructured Finance, Buy-out Finance and Top-up Finance)</t>
  </si>
  <si>
    <t>Generated Date: 14-Jan-2025 18:03:35</t>
  </si>
  <si>
    <t>Excel APR</t>
  </si>
  <si>
    <t>Excel IRR</t>
  </si>
  <si>
    <t>T24 IRR</t>
  </si>
  <si>
    <t>Days</t>
  </si>
  <si>
    <t>Accumulated Profit</t>
  </si>
  <si>
    <t>Balance</t>
  </si>
  <si>
    <t>T24 APR</t>
  </si>
  <si>
    <t>SA</t>
  </si>
  <si>
    <t>Installment</t>
  </si>
  <si>
    <t>this is calculated on 360 day basis, likewise it go same for Grace period which is on 365 day basis</t>
  </si>
  <si>
    <t>TA Internal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</si>
</sst>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_);_(* \(#,##0\);_(* &quot;-&quot;??_);_(@_)"/>
    <numFmt numFmtId="165" formatCode="[$-409]d\-mmm\-yy;@"/>
    <numFmt numFmtId="166" formatCode="0.0000%"/>
    <numFmt numFmtId="167" formatCode="0.000000000%"/>
    <numFmt numFmtId="168" formatCode="0.00000%"/>
    <numFmt numFmtId="169" formatCode="_(* #,##0.000_);_(* \(#,##0.000\);_(* &quot;-&quot;??_);_(@_)"/>
    <numFmt numFmtId="170" formatCode="_(* #,##0.00000_);_(* \(#,##0.00000\);_(* &quot;-&quot;??_);_(@_)"/>
    <numFmt numFmtId="171" formatCode="0.000%"/>
  </numFmts>
  <fonts count="68"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1"/>
      <color rgb="FFFF0000"/>
      <name val="Aptos Narrow"/>
      <family val="2"/>
      <scheme val="minor"/>
    </font>
    <font>
      <sz val="11"/>
      <color theme="0"/>
      <name val="Aptos Narrow"/>
      <family val="2"/>
      <scheme val="minor"/>
    </font>
    <font>
      <b/>
      <sz val="16"/>
      <color theme="1"/>
      <name val="Aptos Narrow"/>
      <family val="2"/>
      <scheme val="minor"/>
    </font>
    <font>
      <b/>
      <sz val="12"/>
      <color theme="1"/>
      <name val="Aptos"/>
      <family val="2"/>
    </font>
    <font>
      <sz val="12"/>
      <color theme="1"/>
      <name val="Aptos"/>
      <family val="2"/>
    </font>
    <font>
      <b/>
      <sz val="9"/>
      <color rgb="FF336699"/>
      <name val="Trebuchet MS"/>
      <family val="2"/>
    </font>
    <font>
      <b/>
      <sz val="11"/>
      <color rgb="FFFF0000"/>
      <name val="Aptos Narrow"/>
      <family val="2"/>
      <scheme val="minor"/>
    </font>
    <font>
      <b/>
      <sz val="9"/>
      <color theme="1"/>
      <name val="Aptos Narrow"/>
      <family val="2"/>
      <scheme val="minor"/>
    </font>
    <font>
      <sz val="9"/>
      <color theme="1"/>
      <name val="Aptos Narrow"/>
      <family val="2"/>
      <scheme val="minor"/>
    </font>
    <font>
      <sz val="9"/>
      <color rgb="FF002060"/>
      <name val="Aptos Narrow"/>
      <family val="2"/>
      <scheme val="minor"/>
    </font>
    <font>
      <sz val="9"/>
      <color rgb="FFFF0000"/>
      <name val="Aptos Narrow"/>
      <family val="2"/>
      <scheme val="minor"/>
    </font>
    <font>
      <strike/>
      <sz val="9"/>
      <color theme="1"/>
      <name val="Aptos Narrow"/>
      <family val="2"/>
      <scheme val="minor"/>
    </font>
    <font>
      <strike/>
      <sz val="9"/>
      <color rgb="FF002060"/>
      <name val="Aptos Narrow"/>
      <family val="2"/>
      <scheme val="minor"/>
    </font>
    <font>
      <sz val="9"/>
      <color rgb="FF7030A0"/>
      <name val="Aptos Narrow"/>
      <family val="2"/>
      <scheme val="minor"/>
    </font>
    <font>
      <b/>
      <sz val="9"/>
      <color rgb="FF002060"/>
      <name val="Aptos Narrow"/>
      <family val="2"/>
      <scheme val="minor"/>
    </font>
    <font>
      <sz val="11"/>
      <color rgb="FF000000"/>
      <name val="Calibri"/>
      <family val="2"/>
    </font>
    <font>
      <sz val="11"/>
      <name val="Aptos Narrow"/>
      <family val="2"/>
      <scheme val="minor"/>
    </font>
    <font>
      <b/>
      <sz val="11"/>
      <name val="Aptos Narrow"/>
      <family val="2"/>
      <scheme val="minor"/>
    </font>
    <font>
      <strike/>
      <sz val="11"/>
      <color theme="1"/>
      <name val="Aptos Narrow"/>
      <family val="2"/>
      <scheme val="minor"/>
    </font>
    <font>
      <b/>
      <strike/>
      <sz val="11"/>
      <color theme="1"/>
      <name val="Aptos Narrow"/>
      <family val="2"/>
      <scheme val="minor"/>
    </font>
    <font>
      <sz val="11"/>
      <color indexed="8"/>
      <name val="Calibri"/>
      <family val="2"/>
      <charset val="1"/>
    </font>
    <font>
      <b/>
      <sz val="11"/>
      <color indexed="8"/>
      <name val="Calibri"/>
      <family val="2"/>
      <charset val="1"/>
    </font>
    <font>
      <b/>
      <sz val="11"/>
      <color indexed="8"/>
      <name val="Calibri"/>
      <family val="2"/>
    </font>
    <font>
      <sz val="11"/>
      <color theme="1"/>
      <name val="Calibri"/>
      <family val="2"/>
    </font>
    <font>
      <sz val="11"/>
      <name val="Calibri"/>
      <family val="2"/>
    </font>
    <font>
      <sz val="11"/>
      <color indexed="8"/>
      <name val="Calibri"/>
      <family val="2"/>
    </font>
    <font>
      <b/>
      <sz val="10"/>
      <color rgb="FF000000"/>
      <name val="Times New Roman"/>
      <family val="1"/>
    </font>
    <font>
      <b/>
      <sz val="8"/>
      <color theme="1"/>
      <name val="Calibri"/>
      <family val="2"/>
    </font>
    <font>
      <b/>
      <sz val="11"/>
      <color theme="1"/>
      <name val="Aptos Narrow"/>
      <family val="2"/>
      <scheme val="minor"/>
    </font>
    <font>
      <b/>
      <u/>
      <sz val="11"/>
      <color theme="1"/>
      <name val="Aptos Narrow"/>
      <family val="2"/>
      <scheme val="minor"/>
    </font>
    <font>
      <b/>
      <sz val="14"/>
      <color theme="0"/>
      <name val="Aptos Narrow"/>
      <family val="2"/>
      <scheme val="minor"/>
    </font>
    <font>
      <b/>
      <sz val="11"/>
      <color theme="0"/>
      <name val="Aptos Narrow"/>
      <family val="2"/>
      <scheme val="minor"/>
    </font>
    <font>
      <b/>
      <sz val="10"/>
      <color theme="1"/>
      <name val="Aptos Narrow"/>
      <family val="2"/>
      <scheme val="minor"/>
    </font>
    <font>
      <b/>
      <sz val="9"/>
      <color theme="1"/>
      <name val="Aptos Narrow"/>
      <family val="2"/>
      <scheme val="minor"/>
    </font>
    <font>
      <b/>
      <sz val="8"/>
      <color theme="1"/>
      <name val="Aptos Narrow"/>
      <family val="2"/>
      <scheme val="minor"/>
    </font>
    <font>
      <b/>
      <sz val="12"/>
      <color theme="0"/>
      <name val="Aptos Narrow"/>
      <family val="2"/>
      <scheme val="minor"/>
    </font>
    <font>
      <b/>
      <sz val="12"/>
      <name val="Aptos Narrow"/>
      <family val="2"/>
      <scheme val="minor"/>
    </font>
    <font>
      <sz val="11"/>
      <name val="Aptos Narrow"/>
      <family val="2"/>
      <scheme val="minor"/>
    </font>
    <font>
      <b/>
      <sz val="10"/>
      <name val="Arial"/>
      <family val="2"/>
    </font>
    <font>
      <b/>
      <sz val="18"/>
      <color theme="1"/>
      <name val="Aptos Narrow"/>
      <family val="2"/>
      <scheme val="minor"/>
    </font>
    <font>
      <b/>
      <sz val="20"/>
      <color theme="1"/>
      <name val="Aptos Narrow"/>
      <family val="2"/>
      <scheme val="minor"/>
    </font>
    <font>
      <sz val="11"/>
      <color rgb="FFFF0000"/>
      <name val="Aptos Narrow"/>
      <family val="2"/>
      <scheme val="minor"/>
    </font>
    <font>
      <b/>
      <sz val="11"/>
      <color rgb="FFFF0000"/>
      <name val="Aptos Narrow"/>
      <family val="2"/>
      <scheme val="minor"/>
    </font>
    <font>
      <sz val="10"/>
      <color theme="0"/>
      <name val="Arial"/>
      <family val="2"/>
    </font>
    <font>
      <sz val="11"/>
      <color rgb="FF000000"/>
      <name val="Times New Roman"/>
      <family val="1"/>
    </font>
    <font>
      <b/>
      <sz val="18"/>
      <name val="Arial"/>
      <family val="2"/>
    </font>
    <font>
      <b/>
      <sz val="14"/>
      <name val="Arial"/>
      <family val="2"/>
    </font>
    <font>
      <b/>
      <sz val="12"/>
      <name val="Arial"/>
      <family val="2"/>
    </font>
    <font>
      <b/>
      <sz val="10"/>
      <color indexed="8"/>
      <name val="Arial"/>
      <family val="2"/>
    </font>
    <font>
      <sz val="11"/>
      <color theme="1"/>
      <name val="Times New Roman"/>
      <family val="1"/>
    </font>
    <font>
      <sz val="11"/>
      <color theme="1"/>
      <name val="Times New Roman"/>
      <family val="2"/>
      <charset val="178"/>
    </font>
    <font>
      <sz val="10"/>
      <color indexed="8"/>
      <name val="Arial"/>
      <family val="2"/>
    </font>
    <font>
      <sz val="10"/>
      <name val="Arial"/>
      <family val="2"/>
    </font>
    <font>
      <sz val="11"/>
      <name val="Times New Roman"/>
      <family val="2"/>
      <charset val="178"/>
    </font>
    <font>
      <strike/>
      <sz val="10"/>
      <name val="Arial"/>
      <family val="2"/>
    </font>
    <font>
      <b/>
      <sz val="14"/>
      <color indexed="8"/>
      <name val="Arial"/>
      <family val="2"/>
    </font>
    <font>
      <b/>
      <sz val="11"/>
      <color indexed="8"/>
      <name val="Arial"/>
      <family val="2"/>
    </font>
    <font>
      <sz val="20"/>
      <name val="Arial"/>
      <family val="2"/>
    </font>
    <font>
      <b/>
      <sz val="16"/>
      <name val="Arial"/>
      <family val="2"/>
    </font>
    <font>
      <sz val="11"/>
      <color theme="0"/>
      <name val="Arial"/>
      <family val="2"/>
    </font>
    <font>
      <sz val="11"/>
      <color indexed="8"/>
      <name val="Arial"/>
      <family val="2"/>
    </font>
    <font>
      <sz val="11"/>
      <color theme="4" tint="-0.249977111117893"/>
      <name val="Arial"/>
      <family val="2"/>
    </font>
    <font>
      <sz val="16"/>
      <color theme="0"/>
      <name val="Arial"/>
      <family val="2"/>
    </font>
    <font>
      <b/>
      <sz val="11"/>
      <color rgb="FF000000"/>
      <name val="Calibri"/>
      <family val="2"/>
    </font>
  </fonts>
  <fills count="28">
    <fill>
      <patternFill patternType="none"/>
    </fill>
    <fill>
      <patternFill patternType="gray125"/>
    </fill>
    <fill>
      <patternFill patternType="solid">
        <fgColor theme="4"/>
        <bgColor indexed="64"/>
      </patternFill>
    </fill>
    <fill>
      <patternFill patternType="solid">
        <fgColor rgb="FFFFFF00"/>
        <bgColor indexed="64"/>
      </patternFill>
    </fill>
    <fill>
      <patternFill patternType="solid">
        <fgColor theme="4" tint="0.59999389629810485"/>
        <bgColor indexed="64"/>
      </patternFill>
    </fill>
    <fill>
      <patternFill patternType="solid">
        <fgColor theme="0"/>
        <bgColor indexed="64"/>
      </patternFill>
    </fill>
    <fill>
      <patternFill patternType="solid">
        <fgColor theme="5" tint="0.59999389629810485"/>
        <bgColor indexed="64"/>
      </patternFill>
    </fill>
    <fill>
      <patternFill patternType="solid">
        <fgColor theme="5"/>
        <bgColor indexed="64"/>
      </patternFill>
    </fill>
    <fill>
      <patternFill patternType="solid">
        <fgColor theme="6" tint="0.79998168889431442"/>
        <bgColor indexed="64"/>
      </patternFill>
    </fill>
    <fill>
      <patternFill patternType="solid">
        <fgColor rgb="FFFF000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FCFBD9"/>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2" tint="-0.249977111117893"/>
        <bgColor indexed="64"/>
      </patternFill>
    </fill>
    <fill>
      <patternFill patternType="solid">
        <fgColor theme="1" tint="4.9989318521683403E-2"/>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theme="3"/>
        <bgColor indexed="64"/>
      </patternFill>
    </fill>
    <fill>
      <patternFill patternType="solid">
        <fgColor theme="3" tint="0.79998168889431442"/>
        <bgColor indexed="64"/>
      </patternFill>
    </fill>
    <fill>
      <patternFill patternType="solid">
        <fgColor rgb="FF00B050"/>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rgb="FF00B0F0"/>
        <bgColor indexed="64"/>
      </patternFill>
    </fill>
    <fill>
      <patternFill patternType="solid">
        <fgColor rgb="FF92D050"/>
        <bgColor indexed="64"/>
      </patternFill>
    </fill>
  </fills>
  <borders count="69">
    <border>
      <left/>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dotted">
        <color theme="2" tint="-0.499984740745262"/>
      </left>
      <right/>
      <top style="medium">
        <color indexed="64"/>
      </top>
      <bottom style="dotted">
        <color theme="2" tint="-0.499984740745262"/>
      </bottom>
      <diagonal/>
    </border>
  </borders>
  <cellStyleXfs count="7">
    <xf numFmtId="0" fontId="0" fillId="0" borderId="0"/>
    <xf numFmtId="0" fontId="3" fillId="0" borderId="0" applyNumberForma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24" fillId="0" borderId="0"/>
    <xf numFmtId="43" fontId="1" fillId="0" borderId="0" applyFont="0" applyFill="0" applyBorder="0" applyAlignment="0" applyProtection="0"/>
    <xf numFmtId="0" fontId="54" fillId="0" borderId="0"/>
  </cellStyleXfs>
  <cellXfs count="799">
    <xf numFmtId="0" fontId="0" fillId="0" borderId="0" xfId="0"/>
    <xf numFmtId="0" fontId="2" fillId="2" borderId="1" xfId="0" applyFont="1" applyFill="1" applyBorder="1" applyAlignment="1">
      <alignment horizontal="center" vertical="center"/>
    </xf>
    <xf numFmtId="164" fontId="2" fillId="2" borderId="1" xfId="2" applyNumberFormat="1" applyFont="1" applyFill="1" applyBorder="1" applyAlignment="1">
      <alignment horizontal="center" vertical="center"/>
    </xf>
    <xf numFmtId="0" fontId="0" fillId="0" borderId="3" xfId="0" applyBorder="1" applyAlignment="1">
      <alignment horizontal="center" vertical="center" wrapText="1"/>
    </xf>
    <xf numFmtId="0" fontId="0" fillId="0" borderId="3" xfId="0" applyBorder="1" applyAlignment="1">
      <alignment vertical="center"/>
    </xf>
    <xf numFmtId="0" fontId="0" fillId="0" borderId="4" xfId="0" applyBorder="1" applyAlignment="1">
      <alignment horizontal="center" vertical="center"/>
    </xf>
    <xf numFmtId="0" fontId="0" fillId="0" borderId="2" xfId="0" applyBorder="1"/>
    <xf numFmtId="0" fontId="0" fillId="0" borderId="3" xfId="0" applyBorder="1"/>
    <xf numFmtId="43" fontId="0" fillId="0" borderId="4" xfId="2" applyFont="1" applyFill="1" applyBorder="1"/>
    <xf numFmtId="0" fontId="0" fillId="0" borderId="6" xfId="0" applyBorder="1" applyAlignment="1">
      <alignment horizontal="center" vertical="center" wrapText="1"/>
    </xf>
    <xf numFmtId="0" fontId="0" fillId="0" borderId="6" xfId="0" applyBorder="1" applyAlignment="1">
      <alignment vertical="center"/>
    </xf>
    <xf numFmtId="0" fontId="0" fillId="0" borderId="7" xfId="0" applyBorder="1" applyAlignment="1">
      <alignment horizontal="center" vertical="center"/>
    </xf>
    <xf numFmtId="0" fontId="0" fillId="0" borderId="8" xfId="0" applyBorder="1"/>
    <xf numFmtId="0" fontId="0" fillId="0" borderId="9" xfId="0" applyBorder="1"/>
    <xf numFmtId="43" fontId="0" fillId="0" borderId="10" xfId="0" applyNumberFormat="1" applyBorder="1"/>
    <xf numFmtId="0" fontId="0" fillId="0" borderId="4" xfId="0" applyBorder="1" applyAlignment="1">
      <alignment horizontal="center" vertical="center" wrapText="1"/>
    </xf>
    <xf numFmtId="0" fontId="0" fillId="0" borderId="7" xfId="0" applyBorder="1" applyAlignment="1">
      <alignment horizontal="center" vertical="center" wrapText="1"/>
    </xf>
    <xf numFmtId="43" fontId="0" fillId="0" borderId="3" xfId="0" applyNumberFormat="1" applyBorder="1" applyAlignment="1">
      <alignment horizontal="center" vertical="center"/>
    </xf>
    <xf numFmtId="0" fontId="0" fillId="0" borderId="10" xfId="0" applyBorder="1"/>
    <xf numFmtId="0" fontId="0" fillId="0" borderId="9" xfId="0" applyBorder="1" applyAlignment="1">
      <alignment horizontal="center" vertical="center" wrapText="1"/>
    </xf>
    <xf numFmtId="0" fontId="0" fillId="0" borderId="9" xfId="0" applyBorder="1" applyAlignment="1">
      <alignment vertical="center"/>
    </xf>
    <xf numFmtId="43" fontId="0" fillId="0" borderId="9" xfId="0" applyNumberFormat="1" applyBorder="1" applyAlignment="1">
      <alignment horizontal="center" vertical="center"/>
    </xf>
    <xf numFmtId="0" fontId="0" fillId="0" borderId="10" xfId="0" applyBorder="1" applyAlignment="1">
      <alignment horizontal="center" vertical="center" wrapText="1"/>
    </xf>
    <xf numFmtId="0" fontId="0" fillId="0" borderId="5" xfId="0" applyBorder="1"/>
    <xf numFmtId="9" fontId="0" fillId="0" borderId="6" xfId="0" applyNumberFormat="1" applyBorder="1"/>
    <xf numFmtId="43" fontId="0" fillId="0" borderId="7" xfId="0" applyNumberFormat="1" applyBorder="1"/>
    <xf numFmtId="43" fontId="0" fillId="0" borderId="6" xfId="0" applyNumberFormat="1" applyBorder="1" applyAlignment="1">
      <alignment horizontal="center" vertical="center"/>
    </xf>
    <xf numFmtId="0" fontId="3" fillId="0" borderId="0" xfId="1"/>
    <xf numFmtId="43" fontId="0" fillId="0" borderId="3" xfId="2" applyFont="1" applyFill="1" applyBorder="1" applyAlignment="1">
      <alignment horizontal="center" vertical="center"/>
    </xf>
    <xf numFmtId="43" fontId="0" fillId="0" borderId="9" xfId="2" applyFont="1" applyFill="1" applyBorder="1" applyAlignment="1">
      <alignment horizontal="center" vertical="center"/>
    </xf>
    <xf numFmtId="0" fontId="0" fillId="0" borderId="1" xfId="0" applyBorder="1" applyAlignment="1">
      <alignment horizontal="center" vertical="center" wrapText="1"/>
    </xf>
    <xf numFmtId="0" fontId="0" fillId="0" borderId="1" xfId="0" applyBorder="1"/>
    <xf numFmtId="0" fontId="0" fillId="0" borderId="1" xfId="0" applyBorder="1" applyAlignment="1">
      <alignment vertical="center"/>
    </xf>
    <xf numFmtId="43" fontId="0" fillId="0" borderId="1" xfId="2" applyFont="1" applyFill="1" applyBorder="1" applyAlignment="1">
      <alignment horizontal="center" vertical="center"/>
    </xf>
    <xf numFmtId="0" fontId="0" fillId="0" borderId="12" xfId="0" applyBorder="1" applyAlignment="1">
      <alignment horizontal="center" vertical="center" wrapText="1"/>
    </xf>
    <xf numFmtId="0" fontId="0" fillId="0" borderId="6" xfId="0" applyBorder="1"/>
    <xf numFmtId="0" fontId="0" fillId="0" borderId="14" xfId="0" applyBorder="1" applyAlignment="1">
      <alignment horizontal="center" vertical="center" wrapText="1"/>
    </xf>
    <xf numFmtId="0" fontId="0" fillId="0" borderId="14" xfId="0" applyBorder="1"/>
    <xf numFmtId="0" fontId="0" fillId="0" borderId="14" xfId="0" applyBorder="1" applyAlignment="1">
      <alignment vertical="center"/>
    </xf>
    <xf numFmtId="43" fontId="0" fillId="0" borderId="14" xfId="2" applyFont="1" applyFill="1" applyBorder="1" applyAlignment="1">
      <alignment horizontal="center" vertical="center"/>
    </xf>
    <xf numFmtId="0" fontId="0" fillId="0" borderId="15" xfId="0" applyBorder="1" applyAlignment="1">
      <alignment horizontal="center" vertical="center" wrapText="1"/>
    </xf>
    <xf numFmtId="43" fontId="0" fillId="0" borderId="6" xfId="2" applyFont="1" applyFill="1" applyBorder="1" applyAlignment="1">
      <alignment horizontal="center" vertical="center"/>
    </xf>
    <xf numFmtId="0" fontId="0" fillId="0" borderId="19" xfId="0"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vertical="center"/>
    </xf>
    <xf numFmtId="0" fontId="2" fillId="0" borderId="6" xfId="0" applyFont="1" applyBorder="1" applyAlignment="1">
      <alignment horizontal="center" vertical="center" wrapText="1"/>
    </xf>
    <xf numFmtId="0" fontId="2" fillId="0" borderId="6" xfId="0" applyFont="1" applyBorder="1"/>
    <xf numFmtId="0" fontId="2" fillId="0" borderId="6" xfId="0" applyFont="1" applyBorder="1" applyAlignment="1">
      <alignment vertical="center"/>
    </xf>
    <xf numFmtId="43" fontId="0" fillId="0" borderId="14" xfId="0" applyNumberFormat="1" applyBorder="1" applyAlignment="1">
      <alignment horizontal="center" vertical="center"/>
    </xf>
    <xf numFmtId="43" fontId="0" fillId="0" borderId="1" xfId="0" applyNumberFormat="1" applyBorder="1" applyAlignment="1">
      <alignment horizontal="center" vertical="center"/>
    </xf>
    <xf numFmtId="43" fontId="0" fillId="0" borderId="3" xfId="2" applyFont="1" applyFill="1" applyBorder="1"/>
    <xf numFmtId="0" fontId="0" fillId="0" borderId="4" xfId="0" applyBorder="1"/>
    <xf numFmtId="43" fontId="0" fillId="0" borderId="6" xfId="0" applyNumberFormat="1" applyBorder="1"/>
    <xf numFmtId="0" fontId="0" fillId="0" borderId="7" xfId="0" applyBorder="1"/>
    <xf numFmtId="0" fontId="2" fillId="0" borderId="18" xfId="0" applyFont="1" applyBorder="1" applyAlignment="1">
      <alignment horizontal="center" vertical="center"/>
    </xf>
    <xf numFmtId="0" fontId="0" fillId="0" borderId="22" xfId="0" applyBorder="1" applyAlignment="1">
      <alignment horizontal="center" vertical="center" wrapText="1"/>
    </xf>
    <xf numFmtId="0" fontId="0" fillId="0" borderId="22" xfId="0" applyBorder="1"/>
    <xf numFmtId="0" fontId="0" fillId="0" borderId="22" xfId="0" applyBorder="1" applyAlignment="1">
      <alignment vertical="center"/>
    </xf>
    <xf numFmtId="0" fontId="0" fillId="0" borderId="22" xfId="0" applyBorder="1" applyAlignment="1">
      <alignment horizontal="center" vertical="center"/>
    </xf>
    <xf numFmtId="0" fontId="0" fillId="0" borderId="3" xfId="0" applyBorder="1" applyAlignment="1">
      <alignment horizontal="center" vertical="center"/>
    </xf>
    <xf numFmtId="0" fontId="0" fillId="0" borderId="9" xfId="0" applyBorder="1" applyAlignment="1">
      <alignment horizontal="center" vertical="center"/>
    </xf>
    <xf numFmtId="0" fontId="0" fillId="0" borderId="6" xfId="0" applyBorder="1" applyAlignment="1">
      <alignment horizontal="center" vertical="center"/>
    </xf>
    <xf numFmtId="0" fontId="2" fillId="0" borderId="3" xfId="0" applyFont="1" applyBorder="1" applyAlignment="1">
      <alignment vertical="center" wrapText="1"/>
    </xf>
    <xf numFmtId="0" fontId="0" fillId="0" borderId="9" xfId="0" applyBorder="1" applyAlignment="1">
      <alignment wrapText="1"/>
    </xf>
    <xf numFmtId="0" fontId="0" fillId="0" borderId="9" xfId="0" applyBorder="1" applyAlignment="1">
      <alignment vertical="center" wrapText="1"/>
    </xf>
    <xf numFmtId="0" fontId="0" fillId="0" borderId="6" xfId="0" applyBorder="1" applyAlignment="1">
      <alignment vertical="center" wrapText="1"/>
    </xf>
    <xf numFmtId="0" fontId="2" fillId="3" borderId="0" xfId="0" applyFont="1" applyFill="1" applyAlignment="1">
      <alignment horizontal="left" vertical="top"/>
    </xf>
    <xf numFmtId="0" fontId="0" fillId="0" borderId="0" xfId="0" applyAlignment="1">
      <alignment horizontal="left" vertical="top"/>
    </xf>
    <xf numFmtId="0" fontId="2" fillId="4" borderId="23" xfId="0" applyFont="1" applyFill="1" applyBorder="1" applyAlignment="1">
      <alignment horizontal="left" vertical="top"/>
    </xf>
    <xf numFmtId="0" fontId="2" fillId="4" borderId="24" xfId="0" applyFont="1" applyFill="1" applyBorder="1" applyAlignment="1">
      <alignment horizontal="left" vertical="top"/>
    </xf>
    <xf numFmtId="164" fontId="2" fillId="4" borderId="25" xfId="2" applyNumberFormat="1" applyFont="1" applyFill="1" applyBorder="1" applyAlignment="1">
      <alignment horizontal="left" vertical="top"/>
    </xf>
    <xf numFmtId="0" fontId="0" fillId="0" borderId="3" xfId="0" applyBorder="1" applyAlignment="1">
      <alignment horizontal="left" vertical="top" wrapText="1"/>
    </xf>
    <xf numFmtId="0" fontId="0" fillId="0" borderId="3" xfId="0" applyBorder="1" applyAlignment="1">
      <alignment horizontal="left" vertical="top"/>
    </xf>
    <xf numFmtId="0" fontId="0" fillId="5" borderId="3" xfId="0" applyFill="1" applyBorder="1" applyAlignment="1">
      <alignment horizontal="left" vertical="top"/>
    </xf>
    <xf numFmtId="0" fontId="0" fillId="5" borderId="4" xfId="0" applyFill="1" applyBorder="1" applyAlignment="1">
      <alignment horizontal="left" vertical="top" wrapText="1"/>
    </xf>
    <xf numFmtId="0" fontId="0" fillId="0" borderId="9" xfId="0" applyBorder="1" applyAlignment="1">
      <alignment horizontal="left" vertical="top" wrapText="1"/>
    </xf>
    <xf numFmtId="0" fontId="0" fillId="0" borderId="14" xfId="0" applyBorder="1" applyAlignment="1">
      <alignment horizontal="left" vertical="top"/>
    </xf>
    <xf numFmtId="0" fontId="0" fillId="0" borderId="14" xfId="0" applyBorder="1" applyAlignment="1">
      <alignment horizontal="left" vertical="top" wrapText="1"/>
    </xf>
    <xf numFmtId="0" fontId="0" fillId="5" borderId="9" xfId="0" applyFill="1" applyBorder="1" applyAlignment="1">
      <alignment horizontal="left" vertical="top"/>
    </xf>
    <xf numFmtId="0" fontId="0" fillId="5" borderId="10" xfId="0" applyFill="1" applyBorder="1" applyAlignment="1">
      <alignment horizontal="left" vertical="top" wrapText="1"/>
    </xf>
    <xf numFmtId="0" fontId="0" fillId="5" borderId="14" xfId="0" applyFill="1" applyBorder="1" applyAlignment="1">
      <alignment horizontal="left" vertical="top"/>
    </xf>
    <xf numFmtId="0" fontId="0" fillId="5" borderId="15" xfId="0" applyFill="1" applyBorder="1" applyAlignment="1">
      <alignment horizontal="left" vertical="top" wrapText="1"/>
    </xf>
    <xf numFmtId="0" fontId="0" fillId="0" borderId="6" xfId="0" applyBorder="1" applyAlignment="1">
      <alignment horizontal="left" vertical="top" wrapText="1"/>
    </xf>
    <xf numFmtId="0" fontId="0" fillId="0" borderId="26" xfId="0" applyBorder="1" applyAlignment="1">
      <alignment horizontal="left" vertical="top"/>
    </xf>
    <xf numFmtId="0" fontId="0" fillId="0" borderId="26" xfId="0" applyBorder="1" applyAlignment="1">
      <alignment horizontal="left" vertical="top" wrapText="1"/>
    </xf>
    <xf numFmtId="0" fontId="0" fillId="5" borderId="6" xfId="0" applyFill="1" applyBorder="1" applyAlignment="1">
      <alignment horizontal="left" vertical="top"/>
    </xf>
    <xf numFmtId="0" fontId="0" fillId="5" borderId="7" xfId="0" applyFill="1" applyBorder="1" applyAlignment="1">
      <alignment horizontal="left" vertical="top" wrapText="1"/>
    </xf>
    <xf numFmtId="0" fontId="0" fillId="0" borderId="9" xfId="0" applyBorder="1" applyAlignment="1">
      <alignment horizontal="left" vertical="top"/>
    </xf>
    <xf numFmtId="0" fontId="0" fillId="0" borderId="6" xfId="0" applyBorder="1" applyAlignment="1">
      <alignment horizontal="left" vertical="top"/>
    </xf>
    <xf numFmtId="0" fontId="2" fillId="3" borderId="0" xfId="0" applyFont="1" applyFill="1"/>
    <xf numFmtId="0" fontId="2" fillId="4" borderId="16" xfId="0" applyFont="1" applyFill="1" applyBorder="1" applyAlignment="1">
      <alignment horizontal="center" vertical="center"/>
    </xf>
    <xf numFmtId="0" fontId="2" fillId="4" borderId="27" xfId="0" applyFont="1" applyFill="1" applyBorder="1" applyAlignment="1">
      <alignment horizontal="center" vertical="center"/>
    </xf>
    <xf numFmtId="0" fontId="2" fillId="4" borderId="17" xfId="0" applyFont="1" applyFill="1" applyBorder="1" applyAlignment="1">
      <alignment horizontal="center" vertical="center"/>
    </xf>
    <xf numFmtId="43" fontId="0" fillId="0" borderId="4" xfId="2" applyFont="1" applyBorder="1"/>
    <xf numFmtId="43" fontId="0" fillId="0" borderId="7" xfId="2" applyFont="1" applyBorder="1"/>
    <xf numFmtId="0" fontId="0" fillId="0" borderId="18" xfId="0" applyBorder="1"/>
    <xf numFmtId="43" fontId="0" fillId="0" borderId="19" xfId="2" applyFont="1" applyBorder="1"/>
    <xf numFmtId="0" fontId="0" fillId="0" borderId="13" xfId="0" applyBorder="1"/>
    <xf numFmtId="43" fontId="0" fillId="0" borderId="15" xfId="2" applyFont="1" applyBorder="1"/>
    <xf numFmtId="0" fontId="0" fillId="0" borderId="11" xfId="0" applyBorder="1"/>
    <xf numFmtId="43" fontId="0" fillId="0" borderId="12" xfId="2" applyFont="1" applyBorder="1"/>
    <xf numFmtId="15" fontId="0" fillId="0" borderId="0" xfId="0" applyNumberFormat="1"/>
    <xf numFmtId="4" fontId="0" fillId="0" borderId="0" xfId="0" applyNumberFormat="1"/>
    <xf numFmtId="15" fontId="0" fillId="3" borderId="0" xfId="0" applyNumberFormat="1" applyFill="1"/>
    <xf numFmtId="0" fontId="0" fillId="3" borderId="0" xfId="0" applyFill="1"/>
    <xf numFmtId="0" fontId="6" fillId="0" borderId="0" xfId="0" applyFont="1"/>
    <xf numFmtId="0" fontId="2" fillId="0" borderId="0" xfId="0" applyFont="1"/>
    <xf numFmtId="165" fontId="2" fillId="0" borderId="0" xfId="0" applyNumberFormat="1" applyFont="1"/>
    <xf numFmtId="0" fontId="2" fillId="0" borderId="0" xfId="0" applyFont="1" applyAlignment="1">
      <alignment horizontal="center" vertical="center"/>
    </xf>
    <xf numFmtId="0" fontId="0" fillId="6" borderId="0" xfId="0" applyFill="1"/>
    <xf numFmtId="0" fontId="7" fillId="7" borderId="0" xfId="0" applyFont="1" applyFill="1" applyAlignment="1">
      <alignment vertical="center"/>
    </xf>
    <xf numFmtId="0" fontId="8" fillId="0" borderId="0" xfId="0" applyFont="1" applyAlignment="1">
      <alignment vertical="center"/>
    </xf>
    <xf numFmtId="165" fontId="0" fillId="0" borderId="0" xfId="0" applyNumberFormat="1"/>
    <xf numFmtId="164" fontId="0" fillId="0" borderId="0" xfId="2" applyNumberFormat="1" applyFont="1"/>
    <xf numFmtId="165" fontId="0" fillId="3" borderId="0" xfId="0" applyNumberFormat="1" applyFill="1"/>
    <xf numFmtId="10" fontId="0" fillId="0" borderId="0" xfId="0" applyNumberFormat="1"/>
    <xf numFmtId="43" fontId="0" fillId="3" borderId="0" xfId="2" applyFont="1" applyFill="1"/>
    <xf numFmtId="166" fontId="0" fillId="0" borderId="0" xfId="0" applyNumberFormat="1"/>
    <xf numFmtId="10" fontId="0" fillId="0" borderId="0" xfId="3" applyNumberFormat="1" applyFont="1"/>
    <xf numFmtId="0" fontId="9" fillId="0" borderId="0" xfId="0" applyFont="1"/>
    <xf numFmtId="15" fontId="0" fillId="8" borderId="0" xfId="0" applyNumberFormat="1" applyFill="1"/>
    <xf numFmtId="10" fontId="0" fillId="3" borderId="0" xfId="3" applyNumberFormat="1" applyFont="1" applyFill="1"/>
    <xf numFmtId="0" fontId="0" fillId="9" borderId="0" xfId="0" applyFill="1"/>
    <xf numFmtId="43" fontId="0" fillId="0" borderId="0" xfId="0" applyNumberFormat="1"/>
    <xf numFmtId="43" fontId="0" fillId="0" borderId="0" xfId="2" applyFont="1"/>
    <xf numFmtId="43" fontId="0" fillId="9" borderId="0" xfId="0" applyNumberFormat="1" applyFill="1"/>
    <xf numFmtId="0" fontId="0" fillId="5" borderId="0" xfId="0" applyFill="1"/>
    <xf numFmtId="0" fontId="11" fillId="0" borderId="9" xfId="0" applyFont="1" applyBorder="1" applyAlignment="1">
      <alignment vertical="center"/>
    </xf>
    <xf numFmtId="0" fontId="11" fillId="3" borderId="9" xfId="0" applyFont="1" applyFill="1" applyBorder="1" applyAlignment="1">
      <alignment horizontal="center" vertical="center" wrapText="1"/>
    </xf>
    <xf numFmtId="0" fontId="11" fillId="3" borderId="34" xfId="0" applyFont="1" applyFill="1" applyBorder="1" applyAlignment="1">
      <alignment horizontal="center" vertical="center" wrapText="1"/>
    </xf>
    <xf numFmtId="0" fontId="11" fillId="3" borderId="35" xfId="0" applyFont="1" applyFill="1" applyBorder="1" applyAlignment="1">
      <alignment horizontal="center" vertical="center" wrapText="1"/>
    </xf>
    <xf numFmtId="0" fontId="11" fillId="3" borderId="36" xfId="0" applyFont="1" applyFill="1" applyBorder="1" applyAlignment="1">
      <alignment horizontal="center" vertical="center" wrapText="1"/>
    </xf>
    <xf numFmtId="0" fontId="11" fillId="3" borderId="9" xfId="0" applyFont="1" applyFill="1" applyBorder="1" applyAlignment="1">
      <alignment horizontal="left" vertical="center" wrapText="1"/>
    </xf>
    <xf numFmtId="0" fontId="12" fillId="0" borderId="0" xfId="0" applyFont="1"/>
    <xf numFmtId="0" fontId="13" fillId="10" borderId="9" xfId="0" applyFont="1" applyFill="1" applyBorder="1" applyAlignment="1">
      <alignment horizontal="center" vertical="center" wrapText="1"/>
    </xf>
    <xf numFmtId="0" fontId="13" fillId="11" borderId="9" xfId="0" applyFont="1" applyFill="1" applyBorder="1" applyAlignment="1">
      <alignment horizontal="center" vertical="center" wrapText="1"/>
    </xf>
    <xf numFmtId="0" fontId="12" fillId="12" borderId="9" xfId="0" applyFont="1" applyFill="1" applyBorder="1" applyAlignment="1">
      <alignment horizontal="center" vertical="center" wrapText="1"/>
    </xf>
    <xf numFmtId="0" fontId="12" fillId="13" borderId="9" xfId="0" applyFont="1" applyFill="1" applyBorder="1" applyAlignment="1">
      <alignment horizontal="center" vertical="center" wrapText="1"/>
    </xf>
    <xf numFmtId="0" fontId="12" fillId="10" borderId="9" xfId="0" applyFont="1" applyFill="1" applyBorder="1" applyAlignment="1">
      <alignment horizontal="center" vertical="center" wrapText="1"/>
    </xf>
    <xf numFmtId="0" fontId="14" fillId="10" borderId="9" xfId="0" applyFont="1" applyFill="1" applyBorder="1" applyAlignment="1">
      <alignment horizontal="center" vertical="center" wrapText="1"/>
    </xf>
    <xf numFmtId="0" fontId="15" fillId="0" borderId="0" xfId="0" applyFont="1"/>
    <xf numFmtId="0" fontId="16" fillId="11" borderId="9" xfId="0" applyFont="1" applyFill="1" applyBorder="1" applyAlignment="1">
      <alignment horizontal="center" vertical="center" wrapText="1"/>
    </xf>
    <xf numFmtId="0" fontId="15" fillId="13" borderId="9" xfId="0" applyFont="1" applyFill="1" applyBorder="1" applyAlignment="1">
      <alignment horizontal="center" vertical="center" wrapText="1"/>
    </xf>
    <xf numFmtId="0" fontId="15" fillId="10" borderId="9" xfId="0" applyFont="1" applyFill="1" applyBorder="1" applyAlignment="1">
      <alignment horizontal="center" vertical="center" wrapText="1"/>
    </xf>
    <xf numFmtId="0" fontId="12" fillId="13" borderId="9" xfId="0" applyFont="1" applyFill="1" applyBorder="1"/>
    <xf numFmtId="0" fontId="14" fillId="0" borderId="0" xfId="0" applyFont="1"/>
    <xf numFmtId="0" fontId="12" fillId="13" borderId="9" xfId="0" applyFont="1" applyFill="1" applyBorder="1" applyAlignment="1">
      <alignment wrapText="1"/>
    </xf>
    <xf numFmtId="0" fontId="12" fillId="15" borderId="9" xfId="0" applyFont="1" applyFill="1" applyBorder="1"/>
    <xf numFmtId="9" fontId="12" fillId="13" borderId="9" xfId="0" applyNumberFormat="1" applyFont="1" applyFill="1" applyBorder="1"/>
    <xf numFmtId="0" fontId="12" fillId="14" borderId="9" xfId="0" applyFont="1" applyFill="1" applyBorder="1"/>
    <xf numFmtId="0" fontId="12" fillId="14" borderId="9" xfId="0" applyFont="1" applyFill="1" applyBorder="1" applyAlignment="1">
      <alignment vertical="center"/>
    </xf>
    <xf numFmtId="49" fontId="12" fillId="13" borderId="9" xfId="0" applyNumberFormat="1" applyFont="1" applyFill="1" applyBorder="1" applyAlignment="1">
      <alignment vertical="center" wrapText="1"/>
    </xf>
    <xf numFmtId="0" fontId="12" fillId="13" borderId="9" xfId="0" applyFont="1" applyFill="1" applyBorder="1" applyAlignment="1">
      <alignment vertical="center" wrapText="1"/>
    </xf>
    <xf numFmtId="0" fontId="12" fillId="13" borderId="9" xfId="0" applyFont="1" applyFill="1" applyBorder="1" applyAlignment="1">
      <alignment vertical="center"/>
    </xf>
    <xf numFmtId="9" fontId="12" fillId="13" borderId="9" xfId="0" applyNumberFormat="1" applyFont="1" applyFill="1" applyBorder="1" applyAlignment="1">
      <alignment vertical="center"/>
    </xf>
    <xf numFmtId="10" fontId="12" fillId="13" borderId="9" xfId="0" applyNumberFormat="1" applyFont="1" applyFill="1" applyBorder="1" applyAlignment="1">
      <alignment vertical="center"/>
    </xf>
    <xf numFmtId="0" fontId="17" fillId="13" borderId="9" xfId="0" applyFont="1" applyFill="1" applyBorder="1" applyAlignment="1">
      <alignment vertical="center" wrapText="1"/>
    </xf>
    <xf numFmtId="0" fontId="13" fillId="11" borderId="1" xfId="0" applyFont="1" applyFill="1" applyBorder="1" applyAlignment="1">
      <alignment horizontal="center" vertical="center" wrapText="1"/>
    </xf>
    <xf numFmtId="0" fontId="12" fillId="12" borderId="1" xfId="0" applyFont="1" applyFill="1" applyBorder="1" applyAlignment="1">
      <alignment horizontal="center" vertical="center" wrapText="1"/>
    </xf>
    <xf numFmtId="0" fontId="13" fillId="10" borderId="0" xfId="0" applyFont="1" applyFill="1" applyAlignment="1">
      <alignment horizontal="center" vertical="center" wrapText="1"/>
    </xf>
    <xf numFmtId="0" fontId="12" fillId="13" borderId="9" xfId="0" applyFont="1" applyFill="1" applyBorder="1" applyAlignment="1">
      <alignment horizontal="left"/>
    </xf>
    <xf numFmtId="0" fontId="12" fillId="14" borderId="9" xfId="0" applyFont="1" applyFill="1" applyBorder="1" applyAlignment="1">
      <alignment horizontal="left"/>
    </xf>
    <xf numFmtId="0" fontId="12" fillId="13" borderId="35" xfId="0" applyFont="1" applyFill="1" applyBorder="1" applyAlignment="1">
      <alignment vertical="center"/>
    </xf>
    <xf numFmtId="0" fontId="12" fillId="14" borderId="34" xfId="0" applyFont="1" applyFill="1" applyBorder="1" applyAlignment="1">
      <alignment horizontal="center"/>
    </xf>
    <xf numFmtId="0" fontId="12" fillId="14" borderId="35" xfId="0" applyFont="1" applyFill="1" applyBorder="1" applyAlignment="1">
      <alignment horizontal="center"/>
    </xf>
    <xf numFmtId="0" fontId="19" fillId="0" borderId="0" xfId="0" applyFont="1" applyAlignment="1">
      <alignment vertical="center" wrapText="1"/>
    </xf>
    <xf numFmtId="0" fontId="12" fillId="13" borderId="34" xfId="0" applyFont="1" applyFill="1" applyBorder="1" applyAlignment="1">
      <alignment horizontal="center"/>
    </xf>
    <xf numFmtId="0" fontId="12" fillId="12" borderId="9" xfId="0" applyFont="1" applyFill="1" applyBorder="1" applyAlignment="1">
      <alignment horizontal="left" vertical="center" wrapText="1"/>
    </xf>
    <xf numFmtId="0" fontId="14" fillId="12" borderId="9" xfId="0" applyFont="1" applyFill="1" applyBorder="1" applyAlignment="1">
      <alignment horizontal="left" vertical="center" wrapText="1"/>
    </xf>
    <xf numFmtId="0" fontId="12" fillId="13" borderId="35" xfId="0" applyFont="1" applyFill="1" applyBorder="1" applyAlignment="1">
      <alignment horizontal="center"/>
    </xf>
    <xf numFmtId="0" fontId="11" fillId="0" borderId="0" xfId="0" applyFont="1"/>
    <xf numFmtId="0" fontId="13" fillId="3" borderId="9" xfId="0" applyFont="1" applyFill="1" applyBorder="1" applyAlignment="1">
      <alignment horizontal="center" vertical="center" wrapText="1"/>
    </xf>
    <xf numFmtId="0" fontId="12" fillId="3" borderId="9" xfId="0" applyFont="1" applyFill="1" applyBorder="1" applyAlignment="1">
      <alignment horizontal="center" vertical="center" wrapText="1"/>
    </xf>
    <xf numFmtId="0" fontId="12" fillId="3" borderId="34" xfId="0" applyFont="1" applyFill="1" applyBorder="1" applyAlignment="1">
      <alignment horizontal="center"/>
    </xf>
    <xf numFmtId="0" fontId="12" fillId="3" borderId="35" xfId="0" applyFont="1" applyFill="1" applyBorder="1" applyAlignment="1">
      <alignment horizontal="center"/>
    </xf>
    <xf numFmtId="0" fontId="12" fillId="3" borderId="9" xfId="0" applyFont="1" applyFill="1" applyBorder="1" applyAlignment="1">
      <alignment vertical="center"/>
    </xf>
    <xf numFmtId="0" fontId="12" fillId="3" borderId="9" xfId="0" applyFont="1" applyFill="1" applyBorder="1" applyAlignment="1">
      <alignment vertical="center" wrapText="1"/>
    </xf>
    <xf numFmtId="0" fontId="0" fillId="0" borderId="0" xfId="0" quotePrefix="1"/>
    <xf numFmtId="0" fontId="2" fillId="0" borderId="9" xfId="0" applyFont="1" applyBorder="1"/>
    <xf numFmtId="15" fontId="0" fillId="0" borderId="9" xfId="0" applyNumberFormat="1" applyBorder="1"/>
    <xf numFmtId="4" fontId="0" fillId="0" borderId="9" xfId="0" applyNumberFormat="1" applyBorder="1"/>
    <xf numFmtId="15" fontId="20" fillId="0" borderId="9" xfId="0" applyNumberFormat="1" applyFont="1" applyBorder="1"/>
    <xf numFmtId="0" fontId="20" fillId="0" borderId="9" xfId="0" applyFont="1" applyBorder="1"/>
    <xf numFmtId="4" fontId="20" fillId="0" borderId="9" xfId="0" applyNumberFormat="1" applyFont="1" applyBorder="1"/>
    <xf numFmtId="0" fontId="5" fillId="0" borderId="0" xfId="0" applyFont="1"/>
    <xf numFmtId="4" fontId="5" fillId="0" borderId="0" xfId="0" applyNumberFormat="1" applyFont="1"/>
    <xf numFmtId="4" fontId="0" fillId="3" borderId="9" xfId="0" applyNumberFormat="1" applyFill="1" applyBorder="1"/>
    <xf numFmtId="4" fontId="2" fillId="0" borderId="9" xfId="0" applyNumberFormat="1" applyFont="1" applyBorder="1"/>
    <xf numFmtId="15" fontId="0" fillId="0" borderId="1" xfId="0" applyNumberFormat="1" applyBorder="1"/>
    <xf numFmtId="4" fontId="0" fillId="0" borderId="1" xfId="0" applyNumberFormat="1" applyBorder="1"/>
    <xf numFmtId="15" fontId="0" fillId="0" borderId="2" xfId="0" applyNumberFormat="1" applyBorder="1"/>
    <xf numFmtId="4" fontId="0" fillId="0" borderId="3" xfId="0" applyNumberFormat="1" applyBorder="1"/>
    <xf numFmtId="0" fontId="0" fillId="0" borderId="40" xfId="0" applyBorder="1"/>
    <xf numFmtId="0" fontId="0" fillId="0" borderId="41" xfId="0" applyBorder="1"/>
    <xf numFmtId="0" fontId="0" fillId="0" borderId="42" xfId="0" applyBorder="1"/>
    <xf numFmtId="0" fontId="0" fillId="0" borderId="32" xfId="0" applyBorder="1"/>
    <xf numFmtId="0" fontId="0" fillId="0" borderId="43" xfId="0" applyBorder="1"/>
    <xf numFmtId="0" fontId="0" fillId="0" borderId="44" xfId="0" applyBorder="1"/>
    <xf numFmtId="0" fontId="0" fillId="0" borderId="45" xfId="0" applyBorder="1"/>
    <xf numFmtId="15" fontId="0" fillId="0" borderId="32" xfId="0" applyNumberFormat="1" applyBorder="1"/>
    <xf numFmtId="43" fontId="0" fillId="0" borderId="0" xfId="2" applyFont="1" applyBorder="1"/>
    <xf numFmtId="0" fontId="0" fillId="0" borderId="0" xfId="0" applyAlignment="1">
      <alignment horizontal="left" vertical="top" wrapText="1"/>
    </xf>
    <xf numFmtId="0" fontId="2" fillId="0" borderId="32" xfId="0" applyFont="1" applyBorder="1"/>
    <xf numFmtId="4" fontId="2" fillId="0" borderId="0" xfId="0" applyNumberFormat="1" applyFont="1"/>
    <xf numFmtId="0" fontId="6" fillId="0" borderId="28" xfId="0" applyFont="1" applyBorder="1"/>
    <xf numFmtId="4" fontId="0" fillId="11" borderId="0" xfId="0" applyNumberFormat="1" applyFill="1"/>
    <xf numFmtId="4" fontId="0" fillId="15" borderId="0" xfId="0" applyNumberFormat="1" applyFill="1"/>
    <xf numFmtId="14" fontId="0" fillId="0" borderId="0" xfId="0" applyNumberFormat="1"/>
    <xf numFmtId="4" fontId="4" fillId="11" borderId="0" xfId="0" applyNumberFormat="1" applyFont="1" applyFill="1"/>
    <xf numFmtId="4" fontId="0" fillId="3" borderId="0" xfId="0" applyNumberFormat="1" applyFill="1"/>
    <xf numFmtId="0" fontId="0" fillId="5" borderId="9" xfId="0" applyFill="1" applyBorder="1" applyAlignment="1">
      <alignment horizontal="center" vertical="center" wrapText="1"/>
    </xf>
    <xf numFmtId="0" fontId="20" fillId="0" borderId="9" xfId="0" applyFont="1" applyBorder="1" applyAlignment="1">
      <alignment horizontal="center" vertical="center" wrapText="1"/>
    </xf>
    <xf numFmtId="43" fontId="20" fillId="0" borderId="9" xfId="2" applyFont="1" applyFill="1" applyBorder="1" applyAlignment="1">
      <alignment horizontal="left" vertical="center"/>
    </xf>
    <xf numFmtId="0" fontId="20" fillId="0" borderId="9" xfId="0" applyFont="1" applyBorder="1" applyAlignment="1">
      <alignment vertical="center"/>
    </xf>
    <xf numFmtId="0" fontId="2" fillId="4" borderId="9" xfId="0" applyFont="1" applyFill="1" applyBorder="1" applyAlignment="1">
      <alignment horizontal="center" vertical="center"/>
    </xf>
    <xf numFmtId="0" fontId="0" fillId="0" borderId="6" xfId="0" applyBorder="1" applyAlignment="1">
      <alignment wrapText="1"/>
    </xf>
    <xf numFmtId="0" fontId="20" fillId="0" borderId="9" xfId="0" applyFont="1" applyBorder="1" applyAlignment="1">
      <alignment horizontal="center" vertical="center"/>
    </xf>
    <xf numFmtId="164" fontId="2" fillId="0" borderId="25" xfId="2" applyNumberFormat="1" applyFont="1" applyFill="1" applyBorder="1" applyAlignment="1">
      <alignment horizontal="center" vertical="center"/>
    </xf>
    <xf numFmtId="0" fontId="2" fillId="0" borderId="24" xfId="0" applyFont="1" applyBorder="1" applyAlignment="1">
      <alignment horizontal="center" vertical="center"/>
    </xf>
    <xf numFmtId="0" fontId="2" fillId="0" borderId="23" xfId="0" applyFont="1" applyBorder="1" applyAlignment="1">
      <alignment horizontal="center" vertical="center"/>
    </xf>
    <xf numFmtId="0" fontId="0" fillId="0" borderId="14" xfId="0" applyBorder="1" applyAlignment="1">
      <alignment horizontal="center" vertical="center"/>
    </xf>
    <xf numFmtId="0" fontId="0" fillId="0" borderId="14" xfId="0" applyBorder="1" applyAlignment="1">
      <alignment wrapText="1"/>
    </xf>
    <xf numFmtId="0" fontId="0" fillId="0" borderId="3" xfId="0" applyBorder="1" applyAlignment="1">
      <alignment wrapText="1"/>
    </xf>
    <xf numFmtId="0" fontId="0" fillId="0" borderId="26" xfId="0" applyBorder="1" applyAlignment="1">
      <alignment wrapText="1"/>
    </xf>
    <xf numFmtId="0" fontId="0" fillId="0" borderId="26" xfId="0" applyBorder="1" applyAlignment="1">
      <alignment vertical="center"/>
    </xf>
    <xf numFmtId="43" fontId="20" fillId="0" borderId="6" xfId="2" applyFont="1" applyFill="1" applyBorder="1" applyAlignment="1">
      <alignment horizontal="center" vertical="center"/>
    </xf>
    <xf numFmtId="0" fontId="21" fillId="0" borderId="6" xfId="0" applyFont="1" applyBorder="1" applyAlignment="1">
      <alignment vertical="center"/>
    </xf>
    <xf numFmtId="0" fontId="21" fillId="0" borderId="6" xfId="0" applyFont="1" applyBorder="1"/>
    <xf numFmtId="0" fontId="21" fillId="0" borderId="6" xfId="0" applyFont="1" applyBorder="1" applyAlignment="1">
      <alignment horizontal="center" vertical="center" wrapText="1"/>
    </xf>
    <xf numFmtId="0" fontId="20" fillId="0" borderId="14" xfId="0" applyFont="1" applyBorder="1" applyAlignment="1">
      <alignment vertical="center"/>
    </xf>
    <xf numFmtId="0" fontId="20" fillId="0" borderId="14" xfId="0" applyFont="1" applyBorder="1"/>
    <xf numFmtId="0" fontId="20" fillId="0" borderId="14" xfId="0" applyFont="1" applyBorder="1" applyAlignment="1">
      <alignment horizontal="center" vertical="center" wrapText="1"/>
    </xf>
    <xf numFmtId="0" fontId="20" fillId="0" borderId="6" xfId="0" applyFont="1" applyBorder="1" applyAlignment="1">
      <alignment vertical="center"/>
    </xf>
    <xf numFmtId="0" fontId="20" fillId="0" borderId="6" xfId="0" applyFont="1" applyBorder="1"/>
    <xf numFmtId="0" fontId="20" fillId="0" borderId="6" xfId="0" applyFont="1" applyBorder="1" applyAlignment="1">
      <alignment horizontal="center" vertical="center" wrapText="1"/>
    </xf>
    <xf numFmtId="43" fontId="20" fillId="0" borderId="3" xfId="2" applyFont="1" applyFill="1" applyBorder="1" applyAlignment="1">
      <alignment horizontal="center" vertical="center"/>
    </xf>
    <xf numFmtId="0" fontId="20" fillId="0" borderId="3" xfId="0" applyFont="1" applyBorder="1" applyAlignment="1">
      <alignment vertical="center"/>
    </xf>
    <xf numFmtId="0" fontId="20" fillId="0" borderId="3" xfId="0" applyFont="1" applyBorder="1"/>
    <xf numFmtId="0" fontId="20" fillId="0" borderId="3" xfId="0" applyFont="1" applyBorder="1" applyAlignment="1">
      <alignment horizontal="center" vertical="center" wrapText="1"/>
    </xf>
    <xf numFmtId="43" fontId="20" fillId="0" borderId="1" xfId="2" applyFont="1" applyFill="1" applyBorder="1" applyAlignment="1">
      <alignment horizontal="center" vertical="center"/>
    </xf>
    <xf numFmtId="164" fontId="2" fillId="4" borderId="1" xfId="2" applyNumberFormat="1" applyFont="1" applyFill="1" applyBorder="1" applyAlignment="1">
      <alignment horizontal="center" vertical="center"/>
    </xf>
    <xf numFmtId="0" fontId="2" fillId="4" borderId="1" xfId="0" applyFont="1" applyFill="1" applyBorder="1" applyAlignment="1">
      <alignment horizontal="center" vertical="center"/>
    </xf>
    <xf numFmtId="0" fontId="25" fillId="0" borderId="9" xfId="4" applyFont="1" applyBorder="1"/>
    <xf numFmtId="0" fontId="26" fillId="0" borderId="9" xfId="4" applyFont="1" applyBorder="1"/>
    <xf numFmtId="2" fontId="26" fillId="0" borderId="9" xfId="4" applyNumberFormat="1" applyFont="1" applyBorder="1"/>
    <xf numFmtId="0" fontId="25" fillId="3" borderId="9" xfId="4" applyFont="1" applyFill="1" applyBorder="1"/>
    <xf numFmtId="0" fontId="27" fillId="0" borderId="9" xfId="0" applyFont="1" applyBorder="1" applyAlignment="1">
      <alignment horizontal="center" vertical="center"/>
    </xf>
    <xf numFmtId="165" fontId="27" fillId="0" borderId="9" xfId="0" applyNumberFormat="1" applyFont="1" applyBorder="1" applyAlignment="1">
      <alignment horizontal="center" vertical="center" wrapText="1" readingOrder="2"/>
    </xf>
    <xf numFmtId="2" fontId="28" fillId="0" borderId="9" xfId="0" applyNumberFormat="1" applyFont="1" applyBorder="1" applyAlignment="1">
      <alignment horizontal="center" vertical="center"/>
    </xf>
    <xf numFmtId="0" fontId="29" fillId="0" borderId="9" xfId="4" applyFont="1" applyBorder="1" applyAlignment="1">
      <alignment horizontal="left" vertical="top"/>
    </xf>
    <xf numFmtId="0" fontId="1" fillId="0" borderId="9" xfId="0" applyFont="1" applyBorder="1"/>
    <xf numFmtId="0" fontId="0" fillId="0" borderId="9" xfId="0" applyBorder="1" applyAlignment="1">
      <alignment horizontal="left"/>
    </xf>
    <xf numFmtId="0" fontId="0" fillId="0" borderId="9" xfId="0" applyBorder="1" applyAlignment="1">
      <alignment horizontal="center"/>
    </xf>
    <xf numFmtId="0" fontId="25" fillId="0" borderId="39" xfId="4" applyFont="1" applyBorder="1" applyAlignment="1">
      <alignment horizontal="center"/>
    </xf>
    <xf numFmtId="0" fontId="25" fillId="0" borderId="52" xfId="4" applyFont="1" applyBorder="1" applyAlignment="1">
      <alignment horizontal="center"/>
    </xf>
    <xf numFmtId="0" fontId="27" fillId="0" borderId="0" xfId="0" applyFont="1"/>
    <xf numFmtId="2" fontId="27" fillId="0" borderId="0" xfId="0" applyNumberFormat="1" applyFont="1"/>
    <xf numFmtId="0" fontId="22" fillId="0" borderId="0" xfId="0" applyFont="1"/>
    <xf numFmtId="15" fontId="0" fillId="3" borderId="9" xfId="0" applyNumberFormat="1" applyFill="1" applyBorder="1"/>
    <xf numFmtId="0" fontId="0" fillId="3" borderId="9" xfId="0" applyFill="1" applyBorder="1"/>
    <xf numFmtId="0" fontId="4" fillId="0" borderId="9" xfId="0" applyFont="1" applyBorder="1"/>
    <xf numFmtId="15" fontId="2" fillId="0" borderId="9" xfId="0" applyNumberFormat="1" applyFont="1" applyBorder="1"/>
    <xf numFmtId="168" fontId="0" fillId="0" borderId="0" xfId="3" applyNumberFormat="1" applyFont="1"/>
    <xf numFmtId="2" fontId="0" fillId="0" borderId="0" xfId="0" applyNumberFormat="1"/>
    <xf numFmtId="0" fontId="9" fillId="3" borderId="0" xfId="0" applyFont="1" applyFill="1"/>
    <xf numFmtId="10" fontId="0" fillId="3" borderId="0" xfId="0" applyNumberFormat="1" applyFill="1"/>
    <xf numFmtId="0" fontId="0" fillId="3" borderId="3" xfId="0" applyFill="1" applyBorder="1" applyAlignment="1">
      <alignment horizontal="center" vertical="center" wrapText="1"/>
    </xf>
    <xf numFmtId="0" fontId="0" fillId="3" borderId="3" xfId="0" applyFill="1" applyBorder="1" applyAlignment="1">
      <alignment vertical="center"/>
    </xf>
    <xf numFmtId="43" fontId="0" fillId="3" borderId="3" xfId="0" applyNumberFormat="1" applyFill="1" applyBorder="1" applyAlignment="1">
      <alignment horizontal="center" vertical="center" wrapText="1"/>
    </xf>
    <xf numFmtId="0" fontId="0" fillId="3" borderId="4" xfId="0" applyFill="1" applyBorder="1" applyAlignment="1">
      <alignment horizontal="center" vertical="center" wrapText="1"/>
    </xf>
    <xf numFmtId="0" fontId="0" fillId="3" borderId="6" xfId="0" applyFill="1" applyBorder="1" applyAlignment="1">
      <alignment horizontal="center" vertical="center" wrapText="1"/>
    </xf>
    <xf numFmtId="0" fontId="0" fillId="3" borderId="6" xfId="0" applyFill="1" applyBorder="1" applyAlignment="1">
      <alignment vertical="center"/>
    </xf>
    <xf numFmtId="43" fontId="0" fillId="3" borderId="6" xfId="0" applyNumberFormat="1" applyFill="1" applyBorder="1" applyAlignment="1">
      <alignment horizontal="center" vertical="center" wrapText="1"/>
    </xf>
    <xf numFmtId="0" fontId="0" fillId="3" borderId="7" xfId="0" applyFill="1" applyBorder="1" applyAlignment="1">
      <alignment horizontal="center" vertical="center" wrapText="1"/>
    </xf>
    <xf numFmtId="43" fontId="0" fillId="3" borderId="3" xfId="0" applyNumberFormat="1" applyFill="1" applyBorder="1" applyAlignment="1">
      <alignment horizontal="center" vertical="center"/>
    </xf>
    <xf numFmtId="0" fontId="0" fillId="3" borderId="9" xfId="0" applyFill="1" applyBorder="1" applyAlignment="1">
      <alignment horizontal="center" vertical="center" wrapText="1"/>
    </xf>
    <xf numFmtId="0" fontId="0" fillId="3" borderId="9" xfId="0" applyFill="1" applyBorder="1" applyAlignment="1">
      <alignment vertical="center"/>
    </xf>
    <xf numFmtId="43" fontId="0" fillId="3" borderId="9" xfId="0" applyNumberFormat="1" applyFill="1" applyBorder="1" applyAlignment="1">
      <alignment horizontal="center" vertical="center"/>
    </xf>
    <xf numFmtId="0" fontId="0" fillId="3" borderId="10" xfId="0" applyFill="1" applyBorder="1" applyAlignment="1">
      <alignment horizontal="center" vertical="center" wrapText="1"/>
    </xf>
    <xf numFmtId="43" fontId="0" fillId="3" borderId="6" xfId="0" applyNumberFormat="1" applyFill="1" applyBorder="1" applyAlignment="1">
      <alignment horizontal="center" vertical="center"/>
    </xf>
    <xf numFmtId="0" fontId="2" fillId="16" borderId="0" xfId="0" applyFont="1" applyFill="1"/>
    <xf numFmtId="0" fontId="0" fillId="0" borderId="0" xfId="0" applyAlignment="1">
      <alignment horizontal="center"/>
    </xf>
    <xf numFmtId="0" fontId="2" fillId="16" borderId="0" xfId="0" applyFont="1" applyFill="1" applyAlignment="1">
      <alignment horizontal="center"/>
    </xf>
    <xf numFmtId="0" fontId="0" fillId="0" borderId="52" xfId="0" applyBorder="1" applyAlignment="1">
      <alignment horizontal="center"/>
    </xf>
    <xf numFmtId="0" fontId="0" fillId="0" borderId="14" xfId="0" applyBorder="1" applyAlignment="1">
      <alignment horizontal="center"/>
    </xf>
    <xf numFmtId="0" fontId="0" fillId="0" borderId="51" xfId="0" applyBorder="1" applyAlignment="1">
      <alignment horizontal="center"/>
    </xf>
    <xf numFmtId="0" fontId="0" fillId="0" borderId="35" xfId="0" applyBorder="1" applyAlignment="1">
      <alignment horizontal="center"/>
    </xf>
    <xf numFmtId="4" fontId="0" fillId="0" borderId="9" xfId="0" applyNumberFormat="1" applyBorder="1" applyAlignment="1">
      <alignment horizontal="center"/>
    </xf>
    <xf numFmtId="3" fontId="0" fillId="0" borderId="9" xfId="0" applyNumberFormat="1" applyBorder="1" applyAlignment="1">
      <alignment horizontal="center"/>
    </xf>
    <xf numFmtId="0" fontId="0" fillId="17" borderId="35" xfId="0" applyFill="1" applyBorder="1" applyAlignment="1">
      <alignment horizontal="center"/>
    </xf>
    <xf numFmtId="0" fontId="0" fillId="17" borderId="9" xfId="0" applyFill="1" applyBorder="1" applyAlignment="1">
      <alignment horizontal="center"/>
    </xf>
    <xf numFmtId="0" fontId="0" fillId="17" borderId="34" xfId="0" applyFill="1" applyBorder="1" applyAlignment="1">
      <alignment horizontal="center"/>
    </xf>
    <xf numFmtId="0" fontId="0" fillId="17" borderId="0" xfId="0" applyFill="1" applyAlignment="1">
      <alignment horizontal="center"/>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2" fillId="4" borderId="4" xfId="0" applyFont="1" applyFill="1" applyBorder="1" applyAlignment="1">
      <alignment horizontal="center" vertical="center"/>
    </xf>
    <xf numFmtId="0" fontId="2" fillId="0" borderId="5" xfId="0" applyFont="1" applyBorder="1"/>
    <xf numFmtId="0" fontId="2" fillId="0" borderId="7" xfId="0" applyFont="1" applyBorder="1"/>
    <xf numFmtId="15" fontId="0" fillId="0" borderId="13" xfId="0" applyNumberFormat="1" applyBorder="1"/>
    <xf numFmtId="4" fontId="0" fillId="0" borderId="14" xfId="0" applyNumberFormat="1" applyBorder="1"/>
    <xf numFmtId="4" fontId="0" fillId="0" borderId="15" xfId="0" applyNumberFormat="1" applyBorder="1"/>
    <xf numFmtId="15" fontId="0" fillId="9" borderId="8" xfId="0" applyNumberFormat="1" applyFill="1" applyBorder="1"/>
    <xf numFmtId="4" fontId="0" fillId="9" borderId="9" xfId="0" applyNumberFormat="1" applyFill="1" applyBorder="1"/>
    <xf numFmtId="0" fontId="0" fillId="9" borderId="9" xfId="0" applyFill="1" applyBorder="1"/>
    <xf numFmtId="4" fontId="0" fillId="9" borderId="10" xfId="0" applyNumberFormat="1" applyFill="1" applyBorder="1"/>
    <xf numFmtId="15" fontId="0" fillId="0" borderId="8" xfId="0" applyNumberFormat="1" applyBorder="1"/>
    <xf numFmtId="4" fontId="0" fillId="0" borderId="10" xfId="0" applyNumberFormat="1" applyBorder="1"/>
    <xf numFmtId="15" fontId="0" fillId="0" borderId="5" xfId="0" applyNumberFormat="1" applyBorder="1"/>
    <xf numFmtId="4" fontId="0" fillId="0" borderId="6" xfId="0" applyNumberFormat="1" applyBorder="1"/>
    <xf numFmtId="0" fontId="2" fillId="0" borderId="23" xfId="0" applyFont="1" applyBorder="1"/>
    <xf numFmtId="0" fontId="2" fillId="0" borderId="24" xfId="0" applyFont="1" applyBorder="1"/>
    <xf numFmtId="0" fontId="2" fillId="0" borderId="25" xfId="0" applyFont="1" applyBorder="1"/>
    <xf numFmtId="15" fontId="0" fillId="3" borderId="8" xfId="0" applyNumberFormat="1" applyFill="1" applyBorder="1"/>
    <xf numFmtId="4" fontId="0" fillId="3" borderId="10" xfId="0" applyNumberFormat="1" applyFill="1" applyBorder="1"/>
    <xf numFmtId="15" fontId="0" fillId="3" borderId="5" xfId="0" applyNumberFormat="1" applyFill="1" applyBorder="1"/>
    <xf numFmtId="4" fontId="0" fillId="3" borderId="6" xfId="0" applyNumberFormat="1" applyFill="1" applyBorder="1"/>
    <xf numFmtId="0" fontId="0" fillId="3" borderId="6" xfId="0" applyFill="1" applyBorder="1"/>
    <xf numFmtId="0" fontId="0" fillId="3" borderId="7" xfId="0" applyFill="1" applyBorder="1"/>
    <xf numFmtId="170" fontId="0" fillId="0" borderId="0" xfId="5" applyNumberFormat="1" applyFont="1"/>
    <xf numFmtId="171" fontId="0" fillId="0" borderId="0" xfId="0" applyNumberFormat="1"/>
    <xf numFmtId="168" fontId="0" fillId="0" borderId="0" xfId="0" applyNumberFormat="1"/>
    <xf numFmtId="10" fontId="0" fillId="0" borderId="0" xfId="5" applyNumberFormat="1" applyFont="1"/>
    <xf numFmtId="0" fontId="32" fillId="5" borderId="47" xfId="0" applyFont="1" applyFill="1" applyBorder="1"/>
    <xf numFmtId="0" fontId="32" fillId="5" borderId="0" xfId="0" applyFont="1" applyFill="1" applyAlignment="1">
      <alignment wrapText="1"/>
    </xf>
    <xf numFmtId="0" fontId="32" fillId="5" borderId="0" xfId="0" applyFont="1" applyFill="1"/>
    <xf numFmtId="0" fontId="0" fillId="5" borderId="10" xfId="0" applyFill="1" applyBorder="1"/>
    <xf numFmtId="0" fontId="32" fillId="0" borderId="41" xfId="0" applyFont="1" applyBorder="1"/>
    <xf numFmtId="0" fontId="32" fillId="5" borderId="42" xfId="0" applyFont="1" applyFill="1" applyBorder="1" applyAlignment="1">
      <alignment wrapText="1"/>
    </xf>
    <xf numFmtId="0" fontId="0" fillId="5" borderId="42" xfId="0" applyFill="1" applyBorder="1"/>
    <xf numFmtId="0" fontId="32" fillId="5" borderId="42" xfId="0" applyFont="1" applyFill="1" applyBorder="1"/>
    <xf numFmtId="0" fontId="32" fillId="5" borderId="45" xfId="0" applyFont="1" applyFill="1" applyBorder="1" applyAlignment="1">
      <alignment vertical="top" wrapText="1"/>
    </xf>
    <xf numFmtId="0" fontId="32" fillId="8" borderId="42" xfId="0" applyFont="1" applyFill="1" applyBorder="1"/>
    <xf numFmtId="0" fontId="21" fillId="8" borderId="0" xfId="0" applyFont="1" applyFill="1" applyAlignment="1">
      <alignment horizontal="center" wrapText="1"/>
    </xf>
    <xf numFmtId="0" fontId="32" fillId="0" borderId="40" xfId="0" applyFont="1" applyBorder="1"/>
    <xf numFmtId="0" fontId="2" fillId="5" borderId="0" xfId="0" applyFont="1" applyFill="1" applyAlignment="1">
      <alignment horizontal="center" vertical="center" wrapText="1"/>
    </xf>
    <xf numFmtId="0" fontId="2" fillId="5" borderId="0" xfId="0" applyFont="1" applyFill="1" applyAlignment="1">
      <alignment horizontal="center"/>
    </xf>
    <xf numFmtId="0" fontId="37" fillId="5" borderId="0" xfId="0" applyFont="1" applyFill="1" applyAlignment="1">
      <alignment horizontal="center" vertical="center" wrapText="1"/>
    </xf>
    <xf numFmtId="0" fontId="32" fillId="5" borderId="40" xfId="0" applyFont="1" applyFill="1" applyBorder="1"/>
    <xf numFmtId="0" fontId="0" fillId="5" borderId="41" xfId="0" applyFill="1" applyBorder="1"/>
    <xf numFmtId="0" fontId="2" fillId="20" borderId="47" xfId="0" applyFont="1" applyFill="1" applyBorder="1" applyAlignment="1">
      <alignment horizontal="center" vertical="center" wrapText="1"/>
    </xf>
    <xf numFmtId="0" fontId="2" fillId="20" borderId="47" xfId="0" applyFont="1" applyFill="1" applyBorder="1" applyAlignment="1">
      <alignment horizontal="center"/>
    </xf>
    <xf numFmtId="0" fontId="32" fillId="5" borderId="44" xfId="0" applyFont="1" applyFill="1" applyBorder="1" applyAlignment="1">
      <alignment vertical="top" wrapText="1"/>
    </xf>
    <xf numFmtId="0" fontId="0" fillId="4" borderId="9" xfId="0" applyFill="1" applyBorder="1"/>
    <xf numFmtId="4" fontId="0" fillId="4" borderId="9" xfId="0" applyNumberFormat="1" applyFill="1" applyBorder="1"/>
    <xf numFmtId="0" fontId="38" fillId="5" borderId="0" xfId="0" applyFont="1" applyFill="1" applyAlignment="1">
      <alignment horizontal="center" vertical="center" wrapText="1"/>
    </xf>
    <xf numFmtId="0" fontId="39" fillId="8" borderId="0" xfId="0" applyFont="1" applyFill="1" applyAlignment="1">
      <alignment vertical="center"/>
    </xf>
    <xf numFmtId="0" fontId="0" fillId="8" borderId="42" xfId="0" applyFill="1" applyBorder="1"/>
    <xf numFmtId="0" fontId="40" fillId="8" borderId="47" xfId="0" applyFont="1" applyFill="1" applyBorder="1" applyAlignment="1">
      <alignment horizontal="center" vertical="center"/>
    </xf>
    <xf numFmtId="4" fontId="32" fillId="5" borderId="0" xfId="0" applyNumberFormat="1" applyFont="1" applyFill="1"/>
    <xf numFmtId="0" fontId="40" fillId="8" borderId="0" xfId="0" applyFont="1" applyFill="1" applyAlignment="1">
      <alignment vertical="center"/>
    </xf>
    <xf numFmtId="0" fontId="41" fillId="8" borderId="42" xfId="0" applyFont="1" applyFill="1" applyBorder="1"/>
    <xf numFmtId="0" fontId="40" fillId="8" borderId="0" xfId="0" applyFont="1" applyFill="1" applyAlignment="1">
      <alignment horizontal="center" vertical="center"/>
    </xf>
    <xf numFmtId="0" fontId="40" fillId="8" borderId="42" xfId="0" applyFont="1" applyFill="1" applyBorder="1" applyAlignment="1">
      <alignment horizontal="center" vertical="center"/>
    </xf>
    <xf numFmtId="0" fontId="41" fillId="8" borderId="0" xfId="0" applyFont="1" applyFill="1"/>
    <xf numFmtId="4" fontId="32" fillId="5" borderId="42" xfId="0" applyNumberFormat="1" applyFont="1" applyFill="1" applyBorder="1"/>
    <xf numFmtId="4" fontId="0" fillId="5" borderId="0" xfId="0" applyNumberFormat="1" applyFill="1"/>
    <xf numFmtId="0" fontId="0" fillId="9" borderId="14" xfId="0" applyFill="1" applyBorder="1"/>
    <xf numFmtId="0" fontId="32" fillId="0" borderId="9" xfId="0" applyFont="1" applyBorder="1" applyAlignment="1">
      <alignment horizontal="center" vertical="top" wrapText="1"/>
    </xf>
    <xf numFmtId="0" fontId="0" fillId="5" borderId="9" xfId="0" applyFill="1" applyBorder="1" applyAlignment="1">
      <alignment horizontal="center" vertical="center"/>
    </xf>
    <xf numFmtId="0" fontId="0" fillId="9" borderId="33" xfId="0" applyFill="1" applyBorder="1"/>
    <xf numFmtId="4" fontId="0" fillId="9" borderId="33" xfId="0" applyNumberFormat="1" applyFill="1" applyBorder="1"/>
    <xf numFmtId="0" fontId="32" fillId="20" borderId="8" xfId="0" applyFont="1" applyFill="1" applyBorder="1" applyAlignment="1">
      <alignment horizontal="center" vertical="center"/>
    </xf>
    <xf numFmtId="0" fontId="0" fillId="5" borderId="32" xfId="0" applyFill="1" applyBorder="1"/>
    <xf numFmtId="4" fontId="0" fillId="5" borderId="42" xfId="0" applyNumberFormat="1" applyFill="1" applyBorder="1"/>
    <xf numFmtId="0" fontId="0" fillId="9" borderId="32" xfId="0" applyFill="1" applyBorder="1"/>
    <xf numFmtId="4" fontId="0" fillId="9" borderId="42" xfId="0" applyNumberFormat="1" applyFill="1" applyBorder="1"/>
    <xf numFmtId="0" fontId="0" fillId="9" borderId="57" xfId="0" applyFill="1" applyBorder="1"/>
    <xf numFmtId="0" fontId="0" fillId="9" borderId="56" xfId="0" applyFill="1" applyBorder="1"/>
    <xf numFmtId="0" fontId="0" fillId="9" borderId="13" xfId="0" applyFill="1" applyBorder="1"/>
    <xf numFmtId="0" fontId="0" fillId="9" borderId="15" xfId="0" applyFill="1" applyBorder="1"/>
    <xf numFmtId="0" fontId="0" fillId="9" borderId="8" xfId="0" applyFill="1" applyBorder="1"/>
    <xf numFmtId="0" fontId="0" fillId="9" borderId="10" xfId="0" applyFill="1" applyBorder="1"/>
    <xf numFmtId="0" fontId="0" fillId="9" borderId="11" xfId="0" applyFill="1" applyBorder="1" applyAlignment="1">
      <alignment wrapText="1"/>
    </xf>
    <xf numFmtId="0" fontId="0" fillId="9" borderId="20" xfId="0" applyFill="1" applyBorder="1"/>
    <xf numFmtId="0" fontId="0" fillId="9" borderId="6" xfId="0" applyFill="1" applyBorder="1"/>
    <xf numFmtId="0" fontId="0" fillId="9" borderId="7" xfId="0" applyFill="1" applyBorder="1"/>
    <xf numFmtId="9" fontId="0" fillId="0" borderId="9" xfId="3" applyFont="1" applyBorder="1"/>
    <xf numFmtId="10" fontId="0" fillId="0" borderId="9" xfId="3" applyNumberFormat="1" applyFont="1" applyBorder="1"/>
    <xf numFmtId="0" fontId="45" fillId="0" borderId="0" xfId="0" applyFont="1"/>
    <xf numFmtId="0" fontId="46" fillId="0" borderId="0" xfId="0" applyFont="1"/>
    <xf numFmtId="4" fontId="45" fillId="0" borderId="0" xfId="0" applyNumberFormat="1" applyFont="1"/>
    <xf numFmtId="0" fontId="47" fillId="0" borderId="0" xfId="0" applyFont="1" applyProtection="1">
      <protection hidden="1"/>
    </xf>
    <xf numFmtId="0" fontId="0" fillId="0" borderId="0" xfId="0" applyProtection="1">
      <protection hidden="1"/>
    </xf>
    <xf numFmtId="0" fontId="0" fillId="0" borderId="0" xfId="0" applyAlignment="1" applyProtection="1">
      <alignment horizontal="left"/>
      <protection hidden="1"/>
    </xf>
    <xf numFmtId="0" fontId="0" fillId="0" borderId="0" xfId="0" applyAlignment="1" applyProtection="1">
      <alignment horizontal="right"/>
      <protection hidden="1"/>
    </xf>
    <xf numFmtId="0" fontId="50" fillId="0" borderId="9" xfId="0" applyFont="1" applyBorder="1" applyProtection="1">
      <protection hidden="1"/>
    </xf>
    <xf numFmtId="0" fontId="50" fillId="0" borderId="9" xfId="0" applyFont="1" applyBorder="1" applyAlignment="1" applyProtection="1">
      <alignment horizontal="right" vertical="center"/>
      <protection hidden="1"/>
    </xf>
    <xf numFmtId="43" fontId="0" fillId="0" borderId="0" xfId="0" applyNumberFormat="1" applyAlignment="1" applyProtection="1">
      <alignment vertical="center"/>
      <protection hidden="1"/>
    </xf>
    <xf numFmtId="0" fontId="0" fillId="0" borderId="31" xfId="0" applyBorder="1" applyAlignment="1" applyProtection="1">
      <alignment horizontal="center"/>
      <protection hidden="1"/>
    </xf>
    <xf numFmtId="0" fontId="0" fillId="0" borderId="28" xfId="0" applyBorder="1" applyAlignment="1" applyProtection="1">
      <alignment horizontal="center"/>
      <protection hidden="1"/>
    </xf>
    <xf numFmtId="0" fontId="0" fillId="0" borderId="49" xfId="0" applyBorder="1" applyProtection="1">
      <protection hidden="1"/>
    </xf>
    <xf numFmtId="0" fontId="50" fillId="0" borderId="9" xfId="0" applyFont="1" applyBorder="1" applyAlignment="1" applyProtection="1">
      <alignment horizontal="left" vertical="center"/>
      <protection hidden="1"/>
    </xf>
    <xf numFmtId="0" fontId="0" fillId="0" borderId="0" xfId="0" applyAlignment="1" applyProtection="1">
      <alignment horizontal="center"/>
      <protection hidden="1"/>
    </xf>
    <xf numFmtId="0" fontId="0" fillId="0" borderId="47" xfId="0" applyBorder="1" applyProtection="1">
      <protection hidden="1"/>
    </xf>
    <xf numFmtId="43" fontId="0" fillId="0" borderId="0" xfId="0" applyNumberFormat="1" applyAlignment="1" applyProtection="1">
      <alignment horizontal="center" vertical="center"/>
      <protection hidden="1"/>
    </xf>
    <xf numFmtId="0" fontId="50" fillId="0" borderId="1" xfId="0" applyFont="1" applyBorder="1" applyAlignment="1" applyProtection="1">
      <alignment horizontal="left"/>
      <protection hidden="1"/>
    </xf>
    <xf numFmtId="0" fontId="51" fillId="0" borderId="1" xfId="0" applyFont="1" applyBorder="1" applyAlignment="1" applyProtection="1">
      <alignment horizontal="right" vertical="center"/>
      <protection hidden="1"/>
    </xf>
    <xf numFmtId="0" fontId="52" fillId="0" borderId="55" xfId="0" applyFont="1" applyBorder="1" applyAlignment="1" applyProtection="1">
      <alignment horizontal="left"/>
      <protection hidden="1"/>
    </xf>
    <xf numFmtId="0" fontId="0" fillId="0" borderId="64" xfId="0" applyBorder="1" applyProtection="1">
      <protection hidden="1"/>
    </xf>
    <xf numFmtId="0" fontId="0" fillId="0" borderId="27" xfId="0" applyBorder="1" applyProtection="1">
      <protection hidden="1"/>
    </xf>
    <xf numFmtId="0" fontId="52" fillId="0" borderId="65" xfId="0" applyFont="1" applyBorder="1" applyAlignment="1" applyProtection="1">
      <alignment horizontal="left" vertical="center" wrapText="1"/>
      <protection hidden="1"/>
    </xf>
    <xf numFmtId="43" fontId="0" fillId="0" borderId="62" xfId="5" applyFont="1" applyFill="1" applyBorder="1" applyAlignment="1" applyProtection="1">
      <alignment horizontal="right" vertical="center"/>
      <protection hidden="1"/>
    </xf>
    <xf numFmtId="164" fontId="54" fillId="0" borderId="47" xfId="6" applyNumberFormat="1" applyBorder="1" applyProtection="1">
      <protection hidden="1"/>
    </xf>
    <xf numFmtId="4" fontId="0" fillId="0" borderId="0" xfId="0" applyNumberFormat="1" applyProtection="1">
      <protection hidden="1"/>
    </xf>
    <xf numFmtId="164" fontId="0" fillId="0" borderId="0" xfId="0" applyNumberFormat="1" applyProtection="1">
      <protection hidden="1"/>
    </xf>
    <xf numFmtId="43" fontId="0" fillId="0" borderId="0" xfId="0" applyNumberFormat="1" applyProtection="1">
      <protection hidden="1"/>
    </xf>
    <xf numFmtId="0" fontId="52" fillId="0" borderId="53" xfId="0" applyFont="1" applyBorder="1" applyAlignment="1" applyProtection="1">
      <alignment horizontal="left"/>
      <protection hidden="1"/>
    </xf>
    <xf numFmtId="0" fontId="0" fillId="0" borderId="36" xfId="0" applyBorder="1" applyProtection="1">
      <protection hidden="1"/>
    </xf>
    <xf numFmtId="164" fontId="0" fillId="8" borderId="35" xfId="0" applyNumberFormat="1" applyFill="1" applyBorder="1" applyAlignment="1" applyProtection="1">
      <alignment vertical="center"/>
      <protection locked="0"/>
    </xf>
    <xf numFmtId="0" fontId="0" fillId="0" borderId="22" xfId="0" applyBorder="1" applyAlignment="1" applyProtection="1">
      <alignment horizontal="left"/>
      <protection hidden="1"/>
    </xf>
    <xf numFmtId="0" fontId="52" fillId="0" borderId="34" xfId="0" applyFont="1" applyBorder="1" applyAlignment="1" applyProtection="1">
      <alignment horizontal="left" vertical="center" wrapText="1"/>
      <protection hidden="1"/>
    </xf>
    <xf numFmtId="43" fontId="0" fillId="0" borderId="54" xfId="5" applyFont="1" applyFill="1" applyBorder="1" applyAlignment="1" applyProtection="1">
      <alignment horizontal="right" vertical="center"/>
      <protection hidden="1"/>
    </xf>
    <xf numFmtId="171" fontId="0" fillId="0" borderId="0" xfId="3" applyNumberFormat="1" applyFont="1" applyProtection="1">
      <protection hidden="1"/>
    </xf>
    <xf numFmtId="0" fontId="52" fillId="0" borderId="53" xfId="0" applyFont="1" applyBorder="1" applyProtection="1">
      <protection hidden="1"/>
    </xf>
    <xf numFmtId="43" fontId="0" fillId="0" borderId="35" xfId="0" applyNumberFormat="1" applyBorder="1" applyProtection="1">
      <protection locked="0"/>
    </xf>
    <xf numFmtId="0" fontId="52" fillId="0" borderId="34" xfId="0" applyFont="1" applyBorder="1" applyAlignment="1" applyProtection="1">
      <alignment horizontal="left"/>
      <protection hidden="1"/>
    </xf>
    <xf numFmtId="0" fontId="0" fillId="0" borderId="36" xfId="0" applyBorder="1" applyAlignment="1" applyProtection="1">
      <alignment horizontal="left"/>
      <protection hidden="1"/>
    </xf>
    <xf numFmtId="43" fontId="55" fillId="0" borderId="35" xfId="5" applyFont="1" applyFill="1" applyBorder="1" applyAlignment="1" applyProtection="1">
      <alignment vertical="center"/>
      <protection hidden="1"/>
    </xf>
    <xf numFmtId="0" fontId="42" fillId="0" borderId="34" xfId="0" applyFont="1" applyBorder="1" applyAlignment="1" applyProtection="1">
      <alignment horizontal="left"/>
      <protection hidden="1"/>
    </xf>
    <xf numFmtId="169" fontId="56" fillId="0" borderId="54" xfId="5" applyNumberFormat="1" applyFont="1" applyFill="1" applyBorder="1" applyAlignment="1" applyProtection="1">
      <alignment horizontal="right" vertical="center"/>
      <protection hidden="1"/>
    </xf>
    <xf numFmtId="43" fontId="0" fillId="0" borderId="0" xfId="5" applyFont="1" applyFill="1" applyProtection="1">
      <protection hidden="1"/>
    </xf>
    <xf numFmtId="43" fontId="0" fillId="0" borderId="35" xfId="0" applyNumberFormat="1" applyBorder="1" applyAlignment="1" applyProtection="1">
      <alignment horizontal="right" vertical="center"/>
      <protection hidden="1"/>
    </xf>
    <xf numFmtId="10" fontId="56" fillId="8" borderId="54" xfId="3" applyNumberFormat="1" applyFont="1" applyFill="1" applyBorder="1" applyAlignment="1" applyProtection="1">
      <alignment vertical="center"/>
      <protection locked="0"/>
    </xf>
    <xf numFmtId="0" fontId="42" fillId="5" borderId="34" xfId="0" applyFont="1" applyFill="1" applyBorder="1" applyAlignment="1" applyProtection="1">
      <alignment horizontal="left"/>
      <protection hidden="1"/>
    </xf>
    <xf numFmtId="0" fontId="56" fillId="5" borderId="36" xfId="0" applyFont="1" applyFill="1" applyBorder="1" applyProtection="1">
      <protection hidden="1"/>
    </xf>
    <xf numFmtId="4" fontId="56" fillId="8" borderId="54" xfId="3" applyNumberFormat="1" applyFont="1" applyFill="1" applyBorder="1" applyAlignment="1" applyProtection="1">
      <alignment horizontal="right" vertical="center"/>
      <protection locked="0"/>
    </xf>
    <xf numFmtId="171" fontId="0" fillId="8" borderId="54" xfId="3" applyNumberFormat="1" applyFont="1" applyFill="1" applyBorder="1" applyAlignment="1" applyProtection="1">
      <alignment vertical="center"/>
      <protection locked="0"/>
    </xf>
    <xf numFmtId="0" fontId="56" fillId="0" borderId="0" xfId="0" applyFont="1"/>
    <xf numFmtId="43" fontId="56" fillId="0" borderId="0" xfId="0" applyNumberFormat="1" applyFont="1" applyProtection="1">
      <protection hidden="1"/>
    </xf>
    <xf numFmtId="10" fontId="56" fillId="0" borderId="0" xfId="0" applyNumberFormat="1" applyFont="1" applyProtection="1">
      <protection hidden="1"/>
    </xf>
    <xf numFmtId="0" fontId="56" fillId="0" borderId="0" xfId="0" applyFont="1" applyProtection="1">
      <protection hidden="1"/>
    </xf>
    <xf numFmtId="0" fontId="42" fillId="0" borderId="53" xfId="0" applyFont="1" applyBorder="1" applyAlignment="1" applyProtection="1">
      <alignment horizontal="left"/>
      <protection hidden="1"/>
    </xf>
    <xf numFmtId="0" fontId="56" fillId="0" borderId="36" xfId="0" applyFont="1" applyBorder="1" applyAlignment="1" applyProtection="1">
      <alignment horizontal="left"/>
      <protection hidden="1"/>
    </xf>
    <xf numFmtId="43" fontId="56" fillId="0" borderId="35" xfId="0" applyNumberFormat="1" applyFont="1" applyBorder="1" applyAlignment="1" applyProtection="1">
      <alignment vertical="center"/>
      <protection hidden="1"/>
    </xf>
    <xf numFmtId="0" fontId="56" fillId="0" borderId="22" xfId="0" applyFont="1" applyBorder="1" applyAlignment="1" applyProtection="1">
      <alignment horizontal="left"/>
      <protection hidden="1"/>
    </xf>
    <xf numFmtId="43" fontId="56" fillId="0" borderId="0" xfId="0" applyNumberFormat="1" applyFont="1" applyAlignment="1" applyProtection="1">
      <alignment vertical="center"/>
      <protection hidden="1"/>
    </xf>
    <xf numFmtId="0" fontId="56" fillId="0" borderId="0" xfId="0" applyFont="1" applyAlignment="1" applyProtection="1">
      <alignment horizontal="center"/>
      <protection hidden="1"/>
    </xf>
    <xf numFmtId="164" fontId="57" fillId="0" borderId="47" xfId="6" applyNumberFormat="1" applyFont="1" applyBorder="1" applyProtection="1">
      <protection hidden="1"/>
    </xf>
    <xf numFmtId="0" fontId="56" fillId="0" borderId="0" xfId="0" applyFont="1" applyAlignment="1">
      <alignment vertical="center"/>
    </xf>
    <xf numFmtId="0" fontId="56" fillId="0" borderId="0" xfId="0" applyFont="1" applyAlignment="1" applyProtection="1">
      <alignment vertical="center"/>
      <protection hidden="1"/>
    </xf>
    <xf numFmtId="0" fontId="1" fillId="5" borderId="53" xfId="0" applyFont="1" applyFill="1" applyBorder="1" applyAlignment="1" applyProtection="1">
      <alignment horizontal="left" vertical="center"/>
      <protection hidden="1"/>
    </xf>
    <xf numFmtId="0" fontId="56" fillId="5" borderId="36" xfId="0" applyFont="1" applyFill="1" applyBorder="1" applyAlignment="1" applyProtection="1">
      <alignment horizontal="left" vertical="center"/>
      <protection hidden="1"/>
    </xf>
    <xf numFmtId="171" fontId="56" fillId="5" borderId="35" xfId="0" applyNumberFormat="1" applyFont="1" applyFill="1" applyBorder="1" applyAlignment="1" applyProtection="1">
      <alignment vertical="center"/>
      <protection hidden="1"/>
    </xf>
    <xf numFmtId="0" fontId="56" fillId="0" borderId="22" xfId="0" applyFont="1" applyBorder="1" applyAlignment="1" applyProtection="1">
      <alignment horizontal="left" vertical="center"/>
      <protection hidden="1"/>
    </xf>
    <xf numFmtId="0" fontId="42" fillId="0" borderId="34" xfId="0" applyFont="1" applyBorder="1" applyAlignment="1" applyProtection="1">
      <alignment horizontal="left" vertical="center"/>
      <protection hidden="1"/>
    </xf>
    <xf numFmtId="0" fontId="56" fillId="0" borderId="36" xfId="0" applyFont="1" applyBorder="1" applyAlignment="1" applyProtection="1">
      <alignment vertical="center"/>
      <protection hidden="1"/>
    </xf>
    <xf numFmtId="166" fontId="56" fillId="3" borderId="54" xfId="3" applyNumberFormat="1" applyFont="1" applyFill="1" applyBorder="1" applyAlignment="1" applyProtection="1">
      <alignment horizontal="right" vertical="center"/>
      <protection hidden="1"/>
    </xf>
    <xf numFmtId="0" fontId="56" fillId="0" borderId="0" xfId="0" applyFont="1" applyAlignment="1" applyProtection="1">
      <alignment horizontal="center" vertical="center"/>
      <protection hidden="1"/>
    </xf>
    <xf numFmtId="164" fontId="57" fillId="0" borderId="47" xfId="6" applyNumberFormat="1" applyFont="1" applyBorder="1" applyAlignment="1" applyProtection="1">
      <alignment vertical="center"/>
      <protection hidden="1"/>
    </xf>
    <xf numFmtId="43" fontId="56" fillId="5" borderId="54" xfId="5" applyFont="1" applyFill="1" applyBorder="1" applyAlignment="1" applyProtection="1">
      <alignment horizontal="right" vertical="center"/>
      <protection hidden="1"/>
    </xf>
    <xf numFmtId="0" fontId="56" fillId="8" borderId="54" xfId="0" applyFont="1" applyFill="1" applyBorder="1" applyAlignment="1" applyProtection="1">
      <alignment vertical="center"/>
      <protection locked="0"/>
    </xf>
    <xf numFmtId="9" fontId="56" fillId="0" borderId="0" xfId="0" applyNumberFormat="1" applyFont="1" applyProtection="1">
      <protection hidden="1"/>
    </xf>
    <xf numFmtId="10" fontId="56" fillId="5" borderId="54" xfId="3" applyNumberFormat="1" applyFont="1" applyFill="1" applyBorder="1" applyAlignment="1" applyProtection="1">
      <alignment horizontal="right" vertical="center"/>
      <protection hidden="1"/>
    </xf>
    <xf numFmtId="10" fontId="58" fillId="0" borderId="0" xfId="0" applyNumberFormat="1" applyFont="1" applyProtection="1">
      <protection hidden="1"/>
    </xf>
    <xf numFmtId="4" fontId="42" fillId="0" borderId="53" xfId="0" applyNumberFormat="1" applyFont="1" applyBorder="1" applyAlignment="1" applyProtection="1">
      <alignment wrapText="1"/>
      <protection hidden="1"/>
    </xf>
    <xf numFmtId="4" fontId="56" fillId="0" borderId="36" xfId="0" applyNumberFormat="1" applyFont="1" applyBorder="1" applyAlignment="1" applyProtection="1">
      <alignment wrapText="1"/>
      <protection hidden="1"/>
    </xf>
    <xf numFmtId="43" fontId="56" fillId="0" borderId="35" xfId="0" applyNumberFormat="1" applyFont="1" applyBorder="1" applyProtection="1">
      <protection hidden="1"/>
    </xf>
    <xf numFmtId="3" fontId="56" fillId="0" borderId="0" xfId="3" applyNumberFormat="1" applyFont="1" applyFill="1" applyBorder="1" applyAlignment="1" applyProtection="1">
      <alignment horizontal="center" vertical="center"/>
      <protection hidden="1"/>
    </xf>
    <xf numFmtId="4" fontId="42" fillId="0" borderId="58" xfId="0" applyNumberFormat="1" applyFont="1" applyBorder="1" applyAlignment="1" applyProtection="1">
      <alignment wrapText="1"/>
      <protection hidden="1"/>
    </xf>
    <xf numFmtId="4" fontId="56" fillId="0" borderId="66" xfId="0" applyNumberFormat="1" applyFont="1" applyBorder="1" applyAlignment="1" applyProtection="1">
      <alignment wrapText="1"/>
      <protection hidden="1"/>
    </xf>
    <xf numFmtId="164" fontId="56" fillId="8" borderId="48" xfId="0" applyNumberFormat="1" applyFont="1" applyFill="1" applyBorder="1" applyProtection="1">
      <protection locked="0"/>
    </xf>
    <xf numFmtId="0" fontId="56" fillId="0" borderId="26" xfId="0" applyFont="1" applyBorder="1" applyProtection="1">
      <protection hidden="1"/>
    </xf>
    <xf numFmtId="0" fontId="42" fillId="0" borderId="67" xfId="0" applyFont="1" applyBorder="1" applyAlignment="1" applyProtection="1">
      <alignment horizontal="left"/>
      <protection hidden="1"/>
    </xf>
    <xf numFmtId="0" fontId="56" fillId="0" borderId="44" xfId="0" applyFont="1" applyBorder="1" applyAlignment="1" applyProtection="1">
      <alignment horizontal="right"/>
      <protection hidden="1"/>
    </xf>
    <xf numFmtId="164" fontId="56" fillId="0" borderId="45" xfId="0" applyNumberFormat="1" applyFont="1" applyBorder="1" applyProtection="1">
      <protection hidden="1"/>
    </xf>
    <xf numFmtId="3" fontId="47" fillId="5" borderId="0" xfId="3" applyNumberFormat="1" applyFont="1" applyFill="1" applyBorder="1" applyAlignment="1" applyProtection="1">
      <alignment horizontal="center" vertical="center"/>
      <protection hidden="1"/>
    </xf>
    <xf numFmtId="0" fontId="0" fillId="5" borderId="0" xfId="0" applyFill="1" applyProtection="1">
      <protection hidden="1"/>
    </xf>
    <xf numFmtId="4" fontId="52" fillId="5" borderId="0" xfId="0" applyNumberFormat="1" applyFont="1" applyFill="1" applyAlignment="1" applyProtection="1">
      <alignment wrapText="1"/>
      <protection hidden="1"/>
    </xf>
    <xf numFmtId="4" fontId="0" fillId="5" borderId="0" xfId="0" applyNumberFormat="1" applyFill="1" applyAlignment="1" applyProtection="1">
      <alignment wrapText="1"/>
      <protection hidden="1"/>
    </xf>
    <xf numFmtId="164" fontId="0" fillId="5" borderId="0" xfId="0" applyNumberFormat="1" applyFill="1" applyProtection="1">
      <protection hidden="1"/>
    </xf>
    <xf numFmtId="0" fontId="52" fillId="5" borderId="0" xfId="0" applyFont="1" applyFill="1" applyAlignment="1" applyProtection="1">
      <alignment horizontal="left"/>
      <protection hidden="1"/>
    </xf>
    <xf numFmtId="0" fontId="0" fillId="5" borderId="0" xfId="0" applyFill="1" applyAlignment="1" applyProtection="1">
      <alignment horizontal="right"/>
      <protection hidden="1"/>
    </xf>
    <xf numFmtId="164" fontId="54" fillId="5" borderId="0" xfId="6" applyNumberFormat="1" applyFill="1" applyProtection="1">
      <protection hidden="1"/>
    </xf>
    <xf numFmtId="43" fontId="59" fillId="0" borderId="2" xfId="0" applyNumberFormat="1" applyFont="1" applyBorder="1" applyAlignment="1" applyProtection="1">
      <alignment horizontal="center" vertical="center" wrapText="1"/>
      <protection hidden="1"/>
    </xf>
    <xf numFmtId="43" fontId="59" fillId="0" borderId="3" xfId="0" applyNumberFormat="1" applyFont="1" applyBorder="1" applyAlignment="1" applyProtection="1">
      <alignment horizontal="center" vertical="center" wrapText="1"/>
      <protection hidden="1"/>
    </xf>
    <xf numFmtId="43" fontId="59" fillId="0" borderId="4" xfId="0" applyNumberFormat="1" applyFont="1" applyBorder="1" applyAlignment="1" applyProtection="1">
      <alignment horizontal="center" vertical="center" wrapText="1"/>
      <protection hidden="1"/>
    </xf>
    <xf numFmtId="43" fontId="60" fillId="0" borderId="5" xfId="0" applyNumberFormat="1" applyFont="1" applyBorder="1" applyAlignment="1" applyProtection="1">
      <alignment horizontal="center" vertical="center" wrapText="1"/>
      <protection hidden="1"/>
    </xf>
    <xf numFmtId="43" fontId="60" fillId="0" borderId="6" xfId="0" applyNumberFormat="1" applyFont="1" applyBorder="1" applyAlignment="1" applyProtection="1">
      <alignment horizontal="center" vertical="center" wrapText="1"/>
      <protection hidden="1"/>
    </xf>
    <xf numFmtId="43" fontId="60" fillId="0" borderId="7" xfId="0" applyNumberFormat="1" applyFont="1" applyBorder="1" applyAlignment="1" applyProtection="1">
      <alignment horizontal="center" vertical="center" wrapText="1"/>
      <protection hidden="1"/>
    </xf>
    <xf numFmtId="43" fontId="0" fillId="0" borderId="2" xfId="5" applyFont="1" applyFill="1" applyBorder="1" applyAlignment="1" applyProtection="1">
      <alignment horizontal="center" vertical="center"/>
      <protection hidden="1"/>
    </xf>
    <xf numFmtId="0" fontId="56" fillId="0" borderId="3" xfId="0" applyFont="1" applyBorder="1" applyProtection="1">
      <protection hidden="1"/>
    </xf>
    <xf numFmtId="1" fontId="0" fillId="0" borderId="3" xfId="0" applyNumberFormat="1" applyBorder="1" applyAlignment="1" applyProtection="1">
      <alignment horizontal="center" vertical="center"/>
      <protection hidden="1"/>
    </xf>
    <xf numFmtId="43" fontId="0" fillId="0" borderId="3" xfId="5" applyFont="1" applyFill="1" applyBorder="1" applyAlignment="1" applyProtection="1">
      <alignment horizontal="left" vertical="center"/>
      <protection hidden="1"/>
    </xf>
    <xf numFmtId="43" fontId="0" fillId="0" borderId="3" xfId="5" applyFont="1" applyFill="1" applyBorder="1" applyAlignment="1" applyProtection="1">
      <alignment horizontal="center" vertical="center"/>
      <protection hidden="1"/>
    </xf>
    <xf numFmtId="43" fontId="0" fillId="0" borderId="3" xfId="5" applyFont="1" applyFill="1" applyBorder="1" applyAlignment="1" applyProtection="1">
      <alignment vertical="center"/>
      <protection hidden="1"/>
    </xf>
    <xf numFmtId="43" fontId="0" fillId="0" borderId="4" xfId="5" applyFont="1" applyFill="1" applyBorder="1" applyAlignment="1" applyProtection="1">
      <alignment horizontal="center" vertical="center"/>
      <protection hidden="1"/>
    </xf>
    <xf numFmtId="43" fontId="0" fillId="0" borderId="8" xfId="5" applyFont="1" applyFill="1" applyBorder="1" applyAlignment="1" applyProtection="1">
      <alignment horizontal="center" vertical="center"/>
      <protection hidden="1"/>
    </xf>
    <xf numFmtId="0" fontId="56" fillId="0" borderId="9" xfId="0" applyFont="1" applyBorder="1" applyProtection="1">
      <protection hidden="1"/>
    </xf>
    <xf numFmtId="1" fontId="0" fillId="0" borderId="9" xfId="0" applyNumberFormat="1" applyBorder="1" applyAlignment="1" applyProtection="1">
      <alignment horizontal="center" vertical="center"/>
      <protection hidden="1"/>
    </xf>
    <xf numFmtId="43" fontId="0" fillId="0" borderId="9" xfId="5" applyFont="1" applyFill="1" applyBorder="1" applyAlignment="1" applyProtection="1">
      <alignment horizontal="left" vertical="center"/>
      <protection hidden="1"/>
    </xf>
    <xf numFmtId="43" fontId="0" fillId="0" borderId="9" xfId="5" applyFont="1" applyFill="1" applyBorder="1" applyAlignment="1" applyProtection="1">
      <alignment horizontal="center" vertical="center"/>
      <protection hidden="1"/>
    </xf>
    <xf numFmtId="43" fontId="0" fillId="0" borderId="9" xfId="5" applyFont="1" applyFill="1" applyBorder="1" applyAlignment="1" applyProtection="1">
      <alignment vertical="center"/>
      <protection hidden="1"/>
    </xf>
    <xf numFmtId="43" fontId="0" fillId="0" borderId="10" xfId="5" applyFont="1" applyFill="1" applyBorder="1" applyAlignment="1" applyProtection="1">
      <alignment horizontal="center" vertical="center"/>
      <protection hidden="1"/>
    </xf>
    <xf numFmtId="164" fontId="54" fillId="0" borderId="46" xfId="6" applyNumberFormat="1" applyBorder="1" applyProtection="1">
      <protection hidden="1"/>
    </xf>
    <xf numFmtId="43" fontId="0" fillId="0" borderId="5" xfId="5" applyFont="1" applyFill="1" applyBorder="1" applyAlignment="1" applyProtection="1">
      <alignment horizontal="center" vertical="center"/>
      <protection hidden="1"/>
    </xf>
    <xf numFmtId="0" fontId="56" fillId="0" borderId="6" xfId="0" applyFont="1" applyBorder="1" applyProtection="1">
      <protection hidden="1"/>
    </xf>
    <xf numFmtId="1" fontId="0" fillId="0" borderId="6" xfId="0" applyNumberFormat="1" applyBorder="1" applyAlignment="1" applyProtection="1">
      <alignment horizontal="center" vertical="center"/>
      <protection hidden="1"/>
    </xf>
    <xf numFmtId="43" fontId="0" fillId="0" borderId="6" xfId="5" applyFont="1" applyFill="1" applyBorder="1" applyAlignment="1" applyProtection="1">
      <alignment horizontal="left" vertical="center"/>
      <protection hidden="1"/>
    </xf>
    <xf numFmtId="43" fontId="0" fillId="0" borderId="6" xfId="5" applyFont="1" applyFill="1" applyBorder="1" applyAlignment="1" applyProtection="1">
      <alignment horizontal="center" vertical="center"/>
      <protection hidden="1"/>
    </xf>
    <xf numFmtId="43" fontId="0" fillId="0" borderId="6" xfId="5" applyFont="1" applyFill="1" applyBorder="1" applyAlignment="1" applyProtection="1">
      <alignment vertical="center"/>
      <protection hidden="1"/>
    </xf>
    <xf numFmtId="43" fontId="0" fillId="0" borderId="7" xfId="5" applyFont="1" applyFill="1" applyBorder="1" applyAlignment="1" applyProtection="1">
      <alignment horizontal="center" vertical="center"/>
      <protection hidden="1"/>
    </xf>
    <xf numFmtId="1" fontId="0" fillId="0" borderId="23" xfId="0" applyNumberFormat="1" applyBorder="1" applyAlignment="1" applyProtection="1">
      <alignment horizontal="center" vertical="center"/>
      <protection hidden="1"/>
    </xf>
    <xf numFmtId="0" fontId="47" fillId="0" borderId="30" xfId="0" applyFont="1" applyBorder="1" applyProtection="1">
      <protection hidden="1"/>
    </xf>
    <xf numFmtId="0" fontId="52" fillId="0" borderId="23" xfId="0" applyFont="1" applyBorder="1" applyProtection="1">
      <protection hidden="1"/>
    </xf>
    <xf numFmtId="4" fontId="52" fillId="0" borderId="24" xfId="0" applyNumberFormat="1" applyFont="1" applyBorder="1" applyAlignment="1" applyProtection="1">
      <alignment horizontal="left"/>
      <protection hidden="1"/>
    </xf>
    <xf numFmtId="43" fontId="0" fillId="0" borderId="24" xfId="0" applyNumberFormat="1" applyBorder="1" applyAlignment="1" applyProtection="1">
      <alignment vertical="center"/>
      <protection hidden="1"/>
    </xf>
    <xf numFmtId="4" fontId="52" fillId="0" borderId="25" xfId="0" applyNumberFormat="1" applyFont="1" applyBorder="1" applyProtection="1">
      <protection hidden="1"/>
    </xf>
    <xf numFmtId="0" fontId="47" fillId="5" borderId="0" xfId="0" applyFont="1" applyFill="1" applyProtection="1">
      <protection hidden="1"/>
    </xf>
    <xf numFmtId="0" fontId="47" fillId="5" borderId="0" xfId="0" applyFont="1" applyFill="1" applyAlignment="1" applyProtection="1">
      <alignment horizontal="left"/>
      <protection hidden="1"/>
    </xf>
    <xf numFmtId="43" fontId="47" fillId="5" borderId="0" xfId="0" applyNumberFormat="1" applyFont="1" applyFill="1" applyAlignment="1" applyProtection="1">
      <alignment horizontal="center" vertical="center"/>
      <protection hidden="1"/>
    </xf>
    <xf numFmtId="43" fontId="47" fillId="5" borderId="0" xfId="0" applyNumberFormat="1" applyFont="1" applyFill="1" applyAlignment="1" applyProtection="1">
      <alignment vertical="center"/>
      <protection hidden="1"/>
    </xf>
    <xf numFmtId="43" fontId="47" fillId="5" borderId="0" xfId="0" applyNumberFormat="1" applyFont="1" applyFill="1" applyProtection="1">
      <protection hidden="1"/>
    </xf>
    <xf numFmtId="0" fontId="47" fillId="5" borderId="0" xfId="0" applyFont="1" applyFill="1" applyAlignment="1" applyProtection="1">
      <alignment horizontal="right"/>
      <protection hidden="1"/>
    </xf>
    <xf numFmtId="0" fontId="63" fillId="21" borderId="0" xfId="0" applyFont="1" applyFill="1" applyProtection="1">
      <protection hidden="1"/>
    </xf>
    <xf numFmtId="0" fontId="64" fillId="0" borderId="0" xfId="0" applyFont="1" applyProtection="1">
      <protection hidden="1"/>
    </xf>
    <xf numFmtId="0" fontId="65" fillId="15" borderId="0" xfId="0" applyFont="1" applyFill="1" applyAlignment="1" applyProtection="1">
      <alignment horizontal="left"/>
      <protection hidden="1"/>
    </xf>
    <xf numFmtId="0" fontId="0" fillId="0" borderId="1" xfId="0" applyBorder="1" applyProtection="1">
      <protection locked="0"/>
    </xf>
    <xf numFmtId="0" fontId="49" fillId="0" borderId="1" xfId="0" applyFont="1" applyBorder="1" applyProtection="1">
      <protection locked="0"/>
    </xf>
    <xf numFmtId="164" fontId="53" fillId="8" borderId="68" xfId="5" applyNumberFormat="1" applyFont="1" applyFill="1" applyBorder="1"/>
    <xf numFmtId="0" fontId="42" fillId="5" borderId="53" xfId="0" applyFont="1" applyFill="1" applyBorder="1" applyAlignment="1" applyProtection="1">
      <alignment horizontal="left"/>
      <protection hidden="1"/>
    </xf>
    <xf numFmtId="0" fontId="66" fillId="18" borderId="33" xfId="0" applyFont="1" applyFill="1" applyBorder="1" applyAlignment="1">
      <alignment horizontal="center"/>
    </xf>
    <xf numFmtId="14" fontId="0" fillId="3" borderId="9" xfId="0" applyNumberFormat="1" applyFill="1" applyBorder="1"/>
    <xf numFmtId="14" fontId="0" fillId="4" borderId="9" xfId="0" applyNumberFormat="1" applyFill="1" applyBorder="1"/>
    <xf numFmtId="0" fontId="32" fillId="3" borderId="47" xfId="0" applyFont="1" applyFill="1" applyBorder="1"/>
    <xf numFmtId="0" fontId="32" fillId="3" borderId="0" xfId="0" applyFont="1" applyFill="1"/>
    <xf numFmtId="4" fontId="32" fillId="3" borderId="42" xfId="0" applyNumberFormat="1" applyFont="1" applyFill="1" applyBorder="1"/>
    <xf numFmtId="4" fontId="32" fillId="3" borderId="0" xfId="0" applyNumberFormat="1" applyFont="1" applyFill="1"/>
    <xf numFmtId="0" fontId="32" fillId="3" borderId="42" xfId="0" applyFont="1" applyFill="1" applyBorder="1"/>
    <xf numFmtId="0" fontId="40" fillId="3" borderId="47" xfId="0" applyFont="1" applyFill="1" applyBorder="1" applyAlignment="1">
      <alignment vertical="center"/>
    </xf>
    <xf numFmtId="0" fontId="40" fillId="3" borderId="0" xfId="0" applyFont="1" applyFill="1" applyAlignment="1">
      <alignment vertical="center"/>
    </xf>
    <xf numFmtId="0" fontId="40" fillId="3" borderId="42" xfId="0" applyFont="1" applyFill="1" applyBorder="1" applyAlignment="1">
      <alignment vertical="center"/>
    </xf>
    <xf numFmtId="0" fontId="32" fillId="3" borderId="46" xfId="0" applyFont="1" applyFill="1" applyBorder="1"/>
    <xf numFmtId="0" fontId="32" fillId="3" borderId="44" xfId="0" applyFont="1" applyFill="1" applyBorder="1"/>
    <xf numFmtId="4" fontId="32" fillId="3" borderId="45" xfId="0" applyNumberFormat="1" applyFont="1" applyFill="1" applyBorder="1"/>
    <xf numFmtId="0" fontId="2" fillId="23" borderId="0" xfId="0" applyFont="1" applyFill="1"/>
    <xf numFmtId="0" fontId="2" fillId="9" borderId="0" xfId="0" applyFont="1" applyFill="1"/>
    <xf numFmtId="171" fontId="0" fillId="0" borderId="0" xfId="3" applyNumberFormat="1" applyFont="1"/>
    <xf numFmtId="171" fontId="0" fillId="0" borderId="9" xfId="0" applyNumberFormat="1" applyBorder="1"/>
    <xf numFmtId="0" fontId="0" fillId="24" borderId="3" xfId="0" applyFill="1" applyBorder="1" applyAlignment="1">
      <alignment horizontal="center" vertical="center" wrapText="1"/>
    </xf>
    <xf numFmtId="0" fontId="0" fillId="24" borderId="3" xfId="0" applyFill="1" applyBorder="1" applyAlignment="1">
      <alignment vertical="center"/>
    </xf>
    <xf numFmtId="0" fontId="0" fillId="24" borderId="4" xfId="0" applyFill="1" applyBorder="1" applyAlignment="1">
      <alignment horizontal="center" vertical="center"/>
    </xf>
    <xf numFmtId="0" fontId="0" fillId="24" borderId="3" xfId="0" applyFill="1" applyBorder="1"/>
    <xf numFmtId="0" fontId="0" fillId="24" borderId="0" xfId="0" applyFill="1"/>
    <xf numFmtId="0" fontId="0" fillId="24" borderId="6" xfId="0" applyFill="1" applyBorder="1" applyAlignment="1">
      <alignment horizontal="center" vertical="center" wrapText="1"/>
    </xf>
    <xf numFmtId="0" fontId="0" fillId="24" borderId="6" xfId="0" applyFill="1" applyBorder="1" applyAlignment="1">
      <alignment vertical="center"/>
    </xf>
    <xf numFmtId="43" fontId="0" fillId="24" borderId="6" xfId="0" applyNumberFormat="1" applyFill="1" applyBorder="1" applyAlignment="1">
      <alignment vertical="center"/>
    </xf>
    <xf numFmtId="0" fontId="0" fillId="24" borderId="7" xfId="0" applyFill="1" applyBorder="1" applyAlignment="1">
      <alignment horizontal="center" vertical="center"/>
    </xf>
    <xf numFmtId="0" fontId="0" fillId="24" borderId="8" xfId="0" applyFill="1" applyBorder="1"/>
    <xf numFmtId="0" fontId="0" fillId="24" borderId="9" xfId="0" applyFill="1" applyBorder="1"/>
    <xf numFmtId="43" fontId="0" fillId="24" borderId="10" xfId="0" applyNumberFormat="1" applyFill="1" applyBorder="1"/>
    <xf numFmtId="0" fontId="22" fillId="24" borderId="3" xfId="0" applyFont="1" applyFill="1" applyBorder="1" applyAlignment="1">
      <alignment vertical="center"/>
    </xf>
    <xf numFmtId="43" fontId="22" fillId="24" borderId="3" xfId="0" applyNumberFormat="1" applyFont="1" applyFill="1" applyBorder="1" applyAlignment="1">
      <alignment vertical="center"/>
    </xf>
    <xf numFmtId="0" fontId="0" fillId="24" borderId="47" xfId="0" applyFill="1" applyBorder="1" applyAlignment="1">
      <alignment horizontal="center" vertical="center"/>
    </xf>
    <xf numFmtId="0" fontId="0" fillId="24" borderId="35" xfId="0" applyFill="1" applyBorder="1"/>
    <xf numFmtId="0" fontId="22" fillId="24" borderId="22" xfId="0" applyFont="1" applyFill="1" applyBorder="1" applyAlignment="1">
      <alignment vertical="center"/>
    </xf>
    <xf numFmtId="43" fontId="22" fillId="24" borderId="22" xfId="0" applyNumberFormat="1" applyFont="1" applyFill="1" applyBorder="1" applyAlignment="1">
      <alignment vertical="center"/>
    </xf>
    <xf numFmtId="0" fontId="0" fillId="24" borderId="19" xfId="0" applyFill="1" applyBorder="1" applyAlignment="1">
      <alignment horizontal="center" vertical="center"/>
    </xf>
    <xf numFmtId="0" fontId="22" fillId="24" borderId="3" xfId="0" applyFont="1" applyFill="1" applyBorder="1" applyAlignment="1">
      <alignment horizontal="center" vertical="center" wrapText="1"/>
    </xf>
    <xf numFmtId="0" fontId="22" fillId="24" borderId="4" xfId="0" applyFont="1" applyFill="1" applyBorder="1" applyAlignment="1">
      <alignment horizontal="center" vertical="center"/>
    </xf>
    <xf numFmtId="0" fontId="22" fillId="24" borderId="6" xfId="0" applyFont="1" applyFill="1" applyBorder="1" applyAlignment="1">
      <alignment horizontal="center" vertical="center" wrapText="1"/>
    </xf>
    <xf numFmtId="0" fontId="22" fillId="24" borderId="6" xfId="0" applyFont="1" applyFill="1" applyBorder="1" applyAlignment="1">
      <alignment vertical="center"/>
    </xf>
    <xf numFmtId="0" fontId="22" fillId="24" borderId="7" xfId="0" applyFont="1" applyFill="1" applyBorder="1" applyAlignment="1">
      <alignment horizontal="center" vertical="center"/>
    </xf>
    <xf numFmtId="43" fontId="22" fillId="24" borderId="3" xfId="0" applyNumberFormat="1" applyFont="1" applyFill="1" applyBorder="1" applyAlignment="1">
      <alignment horizontal="center" vertical="center" wrapText="1"/>
    </xf>
    <xf numFmtId="0" fontId="22" fillId="24" borderId="4" xfId="0" applyFont="1" applyFill="1" applyBorder="1" applyAlignment="1">
      <alignment horizontal="center" vertical="center" wrapText="1"/>
    </xf>
    <xf numFmtId="43" fontId="22" fillId="24" borderId="6" xfId="0" applyNumberFormat="1" applyFont="1" applyFill="1" applyBorder="1" applyAlignment="1">
      <alignment horizontal="center" vertical="center" wrapText="1"/>
    </xf>
    <xf numFmtId="0" fontId="22" fillId="24" borderId="7" xfId="0" applyFont="1" applyFill="1" applyBorder="1" applyAlignment="1">
      <alignment horizontal="center" vertical="center" wrapText="1"/>
    </xf>
    <xf numFmtId="43" fontId="22" fillId="24" borderId="3" xfId="0" applyNumberFormat="1" applyFont="1" applyFill="1" applyBorder="1" applyAlignment="1">
      <alignment horizontal="center" vertical="center"/>
    </xf>
    <xf numFmtId="0" fontId="0" fillId="24" borderId="10" xfId="0" applyFill="1" applyBorder="1"/>
    <xf numFmtId="0" fontId="22" fillId="24" borderId="9" xfId="0" applyFont="1" applyFill="1" applyBorder="1" applyAlignment="1">
      <alignment horizontal="center" vertical="center" wrapText="1"/>
    </xf>
    <xf numFmtId="0" fontId="22" fillId="24" borderId="9" xfId="0" applyFont="1" applyFill="1" applyBorder="1" applyAlignment="1">
      <alignment vertical="center"/>
    </xf>
    <xf numFmtId="43" fontId="22" fillId="24" borderId="9" xfId="0" applyNumberFormat="1" applyFont="1" applyFill="1" applyBorder="1" applyAlignment="1">
      <alignment horizontal="center" vertical="center"/>
    </xf>
    <xf numFmtId="0" fontId="22" fillId="24" borderId="10" xfId="0" applyFont="1" applyFill="1" applyBorder="1" applyAlignment="1">
      <alignment horizontal="center" vertical="center" wrapText="1"/>
    </xf>
    <xf numFmtId="0" fontId="0" fillId="24" borderId="48" xfId="0" applyFill="1" applyBorder="1"/>
    <xf numFmtId="9" fontId="0" fillId="24" borderId="6" xfId="0" applyNumberFormat="1" applyFill="1" applyBorder="1"/>
    <xf numFmtId="43" fontId="0" fillId="24" borderId="7" xfId="0" applyNumberFormat="1" applyFill="1" applyBorder="1"/>
    <xf numFmtId="0" fontId="0" fillId="24" borderId="9" xfId="0" applyFill="1" applyBorder="1" applyAlignment="1">
      <alignment horizontal="center" vertical="center" wrapText="1"/>
    </xf>
    <xf numFmtId="0" fontId="0" fillId="24" borderId="9" xfId="0" applyFill="1" applyBorder="1" applyAlignment="1">
      <alignment vertical="center"/>
    </xf>
    <xf numFmtId="43" fontId="0" fillId="24" borderId="9" xfId="0" applyNumberFormat="1" applyFill="1" applyBorder="1" applyAlignment="1">
      <alignment horizontal="center" vertical="center"/>
    </xf>
    <xf numFmtId="0" fontId="0" fillId="24" borderId="10" xfId="0" applyFill="1" applyBorder="1" applyAlignment="1">
      <alignment horizontal="center" vertical="center" wrapText="1"/>
    </xf>
    <xf numFmtId="43" fontId="0" fillId="24" borderId="6" xfId="0" applyNumberFormat="1" applyFill="1" applyBorder="1" applyAlignment="1">
      <alignment horizontal="center" vertical="center"/>
    </xf>
    <xf numFmtId="0" fontId="0" fillId="24" borderId="7" xfId="0" applyFill="1" applyBorder="1" applyAlignment="1">
      <alignment horizontal="center" vertical="center" wrapText="1"/>
    </xf>
    <xf numFmtId="43" fontId="0" fillId="24" borderId="3" xfId="0" applyNumberFormat="1" applyFill="1" applyBorder="1" applyAlignment="1">
      <alignment horizontal="center" vertical="center"/>
    </xf>
    <xf numFmtId="0" fontId="0" fillId="24" borderId="4" xfId="0" applyFill="1" applyBorder="1" applyAlignment="1">
      <alignment horizontal="center" vertical="center" wrapText="1"/>
    </xf>
    <xf numFmtId="0" fontId="20" fillId="24" borderId="3" xfId="0" applyFont="1" applyFill="1" applyBorder="1" applyAlignment="1">
      <alignment horizontal="center" vertical="center" wrapText="1"/>
    </xf>
    <xf numFmtId="0" fontId="20" fillId="24" borderId="3" xfId="0" applyFont="1" applyFill="1" applyBorder="1"/>
    <xf numFmtId="0" fontId="20" fillId="24" borderId="3" xfId="0" applyFont="1" applyFill="1" applyBorder="1" applyAlignment="1">
      <alignment vertical="center"/>
    </xf>
    <xf numFmtId="43" fontId="0" fillId="24" borderId="3" xfId="2" applyFont="1" applyFill="1" applyBorder="1" applyAlignment="1">
      <alignment horizontal="center" vertical="center"/>
    </xf>
    <xf numFmtId="0" fontId="20" fillId="24" borderId="9" xfId="0" applyFont="1" applyFill="1" applyBorder="1" applyAlignment="1">
      <alignment horizontal="center" vertical="center" wrapText="1"/>
    </xf>
    <xf numFmtId="0" fontId="20" fillId="24" borderId="9" xfId="0" applyFont="1" applyFill="1" applyBorder="1"/>
    <xf numFmtId="0" fontId="20" fillId="24" borderId="9" xfId="0" applyFont="1" applyFill="1" applyBorder="1" applyAlignment="1">
      <alignment vertical="center"/>
    </xf>
    <xf numFmtId="43" fontId="20" fillId="24" borderId="9" xfId="2" applyFont="1" applyFill="1" applyBorder="1" applyAlignment="1">
      <alignment horizontal="center" vertical="center"/>
    </xf>
    <xf numFmtId="0" fontId="20" fillId="24" borderId="10" xfId="0" applyFont="1" applyFill="1" applyBorder="1" applyAlignment="1">
      <alignment horizontal="center" vertical="center" wrapText="1"/>
    </xf>
    <xf numFmtId="0" fontId="20" fillId="24" borderId="0" xfId="0" applyFont="1" applyFill="1"/>
    <xf numFmtId="43" fontId="0" fillId="24" borderId="9" xfId="2" applyFont="1" applyFill="1" applyBorder="1" applyAlignment="1">
      <alignment horizontal="center" vertical="center"/>
    </xf>
    <xf numFmtId="0" fontId="20" fillId="24" borderId="1" xfId="0" applyFont="1" applyFill="1" applyBorder="1" applyAlignment="1">
      <alignment horizontal="center" vertical="center" wrapText="1"/>
    </xf>
    <xf numFmtId="0" fontId="20" fillId="24" borderId="1" xfId="0" applyFont="1" applyFill="1" applyBorder="1"/>
    <xf numFmtId="0" fontId="20" fillId="24" borderId="1" xfId="0" applyFont="1" applyFill="1" applyBorder="1" applyAlignment="1">
      <alignment vertical="center"/>
    </xf>
    <xf numFmtId="43" fontId="0" fillId="24" borderId="1" xfId="2" applyFont="1" applyFill="1" applyBorder="1" applyAlignment="1">
      <alignment horizontal="center" vertical="center"/>
    </xf>
    <xf numFmtId="0" fontId="0" fillId="24" borderId="12" xfId="0" applyFill="1" applyBorder="1" applyAlignment="1">
      <alignment horizontal="center" vertical="center" wrapText="1"/>
    </xf>
    <xf numFmtId="0" fontId="0" fillId="24" borderId="0" xfId="0" applyFill="1" applyAlignment="1">
      <alignment horizontal="center" vertical="center"/>
    </xf>
    <xf numFmtId="0" fontId="20" fillId="24" borderId="6" xfId="0" applyFont="1" applyFill="1" applyBorder="1" applyAlignment="1">
      <alignment horizontal="center" vertical="center" wrapText="1"/>
    </xf>
    <xf numFmtId="0" fontId="20" fillId="24" borderId="6" xfId="0" applyFont="1" applyFill="1" applyBorder="1"/>
    <xf numFmtId="0" fontId="20" fillId="24" borderId="6" xfId="0" applyFont="1" applyFill="1" applyBorder="1" applyAlignment="1">
      <alignment vertical="center"/>
    </xf>
    <xf numFmtId="43" fontId="0" fillId="24" borderId="6" xfId="2" applyFont="1" applyFill="1" applyBorder="1" applyAlignment="1">
      <alignment horizontal="center" vertical="center"/>
    </xf>
    <xf numFmtId="0" fontId="0" fillId="24" borderId="6" xfId="0" applyFill="1" applyBorder="1"/>
    <xf numFmtId="167" fontId="0" fillId="24" borderId="0" xfId="3" applyNumberFormat="1" applyFont="1" applyFill="1"/>
    <xf numFmtId="0" fontId="20" fillId="24" borderId="14" xfId="0" applyFont="1" applyFill="1" applyBorder="1" applyAlignment="1">
      <alignment horizontal="center" vertical="center" wrapText="1"/>
    </xf>
    <xf numFmtId="0" fontId="20" fillId="24" borderId="14" xfId="0" applyFont="1" applyFill="1" applyBorder="1"/>
    <xf numFmtId="0" fontId="20" fillId="24" borderId="14" xfId="0" applyFont="1" applyFill="1" applyBorder="1" applyAlignment="1">
      <alignment vertical="center"/>
    </xf>
    <xf numFmtId="43" fontId="20" fillId="24" borderId="14" xfId="2" applyFont="1" applyFill="1" applyBorder="1" applyAlignment="1">
      <alignment horizontal="center" vertical="center"/>
    </xf>
    <xf numFmtId="0" fontId="0" fillId="24" borderId="15" xfId="0" applyFill="1" applyBorder="1" applyAlignment="1">
      <alignment horizontal="center" vertical="center" wrapText="1"/>
    </xf>
    <xf numFmtId="43" fontId="20" fillId="24" borderId="6" xfId="2" applyFont="1" applyFill="1" applyBorder="1" applyAlignment="1">
      <alignment horizontal="center" vertical="center"/>
    </xf>
    <xf numFmtId="0" fontId="20" fillId="3" borderId="9" xfId="0" applyFont="1" applyFill="1" applyBorder="1" applyAlignment="1">
      <alignment horizontal="center" vertical="center" wrapText="1"/>
    </xf>
    <xf numFmtId="0" fontId="20" fillId="3" borderId="9" xfId="0" applyFont="1" applyFill="1" applyBorder="1"/>
    <xf numFmtId="0" fontId="20" fillId="3" borderId="9" xfId="0" applyFont="1" applyFill="1" applyBorder="1" applyAlignment="1">
      <alignment vertical="center"/>
    </xf>
    <xf numFmtId="0" fontId="21" fillId="3" borderId="1" xfId="0" applyFont="1" applyFill="1" applyBorder="1" applyAlignment="1">
      <alignment horizontal="center" vertical="center" wrapText="1"/>
    </xf>
    <xf numFmtId="0" fontId="21" fillId="3" borderId="1" xfId="0" applyFont="1" applyFill="1" applyBorder="1"/>
    <xf numFmtId="0" fontId="21" fillId="3" borderId="1" xfId="0" applyFont="1" applyFill="1" applyBorder="1" applyAlignment="1">
      <alignment vertical="center"/>
    </xf>
    <xf numFmtId="43" fontId="0" fillId="3" borderId="3" xfId="2" applyFont="1" applyFill="1" applyBorder="1" applyAlignment="1">
      <alignment vertical="center"/>
    </xf>
    <xf numFmtId="0" fontId="0" fillId="3" borderId="4" xfId="0" applyFill="1" applyBorder="1" applyAlignment="1">
      <alignment horizontal="center" vertical="center"/>
    </xf>
    <xf numFmtId="0" fontId="0" fillId="3" borderId="2" xfId="0" applyFill="1" applyBorder="1"/>
    <xf numFmtId="0" fontId="0" fillId="3" borderId="3" xfId="0" applyFill="1" applyBorder="1"/>
    <xf numFmtId="43" fontId="0" fillId="3" borderId="4" xfId="2" applyFont="1" applyFill="1" applyBorder="1"/>
    <xf numFmtId="0" fontId="0" fillId="0" borderId="0" xfId="0" applyAlignment="1">
      <alignment wrapText="1"/>
    </xf>
    <xf numFmtId="0" fontId="2" fillId="0" borderId="9" xfId="0" applyFont="1" applyBorder="1" applyAlignment="1">
      <alignment vertical="top"/>
    </xf>
    <xf numFmtId="0" fontId="2" fillId="0" borderId="9" xfId="0" applyFont="1" applyBorder="1" applyAlignment="1">
      <alignment horizontal="left" vertical="top"/>
    </xf>
    <xf numFmtId="0" fontId="35" fillId="18" borderId="1" xfId="0" applyFont="1" applyFill="1" applyBorder="1" applyAlignment="1">
      <alignment horizontal="left" vertical="top"/>
    </xf>
    <xf numFmtId="0" fontId="35" fillId="25" borderId="22" xfId="0" applyFont="1" applyFill="1" applyBorder="1" applyAlignment="1">
      <alignment horizontal="left" vertical="top" wrapText="1"/>
    </xf>
    <xf numFmtId="0" fontId="2" fillId="3" borderId="9" xfId="0" applyFont="1" applyFill="1" applyBorder="1" applyAlignment="1">
      <alignment vertical="top"/>
    </xf>
    <xf numFmtId="0" fontId="32" fillId="0" borderId="9" xfId="0" applyFont="1" applyBorder="1" applyAlignment="1">
      <alignment vertical="top"/>
    </xf>
    <xf numFmtId="0" fontId="0" fillId="0" borderId="9" xfId="0" applyBorder="1" applyAlignment="1">
      <alignment vertical="top" wrapText="1"/>
    </xf>
    <xf numFmtId="0" fontId="2" fillId="3" borderId="9" xfId="0" applyFont="1" applyFill="1" applyBorder="1" applyAlignment="1">
      <alignment horizontal="center" vertical="top"/>
    </xf>
    <xf numFmtId="0" fontId="2" fillId="0" borderId="1" xfId="0" applyFont="1" applyBorder="1" applyAlignment="1">
      <alignment vertical="top"/>
    </xf>
    <xf numFmtId="0" fontId="0" fillId="0" borderId="1" xfId="0" applyBorder="1" applyAlignment="1">
      <alignment vertical="top" wrapText="1"/>
    </xf>
    <xf numFmtId="0" fontId="19" fillId="0" borderId="9" xfId="0" applyFont="1" applyBorder="1" applyAlignment="1">
      <alignment vertical="center" wrapText="1"/>
    </xf>
    <xf numFmtId="0" fontId="67" fillId="0" borderId="9" xfId="0" applyFont="1" applyBorder="1" applyAlignment="1">
      <alignment vertical="center" wrapText="1"/>
    </xf>
    <xf numFmtId="0" fontId="35" fillId="18" borderId="1" xfId="0" applyFont="1" applyFill="1" applyBorder="1" applyAlignment="1">
      <alignment horizontal="left" vertical="top" wrapText="1"/>
    </xf>
    <xf numFmtId="0" fontId="2" fillId="0" borderId="9" xfId="0" applyFont="1" applyBorder="1" applyAlignment="1">
      <alignment horizontal="left" vertical="top" wrapText="1"/>
    </xf>
    <xf numFmtId="0" fontId="2" fillId="0" borderId="9" xfId="0" applyFont="1" applyBorder="1" applyAlignment="1">
      <alignment vertical="top" wrapText="1"/>
    </xf>
    <xf numFmtId="0" fontId="2" fillId="3" borderId="9" xfId="0" applyFont="1" applyFill="1" applyBorder="1" applyAlignment="1">
      <alignment vertical="top" wrapText="1"/>
    </xf>
    <xf numFmtId="0" fontId="2" fillId="0" borderId="9" xfId="0" applyFont="1" applyBorder="1" applyAlignment="1">
      <alignment horizontal="center" vertical="center" wrapText="1"/>
    </xf>
    <xf numFmtId="0" fontId="2" fillId="0" borderId="1" xfId="0" applyFont="1" applyBorder="1" applyAlignment="1">
      <alignment vertical="top" wrapText="1"/>
    </xf>
    <xf numFmtId="0" fontId="0" fillId="0" borderId="0" xfId="0" applyAlignment="1">
      <alignment vertical="top"/>
    </xf>
    <xf numFmtId="43" fontId="0" fillId="0" borderId="0" xfId="5" applyFont="1"/>
    <xf numFmtId="166" fontId="0" fillId="26" borderId="0" xfId="3" applyNumberFormat="1" applyFont="1" applyFill="1"/>
    <xf numFmtId="166" fontId="0" fillId="0" borderId="0" xfId="3" applyNumberFormat="1" applyFont="1"/>
    <xf numFmtId="4" fontId="20" fillId="3" borderId="0" xfId="0" applyNumberFormat="1" applyFont="1" applyFill="1"/>
    <xf numFmtId="10" fontId="0" fillId="26" borderId="0" xfId="3" applyNumberFormat="1" applyFont="1" applyFill="1"/>
    <xf numFmtId="164" fontId="0" fillId="0" borderId="0" xfId="5" applyNumberFormat="1" applyFont="1"/>
    <xf numFmtId="15" fontId="0" fillId="27" borderId="0" xfId="0" applyNumberFormat="1" applyFill="1"/>
    <xf numFmtId="4" fontId="0" fillId="27" borderId="0" xfId="0" applyNumberFormat="1" applyFill="1"/>
    <xf numFmtId="3" fontId="0" fillId="0" borderId="0" xfId="0" applyNumberFormat="1"/>
    <xf numFmtId="0" fontId="2" fillId="0" borderId="0" xfId="0" applyFont="1" applyAlignment="1">
      <alignment horizontal="center"/>
    </xf>
    <xf numFmtId="0" fontId="0" fillId="3" borderId="37" xfId="0" applyFill="1" applyBorder="1" applyAlignment="1">
      <alignment horizontal="center" vertical="center"/>
    </xf>
    <xf numFmtId="0" fontId="2" fillId="0" borderId="2" xfId="0" applyFont="1" applyBorder="1" applyAlignment="1">
      <alignment horizontal="center" vertical="center" wrapText="1"/>
    </xf>
    <xf numFmtId="0" fontId="2" fillId="0" borderId="5"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2" xfId="0" applyFont="1" applyBorder="1" applyAlignment="1">
      <alignment horizontal="center" vertical="center"/>
    </xf>
    <xf numFmtId="0" fontId="2" fillId="0" borderId="8" xfId="0" applyFont="1" applyBorder="1" applyAlignment="1">
      <alignment horizontal="center" vertical="center"/>
    </xf>
    <xf numFmtId="0" fontId="2" fillId="0" borderId="5" xfId="0" applyFont="1" applyBorder="1" applyAlignment="1">
      <alignment horizontal="center" vertical="center"/>
    </xf>
    <xf numFmtId="0" fontId="66" fillId="18" borderId="33" xfId="0" applyFont="1" applyFill="1" applyBorder="1" applyAlignment="1">
      <alignment horizontal="center"/>
    </xf>
    <xf numFmtId="0" fontId="66" fillId="18" borderId="36" xfId="0" applyFont="1" applyFill="1" applyBorder="1" applyAlignment="1">
      <alignment horizontal="center"/>
    </xf>
    <xf numFmtId="0" fontId="2" fillId="0" borderId="18" xfId="0" applyFont="1" applyBorder="1" applyAlignment="1">
      <alignment horizontal="center" vertical="center" wrapText="1"/>
    </xf>
    <xf numFmtId="0" fontId="2" fillId="0" borderId="20" xfId="0" applyFont="1" applyBorder="1" applyAlignment="1">
      <alignment horizontal="center" vertical="center" wrapText="1"/>
    </xf>
    <xf numFmtId="0" fontId="0" fillId="0" borderId="19" xfId="0" applyBorder="1" applyAlignment="1">
      <alignment horizontal="center" vertical="center" wrapText="1"/>
    </xf>
    <xf numFmtId="0" fontId="0" fillId="0" borderId="21" xfId="0" applyBorder="1" applyAlignment="1">
      <alignment horizontal="center" vertical="center" wrapText="1"/>
    </xf>
    <xf numFmtId="0" fontId="2" fillId="0" borderId="8" xfId="0" applyFont="1" applyBorder="1" applyAlignment="1">
      <alignment horizontal="center" vertical="center" wrapText="1"/>
    </xf>
    <xf numFmtId="0" fontId="2" fillId="0" borderId="11" xfId="0" applyFont="1" applyBorder="1" applyAlignment="1">
      <alignment horizontal="center" vertical="center"/>
    </xf>
    <xf numFmtId="0" fontId="2" fillId="0" borderId="13" xfId="0" applyFont="1" applyBorder="1" applyAlignment="1">
      <alignment horizontal="center" vertical="center"/>
    </xf>
    <xf numFmtId="0" fontId="2" fillId="0" borderId="16" xfId="0" applyFont="1" applyBorder="1" applyAlignment="1">
      <alignment horizontal="center" vertical="center" wrapText="1"/>
    </xf>
    <xf numFmtId="0" fontId="0" fillId="0" borderId="17" xfId="0" applyBorder="1" applyAlignment="1">
      <alignment horizontal="center" vertical="center" wrapText="1"/>
    </xf>
    <xf numFmtId="0" fontId="2" fillId="3" borderId="2"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2"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5" xfId="0" applyFont="1" applyFill="1" applyBorder="1" applyAlignment="1">
      <alignment horizontal="center" vertical="center"/>
    </xf>
    <xf numFmtId="0" fontId="0" fillId="0" borderId="2" xfId="0" applyBorder="1" applyAlignment="1">
      <alignment horizontal="center" vertical="center" wrapText="1"/>
    </xf>
    <xf numFmtId="0" fontId="0" fillId="0" borderId="5" xfId="0" applyBorder="1" applyAlignment="1">
      <alignment horizontal="center" vertical="center" wrapText="1"/>
    </xf>
    <xf numFmtId="0" fontId="2" fillId="0" borderId="16" xfId="0" applyFont="1" applyBorder="1" applyAlignment="1">
      <alignment horizontal="left" vertical="top"/>
    </xf>
    <xf numFmtId="0" fontId="2" fillId="0" borderId="18" xfId="0" applyFont="1" applyBorder="1" applyAlignment="1">
      <alignment horizontal="left" vertical="top"/>
    </xf>
    <xf numFmtId="0" fontId="2" fillId="0" borderId="20" xfId="0" applyFont="1" applyBorder="1" applyAlignment="1">
      <alignment horizontal="left" vertical="top"/>
    </xf>
    <xf numFmtId="0" fontId="0" fillId="0" borderId="2" xfId="0" applyBorder="1" applyAlignment="1">
      <alignment horizontal="center" vertical="center"/>
    </xf>
    <xf numFmtId="0" fontId="0" fillId="0" borderId="5" xfId="0" applyBorder="1" applyAlignment="1">
      <alignment horizontal="center" vertical="center"/>
    </xf>
    <xf numFmtId="0" fontId="6" fillId="0" borderId="29" xfId="0" applyFont="1" applyBorder="1" applyAlignment="1">
      <alignment horizontal="center"/>
    </xf>
    <xf numFmtId="0" fontId="6" fillId="0" borderId="30" xfId="0" applyFont="1" applyBorder="1" applyAlignment="1">
      <alignment horizontal="center"/>
    </xf>
    <xf numFmtId="0" fontId="6" fillId="0" borderId="31" xfId="0" applyFont="1" applyBorder="1" applyAlignment="1">
      <alignment horizontal="center"/>
    </xf>
    <xf numFmtId="0" fontId="2" fillId="0" borderId="0" xfId="0" applyFont="1" applyAlignment="1">
      <alignment horizontal="center" vertical="center"/>
    </xf>
    <xf numFmtId="0" fontId="12" fillId="14" borderId="34" xfId="0" applyFont="1" applyFill="1" applyBorder="1" applyAlignment="1">
      <alignment horizontal="center" vertical="center" wrapText="1"/>
    </xf>
    <xf numFmtId="0" fontId="12" fillId="14" borderId="35" xfId="0" applyFont="1" applyFill="1" applyBorder="1" applyAlignment="1">
      <alignment horizontal="center" vertical="center" wrapText="1"/>
    </xf>
    <xf numFmtId="0" fontId="10" fillId="5" borderId="33" xfId="0" applyFont="1" applyFill="1" applyBorder="1" applyAlignment="1">
      <alignment horizontal="center"/>
    </xf>
    <xf numFmtId="0" fontId="11" fillId="3" borderId="34" xfId="0" applyFont="1" applyFill="1" applyBorder="1" applyAlignment="1">
      <alignment horizontal="center" vertical="center" wrapText="1"/>
    </xf>
    <xf numFmtId="0" fontId="11" fillId="3" borderId="35" xfId="0" applyFont="1" applyFill="1" applyBorder="1" applyAlignment="1">
      <alignment horizontal="center" vertical="center" wrapText="1"/>
    </xf>
    <xf numFmtId="0" fontId="12" fillId="13" borderId="9" xfId="0" applyFont="1" applyFill="1" applyBorder="1" applyAlignment="1">
      <alignment horizontal="center" vertical="center" wrapText="1"/>
    </xf>
    <xf numFmtId="0" fontId="12" fillId="14" borderId="9" xfId="0" applyFont="1" applyFill="1" applyBorder="1" applyAlignment="1">
      <alignment horizontal="center" vertical="center" wrapText="1"/>
    </xf>
    <xf numFmtId="0" fontId="12" fillId="15" borderId="34" xfId="0" applyFont="1" applyFill="1" applyBorder="1" applyAlignment="1">
      <alignment horizontal="center" vertical="center" wrapText="1"/>
    </xf>
    <xf numFmtId="0" fontId="12" fillId="15" borderId="35" xfId="0" applyFont="1" applyFill="1" applyBorder="1" applyAlignment="1">
      <alignment horizontal="center" vertical="center" wrapText="1"/>
    </xf>
    <xf numFmtId="0" fontId="12" fillId="14" borderId="34" xfId="0" applyFont="1" applyFill="1" applyBorder="1" applyAlignment="1">
      <alignment horizontal="center"/>
    </xf>
    <xf numFmtId="0" fontId="12" fillId="14" borderId="35" xfId="0" applyFont="1" applyFill="1" applyBorder="1" applyAlignment="1">
      <alignment horizontal="center"/>
    </xf>
    <xf numFmtId="0" fontId="12" fillId="0" borderId="37" xfId="0" applyFont="1" applyBorder="1" applyAlignment="1">
      <alignment horizontal="center" vertical="center" wrapText="1"/>
    </xf>
    <xf numFmtId="0" fontId="12" fillId="13" borderId="34" xfId="0" applyFont="1" applyFill="1" applyBorder="1" applyAlignment="1">
      <alignment horizontal="center" vertical="center"/>
    </xf>
    <xf numFmtId="0" fontId="12" fillId="13" borderId="35" xfId="0" applyFont="1" applyFill="1" applyBorder="1" applyAlignment="1">
      <alignment horizontal="center" vertical="center"/>
    </xf>
    <xf numFmtId="0" fontId="12" fillId="13" borderId="38" xfId="0" applyFont="1" applyFill="1" applyBorder="1" applyAlignment="1">
      <alignment horizontal="center" vertical="center"/>
    </xf>
    <xf numFmtId="0" fontId="12" fillId="13" borderId="39" xfId="0" applyFont="1" applyFill="1" applyBorder="1" applyAlignment="1">
      <alignment horizontal="center" vertical="center"/>
    </xf>
    <xf numFmtId="0" fontId="18" fillId="11" borderId="9" xfId="0" applyFont="1" applyFill="1" applyBorder="1" applyAlignment="1">
      <alignment horizontal="center" vertical="center" wrapText="1"/>
    </xf>
    <xf numFmtId="0" fontId="12" fillId="13" borderId="34" xfId="0" applyFont="1" applyFill="1" applyBorder="1" applyAlignment="1">
      <alignment horizontal="center"/>
    </xf>
    <xf numFmtId="0" fontId="12" fillId="13" borderId="35" xfId="0" applyFont="1" applyFill="1" applyBorder="1" applyAlignment="1">
      <alignment horizontal="center"/>
    </xf>
    <xf numFmtId="0" fontId="12" fillId="13" borderId="34" xfId="0" applyFont="1" applyFill="1" applyBorder="1" applyAlignment="1">
      <alignment horizontal="center" wrapText="1"/>
    </xf>
    <xf numFmtId="0" fontId="12" fillId="13" borderId="9" xfId="0" applyFont="1" applyFill="1" applyBorder="1" applyAlignment="1">
      <alignment horizontal="center" wrapText="1"/>
    </xf>
    <xf numFmtId="0" fontId="12" fillId="13" borderId="9" xfId="0" applyFont="1" applyFill="1" applyBorder="1" applyAlignment="1">
      <alignment horizontal="center"/>
    </xf>
    <xf numFmtId="0" fontId="17" fillId="13" borderId="9" xfId="0" applyFont="1" applyFill="1" applyBorder="1" applyAlignment="1">
      <alignment horizontal="center" wrapText="1"/>
    </xf>
    <xf numFmtId="0" fontId="12" fillId="14" borderId="34" xfId="0" applyFont="1" applyFill="1" applyBorder="1" applyAlignment="1">
      <alignment horizontal="center" wrapText="1"/>
    </xf>
    <xf numFmtId="0" fontId="12" fillId="14" borderId="35" xfId="0" applyFont="1" applyFill="1" applyBorder="1" applyAlignment="1">
      <alignment horizontal="center" wrapText="1"/>
    </xf>
    <xf numFmtId="0" fontId="2" fillId="24" borderId="2" xfId="0" applyFont="1" applyFill="1" applyBorder="1" applyAlignment="1">
      <alignment horizontal="center" vertical="center"/>
    </xf>
    <xf numFmtId="0" fontId="2" fillId="24" borderId="5" xfId="0" applyFont="1" applyFill="1" applyBorder="1" applyAlignment="1">
      <alignment horizontal="center" vertical="center"/>
    </xf>
    <xf numFmtId="0" fontId="2" fillId="24" borderId="11" xfId="0" applyFont="1" applyFill="1" applyBorder="1" applyAlignment="1">
      <alignment horizontal="center" vertical="center"/>
    </xf>
    <xf numFmtId="0" fontId="2" fillId="24" borderId="2" xfId="0" applyFont="1" applyFill="1" applyBorder="1" applyAlignment="1">
      <alignment horizontal="center" vertical="center" wrapText="1"/>
    </xf>
    <xf numFmtId="0" fontId="23" fillId="24" borderId="2" xfId="0" applyFont="1" applyFill="1" applyBorder="1" applyAlignment="1">
      <alignment horizontal="center" vertical="center" wrapText="1"/>
    </xf>
    <xf numFmtId="0" fontId="23" fillId="24" borderId="5" xfId="0" applyFont="1" applyFill="1" applyBorder="1" applyAlignment="1">
      <alignment horizontal="center" vertical="center" wrapText="1"/>
    </xf>
    <xf numFmtId="0" fontId="0" fillId="24" borderId="49" xfId="0" applyFill="1" applyBorder="1" applyAlignment="1">
      <alignment horizontal="center" vertical="center"/>
    </xf>
    <xf numFmtId="0" fontId="0" fillId="24" borderId="47" xfId="0" applyFill="1" applyBorder="1" applyAlignment="1">
      <alignment horizontal="center" vertical="center"/>
    </xf>
    <xf numFmtId="0" fontId="0" fillId="24" borderId="46" xfId="0" applyFill="1" applyBorder="1" applyAlignment="1">
      <alignment horizontal="center" vertical="center"/>
    </xf>
    <xf numFmtId="0" fontId="2" fillId="24" borderId="8" xfId="0" applyFont="1" applyFill="1" applyBorder="1" applyAlignment="1">
      <alignment horizontal="center" vertical="center"/>
    </xf>
    <xf numFmtId="0" fontId="2" fillId="24" borderId="8" xfId="0" applyFont="1" applyFill="1" applyBorder="1" applyAlignment="1">
      <alignment horizontal="center" vertical="center" wrapText="1"/>
    </xf>
    <xf numFmtId="0" fontId="2" fillId="24" borderId="5" xfId="0" applyFont="1" applyFill="1" applyBorder="1" applyAlignment="1">
      <alignment horizontal="center" vertical="center" wrapText="1"/>
    </xf>
    <xf numFmtId="0" fontId="22" fillId="24" borderId="49" xfId="0" applyFont="1" applyFill="1" applyBorder="1" applyAlignment="1">
      <alignment horizontal="center" vertical="center"/>
    </xf>
    <xf numFmtId="0" fontId="22" fillId="24" borderId="46" xfId="0" applyFont="1" applyFill="1" applyBorder="1" applyAlignment="1">
      <alignment horizontal="center" vertical="center"/>
    </xf>
    <xf numFmtId="0" fontId="10" fillId="24" borderId="16" xfId="0" applyFont="1" applyFill="1" applyBorder="1" applyAlignment="1">
      <alignment horizontal="center" vertical="center" wrapText="1"/>
    </xf>
    <xf numFmtId="0" fontId="10" fillId="24" borderId="18" xfId="0" applyFont="1" applyFill="1" applyBorder="1" applyAlignment="1">
      <alignment horizontal="center" vertical="center" wrapText="1"/>
    </xf>
    <xf numFmtId="0" fontId="10" fillId="24" borderId="20" xfId="0" applyFont="1" applyFill="1" applyBorder="1" applyAlignment="1">
      <alignment horizontal="center" vertical="center" wrapText="1"/>
    </xf>
    <xf numFmtId="0" fontId="2" fillId="24" borderId="13" xfId="0" applyFont="1" applyFill="1" applyBorder="1" applyAlignment="1">
      <alignment horizontal="center" vertical="center"/>
    </xf>
    <xf numFmtId="0" fontId="0" fillId="0" borderId="11" xfId="0" applyBorder="1" applyAlignment="1">
      <alignment horizontal="left" vertical="center"/>
    </xf>
    <xf numFmtId="0" fontId="0" fillId="0" borderId="18" xfId="0" applyBorder="1" applyAlignment="1">
      <alignment horizontal="left" vertical="center"/>
    </xf>
    <xf numFmtId="0" fontId="0" fillId="0" borderId="20" xfId="0" applyBorder="1" applyAlignment="1">
      <alignment horizontal="left" vertical="center"/>
    </xf>
    <xf numFmtId="0" fontId="2" fillId="0" borderId="16" xfId="0" applyFont="1" applyBorder="1" applyAlignment="1">
      <alignment horizontal="center" vertical="center"/>
    </xf>
    <xf numFmtId="0" fontId="2" fillId="0" borderId="18" xfId="0" applyFont="1" applyBorder="1" applyAlignment="1">
      <alignment horizontal="center" vertical="center"/>
    </xf>
    <xf numFmtId="0" fontId="2" fillId="0" borderId="20" xfId="0" applyFont="1" applyBorder="1" applyAlignment="1">
      <alignment horizontal="center" vertical="center"/>
    </xf>
    <xf numFmtId="0" fontId="20" fillId="0" borderId="9" xfId="0" applyFont="1" applyBorder="1" applyAlignment="1">
      <alignment horizontal="center" vertical="center" wrapText="1"/>
    </xf>
    <xf numFmtId="0" fontId="25" fillId="0" borderId="38" xfId="4" applyFont="1" applyBorder="1" applyAlignment="1">
      <alignment horizontal="center"/>
    </xf>
    <xf numFmtId="0" fontId="25" fillId="0" borderId="50" xfId="4" applyFont="1" applyBorder="1" applyAlignment="1">
      <alignment horizontal="center"/>
    </xf>
    <xf numFmtId="0" fontId="25" fillId="0" borderId="39" xfId="4" applyFont="1" applyBorder="1" applyAlignment="1">
      <alignment horizontal="center"/>
    </xf>
    <xf numFmtId="0" fontId="25" fillId="0" borderId="51" xfId="4" applyFont="1" applyBorder="1" applyAlignment="1">
      <alignment horizontal="center"/>
    </xf>
    <xf numFmtId="0" fontId="25" fillId="0" borderId="33" xfId="4" applyFont="1" applyBorder="1" applyAlignment="1">
      <alignment horizontal="center"/>
    </xf>
    <xf numFmtId="0" fontId="25" fillId="0" borderId="52" xfId="4"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0" fillId="0" borderId="0" xfId="0" applyAlignment="1">
      <alignment horizontal="left" vertical="center"/>
    </xf>
    <xf numFmtId="0" fontId="2" fillId="0" borderId="29" xfId="0" applyFont="1" applyBorder="1" applyAlignment="1">
      <alignment horizontal="center"/>
    </xf>
    <xf numFmtId="0" fontId="2" fillId="0" borderId="30" xfId="0" applyFont="1" applyBorder="1" applyAlignment="1">
      <alignment horizontal="center"/>
    </xf>
    <xf numFmtId="0" fontId="2" fillId="0" borderId="31" xfId="0" applyFont="1" applyBorder="1" applyAlignment="1">
      <alignment horizontal="center"/>
    </xf>
    <xf numFmtId="0" fontId="43" fillId="20" borderId="59" xfId="0" applyFont="1" applyFill="1" applyBorder="1" applyAlignment="1">
      <alignment horizontal="center" vertical="center"/>
    </xf>
    <xf numFmtId="0" fontId="43" fillId="20" borderId="60" xfId="0" applyFont="1" applyFill="1" applyBorder="1" applyAlignment="1">
      <alignment horizontal="center" vertical="center"/>
    </xf>
    <xf numFmtId="0" fontId="43" fillId="20" borderId="61" xfId="0" applyFont="1" applyFill="1" applyBorder="1" applyAlignment="1">
      <alignment horizontal="center" vertical="center"/>
    </xf>
    <xf numFmtId="0" fontId="34" fillId="18" borderId="37" xfId="0" applyFont="1" applyFill="1" applyBorder="1" applyAlignment="1">
      <alignment horizontal="center"/>
    </xf>
    <xf numFmtId="0" fontId="34" fillId="18" borderId="0" xfId="0" applyFont="1" applyFill="1" applyAlignment="1">
      <alignment horizontal="center"/>
    </xf>
    <xf numFmtId="0" fontId="44" fillId="20" borderId="49" xfId="0" applyFont="1" applyFill="1" applyBorder="1" applyAlignment="1">
      <alignment horizontal="center" vertical="center"/>
    </xf>
    <xf numFmtId="0" fontId="44" fillId="20" borderId="47" xfId="0" applyFont="1" applyFill="1" applyBorder="1" applyAlignment="1">
      <alignment horizontal="center" vertical="center"/>
    </xf>
    <xf numFmtId="0" fontId="32" fillId="5" borderId="42" xfId="0" applyFont="1" applyFill="1" applyBorder="1" applyAlignment="1">
      <alignment horizontal="center"/>
    </xf>
    <xf numFmtId="0" fontId="0" fillId="0" borderId="53" xfId="0" applyBorder="1" applyAlignment="1">
      <alignment horizontal="center"/>
    </xf>
    <xf numFmtId="0" fontId="0" fillId="0" borderId="36" xfId="0" applyBorder="1" applyAlignment="1">
      <alignment horizontal="center"/>
    </xf>
    <xf numFmtId="0" fontId="0" fillId="0" borderId="54" xfId="0" applyBorder="1" applyAlignment="1">
      <alignment horizontal="center"/>
    </xf>
    <xf numFmtId="0" fontId="32" fillId="0" borderId="63" xfId="0" applyFont="1" applyBorder="1" applyAlignment="1">
      <alignment horizontal="left" vertical="top" wrapText="1"/>
    </xf>
    <xf numFmtId="0" fontId="32" fillId="0" borderId="40" xfId="0" applyFont="1" applyBorder="1" applyAlignment="1">
      <alignment horizontal="left" vertical="top" wrapText="1"/>
    </xf>
    <xf numFmtId="0" fontId="32" fillId="0" borderId="41" xfId="0" applyFont="1" applyBorder="1" applyAlignment="1">
      <alignment horizontal="left" vertical="top" wrapText="1"/>
    </xf>
    <xf numFmtId="0" fontId="32" fillId="0" borderId="32" xfId="0" applyFont="1" applyBorder="1" applyAlignment="1">
      <alignment horizontal="left" vertical="top" wrapText="1"/>
    </xf>
    <xf numFmtId="0" fontId="32" fillId="0" borderId="0" xfId="0" applyFont="1" applyAlignment="1">
      <alignment horizontal="left" vertical="top" wrapText="1"/>
    </xf>
    <xf numFmtId="0" fontId="32" fillId="0" borderId="42" xfId="0" applyFont="1" applyBorder="1" applyAlignment="1">
      <alignment horizontal="left" vertical="top" wrapText="1"/>
    </xf>
    <xf numFmtId="0" fontId="32" fillId="0" borderId="57" xfId="0" applyFont="1" applyBorder="1" applyAlignment="1">
      <alignment horizontal="left" vertical="top" wrapText="1"/>
    </xf>
    <xf numFmtId="0" fontId="32" fillId="0" borderId="33" xfId="0" applyFont="1" applyBorder="1" applyAlignment="1">
      <alignment horizontal="left" vertical="top" wrapText="1"/>
    </xf>
    <xf numFmtId="0" fontId="32" fillId="0" borderId="56" xfId="0" applyFont="1" applyBorder="1" applyAlignment="1">
      <alignment horizontal="left" vertical="top" wrapText="1"/>
    </xf>
    <xf numFmtId="0" fontId="42" fillId="5" borderId="32" xfId="0" applyFont="1" applyFill="1" applyBorder="1" applyAlignment="1">
      <alignment horizontal="left" vertical="top" wrapText="1"/>
    </xf>
    <xf numFmtId="0" fontId="42" fillId="5" borderId="0" xfId="0" applyFont="1" applyFill="1" applyAlignment="1">
      <alignment horizontal="left" vertical="top"/>
    </xf>
    <xf numFmtId="0" fontId="42" fillId="5" borderId="42" xfId="0" applyFont="1" applyFill="1" applyBorder="1" applyAlignment="1">
      <alignment horizontal="left" vertical="top"/>
    </xf>
    <xf numFmtId="0" fontId="42" fillId="5" borderId="32" xfId="0" applyFont="1" applyFill="1" applyBorder="1" applyAlignment="1">
      <alignment horizontal="left" vertical="top"/>
    </xf>
    <xf numFmtId="0" fontId="43" fillId="20" borderId="49" xfId="0" applyFont="1" applyFill="1" applyBorder="1" applyAlignment="1">
      <alignment horizontal="center" vertical="center"/>
    </xf>
    <xf numFmtId="0" fontId="43" fillId="20" borderId="47" xfId="0" applyFont="1" applyFill="1" applyBorder="1" applyAlignment="1">
      <alignment horizontal="center" vertical="center"/>
    </xf>
    <xf numFmtId="0" fontId="0" fillId="5" borderId="40" xfId="0" applyFill="1" applyBorder="1" applyAlignment="1">
      <alignment horizontal="center" vertical="center"/>
    </xf>
    <xf numFmtId="0" fontId="0" fillId="5" borderId="0" xfId="0" applyFill="1" applyAlignment="1">
      <alignment horizontal="center" vertical="center"/>
    </xf>
    <xf numFmtId="49" fontId="49" fillId="8" borderId="9" xfId="0" applyNumberFormat="1" applyFont="1" applyFill="1" applyBorder="1" applyAlignment="1" applyProtection="1">
      <alignment horizontal="center"/>
      <protection locked="0"/>
    </xf>
    <xf numFmtId="0" fontId="48" fillId="0" borderId="0" xfId="0" applyFont="1" applyAlignment="1">
      <alignment horizontal="left" vertical="center"/>
    </xf>
    <xf numFmtId="0" fontId="49" fillId="0" borderId="29" xfId="0" applyFont="1" applyBorder="1" applyAlignment="1" applyProtection="1">
      <alignment horizontal="center" vertical="center"/>
      <protection hidden="1"/>
    </xf>
    <xf numFmtId="0" fontId="49" fillId="0" borderId="30" xfId="0" applyFont="1" applyBorder="1" applyAlignment="1" applyProtection="1">
      <alignment horizontal="center" vertical="center"/>
      <protection hidden="1"/>
    </xf>
    <xf numFmtId="0" fontId="49" fillId="0" borderId="31" xfId="0" applyFont="1" applyBorder="1" applyAlignment="1" applyProtection="1">
      <alignment horizontal="center" vertical="center"/>
      <protection hidden="1"/>
    </xf>
    <xf numFmtId="0" fontId="49" fillId="19" borderId="9" xfId="0" applyFont="1" applyFill="1" applyBorder="1" applyAlignment="1" applyProtection="1">
      <alignment horizontal="center"/>
      <protection locked="0"/>
    </xf>
    <xf numFmtId="0" fontId="49" fillId="8" borderId="9" xfId="0" applyFont="1" applyFill="1" applyBorder="1" applyAlignment="1" applyProtection="1">
      <alignment horizontal="center"/>
      <protection locked="0"/>
    </xf>
    <xf numFmtId="0" fontId="49" fillId="8" borderId="29" xfId="0" applyFont="1" applyFill="1" applyBorder="1" applyProtection="1">
      <protection locked="0"/>
    </xf>
    <xf numFmtId="0" fontId="49" fillId="8" borderId="30" xfId="0" applyFont="1" applyFill="1" applyBorder="1" applyProtection="1">
      <protection locked="0"/>
    </xf>
    <xf numFmtId="0" fontId="49" fillId="8" borderId="31" xfId="0" applyFont="1" applyFill="1" applyBorder="1" applyProtection="1">
      <protection locked="0"/>
    </xf>
    <xf numFmtId="0" fontId="62" fillId="0" borderId="29" xfId="0" applyFont="1" applyBorder="1" applyAlignment="1" applyProtection="1">
      <alignment horizontal="center" vertical="center"/>
      <protection hidden="1"/>
    </xf>
    <xf numFmtId="0" fontId="62" fillId="0" borderId="30" xfId="0" applyFont="1" applyBorder="1" applyAlignment="1" applyProtection="1">
      <alignment horizontal="center" vertical="center"/>
      <protection hidden="1"/>
    </xf>
    <xf numFmtId="0" fontId="62" fillId="0" borderId="31" xfId="0" applyFont="1" applyBorder="1" applyAlignment="1" applyProtection="1">
      <alignment horizontal="center" vertical="center"/>
      <protection hidden="1"/>
    </xf>
    <xf numFmtId="0" fontId="49" fillId="8" borderId="9" xfId="0" applyFont="1" applyFill="1" applyBorder="1" applyAlignment="1" applyProtection="1">
      <alignment horizontal="center" vertical="center"/>
      <protection locked="0"/>
    </xf>
    <xf numFmtId="0" fontId="50" fillId="0" borderId="1" xfId="0" applyFont="1" applyBorder="1" applyAlignment="1" applyProtection="1">
      <alignment horizontal="center"/>
      <protection locked="0"/>
    </xf>
    <xf numFmtId="0" fontId="61" fillId="22" borderId="29" xfId="0" applyFont="1" applyFill="1" applyBorder="1" applyAlignment="1" applyProtection="1">
      <alignment horizontal="center" vertical="center" readingOrder="2"/>
      <protection hidden="1"/>
    </xf>
    <xf numFmtId="0" fontId="61" fillId="22" borderId="30" xfId="0" applyFont="1" applyFill="1" applyBorder="1" applyAlignment="1" applyProtection="1">
      <alignment horizontal="center" vertical="center" readingOrder="2"/>
      <protection hidden="1"/>
    </xf>
    <xf numFmtId="0" fontId="61" fillId="22" borderId="31" xfId="0" applyFont="1" applyFill="1" applyBorder="1" applyAlignment="1" applyProtection="1">
      <alignment horizontal="center" vertical="center" readingOrder="2"/>
      <protection hidden="1"/>
    </xf>
    <xf numFmtId="0" fontId="2" fillId="3" borderId="9" xfId="0" applyFont="1" applyFill="1" applyBorder="1" applyAlignment="1">
      <alignment horizontal="center" vertical="center"/>
    </xf>
  </cellXfs>
  <cellStyles count="7">
    <cellStyle name="Comma" xfId="5" builtinId="3"/>
    <cellStyle name="Comma 2" xfId="2" xr:uid="{1F84C8D3-889C-4B86-B910-ED7B814F8F75}"/>
    <cellStyle name="Excel Built-in Normal" xfId="4" xr:uid="{0C6869C0-2F52-4DE0-9256-3D11A02EA3C0}"/>
    <cellStyle name="Hyperlink" xfId="1" builtinId="8"/>
    <cellStyle name="Normal" xfId="0" builtinId="0"/>
    <cellStyle name="Normal 8" xfId="6" xr:uid="{A8CC43EC-F2E3-47BF-83C7-2E2E0BD6473C}"/>
    <cellStyle name="Percent" xfId="3" builtinId="5"/>
  </cellStyles>
  <dxfs count="12">
    <dxf>
      <fill>
        <patternFill>
          <bgColor rgb="FFFF0000"/>
        </patternFill>
      </fill>
    </dxf>
    <dxf>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styles" Target="style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https://www.temenos.com/us/insights/webinars/how-banks-can-win-new-small-business-customers/" TargetMode="External"/><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9" Type="http://schemas.openxmlformats.org/officeDocument/2006/relationships/image" Target="../media/image1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6.xml.rels><?xml version="1.0" encoding="UTF-8" standalone="yes"?>
<Relationships xmlns="http://schemas.openxmlformats.org/package/2006/relationships"><Relationship Id="rId1"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editAs="oneCell">
    <xdr:from>
      <xdr:col>11</xdr:col>
      <xdr:colOff>77815</xdr:colOff>
      <xdr:row>0</xdr:row>
      <xdr:rowOff>15240</xdr:rowOff>
    </xdr:from>
    <xdr:to>
      <xdr:col>26</xdr:col>
      <xdr:colOff>312420</xdr:colOff>
      <xdr:row>24</xdr:row>
      <xdr:rowOff>81280</xdr:rowOff>
    </xdr:to>
    <xdr:pic>
      <xdr:nvPicPr>
        <xdr:cNvPr id="2" name="Picture 1">
          <a:extLst>
            <a:ext uri="{FF2B5EF4-FFF2-40B4-BE49-F238E27FC236}">
              <a16:creationId xmlns:a16="http://schemas.microsoft.com/office/drawing/2014/main" id="{374807AD-67F5-4B05-A520-B56E2194000F}"/>
            </a:ext>
          </a:extLst>
        </xdr:cNvPr>
        <xdr:cNvPicPr>
          <a:picLocks noChangeAspect="1"/>
        </xdr:cNvPicPr>
      </xdr:nvPicPr>
      <xdr:blipFill>
        <a:blip xmlns:r="http://schemas.openxmlformats.org/officeDocument/2006/relationships" r:embed="rId1"/>
        <a:stretch>
          <a:fillRect/>
        </a:stretch>
      </xdr:blipFill>
      <xdr:spPr>
        <a:xfrm>
          <a:off x="11286835" y="15240"/>
          <a:ext cx="10293005" cy="4401820"/>
        </a:xfrm>
        <a:prstGeom prst="rect">
          <a:avLst/>
        </a:prstGeom>
      </xdr:spPr>
    </xdr:pic>
    <xdr:clientData/>
  </xdr:twoCellAnchor>
  <xdr:twoCellAnchor editAs="oneCell">
    <xdr:from>
      <xdr:col>13</xdr:col>
      <xdr:colOff>15241</xdr:colOff>
      <xdr:row>27</xdr:row>
      <xdr:rowOff>152401</xdr:rowOff>
    </xdr:from>
    <xdr:to>
      <xdr:col>29</xdr:col>
      <xdr:colOff>435537</xdr:colOff>
      <xdr:row>53</xdr:row>
      <xdr:rowOff>99060</xdr:rowOff>
    </xdr:to>
    <xdr:pic>
      <xdr:nvPicPr>
        <xdr:cNvPr id="3" name="Picture 2">
          <a:extLst>
            <a:ext uri="{FF2B5EF4-FFF2-40B4-BE49-F238E27FC236}">
              <a16:creationId xmlns:a16="http://schemas.microsoft.com/office/drawing/2014/main" id="{5CEEB6E8-272C-4947-84BD-480E66C87434}"/>
            </a:ext>
          </a:extLst>
        </xdr:cNvPr>
        <xdr:cNvPicPr>
          <a:picLocks noChangeAspect="1"/>
        </xdr:cNvPicPr>
      </xdr:nvPicPr>
      <xdr:blipFill>
        <a:blip xmlns:r="http://schemas.openxmlformats.org/officeDocument/2006/relationships" r:embed="rId2"/>
        <a:stretch>
          <a:fillRect/>
        </a:stretch>
      </xdr:blipFill>
      <xdr:spPr>
        <a:xfrm>
          <a:off x="12565381" y="5052061"/>
          <a:ext cx="11149256" cy="463295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5</xdr:col>
      <xdr:colOff>131737</xdr:colOff>
      <xdr:row>0</xdr:row>
      <xdr:rowOff>76200</xdr:rowOff>
    </xdr:from>
    <xdr:ext cx="3657307" cy="758040"/>
    <xdr:pic>
      <xdr:nvPicPr>
        <xdr:cNvPr id="2" name="Picture 1">
          <a:extLst>
            <a:ext uri="{FF2B5EF4-FFF2-40B4-BE49-F238E27FC236}">
              <a16:creationId xmlns:a16="http://schemas.microsoft.com/office/drawing/2014/main" id="{C15B52F3-36EC-47C2-BF5B-6CB2F3F33A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8247037" y="76200"/>
          <a:ext cx="3657307" cy="75804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12</xdr:col>
      <xdr:colOff>429491</xdr:colOff>
      <xdr:row>23</xdr:row>
      <xdr:rowOff>152401</xdr:rowOff>
    </xdr:from>
    <xdr:to>
      <xdr:col>25</xdr:col>
      <xdr:colOff>372340</xdr:colOff>
      <xdr:row>49</xdr:row>
      <xdr:rowOff>78816</xdr:rowOff>
    </xdr:to>
    <xdr:pic>
      <xdr:nvPicPr>
        <xdr:cNvPr id="2" name="Picture 1">
          <a:extLst>
            <a:ext uri="{FF2B5EF4-FFF2-40B4-BE49-F238E27FC236}">
              <a16:creationId xmlns:a16="http://schemas.microsoft.com/office/drawing/2014/main" id="{1C4E057E-5ED0-4211-82EC-1DF05DD16E0A}"/>
            </a:ext>
          </a:extLst>
        </xdr:cNvPr>
        <xdr:cNvPicPr>
          <a:picLocks noChangeAspect="1"/>
        </xdr:cNvPicPr>
      </xdr:nvPicPr>
      <xdr:blipFill>
        <a:blip xmlns:r="http://schemas.openxmlformats.org/officeDocument/2006/relationships" r:embed="rId1"/>
        <a:stretch>
          <a:fillRect/>
        </a:stretch>
      </xdr:blipFill>
      <xdr:spPr>
        <a:xfrm>
          <a:off x="8839200" y="4378037"/>
          <a:ext cx="8672945" cy="4609252"/>
        </a:xfrm>
        <a:prstGeom prst="rect">
          <a:avLst/>
        </a:prstGeom>
      </xdr:spPr>
    </xdr:pic>
    <xdr:clientData/>
  </xdr:twoCellAnchor>
  <xdr:twoCellAnchor editAs="oneCell">
    <xdr:from>
      <xdr:col>0</xdr:col>
      <xdr:colOff>0</xdr:colOff>
      <xdr:row>49</xdr:row>
      <xdr:rowOff>124692</xdr:rowOff>
    </xdr:from>
    <xdr:to>
      <xdr:col>12</xdr:col>
      <xdr:colOff>166948</xdr:colOff>
      <xdr:row>72</xdr:row>
      <xdr:rowOff>872</xdr:rowOff>
    </xdr:to>
    <xdr:pic>
      <xdr:nvPicPr>
        <xdr:cNvPr id="3" name="Picture 2">
          <a:extLst>
            <a:ext uri="{FF2B5EF4-FFF2-40B4-BE49-F238E27FC236}">
              <a16:creationId xmlns:a16="http://schemas.microsoft.com/office/drawing/2014/main" id="{FBD6B8D3-18E9-48CC-9D9B-BC01D0C12FCE}"/>
            </a:ext>
          </a:extLst>
        </xdr:cNvPr>
        <xdr:cNvPicPr>
          <a:picLocks noChangeAspect="1"/>
        </xdr:cNvPicPr>
      </xdr:nvPicPr>
      <xdr:blipFill>
        <a:blip xmlns:r="http://schemas.openxmlformats.org/officeDocument/2006/relationships" r:embed="rId2"/>
        <a:stretch>
          <a:fillRect/>
        </a:stretch>
      </xdr:blipFill>
      <xdr:spPr>
        <a:xfrm>
          <a:off x="0" y="9033165"/>
          <a:ext cx="9462655" cy="4017650"/>
        </a:xfrm>
        <a:prstGeom prst="rect">
          <a:avLst/>
        </a:prstGeom>
      </xdr:spPr>
    </xdr:pic>
    <xdr:clientData/>
  </xdr:twoCellAnchor>
  <xdr:twoCellAnchor editAs="oneCell">
    <xdr:from>
      <xdr:col>0</xdr:col>
      <xdr:colOff>0</xdr:colOff>
      <xdr:row>23</xdr:row>
      <xdr:rowOff>152400</xdr:rowOff>
    </xdr:from>
    <xdr:to>
      <xdr:col>11</xdr:col>
      <xdr:colOff>788591</xdr:colOff>
      <xdr:row>49</xdr:row>
      <xdr:rowOff>83127</xdr:rowOff>
    </xdr:to>
    <xdr:pic>
      <xdr:nvPicPr>
        <xdr:cNvPr id="4" name="Picture 3">
          <a:extLst>
            <a:ext uri="{FF2B5EF4-FFF2-40B4-BE49-F238E27FC236}">
              <a16:creationId xmlns:a16="http://schemas.microsoft.com/office/drawing/2014/main" id="{295F9450-1973-4918-812E-08D50E59EB42}"/>
            </a:ext>
          </a:extLst>
        </xdr:cNvPr>
        <xdr:cNvPicPr>
          <a:picLocks noChangeAspect="1"/>
        </xdr:cNvPicPr>
      </xdr:nvPicPr>
      <xdr:blipFill>
        <a:blip xmlns:r="http://schemas.openxmlformats.org/officeDocument/2006/relationships" r:embed="rId3"/>
        <a:stretch>
          <a:fillRect/>
        </a:stretch>
      </xdr:blipFill>
      <xdr:spPr>
        <a:xfrm>
          <a:off x="0" y="4378036"/>
          <a:ext cx="8855400" cy="4613564"/>
        </a:xfrm>
        <a:prstGeom prst="rect">
          <a:avLst/>
        </a:prstGeom>
      </xdr:spPr>
    </xdr:pic>
    <xdr:clientData/>
  </xdr:twoCellAnchor>
  <xdr:twoCellAnchor editAs="oneCell">
    <xdr:from>
      <xdr:col>13</xdr:col>
      <xdr:colOff>65809</xdr:colOff>
      <xdr:row>75</xdr:row>
      <xdr:rowOff>28056</xdr:rowOff>
    </xdr:from>
    <xdr:to>
      <xdr:col>25</xdr:col>
      <xdr:colOff>304800</xdr:colOff>
      <xdr:row>99</xdr:row>
      <xdr:rowOff>86601</xdr:rowOff>
    </xdr:to>
    <xdr:pic>
      <xdr:nvPicPr>
        <xdr:cNvPr id="5" name="Picture 4">
          <a:extLst>
            <a:ext uri="{FF2B5EF4-FFF2-40B4-BE49-F238E27FC236}">
              <a16:creationId xmlns:a16="http://schemas.microsoft.com/office/drawing/2014/main" id="{B1804B08-5780-43C4-971C-F7AD6D611A74}"/>
            </a:ext>
          </a:extLst>
        </xdr:cNvPr>
        <xdr:cNvPicPr>
          <a:picLocks noChangeAspect="1"/>
        </xdr:cNvPicPr>
      </xdr:nvPicPr>
      <xdr:blipFill>
        <a:blip xmlns:r="http://schemas.openxmlformats.org/officeDocument/2006/relationships" r:embed="rId4"/>
        <a:stretch>
          <a:fillRect/>
        </a:stretch>
      </xdr:blipFill>
      <xdr:spPr>
        <a:xfrm>
          <a:off x="9152659" y="13077306"/>
          <a:ext cx="8316191" cy="4173345"/>
        </a:xfrm>
        <a:prstGeom prst="rect">
          <a:avLst/>
        </a:prstGeom>
      </xdr:spPr>
    </xdr:pic>
    <xdr:clientData/>
  </xdr:twoCellAnchor>
  <xdr:twoCellAnchor editAs="oneCell">
    <xdr:from>
      <xdr:col>41</xdr:col>
      <xdr:colOff>63384</xdr:colOff>
      <xdr:row>75</xdr:row>
      <xdr:rowOff>28056</xdr:rowOff>
    </xdr:from>
    <xdr:to>
      <xdr:col>52</xdr:col>
      <xdr:colOff>430091</xdr:colOff>
      <xdr:row>99</xdr:row>
      <xdr:rowOff>2410</xdr:rowOff>
    </xdr:to>
    <xdr:pic>
      <xdr:nvPicPr>
        <xdr:cNvPr id="6" name="Picture 5">
          <a:extLst>
            <a:ext uri="{FF2B5EF4-FFF2-40B4-BE49-F238E27FC236}">
              <a16:creationId xmlns:a16="http://schemas.microsoft.com/office/drawing/2014/main" id="{6B387788-1ABC-4378-A6C8-3F0DF8CBCE31}"/>
            </a:ext>
          </a:extLst>
        </xdr:cNvPr>
        <xdr:cNvPicPr>
          <a:picLocks noChangeAspect="1"/>
        </xdr:cNvPicPr>
      </xdr:nvPicPr>
      <xdr:blipFill>
        <a:blip xmlns:r="http://schemas.openxmlformats.org/officeDocument/2006/relationships" r:embed="rId5"/>
        <a:stretch>
          <a:fillRect/>
        </a:stretch>
      </xdr:blipFill>
      <xdr:spPr>
        <a:xfrm>
          <a:off x="27838284" y="13077306"/>
          <a:ext cx="7700957" cy="4089154"/>
        </a:xfrm>
        <a:prstGeom prst="rect">
          <a:avLst/>
        </a:prstGeom>
      </xdr:spPr>
    </xdr:pic>
    <xdr:clientData/>
  </xdr:twoCellAnchor>
  <xdr:twoCellAnchor editAs="oneCell">
    <xdr:from>
      <xdr:col>12</xdr:col>
      <xdr:colOff>653934</xdr:colOff>
      <xdr:row>99</xdr:row>
      <xdr:rowOff>169372</xdr:rowOff>
    </xdr:from>
    <xdr:to>
      <xdr:col>30</xdr:col>
      <xdr:colOff>487582</xdr:colOff>
      <xdr:row>107</xdr:row>
      <xdr:rowOff>34995</xdr:rowOff>
    </xdr:to>
    <xdr:pic>
      <xdr:nvPicPr>
        <xdr:cNvPr id="7" name="Picture 6">
          <a:extLst>
            <a:ext uri="{FF2B5EF4-FFF2-40B4-BE49-F238E27FC236}">
              <a16:creationId xmlns:a16="http://schemas.microsoft.com/office/drawing/2014/main" id="{7448568E-2EDB-4849-9E19-4D5536277E33}"/>
            </a:ext>
          </a:extLst>
        </xdr:cNvPr>
        <xdr:cNvPicPr>
          <a:picLocks noChangeAspect="1"/>
        </xdr:cNvPicPr>
      </xdr:nvPicPr>
      <xdr:blipFill>
        <a:blip xmlns:r="http://schemas.openxmlformats.org/officeDocument/2006/relationships" r:embed="rId6"/>
        <a:stretch>
          <a:fillRect/>
        </a:stretch>
      </xdr:blipFill>
      <xdr:spPr>
        <a:xfrm>
          <a:off x="9074034" y="17333422"/>
          <a:ext cx="11911348" cy="1237223"/>
        </a:xfrm>
        <a:prstGeom prst="rect">
          <a:avLst/>
        </a:prstGeom>
      </xdr:spPr>
    </xdr:pic>
    <xdr:clientData/>
  </xdr:twoCellAnchor>
  <xdr:twoCellAnchor editAs="oneCell">
    <xdr:from>
      <xdr:col>25</xdr:col>
      <xdr:colOff>383424</xdr:colOff>
      <xdr:row>74</xdr:row>
      <xdr:rowOff>261505</xdr:rowOff>
    </xdr:from>
    <xdr:to>
      <xdr:col>41</xdr:col>
      <xdr:colOff>5113</xdr:colOff>
      <xdr:row>99</xdr:row>
      <xdr:rowOff>11431</xdr:rowOff>
    </xdr:to>
    <xdr:pic>
      <xdr:nvPicPr>
        <xdr:cNvPr id="8" name="Picture 7">
          <a:extLst>
            <a:ext uri="{FF2B5EF4-FFF2-40B4-BE49-F238E27FC236}">
              <a16:creationId xmlns:a16="http://schemas.microsoft.com/office/drawing/2014/main" id="{02A9FA25-9CBC-4FE2-9677-D3F0F2967755}"/>
            </a:ext>
          </a:extLst>
        </xdr:cNvPr>
        <xdr:cNvPicPr>
          <a:picLocks noChangeAspect="1"/>
        </xdr:cNvPicPr>
      </xdr:nvPicPr>
      <xdr:blipFill>
        <a:blip xmlns:r="http://schemas.openxmlformats.org/officeDocument/2006/relationships" r:embed="rId7"/>
        <a:stretch>
          <a:fillRect/>
        </a:stretch>
      </xdr:blipFill>
      <xdr:spPr>
        <a:xfrm>
          <a:off x="17490324" y="13044055"/>
          <a:ext cx="10289689" cy="4139045"/>
        </a:xfrm>
        <a:prstGeom prst="rect">
          <a:avLst/>
        </a:prstGeom>
      </xdr:spPr>
    </xdr:pic>
    <xdr:clientData/>
  </xdr:twoCellAnchor>
  <xdr:twoCellAnchor editAs="oneCell">
    <xdr:from>
      <xdr:col>30</xdr:col>
      <xdr:colOff>653934</xdr:colOff>
      <xdr:row>99</xdr:row>
      <xdr:rowOff>70312</xdr:rowOff>
    </xdr:from>
    <xdr:to>
      <xdr:col>48</xdr:col>
      <xdr:colOff>563782</xdr:colOff>
      <xdr:row>114</xdr:row>
      <xdr:rowOff>15430</xdr:rowOff>
    </xdr:to>
    <xdr:pic>
      <xdr:nvPicPr>
        <xdr:cNvPr id="9" name="Picture 8">
          <a:extLst>
            <a:ext uri="{FF2B5EF4-FFF2-40B4-BE49-F238E27FC236}">
              <a16:creationId xmlns:a16="http://schemas.microsoft.com/office/drawing/2014/main" id="{8EC73BD8-7FA0-4C7F-A572-9790C6D61F03}"/>
            </a:ext>
          </a:extLst>
        </xdr:cNvPr>
        <xdr:cNvPicPr>
          <a:picLocks noChangeAspect="1"/>
        </xdr:cNvPicPr>
      </xdr:nvPicPr>
      <xdr:blipFill>
        <a:blip xmlns:r="http://schemas.openxmlformats.org/officeDocument/2006/relationships" r:embed="rId8"/>
        <a:stretch>
          <a:fillRect/>
        </a:stretch>
      </xdr:blipFill>
      <xdr:spPr>
        <a:xfrm>
          <a:off x="21094584" y="17234362"/>
          <a:ext cx="11911348" cy="2516868"/>
        </a:xfrm>
        <a:prstGeom prst="rect">
          <a:avLst/>
        </a:prstGeom>
      </xdr:spPr>
    </xdr:pic>
    <xdr:clientData/>
  </xdr:twoCellAnchor>
  <xdr:twoCellAnchor editAs="oneCell">
    <xdr:from>
      <xdr:col>30</xdr:col>
      <xdr:colOff>623454</xdr:colOff>
      <xdr:row>114</xdr:row>
      <xdr:rowOff>146166</xdr:rowOff>
    </xdr:from>
    <xdr:to>
      <xdr:col>46</xdr:col>
      <xdr:colOff>655546</xdr:colOff>
      <xdr:row>121</xdr:row>
      <xdr:rowOff>73106</xdr:rowOff>
    </xdr:to>
    <xdr:pic>
      <xdr:nvPicPr>
        <xdr:cNvPr id="10" name="Picture 9">
          <a:extLst>
            <a:ext uri="{FF2B5EF4-FFF2-40B4-BE49-F238E27FC236}">
              <a16:creationId xmlns:a16="http://schemas.microsoft.com/office/drawing/2014/main" id="{1E77B4B9-3E52-4FEA-ABF2-6B6E506D874C}"/>
            </a:ext>
          </a:extLst>
        </xdr:cNvPr>
        <xdr:cNvPicPr>
          <a:picLocks noChangeAspect="1"/>
        </xdr:cNvPicPr>
      </xdr:nvPicPr>
      <xdr:blipFill>
        <a:blip xmlns:r="http://schemas.openxmlformats.org/officeDocument/2006/relationships" r:embed="rId9"/>
        <a:stretch>
          <a:fillRect/>
        </a:stretch>
      </xdr:blipFill>
      <xdr:spPr>
        <a:xfrm>
          <a:off x="21197454" y="21177366"/>
          <a:ext cx="10761052" cy="12071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579120</xdr:colOff>
      <xdr:row>4</xdr:row>
      <xdr:rowOff>22860</xdr:rowOff>
    </xdr:from>
    <xdr:to>
      <xdr:col>29</xdr:col>
      <xdr:colOff>22860</xdr:colOff>
      <xdr:row>25</xdr:row>
      <xdr:rowOff>165742</xdr:rowOff>
    </xdr:to>
    <xdr:pic>
      <xdr:nvPicPr>
        <xdr:cNvPr id="2" name="Picture 1">
          <a:extLst>
            <a:ext uri="{FF2B5EF4-FFF2-40B4-BE49-F238E27FC236}">
              <a16:creationId xmlns:a16="http://schemas.microsoft.com/office/drawing/2014/main" id="{FE6DA24E-DB37-42C4-9A9A-166420D435EE}"/>
            </a:ext>
          </a:extLst>
        </xdr:cNvPr>
        <xdr:cNvPicPr>
          <a:picLocks noChangeAspect="1"/>
        </xdr:cNvPicPr>
      </xdr:nvPicPr>
      <xdr:blipFill>
        <a:blip xmlns:r="http://schemas.openxmlformats.org/officeDocument/2006/relationships" r:embed="rId1"/>
        <a:stretch>
          <a:fillRect/>
        </a:stretch>
      </xdr:blipFill>
      <xdr:spPr>
        <a:xfrm>
          <a:off x="11330940" y="815340"/>
          <a:ext cx="9883140" cy="4044322"/>
        </a:xfrm>
        <a:prstGeom prst="rect">
          <a:avLst/>
        </a:prstGeom>
      </xdr:spPr>
    </xdr:pic>
    <xdr:clientData/>
  </xdr:twoCellAnchor>
  <xdr:twoCellAnchor editAs="oneCell">
    <xdr:from>
      <xdr:col>13</xdr:col>
      <xdr:colOff>1</xdr:colOff>
      <xdr:row>31</xdr:row>
      <xdr:rowOff>1</xdr:rowOff>
    </xdr:from>
    <xdr:to>
      <xdr:col>29</xdr:col>
      <xdr:colOff>378568</xdr:colOff>
      <xdr:row>53</xdr:row>
      <xdr:rowOff>76200</xdr:rowOff>
    </xdr:to>
    <xdr:pic>
      <xdr:nvPicPr>
        <xdr:cNvPr id="3" name="Picture 2">
          <a:extLst>
            <a:ext uri="{FF2B5EF4-FFF2-40B4-BE49-F238E27FC236}">
              <a16:creationId xmlns:a16="http://schemas.microsoft.com/office/drawing/2014/main" id="{023937D3-8D56-457C-9756-4B9FB9AFC4F5}"/>
            </a:ext>
          </a:extLst>
        </xdr:cNvPr>
        <xdr:cNvPicPr>
          <a:picLocks noChangeAspect="1"/>
        </xdr:cNvPicPr>
      </xdr:nvPicPr>
      <xdr:blipFill>
        <a:blip xmlns:r="http://schemas.openxmlformats.org/officeDocument/2006/relationships" r:embed="rId2"/>
        <a:stretch>
          <a:fillRect/>
        </a:stretch>
      </xdr:blipFill>
      <xdr:spPr>
        <a:xfrm>
          <a:off x="11437621" y="5867401"/>
          <a:ext cx="10132167" cy="416051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10</xdr:col>
      <xdr:colOff>137647</xdr:colOff>
      <xdr:row>39</xdr:row>
      <xdr:rowOff>8223</xdr:rowOff>
    </xdr:to>
    <xdr:pic>
      <xdr:nvPicPr>
        <xdr:cNvPr id="2" name="Picture 1">
          <a:extLst>
            <a:ext uri="{FF2B5EF4-FFF2-40B4-BE49-F238E27FC236}">
              <a16:creationId xmlns:a16="http://schemas.microsoft.com/office/drawing/2014/main" id="{8D5DF7C0-D106-F4FB-177A-3F0677DD80D9}"/>
            </a:ext>
          </a:extLst>
        </xdr:cNvPr>
        <xdr:cNvPicPr>
          <a:picLocks noChangeAspect="1"/>
        </xdr:cNvPicPr>
      </xdr:nvPicPr>
      <xdr:blipFill>
        <a:blip xmlns:r="http://schemas.openxmlformats.org/officeDocument/2006/relationships" r:embed="rId1"/>
        <a:stretch>
          <a:fillRect/>
        </a:stretch>
      </xdr:blipFill>
      <xdr:spPr>
        <a:xfrm>
          <a:off x="609600" y="182880"/>
          <a:ext cx="5624047" cy="695766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16</xdr:col>
      <xdr:colOff>587583</xdr:colOff>
      <xdr:row>22</xdr:row>
      <xdr:rowOff>175608</xdr:rowOff>
    </xdr:to>
    <xdr:pic>
      <xdr:nvPicPr>
        <xdr:cNvPr id="2" name="Picture 1">
          <a:extLst>
            <a:ext uri="{FF2B5EF4-FFF2-40B4-BE49-F238E27FC236}">
              <a16:creationId xmlns:a16="http://schemas.microsoft.com/office/drawing/2014/main" id="{5DC6FC2F-297C-BCE9-A5BE-7D220EFC3B9F}"/>
            </a:ext>
          </a:extLst>
        </xdr:cNvPr>
        <xdr:cNvPicPr>
          <a:picLocks noChangeAspect="1"/>
        </xdr:cNvPicPr>
      </xdr:nvPicPr>
      <xdr:blipFill>
        <a:blip xmlns:r="http://schemas.openxmlformats.org/officeDocument/2006/relationships" r:embed="rId1"/>
        <a:stretch>
          <a:fillRect/>
        </a:stretch>
      </xdr:blipFill>
      <xdr:spPr>
        <a:xfrm>
          <a:off x="609600" y="182880"/>
          <a:ext cx="9731583" cy="401608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ndctech-my.sharepoint.com/Users/Administrator/AppData/Local/Microsoft/Windows/Temporary%20Internet%20Files/Content.Outlook/T15337AG/WS01-02-BANK_Customer_BPR_Reference_Sheet.V1%20(0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techvista-my.sharepoint.com/personal/fahad_mismail_systemsltd_com/Documents/Projects/Tamweel%20Aloula/Tawarruq/Received%20from%20KU/Day-5/Partial%20Settlement%20-%20Installment-TA.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techvista-my.sharepoint.com/personal/fahad_mismail_systemsltd_com/Documents/Projects/Tamweel%20Aloula/Tawarruq/Received%20from%20KU/Day-5/Partial%20Settlement%20-%20Revise%20Term-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PI Dashboard"/>
      <sheetName val="Data Control Sheet"/>
      <sheetName val="Products"/>
      <sheetName val="Processes Details"/>
      <sheetName val="Deliverables Inventory"/>
      <sheetName val="Scoping Gaps"/>
      <sheetName val="Followup Sheet"/>
      <sheetName val="BRD DOC Details"/>
      <sheetName val="KPI Source 1"/>
      <sheetName val="KPI Source 2"/>
      <sheetName val="New Gaps"/>
      <sheetName val="BRD Planning Details"/>
      <sheetName val="FSD Doc Details"/>
      <sheetName val="Resource Attendees"/>
      <sheetName val="Drop Down Fields"/>
      <sheetName val="Sheet1"/>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3">
          <cell r="B3" t="str">
            <v>MUST Have</v>
          </cell>
        </row>
        <row r="16">
          <cell r="D16" t="str">
            <v>Not Started</v>
          </cell>
        </row>
        <row r="17">
          <cell r="D17" t="str">
            <v>In Progress</v>
          </cell>
        </row>
        <row r="18">
          <cell r="D18" t="str">
            <v>Completed</v>
          </cell>
        </row>
        <row r="19">
          <cell r="D19" t="str">
            <v>Deffered</v>
          </cell>
        </row>
      </sheetData>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 to Compression"/>
      <sheetName val="After 5 Inst. Compression"/>
      <sheetName val="After Maturity Dec. 5Month"/>
    </sheetNames>
    <sheetDataSet>
      <sheetData sheetId="0"/>
      <sheetData sheetId="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iginal"/>
      <sheetName val="Post Partial Settlement"/>
    </sheetNames>
    <sheetDataSet>
      <sheetData sheetId="0"/>
      <sheetData sheetId="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3554F8-AB94-4C74-B339-94183F70075B}" name="Table3" displayName="Table3" ref="A1:M106" totalsRowShown="0">
  <autoFilter ref="A1:M106" xr:uid="{1A808F39-96EF-400A-9907-274FE32488D9}"/>
  <tableColumns count="13">
    <tableColumn id="1" xr3:uid="{1FAC90EC-6D4C-4D0E-83C8-083A7BECC45E}" name="Loan Application Fields"/>
    <tableColumn id="2" xr3:uid="{B60398B8-DFCB-49EE-A71C-BCD9AE829197}" name="Type"/>
    <tableColumn id="3" xr3:uid="{2DB5C6E7-2382-4AB9-93CB-293BC63BDFB8}" name="Enabled"/>
    <tableColumn id="4" xr3:uid="{E3BCC87D-7594-46A5-8C33-F954D07DC029}" name="Values"/>
    <tableColumn id="5" xr3:uid="{73972541-A005-458C-A6B6-E53C458C2F7F}" name="Description"/>
    <tableColumn id="6" xr3:uid="{7FB6AE1B-A97C-45C9-A83F-04B069A67AD4}" name="Category"/>
    <tableColumn id="7" xr3:uid="{7B7A698A-52C3-43EE-8943-34604F175B98}" name="Source"/>
    <tableColumn id="8" xr3:uid="{F1319245-BB53-4E4B-96C8-9F3951175BBB}" name="LMS Required from LOS"/>
    <tableColumn id="9" xr3:uid="{36AED933-44EF-4DC8-805C-51E3959EF499}" name="Technical Name"/>
    <tableColumn id="10" xr3:uid="{695F8C07-DFCD-4069-B0DC-590BB793659E}" name="Mapping"/>
    <tableColumn id="11" xr3:uid="{E8A7505C-9FB9-4199-8105-7F1602184E72}" name="Ref Fields"/>
    <tableColumn id="12" xr3:uid="{65611E0F-F6AB-47FC-824E-4B5EAAC101DC}" name="Mandatory"/>
    <tableColumn id="13" xr3:uid="{EE3C7FC0-8BBB-4EE5-8C7F-78BD9C970A0B}" name="Built Name2"/>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288A172-7441-47F7-BA58-7A0825709FFE}" name="Table1" displayName="Table1" ref="E4:J49" totalsRowShown="0" headerRowDxfId="11" dataDxfId="9" headerRowBorderDxfId="10" tableBorderDxfId="8" totalsRowBorderDxfId="7">
  <tableColumns count="6">
    <tableColumn id="1" xr3:uid="{751EBB01-12F5-45CE-A653-5BB3ACEDB907}" name="S No" dataDxfId="6"/>
    <tableColumn id="6" xr3:uid="{226F07C8-586E-442A-AEA1-89E42AC4DA7B}" name="Column1" dataDxfId="5"/>
    <tableColumn id="2" xr3:uid="{3675BE6D-F22B-4B31-83C3-ACE93E221B93}" name="Account " dataDxfId="4"/>
    <tableColumn id="3" xr3:uid="{5B32A972-5405-48FB-8BDE-78D0BB2D520B}" name="Account Type" dataDxfId="3"/>
    <tableColumn id="4" xr3:uid="{51287840-D6A2-47FE-96FA-BDDDC3BB4C63}" name="Debit" dataDxfId="2"/>
    <tableColumn id="5" xr3:uid="{1E05FD43-7277-499B-B98C-76F0CD388C31}" name="Credit "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7B842-844B-4266-9022-DBB896A40742}">
  <sheetPr codeName="Sheet1">
    <tabColor rgb="FFFFFF00"/>
    <pageSetUpPr autoPageBreaks="0"/>
  </sheetPr>
  <dimension ref="A1:L88"/>
  <sheetViews>
    <sheetView topLeftCell="A40" workbookViewId="0">
      <selection activeCell="C78" sqref="C78"/>
    </sheetView>
  </sheetViews>
  <sheetFormatPr defaultRowHeight="15" x14ac:dyDescent="0.25"/>
  <cols>
    <col min="1" max="1" width="26.42578125" bestFit="1" customWidth="1"/>
    <col min="2" max="2" width="22.28515625" bestFit="1" customWidth="1"/>
    <col min="3" max="3" width="53.140625" bestFit="1" customWidth="1"/>
    <col min="4" max="4" width="39.42578125" bestFit="1" customWidth="1"/>
    <col min="5" max="5" width="16" bestFit="1" customWidth="1"/>
    <col min="6" max="6" width="18.140625" bestFit="1" customWidth="1"/>
    <col min="7" max="7" width="40.28515625" bestFit="1" customWidth="1"/>
    <col min="8" max="8" width="16.85546875" bestFit="1" customWidth="1"/>
    <col min="9" max="9" width="20" bestFit="1" customWidth="1"/>
    <col min="10" max="10" width="36.7109375" bestFit="1" customWidth="1"/>
    <col min="11" max="11" width="6.28515625" bestFit="1" customWidth="1"/>
    <col min="12" max="12" width="12.7109375" bestFit="1" customWidth="1"/>
  </cols>
  <sheetData>
    <row r="1" spans="1:10" ht="15.75" thickBot="1" x14ac:dyDescent="0.3">
      <c r="A1" s="1" t="s">
        <v>0</v>
      </c>
      <c r="B1" s="1" t="s">
        <v>1</v>
      </c>
      <c r="C1" s="1" t="s">
        <v>2</v>
      </c>
      <c r="D1" s="1" t="s">
        <v>3</v>
      </c>
      <c r="E1" s="1" t="s">
        <v>4</v>
      </c>
      <c r="F1" s="2" t="s">
        <v>5</v>
      </c>
    </row>
    <row r="2" spans="1:10" x14ac:dyDescent="0.25">
      <c r="A2" s="655" t="s">
        <v>6</v>
      </c>
      <c r="B2" s="3" t="s">
        <v>7</v>
      </c>
      <c r="C2" s="4" t="s">
        <v>8</v>
      </c>
      <c r="D2" s="4"/>
      <c r="E2" s="4"/>
      <c r="F2" s="5"/>
      <c r="H2" s="6" t="s">
        <v>9</v>
      </c>
      <c r="I2" s="7"/>
      <c r="J2" s="8">
        <v>10000</v>
      </c>
    </row>
    <row r="3" spans="1:10" ht="15.75" thickBot="1" x14ac:dyDescent="0.3">
      <c r="A3" s="656"/>
      <c r="B3" s="9" t="s">
        <v>10</v>
      </c>
      <c r="C3" s="10"/>
      <c r="D3" s="10"/>
      <c r="E3" s="10"/>
      <c r="F3" s="11"/>
      <c r="H3" s="12" t="s">
        <v>11</v>
      </c>
      <c r="I3" s="13"/>
      <c r="J3" s="14">
        <f>J2*1%</f>
        <v>100</v>
      </c>
    </row>
    <row r="4" spans="1:10" x14ac:dyDescent="0.25">
      <c r="A4" s="673" t="s">
        <v>12</v>
      </c>
      <c r="B4" s="267" t="s">
        <v>7</v>
      </c>
      <c r="C4" s="268" t="s">
        <v>13</v>
      </c>
      <c r="D4" s="268" t="s">
        <v>14</v>
      </c>
      <c r="E4" s="269">
        <f>-J2</f>
        <v>-10000</v>
      </c>
      <c r="F4" s="270" t="s">
        <v>15</v>
      </c>
      <c r="H4" s="12" t="s">
        <v>16</v>
      </c>
      <c r="I4" s="13"/>
      <c r="J4" s="14">
        <f>J3*15%</f>
        <v>15</v>
      </c>
    </row>
    <row r="5" spans="1:10" ht="15.75" thickBot="1" x14ac:dyDescent="0.3">
      <c r="A5" s="674"/>
      <c r="B5" s="271" t="s">
        <v>10</v>
      </c>
      <c r="C5" s="272" t="s">
        <v>17</v>
      </c>
      <c r="D5" s="272" t="s">
        <v>18</v>
      </c>
      <c r="E5" s="273">
        <f>-E4</f>
        <v>10000</v>
      </c>
      <c r="F5" s="274" t="s">
        <v>15</v>
      </c>
      <c r="H5" s="12" t="s">
        <v>19</v>
      </c>
      <c r="I5" s="13"/>
      <c r="J5" s="14">
        <f>J2-J3-J4</f>
        <v>9885</v>
      </c>
    </row>
    <row r="6" spans="1:10" x14ac:dyDescent="0.25">
      <c r="A6" s="675" t="s">
        <v>20</v>
      </c>
      <c r="B6" s="267" t="s">
        <v>7</v>
      </c>
      <c r="C6" s="268" t="s">
        <v>17</v>
      </c>
      <c r="D6" s="268" t="s">
        <v>18</v>
      </c>
      <c r="E6" s="275">
        <f>-E5</f>
        <v>-10000</v>
      </c>
      <c r="F6" s="270" t="s">
        <v>15</v>
      </c>
      <c r="H6" s="12"/>
      <c r="I6" s="13"/>
      <c r="J6" s="18"/>
    </row>
    <row r="7" spans="1:10" ht="15.75" thickBot="1" x14ac:dyDescent="0.3">
      <c r="A7" s="676"/>
      <c r="B7" s="276" t="s">
        <v>10</v>
      </c>
      <c r="C7" s="277" t="s">
        <v>21</v>
      </c>
      <c r="D7" s="277" t="s">
        <v>14</v>
      </c>
      <c r="E7" s="278">
        <f>-E5</f>
        <v>-10000</v>
      </c>
      <c r="F7" s="279" t="s">
        <v>15</v>
      </c>
      <c r="H7" s="23" t="s">
        <v>22</v>
      </c>
      <c r="I7" s="24">
        <v>0.12</v>
      </c>
      <c r="J7" s="25">
        <f>J2*I7</f>
        <v>1200</v>
      </c>
    </row>
    <row r="8" spans="1:10" x14ac:dyDescent="0.25">
      <c r="A8" s="676"/>
      <c r="B8" s="276" t="s">
        <v>7</v>
      </c>
      <c r="C8" s="277" t="s">
        <v>23</v>
      </c>
      <c r="D8" s="277" t="s">
        <v>24</v>
      </c>
      <c r="E8" s="278">
        <f>-J2</f>
        <v>-10000</v>
      </c>
      <c r="F8" s="279" t="s">
        <v>15</v>
      </c>
    </row>
    <row r="9" spans="1:10" ht="15.75" thickBot="1" x14ac:dyDescent="0.3">
      <c r="A9" s="677"/>
      <c r="B9" s="271" t="s">
        <v>10</v>
      </c>
      <c r="C9" s="272" t="s">
        <v>25</v>
      </c>
      <c r="D9" s="272" t="s">
        <v>26</v>
      </c>
      <c r="E9" s="280">
        <f>-E8</f>
        <v>10000</v>
      </c>
      <c r="F9" s="274" t="s">
        <v>15</v>
      </c>
    </row>
    <row r="10" spans="1:10" x14ac:dyDescent="0.25">
      <c r="A10" s="655" t="s">
        <v>27</v>
      </c>
      <c r="B10" s="3" t="s">
        <v>7</v>
      </c>
      <c r="C10" s="4" t="s">
        <v>28</v>
      </c>
      <c r="D10" s="4" t="s">
        <v>29</v>
      </c>
      <c r="E10" s="17">
        <f>-J2</f>
        <v>-10000</v>
      </c>
      <c r="F10" s="15" t="s">
        <v>15</v>
      </c>
      <c r="H10" s="27" t="s">
        <v>30</v>
      </c>
    </row>
    <row r="11" spans="1:10" x14ac:dyDescent="0.25">
      <c r="A11" s="668"/>
      <c r="B11" s="19" t="s">
        <v>10</v>
      </c>
      <c r="C11" s="20" t="s">
        <v>23</v>
      </c>
      <c r="D11" s="20" t="s">
        <v>24</v>
      </c>
      <c r="E11" s="21">
        <f>-E8</f>
        <v>10000</v>
      </c>
      <c r="F11" s="22" t="s">
        <v>15</v>
      </c>
    </row>
    <row r="12" spans="1:10" x14ac:dyDescent="0.25">
      <c r="A12" s="668"/>
      <c r="B12" s="19" t="s">
        <v>7</v>
      </c>
      <c r="C12" s="20" t="s">
        <v>31</v>
      </c>
      <c r="D12" s="20" t="s">
        <v>32</v>
      </c>
      <c r="E12" s="21">
        <f>-J7</f>
        <v>-1200</v>
      </c>
      <c r="F12" s="22" t="s">
        <v>15</v>
      </c>
    </row>
    <row r="13" spans="1:10" ht="15.75" thickBot="1" x14ac:dyDescent="0.3">
      <c r="A13" s="656"/>
      <c r="B13" s="9" t="s">
        <v>10</v>
      </c>
      <c r="C13" s="10" t="s">
        <v>33</v>
      </c>
      <c r="D13" s="10" t="s">
        <v>34</v>
      </c>
      <c r="E13" s="26">
        <f>-E12</f>
        <v>1200</v>
      </c>
      <c r="F13" s="16" t="s">
        <v>15</v>
      </c>
    </row>
    <row r="14" spans="1:10" x14ac:dyDescent="0.25">
      <c r="A14" s="659" t="s">
        <v>35</v>
      </c>
      <c r="B14" s="3" t="s">
        <v>36</v>
      </c>
      <c r="C14" s="7" t="s">
        <v>37</v>
      </c>
      <c r="D14" s="4" t="s">
        <v>38</v>
      </c>
      <c r="E14" s="28">
        <f>-J3</f>
        <v>-100</v>
      </c>
      <c r="F14" s="15"/>
    </row>
    <row r="15" spans="1:10" x14ac:dyDescent="0.25">
      <c r="A15" s="660"/>
      <c r="B15" s="19" t="s">
        <v>39</v>
      </c>
      <c r="C15" s="13" t="s">
        <v>40</v>
      </c>
      <c r="D15" s="20" t="s">
        <v>41</v>
      </c>
      <c r="E15" s="29">
        <f>-E14</f>
        <v>100</v>
      </c>
      <c r="F15" s="22"/>
    </row>
    <row r="16" spans="1:10" x14ac:dyDescent="0.25">
      <c r="A16" s="660"/>
      <c r="B16" s="19" t="s">
        <v>36</v>
      </c>
      <c r="C16" s="13" t="s">
        <v>42</v>
      </c>
      <c r="D16" s="20" t="s">
        <v>43</v>
      </c>
      <c r="E16" s="29">
        <f>-J4</f>
        <v>-15</v>
      </c>
      <c r="F16" s="22"/>
    </row>
    <row r="17" spans="1:7" ht="15.75" thickBot="1" x14ac:dyDescent="0.3">
      <c r="A17" s="669"/>
      <c r="B17" s="30" t="s">
        <v>39</v>
      </c>
      <c r="C17" s="31" t="s">
        <v>44</v>
      </c>
      <c r="D17" s="32"/>
      <c r="E17" s="33">
        <f>-E16</f>
        <v>15</v>
      </c>
      <c r="F17" s="34"/>
    </row>
    <row r="18" spans="1:7" x14ac:dyDescent="0.25">
      <c r="A18" s="659" t="s">
        <v>45</v>
      </c>
      <c r="B18" s="3" t="s">
        <v>7</v>
      </c>
      <c r="C18" s="7" t="s">
        <v>46</v>
      </c>
      <c r="D18" s="4" t="s">
        <v>26</v>
      </c>
      <c r="E18" s="28">
        <v>-10000</v>
      </c>
      <c r="F18" s="15" t="s">
        <v>15</v>
      </c>
    </row>
    <row r="19" spans="1:7" ht="15.75" thickBot="1" x14ac:dyDescent="0.3">
      <c r="A19" s="669"/>
      <c r="B19" s="30" t="s">
        <v>10</v>
      </c>
      <c r="C19" s="31" t="s">
        <v>47</v>
      </c>
      <c r="D19" s="32" t="s">
        <v>48</v>
      </c>
      <c r="E19" s="33">
        <v>10000</v>
      </c>
      <c r="F19" s="34" t="s">
        <v>15</v>
      </c>
      <c r="G19">
        <v>1</v>
      </c>
    </row>
    <row r="20" spans="1:7" x14ac:dyDescent="0.25">
      <c r="A20" s="655" t="s">
        <v>49</v>
      </c>
      <c r="B20" s="3" t="s">
        <v>7</v>
      </c>
      <c r="C20" s="7" t="s">
        <v>50</v>
      </c>
      <c r="D20" s="4" t="s">
        <v>26</v>
      </c>
      <c r="E20" s="17">
        <f>-E9</f>
        <v>-10000</v>
      </c>
      <c r="F20" s="15" t="s">
        <v>15</v>
      </c>
    </row>
    <row r="21" spans="1:7" ht="15.75" thickBot="1" x14ac:dyDescent="0.3">
      <c r="A21" s="661"/>
      <c r="B21" s="9" t="s">
        <v>10</v>
      </c>
      <c r="C21" s="35" t="s">
        <v>46</v>
      </c>
      <c r="D21" s="10" t="s">
        <v>26</v>
      </c>
      <c r="E21" s="26">
        <f>-E18</f>
        <v>10000</v>
      </c>
      <c r="F21" s="16" t="s">
        <v>15</v>
      </c>
    </row>
    <row r="22" spans="1:7" x14ac:dyDescent="0.25">
      <c r="A22" s="670" t="s">
        <v>51</v>
      </c>
      <c r="B22" s="36" t="s">
        <v>36</v>
      </c>
      <c r="C22" s="37" t="s">
        <v>47</v>
      </c>
      <c r="D22" s="38" t="s">
        <v>48</v>
      </c>
      <c r="E22" s="39">
        <f>E14</f>
        <v>-100</v>
      </c>
      <c r="F22" s="40"/>
    </row>
    <row r="23" spans="1:7" x14ac:dyDescent="0.25">
      <c r="A23" s="660"/>
      <c r="B23" s="19" t="s">
        <v>39</v>
      </c>
      <c r="C23" s="13" t="s">
        <v>37</v>
      </c>
      <c r="D23" s="20" t="s">
        <v>38</v>
      </c>
      <c r="E23" s="29">
        <f>-E14</f>
        <v>100</v>
      </c>
      <c r="F23" s="22"/>
    </row>
    <row r="24" spans="1:7" x14ac:dyDescent="0.25">
      <c r="A24" s="660"/>
      <c r="B24" s="19" t="s">
        <v>36</v>
      </c>
      <c r="C24" s="13" t="s">
        <v>47</v>
      </c>
      <c r="D24" s="20" t="s">
        <v>48</v>
      </c>
      <c r="E24" s="29">
        <f>E16</f>
        <v>-15</v>
      </c>
      <c r="F24" s="22"/>
    </row>
    <row r="25" spans="1:7" ht="15.75" thickBot="1" x14ac:dyDescent="0.3">
      <c r="A25" s="661"/>
      <c r="B25" s="9" t="s">
        <v>39</v>
      </c>
      <c r="C25" s="35" t="s">
        <v>42</v>
      </c>
      <c r="D25" s="10" t="s">
        <v>16</v>
      </c>
      <c r="E25" s="41">
        <f>-E16</f>
        <v>15</v>
      </c>
      <c r="F25" s="16"/>
    </row>
    <row r="26" spans="1:7" x14ac:dyDescent="0.25">
      <c r="A26" s="671" t="s">
        <v>52</v>
      </c>
      <c r="B26" s="3" t="s">
        <v>36</v>
      </c>
      <c r="C26" s="7" t="s">
        <v>47</v>
      </c>
      <c r="D26" s="4" t="s">
        <v>48</v>
      </c>
      <c r="E26" s="28">
        <f>E19+E22+E24</f>
        <v>9885</v>
      </c>
      <c r="F26" s="672"/>
    </row>
    <row r="27" spans="1:7" x14ac:dyDescent="0.25">
      <c r="A27" s="664"/>
      <c r="B27" s="19" t="s">
        <v>39</v>
      </c>
      <c r="C27" s="13" t="s">
        <v>53</v>
      </c>
      <c r="D27" s="20" t="s">
        <v>26</v>
      </c>
      <c r="E27" s="29">
        <f>-E26</f>
        <v>-9885</v>
      </c>
      <c r="F27" s="666"/>
    </row>
    <row r="28" spans="1:7" x14ac:dyDescent="0.25">
      <c r="A28" s="664"/>
      <c r="B28" s="19" t="s">
        <v>36</v>
      </c>
      <c r="C28" s="13" t="s">
        <v>53</v>
      </c>
      <c r="D28" s="20" t="s">
        <v>26</v>
      </c>
      <c r="E28" s="29">
        <f>E26</f>
        <v>9885</v>
      </c>
      <c r="F28" s="666"/>
    </row>
    <row r="29" spans="1:7" x14ac:dyDescent="0.25">
      <c r="A29" s="664"/>
      <c r="B29" s="43" t="s">
        <v>39</v>
      </c>
      <c r="C29" s="44" t="s">
        <v>54</v>
      </c>
      <c r="D29" s="45" t="s">
        <v>55</v>
      </c>
      <c r="E29" s="33">
        <f>E27</f>
        <v>-9885</v>
      </c>
      <c r="F29" s="666"/>
    </row>
    <row r="30" spans="1:7" hidden="1" x14ac:dyDescent="0.25">
      <c r="A30" s="655" t="s">
        <v>56</v>
      </c>
      <c r="B30" s="3" t="s">
        <v>36</v>
      </c>
      <c r="C30" s="7" t="s">
        <v>53</v>
      </c>
      <c r="D30" s="4" t="s">
        <v>26</v>
      </c>
      <c r="E30" s="28">
        <f>E22+E24</f>
        <v>-115</v>
      </c>
      <c r="F30" s="15"/>
    </row>
    <row r="31" spans="1:7" ht="15.75" hidden="1" thickBot="1" x14ac:dyDescent="0.3">
      <c r="A31" s="656"/>
      <c r="B31" s="9" t="s">
        <v>39</v>
      </c>
      <c r="C31" s="35" t="s">
        <v>47</v>
      </c>
      <c r="D31" s="10" t="s">
        <v>48</v>
      </c>
      <c r="E31" s="41">
        <f>-E30</f>
        <v>115</v>
      </c>
      <c r="F31" s="16"/>
    </row>
    <row r="32" spans="1:7" hidden="1" x14ac:dyDescent="0.25">
      <c r="A32" s="664" t="s">
        <v>57</v>
      </c>
      <c r="B32" s="36" t="s">
        <v>36</v>
      </c>
      <c r="C32" s="37" t="s">
        <v>47</v>
      </c>
      <c r="D32" s="38" t="s">
        <v>48</v>
      </c>
      <c r="E32" s="39">
        <f>E19+E22+E24+E31</f>
        <v>10000</v>
      </c>
      <c r="F32" s="666"/>
    </row>
    <row r="33" spans="1:6" hidden="1" x14ac:dyDescent="0.25">
      <c r="A33" s="664"/>
      <c r="B33" s="19" t="s">
        <v>39</v>
      </c>
      <c r="C33" s="13" t="s">
        <v>53</v>
      </c>
      <c r="D33" s="20" t="s">
        <v>26</v>
      </c>
      <c r="E33" s="29">
        <f>-E32</f>
        <v>-10000</v>
      </c>
      <c r="F33" s="666"/>
    </row>
    <row r="34" spans="1:6" hidden="1" x14ac:dyDescent="0.25">
      <c r="A34" s="664"/>
      <c r="B34" s="19" t="s">
        <v>36</v>
      </c>
      <c r="C34" s="13" t="s">
        <v>53</v>
      </c>
      <c r="D34" s="20" t="s">
        <v>26</v>
      </c>
      <c r="E34" s="29">
        <f>E32</f>
        <v>10000</v>
      </c>
      <c r="F34" s="666"/>
    </row>
    <row r="35" spans="1:6" ht="15.75" hidden="1" thickBot="1" x14ac:dyDescent="0.3">
      <c r="A35" s="665"/>
      <c r="B35" s="46" t="s">
        <v>39</v>
      </c>
      <c r="C35" s="47" t="s">
        <v>54</v>
      </c>
      <c r="D35" s="48" t="s">
        <v>55</v>
      </c>
      <c r="E35" s="41">
        <f>E33</f>
        <v>-10000</v>
      </c>
      <c r="F35" s="667"/>
    </row>
    <row r="37" spans="1:6" x14ac:dyDescent="0.25">
      <c r="A37" s="657" t="s">
        <v>58</v>
      </c>
      <c r="B37" s="36" t="s">
        <v>7</v>
      </c>
      <c r="C37" s="38" t="s">
        <v>33</v>
      </c>
      <c r="D37" s="38" t="s">
        <v>59</v>
      </c>
      <c r="E37" s="49">
        <f>-E13/365</f>
        <v>-3.2876712328767121</v>
      </c>
      <c r="F37" s="40" t="s">
        <v>15</v>
      </c>
    </row>
    <row r="38" spans="1:6" ht="15.75" thickBot="1" x14ac:dyDescent="0.3">
      <c r="A38" s="658"/>
      <c r="B38" s="30" t="s">
        <v>10</v>
      </c>
      <c r="C38" s="32" t="s">
        <v>60</v>
      </c>
      <c r="D38" s="32" t="s">
        <v>61</v>
      </c>
      <c r="E38" s="50">
        <f>-E37</f>
        <v>3.2876712328767121</v>
      </c>
      <c r="F38" s="34" t="s">
        <v>15</v>
      </c>
    </row>
    <row r="39" spans="1:6" x14ac:dyDescent="0.25">
      <c r="A39" s="655" t="s">
        <v>62</v>
      </c>
      <c r="B39" s="7" t="s">
        <v>7</v>
      </c>
      <c r="C39" s="7" t="s">
        <v>40</v>
      </c>
      <c r="D39" s="7" t="s">
        <v>63</v>
      </c>
      <c r="E39" s="51">
        <f>E14/365</f>
        <v>-0.27397260273972601</v>
      </c>
      <c r="F39" s="52"/>
    </row>
    <row r="40" spans="1:6" ht="15.75" thickBot="1" x14ac:dyDescent="0.3">
      <c r="A40" s="656"/>
      <c r="B40" s="35" t="s">
        <v>10</v>
      </c>
      <c r="C40" s="35" t="s">
        <v>60</v>
      </c>
      <c r="D40" s="35" t="s">
        <v>61</v>
      </c>
      <c r="E40" s="53">
        <f>-E39</f>
        <v>0.27397260273972601</v>
      </c>
      <c r="F40" s="54"/>
    </row>
    <row r="41" spans="1:6" x14ac:dyDescent="0.25">
      <c r="A41" s="55"/>
      <c r="B41" s="56"/>
      <c r="C41" s="57"/>
      <c r="D41" s="58"/>
      <c r="E41" s="59"/>
      <c r="F41" s="42"/>
    </row>
    <row r="42" spans="1:6" ht="15.75" thickBot="1" x14ac:dyDescent="0.3">
      <c r="A42" s="55"/>
      <c r="B42" s="56"/>
      <c r="C42" s="57"/>
      <c r="D42" s="58"/>
      <c r="E42" s="59"/>
      <c r="F42" s="42"/>
    </row>
    <row r="43" spans="1:6" x14ac:dyDescent="0.25">
      <c r="A43" s="659" t="s">
        <v>64</v>
      </c>
      <c r="B43" s="3" t="s">
        <v>7</v>
      </c>
      <c r="C43" s="7" t="s">
        <v>65</v>
      </c>
      <c r="D43" s="7" t="s">
        <v>66</v>
      </c>
      <c r="E43" s="60" t="s">
        <v>67</v>
      </c>
      <c r="F43" s="15" t="s">
        <v>15</v>
      </c>
    </row>
    <row r="44" spans="1:6" x14ac:dyDescent="0.25">
      <c r="A44" s="660"/>
      <c r="B44" s="19" t="s">
        <v>10</v>
      </c>
      <c r="C44" s="13" t="s">
        <v>28</v>
      </c>
      <c r="D44" s="13" t="s">
        <v>68</v>
      </c>
      <c r="E44" s="61" t="s">
        <v>67</v>
      </c>
      <c r="F44" s="22" t="s">
        <v>15</v>
      </c>
    </row>
    <row r="45" spans="1:6" x14ac:dyDescent="0.25">
      <c r="A45" s="660"/>
      <c r="B45" s="19" t="s">
        <v>7</v>
      </c>
      <c r="C45" s="13" t="s">
        <v>69</v>
      </c>
      <c r="D45" s="13" t="s">
        <v>70</v>
      </c>
      <c r="E45" s="61" t="s">
        <v>67</v>
      </c>
      <c r="F45" s="22" t="s">
        <v>15</v>
      </c>
    </row>
    <row r="46" spans="1:6" ht="15.75" thickBot="1" x14ac:dyDescent="0.3">
      <c r="A46" s="661"/>
      <c r="B46" s="9" t="s">
        <v>10</v>
      </c>
      <c r="C46" s="35" t="s">
        <v>31</v>
      </c>
      <c r="D46" s="35" t="s">
        <v>32</v>
      </c>
      <c r="E46" s="62" t="s">
        <v>67</v>
      </c>
      <c r="F46" s="16" t="s">
        <v>15</v>
      </c>
    </row>
    <row r="47" spans="1:6" x14ac:dyDescent="0.25">
      <c r="A47" s="659" t="s">
        <v>71</v>
      </c>
      <c r="B47" s="3" t="s">
        <v>7</v>
      </c>
      <c r="C47" s="63" t="s">
        <v>72</v>
      </c>
      <c r="D47" s="45" t="s">
        <v>48</v>
      </c>
      <c r="E47" s="3" t="s">
        <v>67</v>
      </c>
      <c r="F47" s="15" t="s">
        <v>15</v>
      </c>
    </row>
    <row r="48" spans="1:6" x14ac:dyDescent="0.25">
      <c r="A48" s="660"/>
      <c r="B48" s="19" t="s">
        <v>10</v>
      </c>
      <c r="C48" s="64" t="s">
        <v>73</v>
      </c>
      <c r="D48" s="65" t="s">
        <v>74</v>
      </c>
      <c r="E48" s="19" t="s">
        <v>67</v>
      </c>
      <c r="F48" s="22" t="s">
        <v>15</v>
      </c>
    </row>
    <row r="49" spans="1:12" ht="15.75" thickBot="1" x14ac:dyDescent="0.3">
      <c r="A49" s="661"/>
      <c r="B49" s="9" t="s">
        <v>10</v>
      </c>
      <c r="C49" s="35" t="s">
        <v>69</v>
      </c>
      <c r="D49" s="66" t="s">
        <v>75</v>
      </c>
      <c r="E49" s="9" t="s">
        <v>67</v>
      </c>
      <c r="F49" s="16" t="s">
        <v>15</v>
      </c>
    </row>
    <row r="50" spans="1:12" x14ac:dyDescent="0.25">
      <c r="A50" s="655" t="s">
        <v>76</v>
      </c>
      <c r="B50" s="3" t="s">
        <v>7</v>
      </c>
      <c r="C50" s="4" t="s">
        <v>47</v>
      </c>
      <c r="D50" s="4" t="s">
        <v>77</v>
      </c>
      <c r="E50" s="3" t="s">
        <v>67</v>
      </c>
      <c r="F50" s="15" t="s">
        <v>15</v>
      </c>
    </row>
    <row r="51" spans="1:12" x14ac:dyDescent="0.25">
      <c r="A51" s="668"/>
      <c r="B51" s="19" t="s">
        <v>10</v>
      </c>
      <c r="C51" s="20" t="s">
        <v>28</v>
      </c>
      <c r="D51" s="20" t="s">
        <v>77</v>
      </c>
      <c r="E51" s="19" t="s">
        <v>67</v>
      </c>
      <c r="F51" s="22" t="s">
        <v>15</v>
      </c>
    </row>
    <row r="52" spans="1:12" x14ac:dyDescent="0.25">
      <c r="A52" s="668"/>
      <c r="B52" s="19" t="s">
        <v>7</v>
      </c>
      <c r="C52" s="20" t="s">
        <v>47</v>
      </c>
      <c r="D52" s="20" t="s">
        <v>78</v>
      </c>
      <c r="E52" s="61" t="s">
        <v>67</v>
      </c>
      <c r="F52" s="22" t="s">
        <v>15</v>
      </c>
    </row>
    <row r="53" spans="1:12" x14ac:dyDescent="0.25">
      <c r="A53" s="668"/>
      <c r="B53" s="19" t="s">
        <v>10</v>
      </c>
      <c r="C53" s="20" t="s">
        <v>31</v>
      </c>
      <c r="D53" s="20" t="s">
        <v>78</v>
      </c>
      <c r="E53" s="61" t="s">
        <v>67</v>
      </c>
      <c r="F53" s="22" t="s">
        <v>15</v>
      </c>
    </row>
    <row r="54" spans="1:12" x14ac:dyDescent="0.25">
      <c r="A54" s="668"/>
      <c r="B54" s="19" t="s">
        <v>7</v>
      </c>
      <c r="C54" s="20" t="s">
        <v>33</v>
      </c>
      <c r="D54" s="20" t="s">
        <v>79</v>
      </c>
      <c r="E54" s="61" t="s">
        <v>67</v>
      </c>
      <c r="F54" s="22" t="s">
        <v>15</v>
      </c>
    </row>
    <row r="55" spans="1:12" x14ac:dyDescent="0.25">
      <c r="A55" s="668"/>
      <c r="B55" s="19" t="s">
        <v>10</v>
      </c>
      <c r="C55" s="20" t="s">
        <v>60</v>
      </c>
      <c r="D55" s="20" t="s">
        <v>79</v>
      </c>
      <c r="E55" s="61" t="s">
        <v>67</v>
      </c>
      <c r="F55" s="22" t="s">
        <v>15</v>
      </c>
    </row>
    <row r="56" spans="1:12" x14ac:dyDescent="0.25">
      <c r="A56" s="668"/>
      <c r="B56" s="19" t="s">
        <v>7</v>
      </c>
      <c r="C56" s="20" t="s">
        <v>60</v>
      </c>
      <c r="D56" s="20" t="s">
        <v>80</v>
      </c>
      <c r="E56" s="61" t="s">
        <v>67</v>
      </c>
      <c r="F56" s="22" t="s">
        <v>15</v>
      </c>
    </row>
    <row r="57" spans="1:12" x14ac:dyDescent="0.25">
      <c r="A57" s="668"/>
      <c r="B57" s="19" t="s">
        <v>10</v>
      </c>
      <c r="C57" s="20" t="s">
        <v>47</v>
      </c>
      <c r="D57" s="20" t="s">
        <v>80</v>
      </c>
      <c r="E57" s="61" t="s">
        <v>67</v>
      </c>
      <c r="F57" s="22" t="s">
        <v>15</v>
      </c>
    </row>
    <row r="59" spans="1:12" ht="20.25" x14ac:dyDescent="0.3">
      <c r="A59" s="662" t="s">
        <v>1693</v>
      </c>
      <c r="B59" s="662"/>
      <c r="C59" s="662"/>
      <c r="D59" s="662"/>
      <c r="E59" s="662"/>
      <c r="F59" s="662"/>
      <c r="G59" s="662"/>
      <c r="H59" s="662"/>
      <c r="I59" s="662"/>
      <c r="J59" s="662"/>
      <c r="K59" s="662"/>
    </row>
    <row r="60" spans="1:12" ht="20.25" x14ac:dyDescent="0.3">
      <c r="A60" s="663" t="s">
        <v>1694</v>
      </c>
      <c r="B60" s="663"/>
      <c r="C60" s="663"/>
      <c r="D60" s="663"/>
      <c r="E60" s="663"/>
      <c r="F60" s="521"/>
      <c r="G60" s="663" t="s">
        <v>1695</v>
      </c>
      <c r="H60" s="663"/>
      <c r="I60" s="663"/>
      <c r="J60" s="663"/>
      <c r="K60" s="663"/>
    </row>
    <row r="61" spans="1:12" x14ac:dyDescent="0.25">
      <c r="A61" s="13" t="s">
        <v>1696</v>
      </c>
      <c r="B61" s="13" t="s">
        <v>1697</v>
      </c>
      <c r="C61" s="13" t="s">
        <v>1698</v>
      </c>
      <c r="D61" s="13" t="s">
        <v>787</v>
      </c>
      <c r="E61" s="13" t="s">
        <v>788</v>
      </c>
      <c r="F61" s="13"/>
      <c r="G61" s="13"/>
      <c r="H61" s="13"/>
      <c r="I61" s="13"/>
      <c r="J61" s="13"/>
      <c r="K61" s="13"/>
      <c r="L61" s="654" t="s">
        <v>1769</v>
      </c>
    </row>
    <row r="62" spans="1:12" x14ac:dyDescent="0.25">
      <c r="A62" s="522">
        <v>45474</v>
      </c>
      <c r="B62" s="260" t="s">
        <v>1581</v>
      </c>
      <c r="C62" s="260" t="s">
        <v>1486</v>
      </c>
      <c r="D62" s="187">
        <v>24900</v>
      </c>
      <c r="E62" s="260" t="s">
        <v>1506</v>
      </c>
      <c r="F62" s="13"/>
      <c r="G62" s="260" t="s">
        <v>12</v>
      </c>
      <c r="H62" s="260" t="s">
        <v>7</v>
      </c>
      <c r="I62" s="260" t="s">
        <v>13</v>
      </c>
      <c r="J62" s="260" t="s">
        <v>14</v>
      </c>
      <c r="K62" s="260">
        <v>-10000</v>
      </c>
      <c r="L62" s="654"/>
    </row>
    <row r="63" spans="1:12" x14ac:dyDescent="0.25">
      <c r="A63" s="522">
        <v>45474</v>
      </c>
      <c r="B63" s="260" t="s">
        <v>1581</v>
      </c>
      <c r="C63" s="260" t="s">
        <v>1502</v>
      </c>
      <c r="D63" s="260" t="s">
        <v>1506</v>
      </c>
      <c r="E63" s="187">
        <v>24900</v>
      </c>
      <c r="F63" s="13"/>
      <c r="G63" s="260"/>
      <c r="H63" s="260" t="s">
        <v>10</v>
      </c>
      <c r="I63" s="260" t="s">
        <v>17</v>
      </c>
      <c r="J63" s="260" t="s">
        <v>18</v>
      </c>
      <c r="K63" s="260">
        <v>10000</v>
      </c>
      <c r="L63" s="654"/>
    </row>
    <row r="64" spans="1:12" x14ac:dyDescent="0.25">
      <c r="A64" s="523">
        <v>45474</v>
      </c>
      <c r="B64" s="343" t="s">
        <v>1582</v>
      </c>
      <c r="C64" s="343" t="s">
        <v>1502</v>
      </c>
      <c r="D64" s="343" t="s">
        <v>1506</v>
      </c>
      <c r="E64" s="344">
        <v>24900</v>
      </c>
      <c r="F64" s="13"/>
      <c r="G64" s="343" t="s">
        <v>20</v>
      </c>
      <c r="H64" s="343" t="s">
        <v>7</v>
      </c>
      <c r="I64" s="343" t="s">
        <v>17</v>
      </c>
      <c r="J64" s="343" t="s">
        <v>18</v>
      </c>
      <c r="K64" s="343">
        <v>10000</v>
      </c>
      <c r="L64" s="654"/>
    </row>
    <row r="65" spans="1:12" x14ac:dyDescent="0.25">
      <c r="A65" s="523">
        <v>45474</v>
      </c>
      <c r="B65" s="343" t="s">
        <v>1582</v>
      </c>
      <c r="C65" s="343" t="s">
        <v>1495</v>
      </c>
      <c r="D65" s="344">
        <v>24900</v>
      </c>
      <c r="E65" s="343" t="s">
        <v>1506</v>
      </c>
      <c r="F65" s="13"/>
      <c r="G65" s="343"/>
      <c r="H65" s="343" t="s">
        <v>10</v>
      </c>
      <c r="I65" s="343" t="s">
        <v>21</v>
      </c>
      <c r="J65" s="343" t="s">
        <v>14</v>
      </c>
      <c r="K65" s="343">
        <v>-10000</v>
      </c>
      <c r="L65" s="654"/>
    </row>
    <row r="66" spans="1:12" x14ac:dyDescent="0.25">
      <c r="A66" s="523">
        <v>45474</v>
      </c>
      <c r="B66" s="343" t="s">
        <v>1582</v>
      </c>
      <c r="C66" s="343" t="s">
        <v>1495</v>
      </c>
      <c r="D66" s="343" t="s">
        <v>1506</v>
      </c>
      <c r="E66" s="344">
        <v>24900</v>
      </c>
      <c r="F66" s="13"/>
      <c r="G66" s="343"/>
      <c r="H66" s="343" t="s">
        <v>7</v>
      </c>
      <c r="I66" s="343" t="s">
        <v>23</v>
      </c>
      <c r="J66" s="343" t="s">
        <v>24</v>
      </c>
      <c r="K66" s="343">
        <v>-10000</v>
      </c>
      <c r="L66" s="654"/>
    </row>
    <row r="67" spans="1:12" x14ac:dyDescent="0.25">
      <c r="A67" s="523">
        <v>45474</v>
      </c>
      <c r="B67" s="343" t="s">
        <v>1582</v>
      </c>
      <c r="C67" s="343" t="s">
        <v>1508</v>
      </c>
      <c r="D67" s="344">
        <v>24900</v>
      </c>
      <c r="E67" s="343" t="s">
        <v>1506</v>
      </c>
      <c r="F67" s="13"/>
      <c r="G67" s="343"/>
      <c r="H67" s="343" t="s">
        <v>10</v>
      </c>
      <c r="I67" s="343" t="s">
        <v>25</v>
      </c>
      <c r="J67" s="343" t="s">
        <v>26</v>
      </c>
      <c r="K67" s="343">
        <v>10000</v>
      </c>
      <c r="L67" s="654"/>
    </row>
    <row r="68" spans="1:12" x14ac:dyDescent="0.25">
      <c r="A68" s="522">
        <v>45474</v>
      </c>
      <c r="B68" s="260" t="s">
        <v>1583</v>
      </c>
      <c r="C68" s="260" t="s">
        <v>1486</v>
      </c>
      <c r="D68" s="260" t="s">
        <v>1506</v>
      </c>
      <c r="E68" s="187">
        <v>24900</v>
      </c>
      <c r="F68" s="13"/>
      <c r="G68" s="260" t="s">
        <v>27</v>
      </c>
      <c r="H68" s="260" t="s">
        <v>7</v>
      </c>
      <c r="I68" s="260" t="s">
        <v>28</v>
      </c>
      <c r="J68" s="260" t="s">
        <v>29</v>
      </c>
      <c r="K68" s="260">
        <v>-10000</v>
      </c>
      <c r="L68" s="654"/>
    </row>
    <row r="69" spans="1:12" x14ac:dyDescent="0.25">
      <c r="A69" s="522">
        <v>45474</v>
      </c>
      <c r="B69" s="260" t="s">
        <v>1583</v>
      </c>
      <c r="C69" s="260" t="s">
        <v>1488</v>
      </c>
      <c r="D69" s="260" t="s">
        <v>1506</v>
      </c>
      <c r="E69" s="187">
        <v>26144.99</v>
      </c>
      <c r="F69" s="13"/>
      <c r="G69" s="260"/>
      <c r="H69" s="260" t="s">
        <v>10</v>
      </c>
      <c r="I69" s="260" t="s">
        <v>23</v>
      </c>
      <c r="J69" s="260" t="s">
        <v>24</v>
      </c>
      <c r="K69" s="260">
        <v>10000</v>
      </c>
      <c r="L69" s="654"/>
    </row>
    <row r="70" spans="1:12" x14ac:dyDescent="0.25">
      <c r="A70" s="522">
        <v>45474</v>
      </c>
      <c r="B70" s="260" t="s">
        <v>1583</v>
      </c>
      <c r="C70" s="260" t="s">
        <v>1495</v>
      </c>
      <c r="D70" s="187">
        <v>26144.99</v>
      </c>
      <c r="E70" s="260" t="s">
        <v>1506</v>
      </c>
      <c r="F70" s="13"/>
      <c r="G70" s="260"/>
      <c r="H70" s="260" t="s">
        <v>7</v>
      </c>
      <c r="I70" s="260" t="s">
        <v>31</v>
      </c>
      <c r="J70" s="260" t="s">
        <v>32</v>
      </c>
      <c r="K70" s="260">
        <v>-1200</v>
      </c>
      <c r="L70" s="654"/>
    </row>
    <row r="71" spans="1:12" x14ac:dyDescent="0.25">
      <c r="A71" s="522">
        <v>45474</v>
      </c>
      <c r="B71" s="260" t="s">
        <v>1583</v>
      </c>
      <c r="C71" s="260" t="s">
        <v>1495</v>
      </c>
      <c r="D71" s="187">
        <v>24900</v>
      </c>
      <c r="E71" s="260" t="s">
        <v>1506</v>
      </c>
      <c r="F71" s="13"/>
      <c r="G71" s="260"/>
      <c r="H71" s="260" t="s">
        <v>10</v>
      </c>
      <c r="I71" s="260" t="s">
        <v>33</v>
      </c>
      <c r="J71" s="260" t="s">
        <v>34</v>
      </c>
      <c r="K71" s="260">
        <v>1200</v>
      </c>
      <c r="L71" s="654"/>
    </row>
    <row r="72" spans="1:12" x14ac:dyDescent="0.25">
      <c r="A72" s="522">
        <v>45474</v>
      </c>
      <c r="B72" s="260" t="s">
        <v>1584</v>
      </c>
      <c r="C72" s="260" t="s">
        <v>1493</v>
      </c>
      <c r="D72" s="260" t="s">
        <v>1506</v>
      </c>
      <c r="E72" s="260">
        <v>37.35</v>
      </c>
      <c r="F72" s="13"/>
      <c r="G72" s="260" t="s">
        <v>35</v>
      </c>
      <c r="H72" s="260" t="s">
        <v>36</v>
      </c>
      <c r="I72" s="260" t="s">
        <v>37</v>
      </c>
      <c r="J72" s="260" t="s">
        <v>38</v>
      </c>
      <c r="K72" s="260">
        <v>-100</v>
      </c>
      <c r="L72" s="654"/>
    </row>
    <row r="73" spans="1:12" x14ac:dyDescent="0.25">
      <c r="A73" s="522">
        <v>45474</v>
      </c>
      <c r="B73" s="260" t="s">
        <v>1584</v>
      </c>
      <c r="C73" s="260" t="s">
        <v>1505</v>
      </c>
      <c r="D73" s="260" t="s">
        <v>1506</v>
      </c>
      <c r="E73" s="260">
        <v>249</v>
      </c>
      <c r="F73" s="13"/>
      <c r="G73" s="260"/>
      <c r="H73" s="260" t="s">
        <v>39</v>
      </c>
      <c r="I73" s="260" t="s">
        <v>40</v>
      </c>
      <c r="J73" s="260" t="s">
        <v>41</v>
      </c>
      <c r="K73" s="260">
        <v>100</v>
      </c>
      <c r="L73" s="654"/>
    </row>
    <row r="74" spans="1:12" x14ac:dyDescent="0.25">
      <c r="A74" s="522">
        <v>45474</v>
      </c>
      <c r="B74" s="260" t="s">
        <v>1584</v>
      </c>
      <c r="C74" s="260" t="s">
        <v>1495</v>
      </c>
      <c r="D74" s="260">
        <v>249</v>
      </c>
      <c r="E74" s="260" t="s">
        <v>1506</v>
      </c>
      <c r="F74" s="13"/>
      <c r="G74" s="260"/>
      <c r="H74" s="260" t="s">
        <v>36</v>
      </c>
      <c r="I74" s="260" t="s">
        <v>42</v>
      </c>
      <c r="J74" s="260" t="s">
        <v>43</v>
      </c>
      <c r="K74" s="260">
        <v>-15</v>
      </c>
      <c r="L74" s="654"/>
    </row>
    <row r="75" spans="1:12" x14ac:dyDescent="0.25">
      <c r="A75" s="522">
        <v>45474</v>
      </c>
      <c r="B75" s="260" t="s">
        <v>1584</v>
      </c>
      <c r="C75" s="260" t="s">
        <v>1495</v>
      </c>
      <c r="D75" s="260">
        <v>37.35</v>
      </c>
      <c r="E75" s="260" t="s">
        <v>1506</v>
      </c>
      <c r="F75" s="13"/>
      <c r="G75" s="260"/>
      <c r="H75" s="260" t="s">
        <v>39</v>
      </c>
      <c r="I75" s="260" t="s">
        <v>44</v>
      </c>
      <c r="J75" s="260"/>
      <c r="K75" s="260">
        <v>15</v>
      </c>
      <c r="L75" s="654"/>
    </row>
    <row r="76" spans="1:12" x14ac:dyDescent="0.25">
      <c r="A76" s="343" t="s">
        <v>1699</v>
      </c>
      <c r="B76" s="343" t="s">
        <v>1585</v>
      </c>
      <c r="C76" s="343" t="s">
        <v>1495</v>
      </c>
      <c r="D76" s="343" t="s">
        <v>1506</v>
      </c>
      <c r="E76" s="344">
        <v>24900</v>
      </c>
      <c r="F76" s="13"/>
      <c r="G76" s="343" t="s">
        <v>45</v>
      </c>
      <c r="H76" s="343" t="s">
        <v>7</v>
      </c>
      <c r="I76" s="343" t="s">
        <v>46</v>
      </c>
      <c r="J76" s="343" t="s">
        <v>26</v>
      </c>
      <c r="K76" s="343">
        <v>-10000</v>
      </c>
      <c r="L76" s="654"/>
    </row>
    <row r="77" spans="1:12" x14ac:dyDescent="0.25">
      <c r="A77" s="343" t="s">
        <v>1699</v>
      </c>
      <c r="B77" s="343" t="s">
        <v>1585</v>
      </c>
      <c r="C77" s="343" t="s">
        <v>46</v>
      </c>
      <c r="D77" s="344">
        <v>24900</v>
      </c>
      <c r="E77" s="343" t="s">
        <v>1506</v>
      </c>
      <c r="F77" s="13"/>
      <c r="G77" s="343"/>
      <c r="H77" s="343" t="s">
        <v>10</v>
      </c>
      <c r="I77" s="343" t="s">
        <v>47</v>
      </c>
      <c r="J77" s="343" t="s">
        <v>48</v>
      </c>
      <c r="K77" s="343">
        <v>10000</v>
      </c>
      <c r="L77" s="654"/>
    </row>
    <row r="78" spans="1:12" x14ac:dyDescent="0.25">
      <c r="A78" s="343" t="s">
        <v>1699</v>
      </c>
      <c r="B78" s="343"/>
      <c r="C78" s="343" t="s">
        <v>50</v>
      </c>
      <c r="D78" s="343" t="s">
        <v>1506</v>
      </c>
      <c r="E78" s="344">
        <v>24900</v>
      </c>
      <c r="F78" s="13"/>
      <c r="G78" s="343" t="s">
        <v>49</v>
      </c>
      <c r="H78" s="343" t="s">
        <v>7</v>
      </c>
      <c r="I78" s="343" t="s">
        <v>50</v>
      </c>
      <c r="J78" s="343" t="s">
        <v>26</v>
      </c>
      <c r="K78" s="343">
        <v>-10000</v>
      </c>
      <c r="L78" s="654"/>
    </row>
    <row r="79" spans="1:12" x14ac:dyDescent="0.25">
      <c r="A79" s="343" t="s">
        <v>1699</v>
      </c>
      <c r="B79" s="343"/>
      <c r="C79" s="343" t="s">
        <v>46</v>
      </c>
      <c r="D79" s="344">
        <v>24900</v>
      </c>
      <c r="E79" s="343" t="s">
        <v>1506</v>
      </c>
      <c r="F79" s="13"/>
      <c r="G79" s="343"/>
      <c r="H79" s="343" t="s">
        <v>10</v>
      </c>
      <c r="I79" s="343" t="s">
        <v>46</v>
      </c>
      <c r="J79" s="343" t="s">
        <v>26</v>
      </c>
      <c r="K79" s="343">
        <v>10000</v>
      </c>
      <c r="L79" s="654"/>
    </row>
    <row r="80" spans="1:12" x14ac:dyDescent="0.25">
      <c r="A80" s="13"/>
      <c r="B80" s="13"/>
      <c r="C80" s="13"/>
      <c r="D80" s="13"/>
      <c r="E80" s="13"/>
      <c r="F80" s="13"/>
      <c r="G80" s="13"/>
      <c r="H80" s="13"/>
      <c r="I80" s="13"/>
      <c r="J80" s="13"/>
      <c r="K80" s="13"/>
      <c r="L80" s="654"/>
    </row>
    <row r="81" spans="1:12" x14ac:dyDescent="0.25">
      <c r="A81" s="343" t="s">
        <v>1700</v>
      </c>
      <c r="B81" s="343" t="s">
        <v>1586</v>
      </c>
      <c r="C81" s="343" t="s">
        <v>1587</v>
      </c>
      <c r="D81" s="343" t="s">
        <v>1506</v>
      </c>
      <c r="E81" s="344">
        <v>24613.65</v>
      </c>
      <c r="F81" s="13"/>
      <c r="G81" s="343" t="s">
        <v>52</v>
      </c>
      <c r="H81" s="343" t="s">
        <v>36</v>
      </c>
      <c r="I81" s="343" t="s">
        <v>47</v>
      </c>
      <c r="J81" s="343" t="s">
        <v>48</v>
      </c>
      <c r="K81" s="343">
        <v>-100</v>
      </c>
      <c r="L81" s="654"/>
    </row>
    <row r="82" spans="1:12" x14ac:dyDescent="0.25">
      <c r="A82" s="343" t="s">
        <v>1700</v>
      </c>
      <c r="B82" s="343" t="s">
        <v>1586</v>
      </c>
      <c r="C82" s="343" t="s">
        <v>1495</v>
      </c>
      <c r="D82" s="344">
        <v>24613.65</v>
      </c>
      <c r="E82" s="343" t="s">
        <v>1506</v>
      </c>
      <c r="F82" s="13"/>
      <c r="G82" s="343"/>
      <c r="H82" s="343" t="s">
        <v>39</v>
      </c>
      <c r="I82" s="343" t="s">
        <v>37</v>
      </c>
      <c r="J82" s="343" t="s">
        <v>38</v>
      </c>
      <c r="K82" s="343">
        <v>100</v>
      </c>
      <c r="L82" s="654"/>
    </row>
    <row r="83" spans="1:12" x14ac:dyDescent="0.25">
      <c r="A83" s="343"/>
      <c r="B83" s="343"/>
      <c r="C83" s="343"/>
      <c r="D83" s="343"/>
      <c r="E83" s="343"/>
      <c r="F83" s="13"/>
      <c r="G83" s="343"/>
      <c r="H83" s="343" t="s">
        <v>36</v>
      </c>
      <c r="I83" s="343" t="s">
        <v>47</v>
      </c>
      <c r="J83" s="343" t="s">
        <v>48</v>
      </c>
      <c r="K83" s="343">
        <v>-15</v>
      </c>
      <c r="L83" s="654"/>
    </row>
    <row r="84" spans="1:12" x14ac:dyDescent="0.25">
      <c r="A84" s="343"/>
      <c r="B84" s="343"/>
      <c r="C84" s="343"/>
      <c r="D84" s="343"/>
      <c r="E84" s="343"/>
      <c r="F84" s="13"/>
      <c r="G84" s="343"/>
      <c r="H84" s="343" t="s">
        <v>39</v>
      </c>
      <c r="I84" s="343" t="s">
        <v>42</v>
      </c>
      <c r="J84" s="343" t="s">
        <v>16</v>
      </c>
      <c r="K84" s="343">
        <v>15</v>
      </c>
      <c r="L84" s="654"/>
    </row>
    <row r="85" spans="1:12" x14ac:dyDescent="0.25">
      <c r="A85" s="13"/>
      <c r="B85" s="13"/>
      <c r="C85" s="13"/>
      <c r="D85" s="181"/>
      <c r="E85" s="13"/>
      <c r="F85" s="13"/>
      <c r="G85" s="13"/>
      <c r="H85" s="343" t="s">
        <v>36</v>
      </c>
      <c r="I85" s="343" t="s">
        <v>47</v>
      </c>
      <c r="J85" s="343" t="s">
        <v>48</v>
      </c>
      <c r="K85" s="343">
        <v>9885</v>
      </c>
      <c r="L85" s="654"/>
    </row>
    <row r="86" spans="1:12" x14ac:dyDescent="0.25">
      <c r="A86" s="13"/>
      <c r="B86" s="13"/>
      <c r="C86" s="13"/>
      <c r="D86" s="13"/>
      <c r="E86" s="13"/>
      <c r="F86" s="13"/>
      <c r="G86" s="13"/>
      <c r="H86" s="343" t="s">
        <v>39</v>
      </c>
      <c r="I86" s="343" t="s">
        <v>53</v>
      </c>
      <c r="J86" s="343" t="s">
        <v>26</v>
      </c>
      <c r="K86" s="343">
        <v>-9885</v>
      </c>
      <c r="L86" s="654"/>
    </row>
    <row r="87" spans="1:12" x14ac:dyDescent="0.25">
      <c r="A87" s="13"/>
      <c r="B87" s="13"/>
      <c r="C87" s="13"/>
      <c r="D87" s="13"/>
      <c r="E87" s="13"/>
      <c r="F87" s="13"/>
      <c r="G87" s="13"/>
      <c r="H87" s="343" t="s">
        <v>36</v>
      </c>
      <c r="I87" s="343" t="s">
        <v>53</v>
      </c>
      <c r="J87" s="343" t="s">
        <v>26</v>
      </c>
      <c r="K87" s="343">
        <v>9885</v>
      </c>
      <c r="L87" s="654"/>
    </row>
    <row r="88" spans="1:12" x14ac:dyDescent="0.25">
      <c r="A88" s="13"/>
      <c r="B88" s="13"/>
      <c r="C88" s="13"/>
      <c r="D88" s="13"/>
      <c r="E88" s="13"/>
      <c r="F88" s="13"/>
      <c r="G88" s="13"/>
      <c r="H88" s="343" t="s">
        <v>39</v>
      </c>
      <c r="I88" s="343" t="s">
        <v>54</v>
      </c>
      <c r="J88" s="343" t="s">
        <v>55</v>
      </c>
      <c r="K88" s="343">
        <v>-9885</v>
      </c>
      <c r="L88" s="654"/>
    </row>
  </sheetData>
  <mergeCells count="22">
    <mergeCell ref="A2:A3"/>
    <mergeCell ref="A4:A5"/>
    <mergeCell ref="A6:A9"/>
    <mergeCell ref="A10:A13"/>
    <mergeCell ref="A14:A17"/>
    <mergeCell ref="A18:A19"/>
    <mergeCell ref="A20:A21"/>
    <mergeCell ref="A22:A25"/>
    <mergeCell ref="A26:A29"/>
    <mergeCell ref="F26:F29"/>
    <mergeCell ref="L61:L88"/>
    <mergeCell ref="A30:A31"/>
    <mergeCell ref="A37:A38"/>
    <mergeCell ref="A39:A40"/>
    <mergeCell ref="A43:A46"/>
    <mergeCell ref="A47:A49"/>
    <mergeCell ref="A59:K59"/>
    <mergeCell ref="A60:E60"/>
    <mergeCell ref="G60:K60"/>
    <mergeCell ref="A32:A35"/>
    <mergeCell ref="F32:F35"/>
    <mergeCell ref="A50:A57"/>
  </mergeCells>
  <hyperlinks>
    <hyperlink ref="H10" location="Processes!A1" display="Back" xr:uid="{CBC44000-9272-446F-9EFB-6302EAF1452C}"/>
  </hyperlinks>
  <pageMargins left="0.7" right="0.7" top="0.75" bottom="0.75" header="0.3" footer="0.3"/>
  <pageSetup paperSize="9" orientation="portrait" r:id="rId1"/>
  <headerFooter>
    <oddFooter>&amp;L&amp;"Calibri Light,Regular"&amp;09&amp;K00C000Public</oddFooter>
    <evenFooter>&amp;L&amp;"Calibri Light,Regular"&amp;09&amp;K00C000Public</evenFooter>
    <firstFooter>&amp;L&amp;"Calibri Light,Regular"&amp;09&amp;K00C000Public</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FF585-7158-449E-BA91-878FF0485992}">
  <sheetPr>
    <pageSetUpPr autoPageBreaks="0"/>
  </sheetPr>
  <dimension ref="A1:M68"/>
  <sheetViews>
    <sheetView workbookViewId="0">
      <selection activeCell="E29" sqref="E29"/>
    </sheetView>
  </sheetViews>
  <sheetFormatPr defaultRowHeight="15" x14ac:dyDescent="0.25"/>
  <cols>
    <col min="1" max="1" width="15.42578125" bestFit="1" customWidth="1"/>
    <col min="2" max="2" width="9.5703125" bestFit="1" customWidth="1"/>
    <col min="3" max="3" width="9.28515625" bestFit="1" customWidth="1"/>
    <col min="4" max="4" width="8.7109375" bestFit="1" customWidth="1"/>
    <col min="5" max="5" width="9.7109375" bestFit="1" customWidth="1"/>
    <col min="6" max="6" width="13.28515625" bestFit="1" customWidth="1"/>
    <col min="7" max="7" width="9.5703125" bestFit="1" customWidth="1"/>
    <col min="8" max="8" width="7.7109375" bestFit="1" customWidth="1"/>
    <col min="9" max="9" width="3.7109375" bestFit="1" customWidth="1"/>
    <col min="10" max="10" width="9.7109375" bestFit="1" customWidth="1"/>
    <col min="11" max="11" width="11.28515625" bestFit="1" customWidth="1"/>
    <col min="12" max="12" width="18.28515625" bestFit="1" customWidth="1"/>
    <col min="13" max="13" width="32" bestFit="1" customWidth="1"/>
  </cols>
  <sheetData>
    <row r="1" spans="1:13" x14ac:dyDescent="0.25">
      <c r="A1" s="107" t="s">
        <v>361</v>
      </c>
      <c r="B1" s="108">
        <v>45320</v>
      </c>
    </row>
    <row r="2" spans="1:13" x14ac:dyDescent="0.25">
      <c r="A2" s="107" t="s">
        <v>360</v>
      </c>
      <c r="B2" s="108">
        <f>+B1</f>
        <v>45320</v>
      </c>
      <c r="F2" s="537">
        <f>+XIRR(C8:C68,A8:A68)</f>
        <v>0.13247653841972348</v>
      </c>
    </row>
    <row r="3" spans="1:13" x14ac:dyDescent="0.25">
      <c r="A3" s="107" t="s">
        <v>359</v>
      </c>
      <c r="B3" s="108" t="s">
        <v>358</v>
      </c>
    </row>
    <row r="4" spans="1:13" x14ac:dyDescent="0.25">
      <c r="A4" s="107" t="s">
        <v>357</v>
      </c>
      <c r="B4" s="108">
        <f>+B2+14</f>
        <v>45334</v>
      </c>
      <c r="E4" s="103">
        <v>100000</v>
      </c>
      <c r="F4" s="319">
        <f>+F5/E4</f>
        <v>6.5570759999999992E-2</v>
      </c>
    </row>
    <row r="5" spans="1:13" x14ac:dyDescent="0.25">
      <c r="A5" t="s">
        <v>102</v>
      </c>
      <c r="F5">
        <f>+F6/5</f>
        <v>6557.0759999999991</v>
      </c>
      <c r="M5" t="s">
        <v>356</v>
      </c>
    </row>
    <row r="6" spans="1:13" x14ac:dyDescent="0.25">
      <c r="F6">
        <f>SUM(F7:F68)</f>
        <v>32785.379999999997</v>
      </c>
    </row>
    <row r="7" spans="1:13" x14ac:dyDescent="0.25">
      <c r="A7" s="107" t="s">
        <v>104</v>
      </c>
      <c r="B7" s="107" t="s">
        <v>105</v>
      </c>
      <c r="C7" s="107" t="s">
        <v>106</v>
      </c>
      <c r="D7" s="107" t="s">
        <v>107</v>
      </c>
      <c r="E7" s="107" t="s">
        <v>108</v>
      </c>
      <c r="F7" s="107" t="s">
        <v>109</v>
      </c>
      <c r="G7" s="107" t="s">
        <v>110</v>
      </c>
      <c r="H7" s="107" t="s">
        <v>111</v>
      </c>
      <c r="I7" s="107" t="s">
        <v>112</v>
      </c>
      <c r="J7" s="107" t="s">
        <v>113</v>
      </c>
      <c r="K7" s="107" t="s">
        <v>114</v>
      </c>
      <c r="L7" s="107" t="s">
        <v>115</v>
      </c>
    </row>
    <row r="8" spans="1:13" x14ac:dyDescent="0.25">
      <c r="A8" s="102">
        <v>45334</v>
      </c>
      <c r="C8" s="103">
        <v>-98850</v>
      </c>
      <c r="D8">
        <v>0</v>
      </c>
      <c r="E8" s="103">
        <v>-98850</v>
      </c>
      <c r="H8" s="103">
        <v>1000</v>
      </c>
      <c r="I8">
        <v>150</v>
      </c>
      <c r="J8" s="103">
        <v>100000</v>
      </c>
      <c r="K8" s="103">
        <v>-100000</v>
      </c>
      <c r="L8" s="107"/>
    </row>
    <row r="9" spans="1:13" x14ac:dyDescent="0.25">
      <c r="A9" s="102">
        <v>45350</v>
      </c>
      <c r="C9" s="103">
        <v>2213.09</v>
      </c>
      <c r="D9">
        <v>0</v>
      </c>
      <c r="E9" s="103">
        <v>1719.94</v>
      </c>
      <c r="F9">
        <v>493.15</v>
      </c>
      <c r="H9">
        <v>0</v>
      </c>
      <c r="K9" s="103">
        <v>-98280.06</v>
      </c>
    </row>
    <row r="10" spans="1:13" x14ac:dyDescent="0.25">
      <c r="A10" s="102">
        <v>45379</v>
      </c>
      <c r="C10" s="103">
        <v>2213.09</v>
      </c>
      <c r="D10">
        <v>0</v>
      </c>
      <c r="E10" s="103">
        <v>1276.06</v>
      </c>
      <c r="F10">
        <v>937.03</v>
      </c>
      <c r="H10">
        <v>0</v>
      </c>
      <c r="K10" s="103">
        <v>-97004</v>
      </c>
    </row>
    <row r="11" spans="1:13" x14ac:dyDescent="0.25">
      <c r="A11" s="102">
        <v>45410</v>
      </c>
      <c r="C11" s="103">
        <v>2213.09</v>
      </c>
      <c r="D11">
        <v>0</v>
      </c>
      <c r="E11" s="103">
        <v>1224.45</v>
      </c>
      <c r="F11">
        <v>988.64</v>
      </c>
      <c r="H11">
        <v>0</v>
      </c>
      <c r="K11" s="103">
        <v>-95779.55</v>
      </c>
    </row>
    <row r="12" spans="1:13" x14ac:dyDescent="0.25">
      <c r="A12" s="102">
        <v>45440</v>
      </c>
      <c r="C12" s="103">
        <v>2213.09</v>
      </c>
      <c r="D12">
        <v>0</v>
      </c>
      <c r="E12" s="103">
        <v>1268.42</v>
      </c>
      <c r="F12">
        <v>944.67</v>
      </c>
      <c r="H12">
        <v>0</v>
      </c>
      <c r="K12" s="103">
        <v>-94511.13</v>
      </c>
    </row>
    <row r="13" spans="1:13" x14ac:dyDescent="0.25">
      <c r="A13" s="102">
        <v>45471</v>
      </c>
      <c r="C13" s="103">
        <v>2213.09</v>
      </c>
      <c r="D13">
        <v>0</v>
      </c>
      <c r="E13" s="103">
        <v>1249.8499999999999</v>
      </c>
      <c r="F13">
        <v>963.24</v>
      </c>
      <c r="H13">
        <v>0</v>
      </c>
      <c r="K13" s="103">
        <v>-93261.28</v>
      </c>
    </row>
    <row r="14" spans="1:13" x14ac:dyDescent="0.25">
      <c r="A14" s="102">
        <v>45501</v>
      </c>
      <c r="C14" s="103">
        <v>2213.09</v>
      </c>
      <c r="D14">
        <v>0</v>
      </c>
      <c r="E14" s="103">
        <v>1293.25</v>
      </c>
      <c r="F14">
        <v>919.84</v>
      </c>
      <c r="H14">
        <v>0</v>
      </c>
      <c r="K14" s="103">
        <v>-91968.03</v>
      </c>
    </row>
    <row r="15" spans="1:13" x14ac:dyDescent="0.25">
      <c r="A15" s="102">
        <v>45532</v>
      </c>
      <c r="C15" s="103">
        <v>2213.09</v>
      </c>
      <c r="D15">
        <v>0</v>
      </c>
      <c r="E15" s="103">
        <v>1275.77</v>
      </c>
      <c r="F15">
        <v>937.32</v>
      </c>
      <c r="H15">
        <v>0</v>
      </c>
      <c r="K15" s="103">
        <v>-90692.26</v>
      </c>
    </row>
    <row r="16" spans="1:13" x14ac:dyDescent="0.25">
      <c r="A16" s="102">
        <v>45563</v>
      </c>
      <c r="C16" s="103">
        <v>2213.09</v>
      </c>
      <c r="D16">
        <v>0</v>
      </c>
      <c r="E16" s="103">
        <v>1288.77</v>
      </c>
      <c r="F16">
        <v>924.32</v>
      </c>
      <c r="H16">
        <v>0</v>
      </c>
      <c r="K16" s="103">
        <v>-89403.49</v>
      </c>
    </row>
    <row r="17" spans="1:11" x14ac:dyDescent="0.25">
      <c r="A17" s="102">
        <v>45593</v>
      </c>
      <c r="C17" s="103">
        <v>2213.09</v>
      </c>
      <c r="D17">
        <v>0</v>
      </c>
      <c r="E17" s="103">
        <v>1331.3</v>
      </c>
      <c r="F17">
        <v>881.79</v>
      </c>
      <c r="H17">
        <v>0</v>
      </c>
      <c r="K17" s="103">
        <v>-88072.19</v>
      </c>
    </row>
    <row r="18" spans="1:11" x14ac:dyDescent="0.25">
      <c r="A18" s="102">
        <v>45624</v>
      </c>
      <c r="C18" s="103">
        <v>2213.09</v>
      </c>
      <c r="D18">
        <v>0</v>
      </c>
      <c r="E18" s="103">
        <v>1315.48</v>
      </c>
      <c r="F18">
        <v>897.61</v>
      </c>
      <c r="H18">
        <v>0</v>
      </c>
      <c r="K18" s="103">
        <v>-86756.71</v>
      </c>
    </row>
    <row r="19" spans="1:11" x14ac:dyDescent="0.25">
      <c r="A19" s="102">
        <v>45654</v>
      </c>
      <c r="C19" s="103">
        <v>2213.09</v>
      </c>
      <c r="D19">
        <v>0</v>
      </c>
      <c r="E19" s="103">
        <v>1357.41</v>
      </c>
      <c r="F19">
        <v>855.68</v>
      </c>
      <c r="H19">
        <v>0</v>
      </c>
      <c r="K19" s="103">
        <v>-85399.3</v>
      </c>
    </row>
    <row r="20" spans="1:11" x14ac:dyDescent="0.25">
      <c r="A20" s="102">
        <v>45685</v>
      </c>
      <c r="C20" s="103">
        <v>2213.09</v>
      </c>
      <c r="D20">
        <v>0</v>
      </c>
      <c r="E20" s="103">
        <v>1342.72</v>
      </c>
      <c r="F20">
        <v>870.37</v>
      </c>
      <c r="H20">
        <v>0</v>
      </c>
      <c r="K20" s="103">
        <v>-84056.58</v>
      </c>
    </row>
    <row r="21" spans="1:11" x14ac:dyDescent="0.25">
      <c r="A21" s="102">
        <v>45716</v>
      </c>
      <c r="C21" s="103">
        <v>2213.09</v>
      </c>
      <c r="D21">
        <v>0</v>
      </c>
      <c r="E21" s="103">
        <v>1356.4</v>
      </c>
      <c r="F21">
        <v>856.69</v>
      </c>
      <c r="H21">
        <v>0</v>
      </c>
      <c r="K21" s="103">
        <v>-82700.179999999993</v>
      </c>
    </row>
    <row r="22" spans="1:11" x14ac:dyDescent="0.25">
      <c r="A22" s="102">
        <v>45744</v>
      </c>
      <c r="C22" s="103">
        <v>2213.09</v>
      </c>
      <c r="D22">
        <v>0</v>
      </c>
      <c r="E22" s="103">
        <v>1451.8</v>
      </c>
      <c r="F22">
        <v>761.29</v>
      </c>
      <c r="H22">
        <v>0</v>
      </c>
      <c r="K22" s="103">
        <v>-81248.38</v>
      </c>
    </row>
    <row r="23" spans="1:11" x14ac:dyDescent="0.25">
      <c r="A23" s="102">
        <v>45775</v>
      </c>
      <c r="C23" s="103">
        <v>2213.09</v>
      </c>
      <c r="D23">
        <v>0</v>
      </c>
      <c r="E23" s="103">
        <v>1385.02</v>
      </c>
      <c r="F23">
        <v>828.07</v>
      </c>
      <c r="H23">
        <v>0</v>
      </c>
      <c r="K23" s="103">
        <v>-79863.360000000001</v>
      </c>
    </row>
    <row r="24" spans="1:11" x14ac:dyDescent="0.25">
      <c r="A24" s="102">
        <v>45805</v>
      </c>
      <c r="C24" s="103">
        <v>2213.09</v>
      </c>
      <c r="D24">
        <v>0</v>
      </c>
      <c r="E24" s="103">
        <v>1425.4</v>
      </c>
      <c r="F24">
        <v>787.69</v>
      </c>
      <c r="H24">
        <v>0</v>
      </c>
      <c r="K24" s="103">
        <v>-78437.960000000006</v>
      </c>
    </row>
    <row r="25" spans="1:11" x14ac:dyDescent="0.25">
      <c r="A25" s="102">
        <v>45836</v>
      </c>
      <c r="C25" s="103">
        <v>2213.09</v>
      </c>
      <c r="D25">
        <v>0</v>
      </c>
      <c r="E25" s="103">
        <v>1413.67</v>
      </c>
      <c r="F25">
        <v>799.42</v>
      </c>
      <c r="H25">
        <v>0</v>
      </c>
      <c r="K25" s="103">
        <v>-77024.289999999994</v>
      </c>
    </row>
    <row r="26" spans="1:11" x14ac:dyDescent="0.25">
      <c r="A26" s="102">
        <v>45866</v>
      </c>
      <c r="C26" s="103">
        <v>2213.09</v>
      </c>
      <c r="D26">
        <v>0</v>
      </c>
      <c r="E26" s="103">
        <v>1453.4</v>
      </c>
      <c r="F26">
        <v>759.69</v>
      </c>
      <c r="H26">
        <v>0</v>
      </c>
      <c r="K26" s="103">
        <v>-75570.89</v>
      </c>
    </row>
    <row r="27" spans="1:11" x14ac:dyDescent="0.25">
      <c r="A27" s="102">
        <v>45897</v>
      </c>
      <c r="C27" s="103">
        <v>2213.09</v>
      </c>
      <c r="D27">
        <v>0</v>
      </c>
      <c r="E27" s="103">
        <v>1442.89</v>
      </c>
      <c r="F27">
        <v>770.2</v>
      </c>
      <c r="H27">
        <v>0</v>
      </c>
      <c r="K27" s="103">
        <v>-74128</v>
      </c>
    </row>
    <row r="28" spans="1:11" x14ac:dyDescent="0.25">
      <c r="A28" s="102">
        <v>45928</v>
      </c>
      <c r="C28" s="103">
        <v>2213.09</v>
      </c>
      <c r="D28">
        <v>0</v>
      </c>
      <c r="E28" s="103">
        <v>1457.59</v>
      </c>
      <c r="F28">
        <v>755.5</v>
      </c>
      <c r="H28">
        <v>0</v>
      </c>
      <c r="K28" s="103">
        <v>-72670.41</v>
      </c>
    </row>
    <row r="29" spans="1:11" x14ac:dyDescent="0.25">
      <c r="A29" s="102">
        <v>45958</v>
      </c>
      <c r="C29" s="103">
        <v>2213.09</v>
      </c>
      <c r="D29">
        <v>0</v>
      </c>
      <c r="E29" s="103">
        <v>1496.34</v>
      </c>
      <c r="F29">
        <v>716.75</v>
      </c>
      <c r="H29">
        <v>0</v>
      </c>
      <c r="K29" s="103">
        <v>-71174.070000000007</v>
      </c>
    </row>
    <row r="30" spans="1:11" x14ac:dyDescent="0.25">
      <c r="A30" s="102">
        <v>45989</v>
      </c>
      <c r="C30" s="103">
        <v>2213.09</v>
      </c>
      <c r="D30">
        <v>0</v>
      </c>
      <c r="E30" s="103">
        <v>1487.7</v>
      </c>
      <c r="F30">
        <v>725.39</v>
      </c>
      <c r="H30">
        <v>0</v>
      </c>
      <c r="K30" s="103">
        <v>-69686.37</v>
      </c>
    </row>
    <row r="31" spans="1:11" x14ac:dyDescent="0.25">
      <c r="A31" s="102">
        <v>46019</v>
      </c>
      <c r="C31" s="103">
        <v>2213.09</v>
      </c>
      <c r="D31">
        <v>0</v>
      </c>
      <c r="E31" s="103">
        <v>1525.77</v>
      </c>
      <c r="F31">
        <v>687.32</v>
      </c>
      <c r="H31">
        <v>0</v>
      </c>
      <c r="K31" s="103">
        <v>-68160.600000000006</v>
      </c>
    </row>
    <row r="32" spans="1:11" x14ac:dyDescent="0.25">
      <c r="A32" s="102">
        <v>46050</v>
      </c>
      <c r="C32" s="103">
        <v>2213.09</v>
      </c>
      <c r="D32">
        <v>0</v>
      </c>
      <c r="E32" s="103">
        <v>1518.41</v>
      </c>
      <c r="F32">
        <v>694.68</v>
      </c>
      <c r="H32">
        <v>0</v>
      </c>
      <c r="K32" s="103">
        <v>-66642.19</v>
      </c>
    </row>
    <row r="33" spans="1:11" x14ac:dyDescent="0.25">
      <c r="A33" s="102">
        <v>46081</v>
      </c>
      <c r="C33" s="103">
        <v>2213.09</v>
      </c>
      <c r="D33">
        <v>0</v>
      </c>
      <c r="E33" s="103">
        <v>1533.89</v>
      </c>
      <c r="F33">
        <v>679.2</v>
      </c>
      <c r="H33">
        <v>0</v>
      </c>
      <c r="K33" s="103">
        <v>-65108.3</v>
      </c>
    </row>
    <row r="34" spans="1:11" x14ac:dyDescent="0.25">
      <c r="A34" s="102">
        <v>46109</v>
      </c>
      <c r="C34" s="103">
        <v>2213.09</v>
      </c>
      <c r="D34">
        <v>0</v>
      </c>
      <c r="E34" s="103">
        <v>1613.74</v>
      </c>
      <c r="F34">
        <v>599.35</v>
      </c>
      <c r="H34">
        <v>0</v>
      </c>
      <c r="K34" s="103">
        <v>-63494.559999999998</v>
      </c>
    </row>
    <row r="35" spans="1:11" x14ac:dyDescent="0.25">
      <c r="A35" s="102">
        <v>46140</v>
      </c>
      <c r="C35" s="103">
        <v>2213.09</v>
      </c>
      <c r="D35">
        <v>0</v>
      </c>
      <c r="E35" s="103">
        <v>1565.97</v>
      </c>
      <c r="F35">
        <v>647.12</v>
      </c>
      <c r="H35">
        <v>0</v>
      </c>
      <c r="K35" s="103">
        <v>-61928.59</v>
      </c>
    </row>
    <row r="36" spans="1:11" x14ac:dyDescent="0.25">
      <c r="A36" s="102">
        <v>46170</v>
      </c>
      <c r="C36" s="103">
        <v>2213.09</v>
      </c>
      <c r="D36">
        <v>0</v>
      </c>
      <c r="E36" s="103">
        <v>1602.29</v>
      </c>
      <c r="F36">
        <v>610.79999999999995</v>
      </c>
      <c r="H36">
        <v>0</v>
      </c>
      <c r="K36" s="103">
        <v>-60326.3</v>
      </c>
    </row>
    <row r="37" spans="1:11" x14ac:dyDescent="0.25">
      <c r="A37" s="102">
        <v>46201</v>
      </c>
      <c r="C37" s="103">
        <v>2213.09</v>
      </c>
      <c r="D37">
        <v>0</v>
      </c>
      <c r="E37" s="103">
        <v>1598.26</v>
      </c>
      <c r="F37">
        <v>614.83000000000004</v>
      </c>
      <c r="H37">
        <v>0</v>
      </c>
      <c r="K37" s="103">
        <v>-58728.04</v>
      </c>
    </row>
    <row r="38" spans="1:11" x14ac:dyDescent="0.25">
      <c r="A38" s="102">
        <v>46231</v>
      </c>
      <c r="C38" s="103">
        <v>2213.09</v>
      </c>
      <c r="D38">
        <v>0</v>
      </c>
      <c r="E38" s="103">
        <v>1633.85</v>
      </c>
      <c r="F38">
        <v>579.24</v>
      </c>
      <c r="H38">
        <v>0</v>
      </c>
      <c r="K38" s="103">
        <v>-57094.19</v>
      </c>
    </row>
    <row r="39" spans="1:11" x14ac:dyDescent="0.25">
      <c r="A39" s="102">
        <v>46262</v>
      </c>
      <c r="C39" s="103">
        <v>2213.09</v>
      </c>
      <c r="D39">
        <v>0</v>
      </c>
      <c r="E39" s="103">
        <v>1631.2</v>
      </c>
      <c r="F39">
        <v>581.89</v>
      </c>
      <c r="H39">
        <v>0</v>
      </c>
      <c r="K39" s="103">
        <v>-55462.99</v>
      </c>
    </row>
    <row r="40" spans="1:11" x14ac:dyDescent="0.25">
      <c r="A40" s="102">
        <v>46293</v>
      </c>
      <c r="C40" s="103">
        <v>2213.09</v>
      </c>
      <c r="D40">
        <v>0</v>
      </c>
      <c r="E40" s="103">
        <v>1647.82</v>
      </c>
      <c r="F40">
        <v>565.27</v>
      </c>
      <c r="H40">
        <v>0</v>
      </c>
      <c r="K40" s="103">
        <v>-53815.17</v>
      </c>
    </row>
    <row r="41" spans="1:11" x14ac:dyDescent="0.25">
      <c r="A41" s="102">
        <v>46323</v>
      </c>
      <c r="C41" s="103">
        <v>2213.09</v>
      </c>
      <c r="D41">
        <v>0</v>
      </c>
      <c r="E41" s="103">
        <v>1682.31</v>
      </c>
      <c r="F41">
        <v>530.78</v>
      </c>
      <c r="H41">
        <v>0</v>
      </c>
      <c r="K41" s="103">
        <v>-52132.86</v>
      </c>
    </row>
    <row r="42" spans="1:11" x14ac:dyDescent="0.25">
      <c r="A42" s="102">
        <v>46354</v>
      </c>
      <c r="C42" s="103">
        <v>2213.09</v>
      </c>
      <c r="D42">
        <v>0</v>
      </c>
      <c r="E42" s="103">
        <v>1681.76</v>
      </c>
      <c r="F42">
        <v>531.33000000000004</v>
      </c>
      <c r="H42">
        <v>0</v>
      </c>
      <c r="K42" s="103">
        <v>-50451.1</v>
      </c>
    </row>
    <row r="43" spans="1:11" x14ac:dyDescent="0.25">
      <c r="A43" s="102">
        <v>46384</v>
      </c>
      <c r="C43" s="103">
        <v>2213.09</v>
      </c>
      <c r="D43">
        <v>0</v>
      </c>
      <c r="E43" s="103">
        <v>1715.49</v>
      </c>
      <c r="F43">
        <v>497.6</v>
      </c>
      <c r="H43">
        <v>0</v>
      </c>
      <c r="K43" s="103">
        <v>-48735.61</v>
      </c>
    </row>
    <row r="44" spans="1:11" x14ac:dyDescent="0.25">
      <c r="A44" s="102">
        <v>46415</v>
      </c>
      <c r="C44" s="103">
        <v>2213.09</v>
      </c>
      <c r="D44">
        <v>0</v>
      </c>
      <c r="E44" s="103">
        <v>1716.39</v>
      </c>
      <c r="F44">
        <v>496.7</v>
      </c>
      <c r="H44">
        <v>0</v>
      </c>
      <c r="K44" s="103">
        <v>-47019.22</v>
      </c>
    </row>
    <row r="45" spans="1:11" x14ac:dyDescent="0.25">
      <c r="A45" s="102">
        <v>46446</v>
      </c>
      <c r="C45" s="103">
        <v>2213.09</v>
      </c>
      <c r="D45">
        <v>0</v>
      </c>
      <c r="E45" s="103">
        <v>1733.88</v>
      </c>
      <c r="F45">
        <v>479.21</v>
      </c>
      <c r="H45">
        <v>0</v>
      </c>
      <c r="K45" s="103">
        <v>-45285.34</v>
      </c>
    </row>
    <row r="46" spans="1:11" x14ac:dyDescent="0.25">
      <c r="A46" s="102">
        <v>46474</v>
      </c>
      <c r="C46" s="103">
        <v>2213.09</v>
      </c>
      <c r="D46">
        <v>0</v>
      </c>
      <c r="E46" s="103">
        <v>1796.22</v>
      </c>
      <c r="F46">
        <v>416.87</v>
      </c>
      <c r="H46">
        <v>0</v>
      </c>
      <c r="K46" s="103">
        <v>-43489.120000000003</v>
      </c>
    </row>
    <row r="47" spans="1:11" x14ac:dyDescent="0.25">
      <c r="A47" s="102">
        <v>46505</v>
      </c>
      <c r="C47" s="103">
        <v>2213.09</v>
      </c>
      <c r="D47">
        <v>0</v>
      </c>
      <c r="E47" s="103">
        <v>1769.86</v>
      </c>
      <c r="F47">
        <v>443.23</v>
      </c>
      <c r="H47">
        <v>0</v>
      </c>
      <c r="K47" s="103">
        <v>-41719.26</v>
      </c>
    </row>
    <row r="48" spans="1:11" x14ac:dyDescent="0.25">
      <c r="A48" s="102">
        <v>46535</v>
      </c>
      <c r="C48" s="103">
        <v>2213.09</v>
      </c>
      <c r="D48">
        <v>0</v>
      </c>
      <c r="E48" s="103">
        <v>1801.61</v>
      </c>
      <c r="F48">
        <v>411.48</v>
      </c>
      <c r="H48">
        <v>0</v>
      </c>
      <c r="K48" s="103">
        <v>-39917.65</v>
      </c>
    </row>
    <row r="49" spans="1:11" x14ac:dyDescent="0.25">
      <c r="A49" s="102">
        <v>46566</v>
      </c>
      <c r="C49" s="103">
        <v>2213.09</v>
      </c>
      <c r="D49">
        <v>0</v>
      </c>
      <c r="E49" s="103">
        <v>1806.26</v>
      </c>
      <c r="F49">
        <v>406.83</v>
      </c>
      <c r="H49">
        <v>0</v>
      </c>
      <c r="K49" s="103">
        <v>-38111.39</v>
      </c>
    </row>
    <row r="50" spans="1:11" x14ac:dyDescent="0.25">
      <c r="A50" s="102">
        <v>46596</v>
      </c>
      <c r="C50" s="103">
        <v>2213.09</v>
      </c>
      <c r="D50">
        <v>0</v>
      </c>
      <c r="E50" s="103">
        <v>1837.2</v>
      </c>
      <c r="F50">
        <v>375.89</v>
      </c>
      <c r="H50">
        <v>0</v>
      </c>
      <c r="K50" s="103">
        <v>-36274.19</v>
      </c>
    </row>
    <row r="51" spans="1:11" x14ac:dyDescent="0.25">
      <c r="A51" s="102">
        <v>46627</v>
      </c>
      <c r="C51" s="103">
        <v>2213.09</v>
      </c>
      <c r="D51">
        <v>0</v>
      </c>
      <c r="E51" s="103">
        <v>1843.39</v>
      </c>
      <c r="F51">
        <v>369.7</v>
      </c>
      <c r="H51">
        <v>0</v>
      </c>
      <c r="K51" s="103">
        <v>-34430.800000000003</v>
      </c>
    </row>
    <row r="52" spans="1:11" x14ac:dyDescent="0.25">
      <c r="A52" s="102">
        <v>46658</v>
      </c>
      <c r="C52" s="103">
        <v>2213.09</v>
      </c>
      <c r="D52">
        <v>0</v>
      </c>
      <c r="E52" s="103">
        <v>1862.18</v>
      </c>
      <c r="F52">
        <v>350.91</v>
      </c>
      <c r="H52">
        <v>0</v>
      </c>
      <c r="K52" s="103">
        <v>-32568.62</v>
      </c>
    </row>
    <row r="53" spans="1:11" x14ac:dyDescent="0.25">
      <c r="A53" s="102">
        <v>46688</v>
      </c>
      <c r="C53" s="103">
        <v>2213.09</v>
      </c>
      <c r="D53">
        <v>0</v>
      </c>
      <c r="E53" s="103">
        <v>1891.87</v>
      </c>
      <c r="F53">
        <v>321.22000000000003</v>
      </c>
      <c r="H53">
        <v>0</v>
      </c>
      <c r="K53" s="103">
        <v>-30676.75</v>
      </c>
    </row>
    <row r="54" spans="1:11" x14ac:dyDescent="0.25">
      <c r="A54" s="102">
        <v>46719</v>
      </c>
      <c r="C54" s="103">
        <v>2213.09</v>
      </c>
      <c r="D54">
        <v>0</v>
      </c>
      <c r="E54" s="103">
        <v>1900.44</v>
      </c>
      <c r="F54">
        <v>312.64999999999998</v>
      </c>
      <c r="H54">
        <v>0</v>
      </c>
      <c r="K54" s="103">
        <v>-28776.31</v>
      </c>
    </row>
    <row r="55" spans="1:11" x14ac:dyDescent="0.25">
      <c r="A55" s="102">
        <v>46749</v>
      </c>
      <c r="C55" s="103">
        <v>2213.09</v>
      </c>
      <c r="D55">
        <v>0</v>
      </c>
      <c r="E55" s="103">
        <v>1929.27</v>
      </c>
      <c r="F55">
        <v>283.82</v>
      </c>
      <c r="H55">
        <v>0</v>
      </c>
      <c r="K55" s="103">
        <v>-26847.040000000001</v>
      </c>
    </row>
    <row r="56" spans="1:11" x14ac:dyDescent="0.25">
      <c r="A56" s="102">
        <v>46780</v>
      </c>
      <c r="C56" s="103">
        <v>2213.09</v>
      </c>
      <c r="D56">
        <v>0</v>
      </c>
      <c r="E56" s="103">
        <v>1939.47</v>
      </c>
      <c r="F56">
        <v>273.62</v>
      </c>
      <c r="H56">
        <v>0</v>
      </c>
      <c r="K56" s="103">
        <v>-24907.57</v>
      </c>
    </row>
    <row r="57" spans="1:11" x14ac:dyDescent="0.25">
      <c r="A57" s="102">
        <v>46811</v>
      </c>
      <c r="C57" s="103">
        <v>2213.09</v>
      </c>
      <c r="D57">
        <v>0</v>
      </c>
      <c r="E57" s="103">
        <v>1959.24</v>
      </c>
      <c r="F57">
        <v>253.85</v>
      </c>
      <c r="H57">
        <v>0</v>
      </c>
      <c r="K57" s="103">
        <v>-22948.33</v>
      </c>
    </row>
    <row r="58" spans="1:11" x14ac:dyDescent="0.25">
      <c r="A58" s="102">
        <v>46840</v>
      </c>
      <c r="C58" s="103">
        <v>2213.09</v>
      </c>
      <c r="D58">
        <v>0</v>
      </c>
      <c r="E58" s="103">
        <v>1994.3</v>
      </c>
      <c r="F58">
        <v>218.79</v>
      </c>
      <c r="H58">
        <v>0</v>
      </c>
      <c r="K58" s="103">
        <v>-20954.03</v>
      </c>
    </row>
    <row r="59" spans="1:11" x14ac:dyDescent="0.25">
      <c r="A59" s="102">
        <v>46871</v>
      </c>
      <c r="C59" s="103">
        <v>2213.09</v>
      </c>
      <c r="D59">
        <v>0</v>
      </c>
      <c r="E59" s="103">
        <v>1999.53</v>
      </c>
      <c r="F59">
        <v>213.56</v>
      </c>
      <c r="H59">
        <v>0</v>
      </c>
      <c r="K59" s="103">
        <v>-18954.5</v>
      </c>
    </row>
    <row r="60" spans="1:11" x14ac:dyDescent="0.25">
      <c r="A60" s="102">
        <v>46901</v>
      </c>
      <c r="C60" s="103">
        <v>2213.09</v>
      </c>
      <c r="D60">
        <v>0</v>
      </c>
      <c r="E60" s="103">
        <v>2026.14</v>
      </c>
      <c r="F60">
        <v>186.95</v>
      </c>
      <c r="H60">
        <v>0</v>
      </c>
      <c r="K60" s="103">
        <v>-16928.36</v>
      </c>
    </row>
    <row r="61" spans="1:11" x14ac:dyDescent="0.25">
      <c r="A61" s="102">
        <v>46932</v>
      </c>
      <c r="C61" s="103">
        <v>2213.09</v>
      </c>
      <c r="D61">
        <v>0</v>
      </c>
      <c r="E61" s="103">
        <v>2040.56</v>
      </c>
      <c r="F61">
        <v>172.53</v>
      </c>
      <c r="H61">
        <v>0</v>
      </c>
      <c r="K61" s="103">
        <v>-14887.8</v>
      </c>
    </row>
    <row r="62" spans="1:11" x14ac:dyDescent="0.25">
      <c r="A62" s="102">
        <v>46962</v>
      </c>
      <c r="C62" s="103">
        <v>2213.09</v>
      </c>
      <c r="D62">
        <v>0</v>
      </c>
      <c r="E62" s="103">
        <v>2066.25</v>
      </c>
      <c r="F62">
        <v>146.84</v>
      </c>
      <c r="H62">
        <v>0</v>
      </c>
      <c r="K62" s="103">
        <v>-12821.55</v>
      </c>
    </row>
    <row r="63" spans="1:11" x14ac:dyDescent="0.25">
      <c r="A63" s="102">
        <v>46993</v>
      </c>
      <c r="C63" s="103">
        <v>2213.09</v>
      </c>
      <c r="D63">
        <v>0</v>
      </c>
      <c r="E63" s="103">
        <v>2082.42</v>
      </c>
      <c r="F63">
        <v>130.66999999999999</v>
      </c>
      <c r="H63">
        <v>0</v>
      </c>
      <c r="K63" s="103">
        <v>-10739.13</v>
      </c>
    </row>
    <row r="64" spans="1:11" x14ac:dyDescent="0.25">
      <c r="A64" s="102">
        <v>47024</v>
      </c>
      <c r="C64" s="103">
        <v>2213.09</v>
      </c>
      <c r="D64">
        <v>0</v>
      </c>
      <c r="E64" s="103">
        <v>2103.64</v>
      </c>
      <c r="F64">
        <v>109.45</v>
      </c>
      <c r="H64">
        <v>0</v>
      </c>
      <c r="K64" s="103">
        <v>-8635.49</v>
      </c>
    </row>
    <row r="65" spans="1:11" x14ac:dyDescent="0.25">
      <c r="A65" s="102">
        <v>47054</v>
      </c>
      <c r="C65" s="103">
        <v>2213.09</v>
      </c>
      <c r="D65">
        <v>0</v>
      </c>
      <c r="E65" s="103">
        <v>2127.92</v>
      </c>
      <c r="F65">
        <v>85.17</v>
      </c>
      <c r="H65">
        <v>0</v>
      </c>
      <c r="K65" s="103">
        <v>-6507.57</v>
      </c>
    </row>
    <row r="66" spans="1:11" x14ac:dyDescent="0.25">
      <c r="A66" s="102">
        <v>47085</v>
      </c>
      <c r="C66" s="103">
        <v>2213.09</v>
      </c>
      <c r="D66">
        <v>0</v>
      </c>
      <c r="E66" s="103">
        <v>2146.77</v>
      </c>
      <c r="F66">
        <v>66.319999999999993</v>
      </c>
      <c r="H66">
        <v>0</v>
      </c>
      <c r="K66" s="103">
        <v>-4360.8</v>
      </c>
    </row>
    <row r="67" spans="1:11" x14ac:dyDescent="0.25">
      <c r="A67" s="102">
        <v>47115</v>
      </c>
      <c r="C67" s="103">
        <v>2213.09</v>
      </c>
      <c r="D67">
        <v>0</v>
      </c>
      <c r="E67" s="103">
        <v>2170.08</v>
      </c>
      <c r="F67">
        <v>43.01</v>
      </c>
      <c r="H67">
        <v>0</v>
      </c>
      <c r="K67" s="103">
        <v>-2190.7199999999998</v>
      </c>
    </row>
    <row r="68" spans="1:11" x14ac:dyDescent="0.25">
      <c r="A68" s="102">
        <v>47146</v>
      </c>
      <c r="C68" s="103">
        <v>2213.0700000000002</v>
      </c>
      <c r="D68">
        <v>0</v>
      </c>
      <c r="E68" s="103">
        <v>2190.7199999999998</v>
      </c>
      <c r="F68">
        <v>22.35</v>
      </c>
      <c r="H68">
        <v>0</v>
      </c>
      <c r="K68">
        <v>0</v>
      </c>
    </row>
  </sheetData>
  <pageMargins left="0.7" right="0.7" top="0.75" bottom="0.75" header="0.3" footer="0.3"/>
  <pageSetup paperSize="9" orientation="portrait" r:id="rId1"/>
  <headerFooter>
    <oddFooter>&amp;L&amp;"Calibri Light,Regular"&amp;09&amp;K00C000Public</oddFooter>
    <evenFooter>&amp;L&amp;"Calibri Light,Regular"&amp;09&amp;K00C000Public</evenFooter>
    <firstFooter>&amp;L&amp;"Calibri Light,Regular"&amp;09&amp;K00C000Public</first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7D00A-37E4-42A2-9CF1-A0E733DE7C55}">
  <sheetPr codeName="Sheet2">
    <pageSetUpPr autoPageBreaks="0"/>
  </sheetPr>
  <dimension ref="A1:F31"/>
  <sheetViews>
    <sheetView topLeftCell="A6" workbookViewId="0">
      <selection activeCell="I5" sqref="I5"/>
    </sheetView>
  </sheetViews>
  <sheetFormatPr defaultRowHeight="15" x14ac:dyDescent="0.25"/>
  <cols>
    <col min="1" max="1" width="23.28515625" bestFit="1" customWidth="1"/>
    <col min="2" max="2" width="10.28515625" bestFit="1" customWidth="1"/>
    <col min="3" max="3" width="15.140625" bestFit="1" customWidth="1"/>
    <col min="4" max="4" width="36.28515625" bestFit="1" customWidth="1"/>
    <col min="5" max="5" width="14.28515625" bestFit="1" customWidth="1"/>
    <col min="6" max="6" width="16.7109375" bestFit="1" customWidth="1"/>
  </cols>
  <sheetData>
    <row r="1" spans="1:6" ht="15.75" thickBot="1" x14ac:dyDescent="0.3">
      <c r="A1" s="67" t="s">
        <v>81</v>
      </c>
      <c r="B1" s="68"/>
      <c r="C1" s="68"/>
      <c r="D1" s="68"/>
      <c r="E1" s="68"/>
      <c r="F1" s="68"/>
    </row>
    <row r="2" spans="1:6" ht="15.75" thickBot="1" x14ac:dyDescent="0.3">
      <c r="A2" s="69" t="s">
        <v>0</v>
      </c>
      <c r="B2" s="70" t="s">
        <v>1</v>
      </c>
      <c r="C2" s="70" t="s">
        <v>2</v>
      </c>
      <c r="D2" s="70" t="s">
        <v>3</v>
      </c>
      <c r="E2" s="70" t="s">
        <v>4</v>
      </c>
      <c r="F2" s="71" t="s">
        <v>5</v>
      </c>
    </row>
    <row r="3" spans="1:6" ht="31.9" customHeight="1" x14ac:dyDescent="0.25">
      <c r="A3" s="680" t="s">
        <v>82</v>
      </c>
      <c r="B3" s="72" t="s">
        <v>7</v>
      </c>
      <c r="C3" s="73" t="s">
        <v>60</v>
      </c>
      <c r="D3" s="72" t="s">
        <v>83</v>
      </c>
      <c r="E3" s="74" t="s">
        <v>67</v>
      </c>
      <c r="F3" s="75" t="s">
        <v>15</v>
      </c>
    </row>
    <row r="4" spans="1:6" ht="31.9" customHeight="1" x14ac:dyDescent="0.25">
      <c r="A4" s="681"/>
      <c r="B4" s="76" t="s">
        <v>10</v>
      </c>
      <c r="C4" s="77" t="s">
        <v>84</v>
      </c>
      <c r="D4" s="78" t="s">
        <v>48</v>
      </c>
      <c r="E4" s="79" t="s">
        <v>67</v>
      </c>
      <c r="F4" s="80" t="s">
        <v>15</v>
      </c>
    </row>
    <row r="5" spans="1:6" ht="31.9" customHeight="1" x14ac:dyDescent="0.25">
      <c r="A5" s="681"/>
      <c r="B5" s="78" t="s">
        <v>7</v>
      </c>
      <c r="C5" s="77" t="s">
        <v>44</v>
      </c>
      <c r="D5" s="78" t="s">
        <v>44</v>
      </c>
      <c r="E5" s="81" t="s">
        <v>67</v>
      </c>
      <c r="F5" s="82" t="s">
        <v>15</v>
      </c>
    </row>
    <row r="6" spans="1:6" ht="31.9" customHeight="1" thickBot="1" x14ac:dyDescent="0.3">
      <c r="A6" s="682"/>
      <c r="B6" s="83" t="s">
        <v>10</v>
      </c>
      <c r="C6" s="84" t="s">
        <v>84</v>
      </c>
      <c r="D6" s="85" t="s">
        <v>48</v>
      </c>
      <c r="E6" s="86" t="s">
        <v>67</v>
      </c>
      <c r="F6" s="87" t="s">
        <v>15</v>
      </c>
    </row>
    <row r="7" spans="1:6" ht="31.9" customHeight="1" x14ac:dyDescent="0.25">
      <c r="A7" s="680" t="s">
        <v>85</v>
      </c>
      <c r="B7" s="72" t="s">
        <v>7</v>
      </c>
      <c r="C7" s="73" t="s">
        <v>60</v>
      </c>
      <c r="D7" s="73" t="s">
        <v>61</v>
      </c>
      <c r="E7" s="74" t="s">
        <v>67</v>
      </c>
      <c r="F7" s="75" t="s">
        <v>15</v>
      </c>
    </row>
    <row r="8" spans="1:6" ht="31.9" customHeight="1" x14ac:dyDescent="0.25">
      <c r="A8" s="681"/>
      <c r="B8" s="76" t="s">
        <v>10</v>
      </c>
      <c r="C8" s="88" t="s">
        <v>33</v>
      </c>
      <c r="D8" s="79" t="s">
        <v>86</v>
      </c>
      <c r="E8" s="79" t="s">
        <v>67</v>
      </c>
      <c r="F8" s="80" t="s">
        <v>15</v>
      </c>
    </row>
    <row r="9" spans="1:6" ht="31.9" customHeight="1" x14ac:dyDescent="0.25">
      <c r="A9" s="681"/>
      <c r="B9" s="76" t="s">
        <v>7</v>
      </c>
      <c r="C9" s="88" t="s">
        <v>33</v>
      </c>
      <c r="D9" s="79" t="s">
        <v>86</v>
      </c>
      <c r="E9" s="79" t="s">
        <v>67</v>
      </c>
      <c r="F9" s="80" t="s">
        <v>15</v>
      </c>
    </row>
    <row r="10" spans="1:6" ht="31.9" customHeight="1" thickBot="1" x14ac:dyDescent="0.3">
      <c r="A10" s="682"/>
      <c r="B10" s="83" t="s">
        <v>10</v>
      </c>
      <c r="C10" s="89" t="s">
        <v>31</v>
      </c>
      <c r="D10" s="89" t="s">
        <v>32</v>
      </c>
      <c r="E10" s="86" t="s">
        <v>67</v>
      </c>
      <c r="F10" s="87" t="s">
        <v>15</v>
      </c>
    </row>
    <row r="11" spans="1:6" ht="31.9" customHeight="1" x14ac:dyDescent="0.25">
      <c r="A11" s="680" t="s">
        <v>87</v>
      </c>
      <c r="B11" s="72" t="s">
        <v>7</v>
      </c>
      <c r="C11" s="73" t="s">
        <v>84</v>
      </c>
      <c r="D11" s="72" t="s">
        <v>48</v>
      </c>
      <c r="E11" s="74" t="s">
        <v>67</v>
      </c>
      <c r="F11" s="75" t="s">
        <v>15</v>
      </c>
    </row>
    <row r="12" spans="1:6" ht="31.9" customHeight="1" thickBot="1" x14ac:dyDescent="0.3">
      <c r="A12" s="682"/>
      <c r="B12" s="83" t="s">
        <v>10</v>
      </c>
      <c r="C12" s="83" t="s">
        <v>28</v>
      </c>
      <c r="D12" s="89" t="s">
        <v>77</v>
      </c>
      <c r="E12" s="86" t="s">
        <v>67</v>
      </c>
      <c r="F12" s="87" t="s">
        <v>15</v>
      </c>
    </row>
    <row r="14" spans="1:6" ht="15.75" thickBot="1" x14ac:dyDescent="0.3">
      <c r="A14" s="90" t="s">
        <v>88</v>
      </c>
    </row>
    <row r="15" spans="1:6" ht="15.75" thickBot="1" x14ac:dyDescent="0.3">
      <c r="A15" s="91" t="s">
        <v>0</v>
      </c>
      <c r="B15" s="92" t="s">
        <v>1</v>
      </c>
      <c r="C15" s="92" t="s">
        <v>2</v>
      </c>
      <c r="D15" s="92" t="s">
        <v>3</v>
      </c>
      <c r="E15" s="93" t="s">
        <v>4</v>
      </c>
    </row>
    <row r="16" spans="1:6" x14ac:dyDescent="0.25">
      <c r="A16" s="678" t="s">
        <v>89</v>
      </c>
      <c r="B16" s="7" t="s">
        <v>7</v>
      </c>
      <c r="C16" s="7"/>
      <c r="D16" s="7" t="s">
        <v>90</v>
      </c>
      <c r="E16" s="94">
        <v>-14988.5</v>
      </c>
    </row>
    <row r="17" spans="1:5" ht="15.75" thickBot="1" x14ac:dyDescent="0.3">
      <c r="A17" s="679"/>
      <c r="B17" s="35" t="s">
        <v>10</v>
      </c>
      <c r="C17" s="35"/>
      <c r="D17" s="35" t="s">
        <v>91</v>
      </c>
      <c r="E17" s="95">
        <v>14988.5</v>
      </c>
    </row>
    <row r="18" spans="1:5" ht="15.75" thickBot="1" x14ac:dyDescent="0.3">
      <c r="A18" s="96"/>
      <c r="B18" s="57"/>
      <c r="C18" s="57"/>
      <c r="D18" s="57"/>
      <c r="E18" s="97"/>
    </row>
    <row r="19" spans="1:5" x14ac:dyDescent="0.25">
      <c r="A19" s="678" t="s">
        <v>92</v>
      </c>
      <c r="B19" s="7" t="s">
        <v>7</v>
      </c>
      <c r="C19" s="7"/>
      <c r="D19" s="7" t="s">
        <v>93</v>
      </c>
      <c r="E19" s="94">
        <v>-10</v>
      </c>
    </row>
    <row r="20" spans="1:5" ht="15.75" thickBot="1" x14ac:dyDescent="0.3">
      <c r="A20" s="679"/>
      <c r="B20" s="35" t="s">
        <v>10</v>
      </c>
      <c r="C20" s="35"/>
      <c r="D20" s="35" t="s">
        <v>94</v>
      </c>
      <c r="E20" s="95">
        <v>10</v>
      </c>
    </row>
    <row r="21" spans="1:5" ht="15.75" thickBot="1" x14ac:dyDescent="0.3">
      <c r="A21" s="96"/>
      <c r="B21" s="57"/>
      <c r="C21" s="57"/>
      <c r="D21" s="57"/>
      <c r="E21" s="97"/>
    </row>
    <row r="22" spans="1:5" x14ac:dyDescent="0.25">
      <c r="A22" s="683" t="s">
        <v>95</v>
      </c>
      <c r="B22" s="7" t="s">
        <v>7</v>
      </c>
      <c r="C22" s="7"/>
      <c r="D22" s="7" t="s">
        <v>96</v>
      </c>
      <c r="E22" s="94">
        <v>-1.5</v>
      </c>
    </row>
    <row r="23" spans="1:5" ht="15.75" thickBot="1" x14ac:dyDescent="0.3">
      <c r="A23" s="684"/>
      <c r="B23" s="35" t="s">
        <v>10</v>
      </c>
      <c r="C23" s="35"/>
      <c r="D23" s="35" t="s">
        <v>91</v>
      </c>
      <c r="E23" s="95">
        <v>1.5</v>
      </c>
    </row>
    <row r="24" spans="1:5" x14ac:dyDescent="0.25">
      <c r="A24" s="98"/>
      <c r="B24" s="37"/>
      <c r="C24" s="37"/>
      <c r="D24" s="37"/>
      <c r="E24" s="99"/>
    </row>
    <row r="25" spans="1:5" ht="15.75" thickBot="1" x14ac:dyDescent="0.3">
      <c r="A25" s="100"/>
      <c r="B25" s="31"/>
      <c r="C25" s="31"/>
      <c r="D25" s="31"/>
      <c r="E25" s="101"/>
    </row>
    <row r="26" spans="1:5" x14ac:dyDescent="0.25">
      <c r="A26" s="678" t="s">
        <v>97</v>
      </c>
      <c r="B26" s="7" t="s">
        <v>7</v>
      </c>
      <c r="C26" s="7"/>
      <c r="D26" s="7" t="s">
        <v>26</v>
      </c>
      <c r="E26" s="94">
        <v>-15000</v>
      </c>
    </row>
    <row r="27" spans="1:5" ht="15.75" thickBot="1" x14ac:dyDescent="0.3">
      <c r="A27" s="679"/>
      <c r="B27" s="35" t="s">
        <v>10</v>
      </c>
      <c r="C27" s="35"/>
      <c r="D27" s="35" t="s">
        <v>98</v>
      </c>
      <c r="E27" s="95">
        <v>15000</v>
      </c>
    </row>
    <row r="28" spans="1:5" x14ac:dyDescent="0.25">
      <c r="A28" s="98"/>
      <c r="B28" s="37"/>
      <c r="C28" s="37"/>
      <c r="D28" s="37"/>
      <c r="E28" s="99"/>
    </row>
    <row r="29" spans="1:5" ht="15.75" thickBot="1" x14ac:dyDescent="0.3">
      <c r="A29" s="100"/>
      <c r="B29" s="31"/>
      <c r="C29" s="31"/>
      <c r="D29" s="31"/>
      <c r="E29" s="101"/>
    </row>
    <row r="30" spans="1:5" x14ac:dyDescent="0.25">
      <c r="A30" s="678" t="s">
        <v>99</v>
      </c>
      <c r="B30" s="7" t="s">
        <v>7</v>
      </c>
      <c r="C30" s="7"/>
      <c r="D30" s="7" t="s">
        <v>100</v>
      </c>
      <c r="E30" s="94">
        <v>-15000</v>
      </c>
    </row>
    <row r="31" spans="1:5" ht="15.75" thickBot="1" x14ac:dyDescent="0.3">
      <c r="A31" s="679"/>
      <c r="B31" s="35" t="s">
        <v>10</v>
      </c>
      <c r="C31" s="35"/>
      <c r="D31" s="35" t="s">
        <v>101</v>
      </c>
      <c r="E31" s="95">
        <v>15000</v>
      </c>
    </row>
  </sheetData>
  <mergeCells count="8">
    <mergeCell ref="A26:A27"/>
    <mergeCell ref="A30:A31"/>
    <mergeCell ref="A3:A6"/>
    <mergeCell ref="A7:A10"/>
    <mergeCell ref="A11:A12"/>
    <mergeCell ref="A16:A17"/>
    <mergeCell ref="A19:A20"/>
    <mergeCell ref="A22:A23"/>
  </mergeCells>
  <pageMargins left="0.7" right="0.7" top="0.75" bottom="0.75" header="0.3" footer="0.3"/>
  <pageSetup paperSize="9" orientation="portrait" r:id="rId1"/>
  <headerFooter>
    <oddFooter>&amp;L&amp;"Calibri Light,Regular"&amp;09&amp;K00C000Public</oddFooter>
    <evenFooter>&amp;L&amp;"Calibri Light,Regular"&amp;09&amp;K00C000Public</evenFooter>
    <firstFooter>&amp;L&amp;"Calibri Light,Regular"&amp;09&amp;K00C000Public</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9F993-FF0A-4F9F-9ED3-770657F2465A}">
  <sheetPr>
    <pageSetUpPr autoPageBreaks="0"/>
  </sheetPr>
  <dimension ref="A1:M205"/>
  <sheetViews>
    <sheetView topLeftCell="A88" workbookViewId="0">
      <selection activeCell="C78" sqref="C78:C79"/>
    </sheetView>
  </sheetViews>
  <sheetFormatPr defaultRowHeight="15" x14ac:dyDescent="0.25"/>
  <cols>
    <col min="1" max="1" width="15.42578125" bestFit="1" customWidth="1"/>
    <col min="2" max="2" width="9.140625" bestFit="1" customWidth="1"/>
    <col min="3" max="3" width="9.7109375" bestFit="1" customWidth="1"/>
    <col min="4" max="4" width="8.28515625" bestFit="1" customWidth="1"/>
    <col min="5" max="5" width="9.7109375" bestFit="1" customWidth="1"/>
    <col min="6" max="6" width="11.85546875" bestFit="1" customWidth="1"/>
    <col min="7" max="7" width="9" bestFit="1" customWidth="1"/>
    <col min="8" max="8" width="7.7109375" bestFit="1" customWidth="1"/>
    <col min="9" max="9" width="9.7109375" bestFit="1" customWidth="1"/>
    <col min="10" max="10" width="10.85546875" bestFit="1" customWidth="1"/>
    <col min="11" max="11" width="32" bestFit="1" customWidth="1"/>
    <col min="12" max="12" width="17" bestFit="1" customWidth="1"/>
    <col min="13" max="13" width="32" bestFit="1" customWidth="1"/>
  </cols>
  <sheetData>
    <row r="1" spans="1:13" ht="21.75" thickBot="1" x14ac:dyDescent="0.4">
      <c r="A1" s="685" t="s">
        <v>353</v>
      </c>
      <c r="B1" s="686"/>
      <c r="C1" s="687"/>
    </row>
    <row r="4" spans="1:13" x14ac:dyDescent="0.25">
      <c r="A4" t="s">
        <v>102</v>
      </c>
      <c r="M4" t="s">
        <v>103</v>
      </c>
    </row>
    <row r="6" spans="1:13" x14ac:dyDescent="0.25">
      <c r="A6" t="s">
        <v>104</v>
      </c>
      <c r="B6" t="s">
        <v>105</v>
      </c>
      <c r="C6" t="s">
        <v>106</v>
      </c>
      <c r="D6" t="s">
        <v>107</v>
      </c>
      <c r="E6" t="s">
        <v>108</v>
      </c>
      <c r="F6" t="s">
        <v>109</v>
      </c>
      <c r="G6" t="s">
        <v>110</v>
      </c>
      <c r="H6" t="s">
        <v>111</v>
      </c>
      <c r="I6" t="s">
        <v>112</v>
      </c>
      <c r="J6" t="s">
        <v>113</v>
      </c>
      <c r="K6" t="s">
        <v>114</v>
      </c>
      <c r="L6" t="s">
        <v>115</v>
      </c>
    </row>
    <row r="7" spans="1:13" x14ac:dyDescent="0.25">
      <c r="A7" s="102">
        <v>45320</v>
      </c>
      <c r="C7" s="103">
        <v>1150</v>
      </c>
      <c r="D7">
        <v>0</v>
      </c>
      <c r="E7" s="103">
        <v>100000</v>
      </c>
      <c r="H7" s="103">
        <v>1000</v>
      </c>
      <c r="I7">
        <v>150</v>
      </c>
      <c r="J7" s="103">
        <v>100000</v>
      </c>
      <c r="K7" t="s">
        <v>116</v>
      </c>
      <c r="L7" t="s">
        <v>117</v>
      </c>
    </row>
    <row r="8" spans="1:13" x14ac:dyDescent="0.25">
      <c r="A8" s="102">
        <v>45350</v>
      </c>
      <c r="C8" s="103">
        <v>2213.09</v>
      </c>
      <c r="D8">
        <v>0</v>
      </c>
      <c r="E8" s="103">
        <v>1244.5</v>
      </c>
      <c r="G8">
        <v>968.59</v>
      </c>
      <c r="H8">
        <v>0</v>
      </c>
      <c r="K8" t="s">
        <v>118</v>
      </c>
      <c r="L8" t="s">
        <v>119</v>
      </c>
    </row>
    <row r="9" spans="1:13" x14ac:dyDescent="0.25">
      <c r="A9" s="102">
        <v>45379</v>
      </c>
      <c r="C9" s="103">
        <v>2213.09</v>
      </c>
      <c r="D9">
        <v>0</v>
      </c>
      <c r="E9" s="103">
        <v>1288.44</v>
      </c>
      <c r="G9">
        <v>924.65</v>
      </c>
      <c r="H9">
        <v>0</v>
      </c>
      <c r="K9" t="s">
        <v>120</v>
      </c>
      <c r="L9" t="s">
        <v>121</v>
      </c>
    </row>
    <row r="10" spans="1:13" x14ac:dyDescent="0.25">
      <c r="A10" s="102">
        <v>45410</v>
      </c>
      <c r="C10" s="103">
        <v>2213.09</v>
      </c>
      <c r="D10">
        <v>0</v>
      </c>
      <c r="E10" s="103">
        <v>1237.56</v>
      </c>
      <c r="G10">
        <v>975.53</v>
      </c>
      <c r="H10">
        <v>0</v>
      </c>
      <c r="K10" t="s">
        <v>122</v>
      </c>
      <c r="L10" t="s">
        <v>123</v>
      </c>
    </row>
    <row r="11" spans="1:13" x14ac:dyDescent="0.25">
      <c r="A11" s="102">
        <v>45440</v>
      </c>
      <c r="C11" s="103">
        <v>2213.09</v>
      </c>
      <c r="D11">
        <v>0</v>
      </c>
      <c r="E11" s="103">
        <v>1281.02</v>
      </c>
      <c r="G11">
        <v>932.07</v>
      </c>
      <c r="H11">
        <v>0</v>
      </c>
      <c r="K11" t="s">
        <v>124</v>
      </c>
      <c r="L11" t="s">
        <v>125</v>
      </c>
    </row>
    <row r="12" spans="1:13" x14ac:dyDescent="0.25">
      <c r="A12" s="102">
        <v>45471</v>
      </c>
      <c r="C12" s="103">
        <v>2213.09</v>
      </c>
      <c r="D12">
        <v>0</v>
      </c>
      <c r="E12" s="103">
        <v>1262.77</v>
      </c>
      <c r="G12">
        <v>950.32</v>
      </c>
      <c r="H12">
        <v>0</v>
      </c>
      <c r="K12" t="s">
        <v>126</v>
      </c>
      <c r="L12" t="s">
        <v>127</v>
      </c>
    </row>
    <row r="13" spans="1:13" x14ac:dyDescent="0.25">
      <c r="A13" s="102">
        <v>45501</v>
      </c>
      <c r="C13" s="103">
        <v>2213.09</v>
      </c>
      <c r="D13">
        <v>0</v>
      </c>
      <c r="E13" s="103">
        <v>1305.6600000000001</v>
      </c>
      <c r="G13">
        <v>907.43</v>
      </c>
      <c r="H13">
        <v>0</v>
      </c>
      <c r="K13" t="s">
        <v>128</v>
      </c>
      <c r="L13" t="s">
        <v>129</v>
      </c>
    </row>
    <row r="14" spans="1:13" x14ac:dyDescent="0.25">
      <c r="A14" s="102">
        <v>45532</v>
      </c>
      <c r="C14" s="103">
        <v>2213.09</v>
      </c>
      <c r="D14">
        <v>0</v>
      </c>
      <c r="E14" s="103">
        <v>1288.48</v>
      </c>
      <c r="G14">
        <v>924.61</v>
      </c>
      <c r="H14">
        <v>0</v>
      </c>
      <c r="K14" t="s">
        <v>130</v>
      </c>
      <c r="L14" t="s">
        <v>131</v>
      </c>
    </row>
    <row r="15" spans="1:13" x14ac:dyDescent="0.25">
      <c r="A15" s="102">
        <v>45563</v>
      </c>
      <c r="C15" s="103">
        <v>2213.09</v>
      </c>
      <c r="D15">
        <v>0</v>
      </c>
      <c r="E15" s="103">
        <v>1301.3699999999999</v>
      </c>
      <c r="G15">
        <v>911.72</v>
      </c>
      <c r="H15">
        <v>0</v>
      </c>
      <c r="K15" t="s">
        <v>132</v>
      </c>
      <c r="L15" t="s">
        <v>133</v>
      </c>
    </row>
    <row r="16" spans="1:13" x14ac:dyDescent="0.25">
      <c r="A16" s="102">
        <v>45593</v>
      </c>
      <c r="C16" s="103">
        <v>2213.09</v>
      </c>
      <c r="D16">
        <v>0</v>
      </c>
      <c r="E16" s="103">
        <v>1343.39</v>
      </c>
      <c r="G16">
        <v>869.7</v>
      </c>
      <c r="H16">
        <v>0</v>
      </c>
      <c r="K16" t="s">
        <v>134</v>
      </c>
      <c r="L16" t="s">
        <v>135</v>
      </c>
    </row>
    <row r="17" spans="1:12" x14ac:dyDescent="0.25">
      <c r="A17" s="102">
        <v>45624</v>
      </c>
      <c r="C17" s="103">
        <v>2213.09</v>
      </c>
      <c r="D17">
        <v>0</v>
      </c>
      <c r="E17" s="103">
        <v>1327.84</v>
      </c>
      <c r="G17">
        <v>885.25</v>
      </c>
      <c r="H17">
        <v>0</v>
      </c>
      <c r="K17" t="s">
        <v>136</v>
      </c>
      <c r="L17" t="s">
        <v>137</v>
      </c>
    </row>
    <row r="18" spans="1:12" x14ac:dyDescent="0.25">
      <c r="A18" s="102">
        <v>45654</v>
      </c>
      <c r="C18" s="103">
        <v>2213.09</v>
      </c>
      <c r="D18">
        <v>0</v>
      </c>
      <c r="E18" s="103">
        <v>1369.26</v>
      </c>
      <c r="G18">
        <v>843.83</v>
      </c>
      <c r="H18">
        <v>0</v>
      </c>
      <c r="K18" t="s">
        <v>138</v>
      </c>
      <c r="L18" t="s">
        <v>139</v>
      </c>
    </row>
    <row r="19" spans="1:12" x14ac:dyDescent="0.25">
      <c r="A19" s="102">
        <v>45685</v>
      </c>
      <c r="C19" s="103">
        <v>2213.09</v>
      </c>
      <c r="D19">
        <v>0</v>
      </c>
      <c r="E19" s="103">
        <v>1354.84</v>
      </c>
      <c r="G19">
        <v>858.25</v>
      </c>
      <c r="H19">
        <v>0</v>
      </c>
      <c r="K19" t="s">
        <v>140</v>
      </c>
      <c r="L19" t="s">
        <v>141</v>
      </c>
    </row>
    <row r="20" spans="1:12" x14ac:dyDescent="0.25">
      <c r="A20" s="102">
        <v>45716</v>
      </c>
      <c r="C20" s="103">
        <v>2213.09</v>
      </c>
      <c r="D20">
        <v>0</v>
      </c>
      <c r="E20" s="103">
        <v>1368.4</v>
      </c>
      <c r="G20">
        <v>844.69</v>
      </c>
      <c r="H20">
        <v>0</v>
      </c>
      <c r="K20" t="s">
        <v>142</v>
      </c>
      <c r="L20" t="s">
        <v>143</v>
      </c>
    </row>
    <row r="21" spans="1:12" x14ac:dyDescent="0.25">
      <c r="A21" s="102">
        <v>45744</v>
      </c>
      <c r="C21" s="103">
        <v>2213.09</v>
      </c>
      <c r="D21">
        <v>0</v>
      </c>
      <c r="E21" s="103">
        <v>1462.51</v>
      </c>
      <c r="G21">
        <v>750.58</v>
      </c>
      <c r="H21">
        <v>0</v>
      </c>
      <c r="K21" t="s">
        <v>144</v>
      </c>
      <c r="L21" t="s">
        <v>145</v>
      </c>
    </row>
    <row r="22" spans="1:12" x14ac:dyDescent="0.25">
      <c r="A22" s="102">
        <v>45775</v>
      </c>
      <c r="C22" s="103">
        <v>2213.09</v>
      </c>
      <c r="D22">
        <v>0</v>
      </c>
      <c r="E22" s="103">
        <v>1396.73</v>
      </c>
      <c r="G22">
        <v>816.36</v>
      </c>
      <c r="H22">
        <v>0</v>
      </c>
      <c r="K22" t="s">
        <v>146</v>
      </c>
      <c r="L22" t="s">
        <v>147</v>
      </c>
    </row>
    <row r="23" spans="1:12" x14ac:dyDescent="0.25">
      <c r="A23" s="102">
        <v>45805</v>
      </c>
      <c r="C23" s="103">
        <v>2213.09</v>
      </c>
      <c r="D23">
        <v>0</v>
      </c>
      <c r="E23" s="103">
        <v>1436.6</v>
      </c>
      <c r="G23">
        <v>776.49</v>
      </c>
      <c r="H23">
        <v>0</v>
      </c>
      <c r="K23" t="s">
        <v>148</v>
      </c>
      <c r="L23" t="s">
        <v>149</v>
      </c>
    </row>
    <row r="24" spans="1:12" x14ac:dyDescent="0.25">
      <c r="A24" s="102">
        <v>45836</v>
      </c>
      <c r="C24" s="103">
        <v>2213.09</v>
      </c>
      <c r="D24">
        <v>0</v>
      </c>
      <c r="E24" s="103">
        <v>1425.09</v>
      </c>
      <c r="G24">
        <v>788</v>
      </c>
      <c r="H24">
        <v>0</v>
      </c>
      <c r="K24" t="s">
        <v>150</v>
      </c>
      <c r="L24" t="s">
        <v>151</v>
      </c>
    </row>
    <row r="25" spans="1:12" x14ac:dyDescent="0.25">
      <c r="A25" s="102">
        <v>45866</v>
      </c>
      <c r="C25" s="103">
        <v>2213.09</v>
      </c>
      <c r="D25">
        <v>0</v>
      </c>
      <c r="E25" s="103">
        <v>1464.31</v>
      </c>
      <c r="G25">
        <v>748.78</v>
      </c>
      <c r="H25">
        <v>0</v>
      </c>
      <c r="K25" t="s">
        <v>152</v>
      </c>
      <c r="L25" t="s">
        <v>153</v>
      </c>
    </row>
    <row r="26" spans="1:12" x14ac:dyDescent="0.25">
      <c r="A26" s="102">
        <v>45897</v>
      </c>
      <c r="C26" s="103">
        <v>2213.09</v>
      </c>
      <c r="D26">
        <v>0</v>
      </c>
      <c r="E26" s="103">
        <v>1454.01</v>
      </c>
      <c r="G26">
        <v>759.08</v>
      </c>
      <c r="H26">
        <v>0</v>
      </c>
      <c r="K26" t="s">
        <v>154</v>
      </c>
      <c r="L26" t="s">
        <v>155</v>
      </c>
    </row>
    <row r="27" spans="1:12" x14ac:dyDescent="0.25">
      <c r="A27" s="102">
        <v>45928</v>
      </c>
      <c r="C27" s="103">
        <v>2213.09</v>
      </c>
      <c r="D27">
        <v>0</v>
      </c>
      <c r="E27" s="103">
        <v>1468.56</v>
      </c>
      <c r="G27">
        <v>744.53</v>
      </c>
      <c r="H27">
        <v>0</v>
      </c>
      <c r="K27" t="s">
        <v>156</v>
      </c>
      <c r="L27" t="s">
        <v>157</v>
      </c>
    </row>
    <row r="28" spans="1:12" x14ac:dyDescent="0.25">
      <c r="A28" s="102">
        <v>45958</v>
      </c>
      <c r="C28" s="103">
        <v>2213.09</v>
      </c>
      <c r="D28">
        <v>0</v>
      </c>
      <c r="E28" s="103">
        <v>1506.81</v>
      </c>
      <c r="G28">
        <v>706.28</v>
      </c>
      <c r="H28">
        <v>0</v>
      </c>
      <c r="K28" t="s">
        <v>158</v>
      </c>
      <c r="L28" t="s">
        <v>159</v>
      </c>
    </row>
    <row r="29" spans="1:12" x14ac:dyDescent="0.25">
      <c r="A29" s="102">
        <v>45989</v>
      </c>
      <c r="C29" s="103">
        <v>2213.09</v>
      </c>
      <c r="D29">
        <v>0</v>
      </c>
      <c r="E29" s="103">
        <v>1498.34</v>
      </c>
      <c r="G29">
        <v>714.75</v>
      </c>
      <c r="H29">
        <v>0</v>
      </c>
      <c r="K29" t="s">
        <v>160</v>
      </c>
      <c r="L29" t="s">
        <v>161</v>
      </c>
    </row>
    <row r="30" spans="1:12" x14ac:dyDescent="0.25">
      <c r="A30" s="102">
        <v>46019</v>
      </c>
      <c r="C30" s="103">
        <v>2213.09</v>
      </c>
      <c r="D30">
        <v>0</v>
      </c>
      <c r="E30" s="103">
        <v>1535.91</v>
      </c>
      <c r="G30">
        <v>677.18</v>
      </c>
      <c r="H30">
        <v>0</v>
      </c>
      <c r="K30" t="s">
        <v>162</v>
      </c>
      <c r="L30" t="s">
        <v>163</v>
      </c>
    </row>
    <row r="31" spans="1:12" x14ac:dyDescent="0.25">
      <c r="A31" s="102">
        <v>46050</v>
      </c>
      <c r="C31" s="103">
        <v>2213.09</v>
      </c>
      <c r="D31">
        <v>0</v>
      </c>
      <c r="E31" s="103">
        <v>1528.71</v>
      </c>
      <c r="G31">
        <v>684.38</v>
      </c>
      <c r="H31">
        <v>0</v>
      </c>
      <c r="K31" t="s">
        <v>164</v>
      </c>
      <c r="L31" t="s">
        <v>165</v>
      </c>
    </row>
    <row r="32" spans="1:12" x14ac:dyDescent="0.25">
      <c r="A32" s="102">
        <v>46081</v>
      </c>
      <c r="C32" s="103">
        <v>2213.09</v>
      </c>
      <c r="D32">
        <v>0</v>
      </c>
      <c r="E32" s="103">
        <v>1544.01</v>
      </c>
      <c r="G32">
        <v>669.08</v>
      </c>
      <c r="H32">
        <v>0</v>
      </c>
      <c r="K32" t="s">
        <v>166</v>
      </c>
      <c r="L32" t="s">
        <v>167</v>
      </c>
    </row>
    <row r="33" spans="1:12" x14ac:dyDescent="0.25">
      <c r="A33" s="102">
        <v>46109</v>
      </c>
      <c r="C33" s="103">
        <v>2213.09</v>
      </c>
      <c r="D33">
        <v>0</v>
      </c>
      <c r="E33" s="103">
        <v>1622.72</v>
      </c>
      <c r="G33">
        <v>590.37</v>
      </c>
      <c r="H33">
        <v>0</v>
      </c>
      <c r="K33" t="s">
        <v>168</v>
      </c>
      <c r="L33" t="s">
        <v>169</v>
      </c>
    </row>
    <row r="34" spans="1:12" x14ac:dyDescent="0.25">
      <c r="A34" s="102">
        <v>46140</v>
      </c>
      <c r="C34" s="103">
        <v>2213.09</v>
      </c>
      <c r="D34">
        <v>0</v>
      </c>
      <c r="E34" s="103">
        <v>1575.71</v>
      </c>
      <c r="G34">
        <v>637.38</v>
      </c>
      <c r="H34">
        <v>0</v>
      </c>
      <c r="K34" t="s">
        <v>170</v>
      </c>
      <c r="L34" t="s">
        <v>171</v>
      </c>
    </row>
    <row r="35" spans="1:12" x14ac:dyDescent="0.25">
      <c r="A35" s="102">
        <v>46170</v>
      </c>
      <c r="C35" s="103">
        <v>2213.09</v>
      </c>
      <c r="D35">
        <v>0</v>
      </c>
      <c r="E35" s="103">
        <v>1611.53</v>
      </c>
      <c r="G35">
        <v>601.55999999999995</v>
      </c>
      <c r="H35">
        <v>0</v>
      </c>
      <c r="K35" t="s">
        <v>172</v>
      </c>
      <c r="L35" t="s">
        <v>173</v>
      </c>
    </row>
    <row r="36" spans="1:12" x14ac:dyDescent="0.25">
      <c r="A36" s="102">
        <v>46201</v>
      </c>
      <c r="C36" s="103">
        <v>2213.09</v>
      </c>
      <c r="D36">
        <v>0</v>
      </c>
      <c r="E36" s="103">
        <v>1607.61</v>
      </c>
      <c r="G36">
        <v>605.48</v>
      </c>
      <c r="H36">
        <v>0</v>
      </c>
      <c r="K36" t="s">
        <v>174</v>
      </c>
      <c r="L36" t="s">
        <v>175</v>
      </c>
    </row>
    <row r="37" spans="1:12" x14ac:dyDescent="0.25">
      <c r="A37" s="102">
        <v>46231</v>
      </c>
      <c r="C37" s="103">
        <v>2213.09</v>
      </c>
      <c r="D37">
        <v>0</v>
      </c>
      <c r="E37" s="103">
        <v>1642.71</v>
      </c>
      <c r="G37">
        <v>570.38</v>
      </c>
      <c r="H37">
        <v>0</v>
      </c>
      <c r="K37" t="s">
        <v>176</v>
      </c>
      <c r="L37" t="s">
        <v>177</v>
      </c>
    </row>
    <row r="38" spans="1:12" x14ac:dyDescent="0.25">
      <c r="A38" s="102">
        <v>46262</v>
      </c>
      <c r="C38" s="103">
        <v>2213.09</v>
      </c>
      <c r="D38">
        <v>0</v>
      </c>
      <c r="E38" s="103">
        <v>1640.14</v>
      </c>
      <c r="G38">
        <v>572.95000000000005</v>
      </c>
      <c r="H38">
        <v>0</v>
      </c>
      <c r="K38" t="s">
        <v>178</v>
      </c>
      <c r="L38" t="s">
        <v>179</v>
      </c>
    </row>
    <row r="39" spans="1:12" x14ac:dyDescent="0.25">
      <c r="A39" s="102">
        <v>46293</v>
      </c>
      <c r="C39" s="103">
        <v>2213.09</v>
      </c>
      <c r="D39">
        <v>0</v>
      </c>
      <c r="E39" s="103">
        <v>1656.56</v>
      </c>
      <c r="G39">
        <v>556.53</v>
      </c>
      <c r="H39">
        <v>0</v>
      </c>
      <c r="K39" t="s">
        <v>180</v>
      </c>
      <c r="L39" t="s">
        <v>181</v>
      </c>
    </row>
    <row r="40" spans="1:12" x14ac:dyDescent="0.25">
      <c r="A40" s="102">
        <v>46323</v>
      </c>
      <c r="C40" s="103">
        <v>2213.09</v>
      </c>
      <c r="D40">
        <v>0</v>
      </c>
      <c r="E40" s="103">
        <v>1690.55</v>
      </c>
      <c r="G40">
        <v>522.54</v>
      </c>
      <c r="H40">
        <v>0</v>
      </c>
      <c r="K40" t="s">
        <v>182</v>
      </c>
      <c r="L40" t="s">
        <v>183</v>
      </c>
    </row>
    <row r="41" spans="1:12" x14ac:dyDescent="0.25">
      <c r="A41" s="102">
        <v>46354</v>
      </c>
      <c r="C41" s="103">
        <v>2213.09</v>
      </c>
      <c r="D41">
        <v>0</v>
      </c>
      <c r="E41" s="103">
        <v>1690.06</v>
      </c>
      <c r="G41">
        <v>523.03</v>
      </c>
      <c r="H41">
        <v>0</v>
      </c>
      <c r="K41" t="s">
        <v>184</v>
      </c>
      <c r="L41" t="s">
        <v>185</v>
      </c>
    </row>
    <row r="42" spans="1:12" x14ac:dyDescent="0.25">
      <c r="A42" s="102">
        <v>46384</v>
      </c>
      <c r="C42" s="103">
        <v>2213.09</v>
      </c>
      <c r="D42">
        <v>0</v>
      </c>
      <c r="E42" s="103">
        <v>1723.3</v>
      </c>
      <c r="G42">
        <v>489.79</v>
      </c>
      <c r="H42">
        <v>0</v>
      </c>
      <c r="K42" t="s">
        <v>186</v>
      </c>
      <c r="L42" t="s">
        <v>187</v>
      </c>
    </row>
    <row r="43" spans="1:12" x14ac:dyDescent="0.25">
      <c r="A43" s="102">
        <v>46415</v>
      </c>
      <c r="C43" s="103">
        <v>2213.09</v>
      </c>
      <c r="D43">
        <v>0</v>
      </c>
      <c r="E43" s="103">
        <v>1724.22</v>
      </c>
      <c r="G43">
        <v>488.87</v>
      </c>
      <c r="H43">
        <v>0</v>
      </c>
      <c r="K43" t="s">
        <v>188</v>
      </c>
      <c r="L43" t="s">
        <v>189</v>
      </c>
    </row>
    <row r="44" spans="1:12" x14ac:dyDescent="0.25">
      <c r="A44" s="102">
        <v>46446</v>
      </c>
      <c r="C44" s="103">
        <v>2213.09</v>
      </c>
      <c r="D44">
        <v>0</v>
      </c>
      <c r="E44" s="103">
        <v>1741.48</v>
      </c>
      <c r="G44">
        <v>471.61</v>
      </c>
      <c r="H44">
        <v>0</v>
      </c>
      <c r="K44" t="s">
        <v>190</v>
      </c>
      <c r="L44" t="s">
        <v>191</v>
      </c>
    </row>
    <row r="45" spans="1:12" x14ac:dyDescent="0.25">
      <c r="A45" s="102">
        <v>46474</v>
      </c>
      <c r="C45" s="103">
        <v>2213.09</v>
      </c>
      <c r="D45">
        <v>0</v>
      </c>
      <c r="E45" s="103">
        <v>1802.86</v>
      </c>
      <c r="G45">
        <v>410.23</v>
      </c>
      <c r="H45">
        <v>0</v>
      </c>
      <c r="K45" t="s">
        <v>192</v>
      </c>
      <c r="L45" t="s">
        <v>193</v>
      </c>
    </row>
    <row r="46" spans="1:12" x14ac:dyDescent="0.25">
      <c r="A46" s="102">
        <v>46505</v>
      </c>
      <c r="C46" s="103">
        <v>2213.09</v>
      </c>
      <c r="D46">
        <v>0</v>
      </c>
      <c r="E46" s="103">
        <v>1776.95</v>
      </c>
      <c r="G46">
        <v>436.14</v>
      </c>
      <c r="H46">
        <v>0</v>
      </c>
      <c r="K46" t="s">
        <v>194</v>
      </c>
      <c r="L46" t="s">
        <v>195</v>
      </c>
    </row>
    <row r="47" spans="1:12" x14ac:dyDescent="0.25">
      <c r="A47" s="102">
        <v>46535</v>
      </c>
      <c r="C47" s="103">
        <v>2213.09</v>
      </c>
      <c r="D47">
        <v>0</v>
      </c>
      <c r="E47" s="103">
        <v>1808.23</v>
      </c>
      <c r="G47">
        <v>404.86</v>
      </c>
      <c r="H47">
        <v>0</v>
      </c>
      <c r="K47" t="s">
        <v>196</v>
      </c>
      <c r="L47" t="s">
        <v>197</v>
      </c>
    </row>
    <row r="48" spans="1:12" x14ac:dyDescent="0.25">
      <c r="A48" s="102">
        <v>46566</v>
      </c>
      <c r="C48" s="103">
        <v>2213.09</v>
      </c>
      <c r="D48">
        <v>0</v>
      </c>
      <c r="E48" s="103">
        <v>1812.84</v>
      </c>
      <c r="G48">
        <v>400.25</v>
      </c>
      <c r="H48">
        <v>0</v>
      </c>
      <c r="K48" t="s">
        <v>198</v>
      </c>
      <c r="L48" t="s">
        <v>199</v>
      </c>
    </row>
    <row r="49" spans="1:12" x14ac:dyDescent="0.25">
      <c r="A49" s="102">
        <v>46596</v>
      </c>
      <c r="C49" s="103">
        <v>2213.09</v>
      </c>
      <c r="D49">
        <v>0</v>
      </c>
      <c r="E49" s="103">
        <v>1843.31</v>
      </c>
      <c r="G49">
        <v>369.78</v>
      </c>
      <c r="H49">
        <v>0</v>
      </c>
      <c r="K49" t="s">
        <v>200</v>
      </c>
      <c r="L49" t="s">
        <v>201</v>
      </c>
    </row>
    <row r="50" spans="1:12" x14ac:dyDescent="0.25">
      <c r="A50" s="102">
        <v>46627</v>
      </c>
      <c r="C50" s="103">
        <v>2213.09</v>
      </c>
      <c r="D50">
        <v>0</v>
      </c>
      <c r="E50" s="103">
        <v>1849.43</v>
      </c>
      <c r="G50">
        <v>363.66</v>
      </c>
      <c r="H50">
        <v>0</v>
      </c>
      <c r="K50" t="s">
        <v>202</v>
      </c>
      <c r="L50" t="s">
        <v>203</v>
      </c>
    </row>
    <row r="51" spans="1:12" x14ac:dyDescent="0.25">
      <c r="A51" s="102">
        <v>46658</v>
      </c>
      <c r="C51" s="103">
        <v>2213.09</v>
      </c>
      <c r="D51">
        <v>0</v>
      </c>
      <c r="E51" s="103">
        <v>1867.94</v>
      </c>
      <c r="G51">
        <v>345.15</v>
      </c>
      <c r="H51">
        <v>0</v>
      </c>
      <c r="K51" t="s">
        <v>204</v>
      </c>
      <c r="L51" t="s">
        <v>205</v>
      </c>
    </row>
    <row r="52" spans="1:12" x14ac:dyDescent="0.25">
      <c r="A52" s="102">
        <v>46688</v>
      </c>
      <c r="C52" s="103">
        <v>2213.09</v>
      </c>
      <c r="D52">
        <v>0</v>
      </c>
      <c r="E52" s="103">
        <v>1897.17</v>
      </c>
      <c r="G52">
        <v>315.92</v>
      </c>
      <c r="H52">
        <v>0</v>
      </c>
      <c r="K52" t="s">
        <v>206</v>
      </c>
      <c r="L52" t="s">
        <v>207</v>
      </c>
    </row>
    <row r="53" spans="1:12" x14ac:dyDescent="0.25">
      <c r="A53" s="102">
        <v>46719</v>
      </c>
      <c r="C53" s="103">
        <v>2213.09</v>
      </c>
      <c r="D53">
        <v>0</v>
      </c>
      <c r="E53" s="103">
        <v>1905.62</v>
      </c>
      <c r="G53">
        <v>307.47000000000003</v>
      </c>
      <c r="H53">
        <v>0</v>
      </c>
      <c r="K53" t="s">
        <v>208</v>
      </c>
      <c r="L53" t="s">
        <v>209</v>
      </c>
    </row>
    <row r="54" spans="1:12" x14ac:dyDescent="0.25">
      <c r="A54" s="102">
        <v>46749</v>
      </c>
      <c r="C54" s="103">
        <v>2213.09</v>
      </c>
      <c r="D54">
        <v>0</v>
      </c>
      <c r="E54" s="103">
        <v>1934</v>
      </c>
      <c r="G54">
        <v>279.08999999999997</v>
      </c>
      <c r="H54">
        <v>0</v>
      </c>
      <c r="K54" t="s">
        <v>210</v>
      </c>
      <c r="L54" t="s">
        <v>211</v>
      </c>
    </row>
    <row r="55" spans="1:12" x14ac:dyDescent="0.25">
      <c r="A55" s="102">
        <v>46780</v>
      </c>
      <c r="C55" s="103">
        <v>2213.09</v>
      </c>
      <c r="D55">
        <v>0</v>
      </c>
      <c r="E55" s="103">
        <v>1944.05</v>
      </c>
      <c r="G55">
        <v>269.04000000000002</v>
      </c>
      <c r="H55">
        <v>0</v>
      </c>
      <c r="K55" t="s">
        <v>212</v>
      </c>
      <c r="L55" t="s">
        <v>213</v>
      </c>
    </row>
    <row r="56" spans="1:12" x14ac:dyDescent="0.25">
      <c r="A56" s="102">
        <v>46811</v>
      </c>
      <c r="C56" s="103">
        <v>2213.09</v>
      </c>
      <c r="D56">
        <v>0</v>
      </c>
      <c r="E56" s="103">
        <v>1963.51</v>
      </c>
      <c r="G56">
        <v>249.58</v>
      </c>
      <c r="H56">
        <v>0</v>
      </c>
      <c r="K56" t="s">
        <v>214</v>
      </c>
      <c r="L56" t="s">
        <v>215</v>
      </c>
    </row>
    <row r="57" spans="1:12" x14ac:dyDescent="0.25">
      <c r="A57" s="102">
        <v>46840</v>
      </c>
      <c r="C57" s="103">
        <v>2213.09</v>
      </c>
      <c r="D57">
        <v>0</v>
      </c>
      <c r="E57" s="103">
        <v>1998</v>
      </c>
      <c r="G57">
        <v>215.09</v>
      </c>
      <c r="H57">
        <v>0</v>
      </c>
      <c r="K57" t="s">
        <v>216</v>
      </c>
      <c r="L57" t="s">
        <v>217</v>
      </c>
    </row>
    <row r="58" spans="1:12" x14ac:dyDescent="0.25">
      <c r="A58" s="102">
        <v>46871</v>
      </c>
      <c r="C58" s="103">
        <v>2213.09</v>
      </c>
      <c r="D58">
        <v>0</v>
      </c>
      <c r="E58" s="103">
        <v>2003.16</v>
      </c>
      <c r="G58">
        <v>209.93</v>
      </c>
      <c r="H58">
        <v>0</v>
      </c>
      <c r="K58" t="s">
        <v>218</v>
      </c>
      <c r="L58" t="s">
        <v>219</v>
      </c>
    </row>
    <row r="59" spans="1:12" x14ac:dyDescent="0.25">
      <c r="A59" s="102">
        <v>46901</v>
      </c>
      <c r="C59" s="103">
        <v>2213.09</v>
      </c>
      <c r="D59">
        <v>0</v>
      </c>
      <c r="E59" s="103">
        <v>2029.34</v>
      </c>
      <c r="G59">
        <v>183.75</v>
      </c>
      <c r="H59">
        <v>0</v>
      </c>
      <c r="K59" t="s">
        <v>220</v>
      </c>
      <c r="L59" t="s">
        <v>221</v>
      </c>
    </row>
    <row r="60" spans="1:12" x14ac:dyDescent="0.25">
      <c r="A60" s="102">
        <v>46932</v>
      </c>
      <c r="C60" s="103">
        <v>2213.09</v>
      </c>
      <c r="D60">
        <v>0</v>
      </c>
      <c r="E60" s="103">
        <v>2043.52</v>
      </c>
      <c r="G60">
        <v>169.57</v>
      </c>
      <c r="H60">
        <v>0</v>
      </c>
      <c r="K60" t="s">
        <v>222</v>
      </c>
      <c r="L60" t="s">
        <v>223</v>
      </c>
    </row>
    <row r="61" spans="1:12" x14ac:dyDescent="0.25">
      <c r="A61" s="102">
        <v>46962</v>
      </c>
      <c r="C61" s="103">
        <v>2213.09</v>
      </c>
      <c r="D61">
        <v>0</v>
      </c>
      <c r="E61" s="103">
        <v>2068.79</v>
      </c>
      <c r="G61">
        <v>144.30000000000001</v>
      </c>
      <c r="H61">
        <v>0</v>
      </c>
      <c r="K61" t="s">
        <v>224</v>
      </c>
      <c r="L61" t="s">
        <v>225</v>
      </c>
    </row>
    <row r="62" spans="1:12" x14ac:dyDescent="0.25">
      <c r="A62" s="102">
        <v>46993</v>
      </c>
      <c r="C62" s="103">
        <v>2213.09</v>
      </c>
      <c r="D62">
        <v>0</v>
      </c>
      <c r="E62" s="103">
        <v>2084.6799999999998</v>
      </c>
      <c r="G62">
        <v>128.41</v>
      </c>
      <c r="H62">
        <v>0</v>
      </c>
      <c r="K62" t="s">
        <v>226</v>
      </c>
      <c r="L62" t="s">
        <v>227</v>
      </c>
    </row>
    <row r="63" spans="1:12" x14ac:dyDescent="0.25">
      <c r="A63" s="102">
        <v>47024</v>
      </c>
      <c r="C63" s="103">
        <v>2213.09</v>
      </c>
      <c r="D63">
        <v>0</v>
      </c>
      <c r="E63" s="103">
        <v>2105.5500000000002</v>
      </c>
      <c r="G63">
        <v>107.54</v>
      </c>
      <c r="H63">
        <v>0</v>
      </c>
      <c r="K63" t="s">
        <v>228</v>
      </c>
      <c r="L63" t="s">
        <v>229</v>
      </c>
    </row>
    <row r="64" spans="1:12" x14ac:dyDescent="0.25">
      <c r="A64" s="102">
        <v>47054</v>
      </c>
      <c r="C64" s="103">
        <v>2213.09</v>
      </c>
      <c r="D64">
        <v>0</v>
      </c>
      <c r="E64" s="103">
        <v>2129.41</v>
      </c>
      <c r="G64">
        <v>83.68</v>
      </c>
      <c r="H64">
        <v>0</v>
      </c>
      <c r="K64" t="s">
        <v>230</v>
      </c>
      <c r="L64" t="s">
        <v>231</v>
      </c>
    </row>
    <row r="65" spans="1:12" x14ac:dyDescent="0.25">
      <c r="A65" s="102">
        <v>47085</v>
      </c>
      <c r="C65" s="103">
        <v>2213.09</v>
      </c>
      <c r="D65">
        <v>0</v>
      </c>
      <c r="E65" s="103">
        <v>2147.9299999999998</v>
      </c>
      <c r="G65">
        <v>65.16</v>
      </c>
      <c r="H65">
        <v>0</v>
      </c>
      <c r="K65" t="s">
        <v>232</v>
      </c>
      <c r="L65" t="s">
        <v>233</v>
      </c>
    </row>
    <row r="66" spans="1:12" x14ac:dyDescent="0.25">
      <c r="A66" s="102">
        <v>47115</v>
      </c>
      <c r="C66" s="103">
        <v>2213.09</v>
      </c>
      <c r="D66">
        <v>0</v>
      </c>
      <c r="E66" s="103">
        <v>2170.84</v>
      </c>
      <c r="G66">
        <v>42.25</v>
      </c>
      <c r="H66">
        <v>0</v>
      </c>
      <c r="K66" t="s">
        <v>234</v>
      </c>
      <c r="L66" t="s">
        <v>235</v>
      </c>
    </row>
    <row r="67" spans="1:12" x14ac:dyDescent="0.25">
      <c r="A67" s="102">
        <v>47146</v>
      </c>
      <c r="C67" s="103">
        <v>2213.0700000000002</v>
      </c>
      <c r="D67">
        <v>0</v>
      </c>
      <c r="E67" s="103">
        <v>2191.16</v>
      </c>
      <c r="G67">
        <v>21.91</v>
      </c>
      <c r="H67">
        <v>0</v>
      </c>
      <c r="K67">
        <v>0</v>
      </c>
      <c r="L67">
        <v>0</v>
      </c>
    </row>
    <row r="69" spans="1:12" ht="15.75" thickBot="1" x14ac:dyDescent="0.3"/>
    <row r="70" spans="1:12" ht="21.75" thickBot="1" x14ac:dyDescent="0.4">
      <c r="A70" s="685" t="s">
        <v>354</v>
      </c>
      <c r="B70" s="686"/>
      <c r="C70" s="686"/>
      <c r="D70" s="687"/>
    </row>
    <row r="72" spans="1:12" x14ac:dyDescent="0.25">
      <c r="A72" t="s">
        <v>102</v>
      </c>
      <c r="K72" t="s">
        <v>236</v>
      </c>
    </row>
    <row r="74" spans="1:12" x14ac:dyDescent="0.25">
      <c r="A74" t="s">
        <v>104</v>
      </c>
      <c r="B74" t="s">
        <v>105</v>
      </c>
      <c r="C74" t="s">
        <v>106</v>
      </c>
      <c r="D74" t="s">
        <v>107</v>
      </c>
      <c r="E74" t="s">
        <v>108</v>
      </c>
      <c r="F74" t="s">
        <v>237</v>
      </c>
      <c r="G74" t="s">
        <v>111</v>
      </c>
      <c r="H74" t="s">
        <v>112</v>
      </c>
      <c r="I74" t="s">
        <v>113</v>
      </c>
      <c r="J74" t="s">
        <v>114</v>
      </c>
    </row>
    <row r="75" spans="1:12" x14ac:dyDescent="0.25">
      <c r="A75" s="102">
        <v>45320</v>
      </c>
      <c r="C75" s="103">
        <v>101150</v>
      </c>
      <c r="D75">
        <v>0</v>
      </c>
      <c r="E75" s="103">
        <v>100000</v>
      </c>
      <c r="G75" s="103">
        <v>1000</v>
      </c>
      <c r="H75">
        <v>150</v>
      </c>
      <c r="I75" s="103">
        <v>100000</v>
      </c>
      <c r="J75" t="s">
        <v>116</v>
      </c>
    </row>
    <row r="76" spans="1:12" x14ac:dyDescent="0.25">
      <c r="A76" s="104">
        <v>45350</v>
      </c>
      <c r="B76" s="105"/>
      <c r="C76" s="105">
        <v>0</v>
      </c>
      <c r="D76" s="105">
        <v>0</v>
      </c>
      <c r="E76" s="105"/>
      <c r="F76" s="105"/>
      <c r="G76" s="105">
        <v>0</v>
      </c>
      <c r="H76" s="105"/>
      <c r="I76" s="105"/>
      <c r="J76" s="105" t="s">
        <v>116</v>
      </c>
    </row>
    <row r="77" spans="1:12" x14ac:dyDescent="0.25">
      <c r="A77" s="104">
        <v>45379</v>
      </c>
      <c r="B77" s="105"/>
      <c r="C77" s="105">
        <v>0</v>
      </c>
      <c r="D77" s="105">
        <v>0</v>
      </c>
      <c r="E77" s="105"/>
      <c r="F77" s="105"/>
      <c r="G77" s="105">
        <v>0</v>
      </c>
      <c r="H77" s="105"/>
      <c r="I77" s="105"/>
      <c r="J77" s="105" t="s">
        <v>116</v>
      </c>
    </row>
    <row r="78" spans="1:12" x14ac:dyDescent="0.25">
      <c r="A78" s="102">
        <v>45410</v>
      </c>
      <c r="C78" s="103">
        <v>2213.09</v>
      </c>
      <c r="D78">
        <v>0</v>
      </c>
      <c r="E78">
        <v>0</v>
      </c>
      <c r="G78">
        <v>0</v>
      </c>
      <c r="J78" t="s">
        <v>116</v>
      </c>
    </row>
    <row r="79" spans="1:12" x14ac:dyDescent="0.25">
      <c r="A79" s="102">
        <v>45440</v>
      </c>
      <c r="C79" s="103">
        <v>2213.09</v>
      </c>
      <c r="D79">
        <v>0</v>
      </c>
      <c r="E79">
        <v>692.33</v>
      </c>
      <c r="G79">
        <v>0</v>
      </c>
      <c r="J79" t="s">
        <v>238</v>
      </c>
    </row>
    <row r="80" spans="1:12" x14ac:dyDescent="0.25">
      <c r="A80" s="102">
        <v>45471</v>
      </c>
      <c r="C80" s="103">
        <v>2213.09</v>
      </c>
      <c r="D80">
        <v>0</v>
      </c>
      <c r="E80" s="103">
        <v>1290.06</v>
      </c>
      <c r="G80">
        <v>0</v>
      </c>
      <c r="J80" t="s">
        <v>239</v>
      </c>
    </row>
    <row r="81" spans="1:10" x14ac:dyDescent="0.25">
      <c r="A81" s="102">
        <v>45501</v>
      </c>
      <c r="C81" s="103">
        <v>2213.09</v>
      </c>
      <c r="D81">
        <v>0</v>
      </c>
      <c r="E81" s="103">
        <v>1331.44</v>
      </c>
      <c r="G81">
        <v>0</v>
      </c>
      <c r="J81" t="s">
        <v>240</v>
      </c>
    </row>
    <row r="82" spans="1:10" x14ac:dyDescent="0.25">
      <c r="A82" s="102">
        <v>45532</v>
      </c>
      <c r="C82" s="103">
        <v>2213.09</v>
      </c>
      <c r="D82">
        <v>0</v>
      </c>
      <c r="E82" s="103">
        <v>1314.43</v>
      </c>
      <c r="G82">
        <v>0</v>
      </c>
      <c r="J82" t="s">
        <v>241</v>
      </c>
    </row>
    <row r="83" spans="1:10" x14ac:dyDescent="0.25">
      <c r="A83" s="102">
        <v>45563</v>
      </c>
      <c r="C83" s="103">
        <v>2213.09</v>
      </c>
      <c r="D83">
        <v>0</v>
      </c>
      <c r="E83" s="103">
        <v>1326.64</v>
      </c>
      <c r="G83">
        <v>0</v>
      </c>
      <c r="J83" t="s">
        <v>242</v>
      </c>
    </row>
    <row r="84" spans="1:10" x14ac:dyDescent="0.25">
      <c r="A84" s="102">
        <v>45593</v>
      </c>
      <c r="C84" s="103">
        <v>2213.09</v>
      </c>
      <c r="D84">
        <v>0</v>
      </c>
      <c r="E84" s="103">
        <v>1367.17</v>
      </c>
      <c r="G84">
        <v>0</v>
      </c>
      <c r="J84" t="s">
        <v>243</v>
      </c>
    </row>
    <row r="85" spans="1:10" x14ac:dyDescent="0.25">
      <c r="A85" s="102">
        <v>45624</v>
      </c>
      <c r="C85" s="103">
        <v>2213.09</v>
      </c>
      <c r="D85">
        <v>0</v>
      </c>
      <c r="E85" s="103">
        <v>1351.68</v>
      </c>
      <c r="G85">
        <v>0</v>
      </c>
      <c r="J85" t="s">
        <v>244</v>
      </c>
    </row>
    <row r="86" spans="1:10" x14ac:dyDescent="0.25">
      <c r="A86" s="102">
        <v>45654</v>
      </c>
      <c r="C86" s="103">
        <v>2213.09</v>
      </c>
      <c r="D86">
        <v>0</v>
      </c>
      <c r="E86" s="103">
        <v>1391.63</v>
      </c>
      <c r="G86">
        <v>0</v>
      </c>
      <c r="J86" t="s">
        <v>245</v>
      </c>
    </row>
    <row r="87" spans="1:10" x14ac:dyDescent="0.25">
      <c r="A87" s="102">
        <v>45685</v>
      </c>
      <c r="C87" s="103">
        <v>2213.09</v>
      </c>
      <c r="D87">
        <v>0</v>
      </c>
      <c r="E87" s="103">
        <v>1377.18</v>
      </c>
      <c r="G87">
        <v>0</v>
      </c>
      <c r="J87" t="s">
        <v>246</v>
      </c>
    </row>
    <row r="88" spans="1:10" x14ac:dyDescent="0.25">
      <c r="A88" s="102">
        <v>45716</v>
      </c>
      <c r="C88" s="103">
        <v>2213.09</v>
      </c>
      <c r="D88">
        <v>0</v>
      </c>
      <c r="E88" s="103">
        <v>1389.98</v>
      </c>
      <c r="G88">
        <v>0</v>
      </c>
      <c r="J88" t="s">
        <v>247</v>
      </c>
    </row>
    <row r="89" spans="1:10" x14ac:dyDescent="0.25">
      <c r="A89" s="102">
        <v>45744</v>
      </c>
      <c r="C89" s="103">
        <v>2213.09</v>
      </c>
      <c r="D89">
        <v>0</v>
      </c>
      <c r="E89" s="103">
        <v>1481.3</v>
      </c>
      <c r="G89">
        <v>0</v>
      </c>
      <c r="J89" t="s">
        <v>248</v>
      </c>
    </row>
    <row r="90" spans="1:10" x14ac:dyDescent="0.25">
      <c r="A90" s="102">
        <v>45775</v>
      </c>
      <c r="C90" s="103">
        <v>2213.09</v>
      </c>
      <c r="D90">
        <v>0</v>
      </c>
      <c r="E90" s="103">
        <v>1416.67</v>
      </c>
      <c r="G90">
        <v>0</v>
      </c>
      <c r="J90" t="s">
        <v>249</v>
      </c>
    </row>
    <row r="91" spans="1:10" x14ac:dyDescent="0.25">
      <c r="A91" s="102">
        <v>45805</v>
      </c>
      <c r="C91" s="103">
        <v>2213.09</v>
      </c>
      <c r="D91">
        <v>0</v>
      </c>
      <c r="E91" s="103">
        <v>1455.1</v>
      </c>
      <c r="G91">
        <v>0</v>
      </c>
      <c r="J91" t="s">
        <v>250</v>
      </c>
    </row>
    <row r="92" spans="1:10" x14ac:dyDescent="0.25">
      <c r="A92" s="102">
        <v>45836</v>
      </c>
      <c r="C92" s="103">
        <v>2213.09</v>
      </c>
      <c r="D92">
        <v>0</v>
      </c>
      <c r="E92" s="103">
        <v>1443.36</v>
      </c>
      <c r="G92">
        <v>0</v>
      </c>
      <c r="J92" t="s">
        <v>251</v>
      </c>
    </row>
    <row r="93" spans="1:10" x14ac:dyDescent="0.25">
      <c r="A93" s="102">
        <v>45866</v>
      </c>
      <c r="C93" s="103">
        <v>2213.09</v>
      </c>
      <c r="D93">
        <v>0</v>
      </c>
      <c r="E93" s="103">
        <v>1481.17</v>
      </c>
      <c r="G93">
        <v>0</v>
      </c>
      <c r="J93" t="s">
        <v>252</v>
      </c>
    </row>
    <row r="94" spans="1:10" x14ac:dyDescent="0.25">
      <c r="A94" s="102">
        <v>45897</v>
      </c>
      <c r="C94" s="103">
        <v>2213.09</v>
      </c>
      <c r="D94">
        <v>0</v>
      </c>
      <c r="E94" s="103">
        <v>1470.54</v>
      </c>
      <c r="G94">
        <v>0</v>
      </c>
      <c r="J94" t="s">
        <v>253</v>
      </c>
    </row>
    <row r="95" spans="1:10" x14ac:dyDescent="0.25">
      <c r="A95" s="102">
        <v>45928</v>
      </c>
      <c r="C95" s="103">
        <v>2213.09</v>
      </c>
      <c r="D95">
        <v>0</v>
      </c>
      <c r="E95" s="103">
        <v>1484.21</v>
      </c>
      <c r="G95">
        <v>0</v>
      </c>
      <c r="J95" t="s">
        <v>254</v>
      </c>
    </row>
    <row r="96" spans="1:10" x14ac:dyDescent="0.25">
      <c r="A96" s="102">
        <v>45958</v>
      </c>
      <c r="C96" s="103">
        <v>2213.09</v>
      </c>
      <c r="D96">
        <v>0</v>
      </c>
      <c r="E96" s="103">
        <v>1521.07</v>
      </c>
      <c r="G96">
        <v>0</v>
      </c>
      <c r="J96" t="s">
        <v>255</v>
      </c>
    </row>
    <row r="97" spans="1:10" x14ac:dyDescent="0.25">
      <c r="A97" s="102">
        <v>45989</v>
      </c>
      <c r="C97" s="103">
        <v>2213.09</v>
      </c>
      <c r="D97">
        <v>0</v>
      </c>
      <c r="E97" s="103">
        <v>1512.14</v>
      </c>
      <c r="G97">
        <v>0</v>
      </c>
      <c r="J97" t="s">
        <v>256</v>
      </c>
    </row>
    <row r="98" spans="1:10" x14ac:dyDescent="0.25">
      <c r="A98" s="102">
        <v>46019</v>
      </c>
      <c r="C98" s="103">
        <v>2213.09</v>
      </c>
      <c r="D98">
        <v>0</v>
      </c>
      <c r="E98" s="103">
        <v>1548.36</v>
      </c>
      <c r="G98">
        <v>0</v>
      </c>
      <c r="J98" t="s">
        <v>257</v>
      </c>
    </row>
    <row r="99" spans="1:10" x14ac:dyDescent="0.25">
      <c r="A99" s="102">
        <v>46050</v>
      </c>
      <c r="C99" s="103">
        <v>2213.09</v>
      </c>
      <c r="D99">
        <v>0</v>
      </c>
      <c r="E99" s="103">
        <v>1540.59</v>
      </c>
      <c r="G99">
        <v>0</v>
      </c>
      <c r="J99" t="s">
        <v>258</v>
      </c>
    </row>
    <row r="100" spans="1:10" x14ac:dyDescent="0.25">
      <c r="A100" s="102">
        <v>46081</v>
      </c>
      <c r="C100" s="103">
        <v>2213.09</v>
      </c>
      <c r="D100">
        <v>0</v>
      </c>
      <c r="E100" s="103">
        <v>1554.91</v>
      </c>
      <c r="G100">
        <v>0</v>
      </c>
      <c r="J100" t="s">
        <v>259</v>
      </c>
    </row>
    <row r="101" spans="1:10" x14ac:dyDescent="0.25">
      <c r="A101" s="102">
        <v>46109</v>
      </c>
      <c r="C101" s="103">
        <v>2213.09</v>
      </c>
      <c r="D101">
        <v>0</v>
      </c>
      <c r="E101" s="103">
        <v>1631.66</v>
      </c>
      <c r="G101">
        <v>0</v>
      </c>
      <c r="J101" t="s">
        <v>260</v>
      </c>
    </row>
    <row r="102" spans="1:10" x14ac:dyDescent="0.25">
      <c r="A102" s="102">
        <v>46140</v>
      </c>
      <c r="C102" s="103">
        <v>2213.09</v>
      </c>
      <c r="D102">
        <v>0</v>
      </c>
      <c r="E102" s="103">
        <v>1584.53</v>
      </c>
      <c r="G102">
        <v>0</v>
      </c>
      <c r="J102" t="s">
        <v>261</v>
      </c>
    </row>
    <row r="103" spans="1:10" x14ac:dyDescent="0.25">
      <c r="A103" s="102">
        <v>46170</v>
      </c>
      <c r="C103" s="103">
        <v>2213.09</v>
      </c>
      <c r="D103">
        <v>0</v>
      </c>
      <c r="E103" s="103">
        <v>1619.06</v>
      </c>
      <c r="G103">
        <v>0</v>
      </c>
      <c r="J103" t="s">
        <v>262</v>
      </c>
    </row>
    <row r="104" spans="1:10" x14ac:dyDescent="0.25">
      <c r="A104" s="102">
        <v>46201</v>
      </c>
      <c r="C104" s="103">
        <v>2213.09</v>
      </c>
      <c r="D104">
        <v>0</v>
      </c>
      <c r="E104" s="103">
        <v>1614.3</v>
      </c>
      <c r="G104">
        <v>0</v>
      </c>
      <c r="J104" t="s">
        <v>263</v>
      </c>
    </row>
    <row r="105" spans="1:10" x14ac:dyDescent="0.25">
      <c r="A105" s="102">
        <v>46231</v>
      </c>
      <c r="C105" s="103">
        <v>2213.09</v>
      </c>
      <c r="D105">
        <v>0</v>
      </c>
      <c r="E105" s="103">
        <v>1648.14</v>
      </c>
      <c r="G105">
        <v>0</v>
      </c>
      <c r="J105" t="s">
        <v>264</v>
      </c>
    </row>
    <row r="106" spans="1:10" x14ac:dyDescent="0.25">
      <c r="A106" s="102">
        <v>46262</v>
      </c>
      <c r="C106" s="103">
        <v>2213.09</v>
      </c>
      <c r="D106">
        <v>0</v>
      </c>
      <c r="E106" s="103">
        <v>1644.63</v>
      </c>
      <c r="G106">
        <v>0</v>
      </c>
      <c r="J106" t="s">
        <v>265</v>
      </c>
    </row>
    <row r="107" spans="1:10" x14ac:dyDescent="0.25">
      <c r="A107" s="102">
        <v>46293</v>
      </c>
      <c r="C107" s="103">
        <v>2213.09</v>
      </c>
      <c r="D107">
        <v>0</v>
      </c>
      <c r="E107" s="103">
        <v>1659.91</v>
      </c>
      <c r="G107">
        <v>0</v>
      </c>
      <c r="J107" t="s">
        <v>266</v>
      </c>
    </row>
    <row r="108" spans="1:10" x14ac:dyDescent="0.25">
      <c r="A108" s="102">
        <v>46323</v>
      </c>
      <c r="C108" s="103">
        <v>2213.09</v>
      </c>
      <c r="D108">
        <v>0</v>
      </c>
      <c r="E108" s="103">
        <v>1692.69</v>
      </c>
      <c r="G108">
        <v>0</v>
      </c>
      <c r="J108" t="s">
        <v>267</v>
      </c>
    </row>
    <row r="109" spans="1:10" x14ac:dyDescent="0.25">
      <c r="A109" s="102">
        <v>46354</v>
      </c>
      <c r="C109" s="103">
        <v>2213.09</v>
      </c>
      <c r="D109">
        <v>0</v>
      </c>
      <c r="E109" s="103">
        <v>1691.07</v>
      </c>
      <c r="G109">
        <v>0</v>
      </c>
      <c r="J109" t="s">
        <v>268</v>
      </c>
    </row>
    <row r="110" spans="1:10" x14ac:dyDescent="0.25">
      <c r="A110" s="102">
        <v>46384</v>
      </c>
      <c r="C110" s="103">
        <v>2213.09</v>
      </c>
      <c r="D110">
        <v>0</v>
      </c>
      <c r="E110" s="103">
        <v>1723.12</v>
      </c>
      <c r="G110">
        <v>0</v>
      </c>
      <c r="J110" t="s">
        <v>269</v>
      </c>
    </row>
    <row r="111" spans="1:10" x14ac:dyDescent="0.25">
      <c r="A111" s="102">
        <v>46415</v>
      </c>
      <c r="C111" s="103">
        <v>2213.09</v>
      </c>
      <c r="D111">
        <v>0</v>
      </c>
      <c r="E111" s="103">
        <v>1722.81</v>
      </c>
      <c r="G111">
        <v>0</v>
      </c>
      <c r="J111" t="s">
        <v>270</v>
      </c>
    </row>
    <row r="112" spans="1:10" x14ac:dyDescent="0.25">
      <c r="A112" s="102">
        <v>46446</v>
      </c>
      <c r="C112" s="103">
        <v>2213.09</v>
      </c>
      <c r="D112">
        <v>0</v>
      </c>
      <c r="E112" s="103">
        <v>1738.82</v>
      </c>
      <c r="G112">
        <v>0</v>
      </c>
      <c r="J112" t="s">
        <v>271</v>
      </c>
    </row>
    <row r="113" spans="1:10" x14ac:dyDescent="0.25">
      <c r="A113" s="102">
        <v>46474</v>
      </c>
      <c r="C113" s="103">
        <v>2213.09</v>
      </c>
      <c r="D113">
        <v>0</v>
      </c>
      <c r="E113" s="103">
        <v>1799.31</v>
      </c>
      <c r="G113">
        <v>0</v>
      </c>
      <c r="J113" t="s">
        <v>272</v>
      </c>
    </row>
    <row r="114" spans="1:10" x14ac:dyDescent="0.25">
      <c r="A114" s="102">
        <v>46505</v>
      </c>
      <c r="C114" s="103">
        <v>2213.09</v>
      </c>
      <c r="D114">
        <v>0</v>
      </c>
      <c r="E114" s="103">
        <v>1771.71</v>
      </c>
      <c r="G114">
        <v>0</v>
      </c>
      <c r="J114" t="s">
        <v>273</v>
      </c>
    </row>
    <row r="115" spans="1:10" x14ac:dyDescent="0.25">
      <c r="A115" s="102">
        <v>46535</v>
      </c>
      <c r="C115" s="103">
        <v>2213.09</v>
      </c>
      <c r="D115">
        <v>0</v>
      </c>
      <c r="E115" s="103">
        <v>1801.88</v>
      </c>
      <c r="G115">
        <v>0</v>
      </c>
      <c r="J115" t="s">
        <v>274</v>
      </c>
    </row>
    <row r="116" spans="1:10" x14ac:dyDescent="0.25">
      <c r="A116" s="102">
        <v>46566</v>
      </c>
      <c r="C116" s="103">
        <v>2213.09</v>
      </c>
      <c r="D116">
        <v>0</v>
      </c>
      <c r="E116" s="103">
        <v>1804.92</v>
      </c>
      <c r="G116">
        <v>0</v>
      </c>
      <c r="J116" t="s">
        <v>275</v>
      </c>
    </row>
    <row r="117" spans="1:10" x14ac:dyDescent="0.25">
      <c r="A117" s="102">
        <v>46596</v>
      </c>
      <c r="C117" s="103">
        <v>2213.09</v>
      </c>
      <c r="D117">
        <v>0</v>
      </c>
      <c r="E117" s="103">
        <v>1834.32</v>
      </c>
      <c r="G117">
        <v>0</v>
      </c>
      <c r="J117" t="s">
        <v>276</v>
      </c>
    </row>
    <row r="118" spans="1:10" x14ac:dyDescent="0.25">
      <c r="A118" s="102">
        <v>46627</v>
      </c>
      <c r="C118" s="103">
        <v>2213.09</v>
      </c>
      <c r="D118">
        <v>0</v>
      </c>
      <c r="E118" s="103">
        <v>1838.75</v>
      </c>
      <c r="G118">
        <v>0</v>
      </c>
      <c r="J118" t="s">
        <v>277</v>
      </c>
    </row>
    <row r="119" spans="1:10" x14ac:dyDescent="0.25">
      <c r="A119" s="102">
        <v>46658</v>
      </c>
      <c r="C119" s="103">
        <v>2213.09</v>
      </c>
      <c r="D119">
        <v>0</v>
      </c>
      <c r="E119" s="103">
        <v>1855.84</v>
      </c>
      <c r="G119">
        <v>0</v>
      </c>
      <c r="J119" t="s">
        <v>278</v>
      </c>
    </row>
    <row r="120" spans="1:10" x14ac:dyDescent="0.25">
      <c r="A120" s="102">
        <v>46688</v>
      </c>
      <c r="C120" s="103">
        <v>2213.09</v>
      </c>
      <c r="D120">
        <v>0</v>
      </c>
      <c r="E120" s="103">
        <v>1884.05</v>
      </c>
      <c r="G120">
        <v>0</v>
      </c>
      <c r="J120" t="s">
        <v>279</v>
      </c>
    </row>
    <row r="121" spans="1:10" x14ac:dyDescent="0.25">
      <c r="A121" s="102">
        <v>46719</v>
      </c>
      <c r="C121" s="103">
        <v>2213.09</v>
      </c>
      <c r="D121">
        <v>0</v>
      </c>
      <c r="E121" s="103">
        <v>1890.6</v>
      </c>
      <c r="G121">
        <v>0</v>
      </c>
      <c r="J121" t="s">
        <v>280</v>
      </c>
    </row>
    <row r="122" spans="1:10" x14ac:dyDescent="0.25">
      <c r="A122" s="102">
        <v>46749</v>
      </c>
      <c r="C122" s="103">
        <v>2213.09</v>
      </c>
      <c r="D122">
        <v>0</v>
      </c>
      <c r="E122" s="103">
        <v>1918.01</v>
      </c>
      <c r="G122">
        <v>0</v>
      </c>
      <c r="J122" t="s">
        <v>281</v>
      </c>
    </row>
    <row r="123" spans="1:10" x14ac:dyDescent="0.25">
      <c r="A123" s="102">
        <v>46780</v>
      </c>
      <c r="C123" s="103">
        <v>2213.09</v>
      </c>
      <c r="D123">
        <v>0</v>
      </c>
      <c r="E123" s="103">
        <v>1926</v>
      </c>
      <c r="G123">
        <v>0</v>
      </c>
      <c r="J123" t="s">
        <v>282</v>
      </c>
    </row>
    <row r="124" spans="1:10" x14ac:dyDescent="0.25">
      <c r="A124" s="102">
        <v>46811</v>
      </c>
      <c r="C124" s="103">
        <v>2213.09</v>
      </c>
      <c r="D124">
        <v>0</v>
      </c>
      <c r="E124" s="103">
        <v>1943.9</v>
      </c>
      <c r="G124">
        <v>0</v>
      </c>
      <c r="J124" t="s">
        <v>283</v>
      </c>
    </row>
    <row r="125" spans="1:10" x14ac:dyDescent="0.25">
      <c r="A125" s="102">
        <v>46840</v>
      </c>
      <c r="C125" s="103">
        <v>2213.09</v>
      </c>
      <c r="D125">
        <v>0</v>
      </c>
      <c r="E125" s="103">
        <v>1978.17</v>
      </c>
      <c r="G125">
        <v>0</v>
      </c>
      <c r="J125" t="s">
        <v>284</v>
      </c>
    </row>
    <row r="126" spans="1:10" x14ac:dyDescent="0.25">
      <c r="A126" s="102">
        <v>46871</v>
      </c>
      <c r="C126" s="103">
        <v>2213.09</v>
      </c>
      <c r="D126">
        <v>0</v>
      </c>
      <c r="E126" s="103">
        <v>1980.35</v>
      </c>
      <c r="G126">
        <v>0</v>
      </c>
      <c r="J126" t="s">
        <v>285</v>
      </c>
    </row>
    <row r="127" spans="1:10" x14ac:dyDescent="0.25">
      <c r="A127" s="102">
        <v>46901</v>
      </c>
      <c r="C127" s="103">
        <v>2213.09</v>
      </c>
      <c r="D127">
        <v>0</v>
      </c>
      <c r="E127" s="103">
        <v>2005.67</v>
      </c>
      <c r="G127">
        <v>0</v>
      </c>
      <c r="J127" t="s">
        <v>286</v>
      </c>
    </row>
    <row r="128" spans="1:10" x14ac:dyDescent="0.25">
      <c r="A128" s="102">
        <v>46932</v>
      </c>
      <c r="C128" s="103">
        <v>2213.09</v>
      </c>
      <c r="D128">
        <v>0</v>
      </c>
      <c r="E128" s="103">
        <v>2017.4</v>
      </c>
      <c r="G128">
        <v>0</v>
      </c>
      <c r="J128" t="s">
        <v>287</v>
      </c>
    </row>
    <row r="129" spans="1:11" x14ac:dyDescent="0.25">
      <c r="A129" s="102">
        <v>46962</v>
      </c>
      <c r="C129" s="103">
        <v>2213.09</v>
      </c>
      <c r="D129">
        <v>0</v>
      </c>
      <c r="E129" s="103">
        <v>2041.86</v>
      </c>
      <c r="G129">
        <v>0</v>
      </c>
      <c r="J129" t="s">
        <v>288</v>
      </c>
    </row>
    <row r="130" spans="1:11" x14ac:dyDescent="0.25">
      <c r="A130" s="102">
        <v>46993</v>
      </c>
      <c r="C130" s="103">
        <v>2213.09</v>
      </c>
      <c r="D130">
        <v>0</v>
      </c>
      <c r="E130" s="103">
        <v>2055.13</v>
      </c>
      <c r="G130">
        <v>0</v>
      </c>
      <c r="J130" t="s">
        <v>289</v>
      </c>
    </row>
    <row r="131" spans="1:11" x14ac:dyDescent="0.25">
      <c r="A131" s="102">
        <v>47024</v>
      </c>
      <c r="C131" s="103">
        <v>2213.09</v>
      </c>
      <c r="D131">
        <v>0</v>
      </c>
      <c r="E131" s="103">
        <v>2074.23</v>
      </c>
      <c r="G131">
        <v>0</v>
      </c>
      <c r="J131" t="s">
        <v>290</v>
      </c>
    </row>
    <row r="132" spans="1:11" x14ac:dyDescent="0.25">
      <c r="A132" s="102">
        <v>47054</v>
      </c>
      <c r="C132" s="103">
        <v>2213.09</v>
      </c>
      <c r="D132">
        <v>0</v>
      </c>
      <c r="E132" s="103">
        <v>2097.37</v>
      </c>
      <c r="G132">
        <v>0</v>
      </c>
      <c r="J132" t="s">
        <v>291</v>
      </c>
    </row>
    <row r="133" spans="1:11" x14ac:dyDescent="0.25">
      <c r="A133" s="102">
        <v>47085</v>
      </c>
      <c r="C133" s="103">
        <v>2213.09</v>
      </c>
      <c r="D133">
        <v>0</v>
      </c>
      <c r="E133" s="103">
        <v>2113.0100000000002</v>
      </c>
      <c r="G133">
        <v>0</v>
      </c>
      <c r="J133" t="s">
        <v>292</v>
      </c>
    </row>
    <row r="134" spans="1:11" x14ac:dyDescent="0.25">
      <c r="A134" s="102">
        <v>47115</v>
      </c>
      <c r="C134" s="103">
        <v>2213.09</v>
      </c>
      <c r="D134">
        <v>0</v>
      </c>
      <c r="E134" s="103">
        <v>2135.2399999999998</v>
      </c>
      <c r="G134">
        <v>0</v>
      </c>
      <c r="J134" t="s">
        <v>293</v>
      </c>
    </row>
    <row r="135" spans="1:11" x14ac:dyDescent="0.25">
      <c r="A135" s="102">
        <v>47146</v>
      </c>
      <c r="C135" s="103">
        <v>2213.09</v>
      </c>
      <c r="D135">
        <v>0</v>
      </c>
      <c r="E135" s="103">
        <v>2152.4899999999998</v>
      </c>
      <c r="G135">
        <v>0</v>
      </c>
      <c r="J135" t="s">
        <v>294</v>
      </c>
    </row>
    <row r="136" spans="1:11" x14ac:dyDescent="0.25">
      <c r="A136" s="102">
        <v>47177</v>
      </c>
      <c r="C136" s="103">
        <v>2213.09</v>
      </c>
      <c r="D136">
        <v>0</v>
      </c>
      <c r="E136" s="103">
        <v>2172.5</v>
      </c>
      <c r="G136">
        <v>0</v>
      </c>
      <c r="J136" t="s">
        <v>295</v>
      </c>
    </row>
    <row r="137" spans="1:11" x14ac:dyDescent="0.25">
      <c r="A137" s="102">
        <v>47205</v>
      </c>
      <c r="C137" s="103">
        <v>2213.0700000000002</v>
      </c>
      <c r="D137">
        <v>0</v>
      </c>
      <c r="E137" s="103">
        <v>2194.59</v>
      </c>
      <c r="G137">
        <v>0</v>
      </c>
      <c r="J137">
        <v>0</v>
      </c>
    </row>
    <row r="139" spans="1:11" ht="15.75" thickBot="1" x14ac:dyDescent="0.3"/>
    <row r="140" spans="1:11" ht="21.75" thickBot="1" x14ac:dyDescent="0.4">
      <c r="A140" s="685" t="s">
        <v>355</v>
      </c>
      <c r="B140" s="686"/>
      <c r="C140" s="686"/>
      <c r="D140" s="687"/>
    </row>
    <row r="142" spans="1:11" x14ac:dyDescent="0.25">
      <c r="A142" t="s">
        <v>102</v>
      </c>
      <c r="K142" t="s">
        <v>296</v>
      </c>
    </row>
    <row r="144" spans="1:11" x14ac:dyDescent="0.25">
      <c r="A144" t="s">
        <v>104</v>
      </c>
      <c r="B144" t="s">
        <v>105</v>
      </c>
      <c r="C144" t="s">
        <v>106</v>
      </c>
      <c r="D144" t="s">
        <v>107</v>
      </c>
      <c r="E144" t="s">
        <v>108</v>
      </c>
      <c r="F144" t="s">
        <v>237</v>
      </c>
      <c r="G144" t="s">
        <v>111</v>
      </c>
      <c r="H144" t="s">
        <v>112</v>
      </c>
      <c r="I144" t="s">
        <v>113</v>
      </c>
      <c r="J144" t="s">
        <v>114</v>
      </c>
    </row>
    <row r="145" spans="1:11" x14ac:dyDescent="0.25">
      <c r="A145" s="102">
        <v>45320</v>
      </c>
      <c r="C145" s="103">
        <v>101150</v>
      </c>
      <c r="D145">
        <v>0</v>
      </c>
      <c r="E145" s="103">
        <v>100000</v>
      </c>
      <c r="G145" s="103">
        <v>1000</v>
      </c>
      <c r="H145">
        <v>150</v>
      </c>
      <c r="I145" s="103">
        <v>100000</v>
      </c>
      <c r="J145" t="s">
        <v>116</v>
      </c>
    </row>
    <row r="146" spans="1:11" x14ac:dyDescent="0.25">
      <c r="A146" s="104">
        <v>45350</v>
      </c>
      <c r="B146" s="105"/>
      <c r="C146" s="105">
        <v>0</v>
      </c>
      <c r="D146" s="105">
        <v>0</v>
      </c>
      <c r="E146" s="105"/>
      <c r="F146" s="105"/>
      <c r="G146" s="105">
        <v>0</v>
      </c>
      <c r="H146" s="105"/>
      <c r="I146" s="105"/>
      <c r="J146" s="105" t="s">
        <v>116</v>
      </c>
      <c r="K146" s="105"/>
    </row>
    <row r="147" spans="1:11" x14ac:dyDescent="0.25">
      <c r="A147" s="104">
        <v>45379</v>
      </c>
      <c r="B147" s="105"/>
      <c r="C147" s="105">
        <v>0</v>
      </c>
      <c r="D147" s="105">
        <v>0</v>
      </c>
      <c r="E147" s="105"/>
      <c r="F147" s="105"/>
      <c r="G147" s="105">
        <v>0</v>
      </c>
      <c r="H147" s="105"/>
      <c r="I147" s="105"/>
      <c r="J147" s="105" t="s">
        <v>116</v>
      </c>
      <c r="K147" s="105"/>
    </row>
    <row r="148" spans="1:11" x14ac:dyDescent="0.25">
      <c r="A148" s="102">
        <v>45410</v>
      </c>
      <c r="C148" s="103">
        <v>2213.09</v>
      </c>
      <c r="D148">
        <v>0</v>
      </c>
      <c r="E148">
        <v>0</v>
      </c>
      <c r="G148">
        <v>0</v>
      </c>
      <c r="J148" t="s">
        <v>116</v>
      </c>
    </row>
    <row r="149" spans="1:11" x14ac:dyDescent="0.25">
      <c r="A149" s="102">
        <v>45440</v>
      </c>
      <c r="C149" s="103">
        <v>2213.09</v>
      </c>
      <c r="D149">
        <v>0</v>
      </c>
      <c r="E149">
        <v>690.26</v>
      </c>
      <c r="G149">
        <v>0</v>
      </c>
      <c r="J149" t="s">
        <v>297</v>
      </c>
    </row>
    <row r="150" spans="1:11" x14ac:dyDescent="0.25">
      <c r="A150" s="102">
        <v>45471</v>
      </c>
      <c r="C150" s="103">
        <v>2213.09</v>
      </c>
      <c r="D150">
        <v>0</v>
      </c>
      <c r="E150" s="103">
        <v>1288.99</v>
      </c>
      <c r="G150">
        <v>0</v>
      </c>
      <c r="J150" t="s">
        <v>298</v>
      </c>
    </row>
    <row r="151" spans="1:11" x14ac:dyDescent="0.25">
      <c r="A151" s="102">
        <v>45501</v>
      </c>
      <c r="C151" s="103">
        <v>2213.09</v>
      </c>
      <c r="D151">
        <v>0</v>
      </c>
      <c r="E151" s="103">
        <v>1330.41</v>
      </c>
      <c r="G151">
        <v>0</v>
      </c>
      <c r="J151" t="s">
        <v>299</v>
      </c>
    </row>
    <row r="152" spans="1:11" x14ac:dyDescent="0.25">
      <c r="A152" s="102">
        <v>45532</v>
      </c>
      <c r="C152" s="103">
        <v>2213.09</v>
      </c>
      <c r="D152">
        <v>0</v>
      </c>
      <c r="E152" s="103">
        <v>1313.37</v>
      </c>
      <c r="G152">
        <v>0</v>
      </c>
      <c r="J152" t="s">
        <v>300</v>
      </c>
    </row>
    <row r="153" spans="1:11" x14ac:dyDescent="0.25">
      <c r="A153" s="102">
        <v>45563</v>
      </c>
      <c r="C153" s="103">
        <v>2213.09</v>
      </c>
      <c r="D153">
        <v>0</v>
      </c>
      <c r="E153" s="103">
        <v>1325.59</v>
      </c>
      <c r="G153">
        <v>0</v>
      </c>
      <c r="J153" t="s">
        <v>301</v>
      </c>
    </row>
    <row r="154" spans="1:11" x14ac:dyDescent="0.25">
      <c r="A154" s="102">
        <v>45593</v>
      </c>
      <c r="C154" s="103">
        <v>2213.09</v>
      </c>
      <c r="D154">
        <v>0</v>
      </c>
      <c r="E154" s="103">
        <v>1366.16</v>
      </c>
      <c r="G154">
        <v>0</v>
      </c>
      <c r="J154" t="s">
        <v>302</v>
      </c>
    </row>
    <row r="155" spans="1:11" x14ac:dyDescent="0.25">
      <c r="A155" s="102">
        <v>45624</v>
      </c>
      <c r="C155" s="103">
        <v>2213.09</v>
      </c>
      <c r="D155">
        <v>0</v>
      </c>
      <c r="E155" s="103">
        <v>1350.64</v>
      </c>
      <c r="G155">
        <v>0</v>
      </c>
      <c r="J155" t="s">
        <v>303</v>
      </c>
    </row>
    <row r="156" spans="1:11" x14ac:dyDescent="0.25">
      <c r="A156" s="102">
        <v>45654</v>
      </c>
      <c r="C156" s="103">
        <v>2213.09</v>
      </c>
      <c r="D156">
        <v>0</v>
      </c>
      <c r="E156" s="103">
        <v>1390.62</v>
      </c>
      <c r="G156">
        <v>0</v>
      </c>
      <c r="J156" t="s">
        <v>304</v>
      </c>
    </row>
    <row r="157" spans="1:11" x14ac:dyDescent="0.25">
      <c r="A157" s="102">
        <v>45685</v>
      </c>
      <c r="C157" s="103">
        <v>2213.09</v>
      </c>
      <c r="D157">
        <v>0</v>
      </c>
      <c r="E157" s="103">
        <v>1376.14</v>
      </c>
      <c r="G157">
        <v>0</v>
      </c>
      <c r="J157" t="s">
        <v>305</v>
      </c>
    </row>
    <row r="158" spans="1:11" x14ac:dyDescent="0.25">
      <c r="A158" s="102">
        <v>45716</v>
      </c>
      <c r="C158" s="103">
        <v>2213.09</v>
      </c>
      <c r="D158">
        <v>0</v>
      </c>
      <c r="E158" s="103">
        <v>1388.95</v>
      </c>
      <c r="G158">
        <v>0</v>
      </c>
      <c r="J158" t="s">
        <v>306</v>
      </c>
    </row>
    <row r="159" spans="1:11" x14ac:dyDescent="0.25">
      <c r="A159" s="102">
        <v>45744</v>
      </c>
      <c r="C159" s="103">
        <v>2213.09</v>
      </c>
      <c r="D159">
        <v>0</v>
      </c>
      <c r="E159" s="103">
        <v>1480.38</v>
      </c>
      <c r="G159">
        <v>0</v>
      </c>
      <c r="J159" t="s">
        <v>307</v>
      </c>
    </row>
    <row r="160" spans="1:11" x14ac:dyDescent="0.25">
      <c r="A160" s="102">
        <v>45775</v>
      </c>
      <c r="C160" s="103">
        <v>2213.09</v>
      </c>
      <c r="D160">
        <v>0</v>
      </c>
      <c r="E160" s="103">
        <v>1415.65</v>
      </c>
      <c r="G160">
        <v>0</v>
      </c>
      <c r="J160" t="s">
        <v>308</v>
      </c>
    </row>
    <row r="161" spans="1:10" x14ac:dyDescent="0.25">
      <c r="A161" s="102">
        <v>45805</v>
      </c>
      <c r="C161" s="103">
        <v>2213.09</v>
      </c>
      <c r="D161">
        <v>0</v>
      </c>
      <c r="E161" s="103">
        <v>1454.12</v>
      </c>
      <c r="G161">
        <v>0</v>
      </c>
      <c r="J161" t="s">
        <v>309</v>
      </c>
    </row>
    <row r="162" spans="1:10" x14ac:dyDescent="0.25">
      <c r="A162" s="102">
        <v>45836</v>
      </c>
      <c r="C162" s="103">
        <v>2213.09</v>
      </c>
      <c r="D162">
        <v>0</v>
      </c>
      <c r="E162" s="103">
        <v>1442.35</v>
      </c>
      <c r="G162">
        <v>0</v>
      </c>
      <c r="J162" t="s">
        <v>310</v>
      </c>
    </row>
    <row r="163" spans="1:10" x14ac:dyDescent="0.25">
      <c r="A163" s="102">
        <v>45866</v>
      </c>
      <c r="C163" s="103">
        <v>2213.09</v>
      </c>
      <c r="D163">
        <v>0</v>
      </c>
      <c r="E163" s="103">
        <v>1480.2</v>
      </c>
      <c r="G163">
        <v>0</v>
      </c>
      <c r="J163" t="s">
        <v>311</v>
      </c>
    </row>
    <row r="164" spans="1:10" x14ac:dyDescent="0.25">
      <c r="A164" s="102">
        <v>45897</v>
      </c>
      <c r="C164" s="103">
        <v>2213.09</v>
      </c>
      <c r="D164">
        <v>0</v>
      </c>
      <c r="E164" s="103">
        <v>1469.55</v>
      </c>
      <c r="G164">
        <v>0</v>
      </c>
      <c r="J164" t="s">
        <v>312</v>
      </c>
    </row>
    <row r="165" spans="1:10" x14ac:dyDescent="0.25">
      <c r="A165" s="102">
        <v>45928</v>
      </c>
      <c r="C165" s="103">
        <v>2213.09</v>
      </c>
      <c r="D165">
        <v>0</v>
      </c>
      <c r="E165" s="103">
        <v>1483.22</v>
      </c>
      <c r="G165">
        <v>0</v>
      </c>
      <c r="J165" t="s">
        <v>313</v>
      </c>
    </row>
    <row r="166" spans="1:10" x14ac:dyDescent="0.25">
      <c r="A166" s="102">
        <v>45958</v>
      </c>
      <c r="C166" s="103">
        <v>2213.09</v>
      </c>
      <c r="D166">
        <v>0</v>
      </c>
      <c r="E166" s="103">
        <v>1520.12</v>
      </c>
      <c r="G166">
        <v>0</v>
      </c>
      <c r="J166" t="s">
        <v>314</v>
      </c>
    </row>
    <row r="167" spans="1:10" x14ac:dyDescent="0.25">
      <c r="A167" s="102">
        <v>45989</v>
      </c>
      <c r="C167" s="103">
        <v>2213.09</v>
      </c>
      <c r="D167">
        <v>0</v>
      </c>
      <c r="E167" s="103">
        <v>1511.17</v>
      </c>
      <c r="G167">
        <v>0</v>
      </c>
      <c r="J167" t="s">
        <v>315</v>
      </c>
    </row>
    <row r="168" spans="1:10" x14ac:dyDescent="0.25">
      <c r="A168" s="102">
        <v>46019</v>
      </c>
      <c r="C168" s="103">
        <v>2213.09</v>
      </c>
      <c r="D168">
        <v>0</v>
      </c>
      <c r="E168" s="103">
        <v>1547.42</v>
      </c>
      <c r="G168">
        <v>0</v>
      </c>
      <c r="J168" t="s">
        <v>316</v>
      </c>
    </row>
    <row r="169" spans="1:10" x14ac:dyDescent="0.25">
      <c r="A169" s="102">
        <v>46050</v>
      </c>
      <c r="C169" s="103">
        <v>2213.09</v>
      </c>
      <c r="D169">
        <v>0</v>
      </c>
      <c r="E169" s="103">
        <v>1539.63</v>
      </c>
      <c r="G169">
        <v>0</v>
      </c>
      <c r="J169" t="s">
        <v>317</v>
      </c>
    </row>
    <row r="170" spans="1:10" x14ac:dyDescent="0.25">
      <c r="A170" s="102">
        <v>46081</v>
      </c>
      <c r="C170" s="103">
        <v>2213.09</v>
      </c>
      <c r="D170">
        <v>0</v>
      </c>
      <c r="E170" s="103">
        <v>1553.96</v>
      </c>
      <c r="G170">
        <v>0</v>
      </c>
      <c r="J170" t="s">
        <v>318</v>
      </c>
    </row>
    <row r="171" spans="1:10" x14ac:dyDescent="0.25">
      <c r="A171" s="102">
        <v>46109</v>
      </c>
      <c r="C171" s="103">
        <v>2213.09</v>
      </c>
      <c r="D171">
        <v>0</v>
      </c>
      <c r="E171" s="103">
        <v>1630.8</v>
      </c>
      <c r="G171">
        <v>0</v>
      </c>
      <c r="J171" t="s">
        <v>319</v>
      </c>
    </row>
    <row r="172" spans="1:10" x14ac:dyDescent="0.25">
      <c r="A172" s="102">
        <v>46140</v>
      </c>
      <c r="C172" s="103">
        <v>2213.09</v>
      </c>
      <c r="D172">
        <v>0</v>
      </c>
      <c r="E172" s="103">
        <v>1583.59</v>
      </c>
      <c r="G172">
        <v>0</v>
      </c>
      <c r="J172" t="s">
        <v>320</v>
      </c>
    </row>
    <row r="173" spans="1:10" x14ac:dyDescent="0.25">
      <c r="A173" s="102">
        <v>46170</v>
      </c>
      <c r="C173" s="103">
        <v>2213.09</v>
      </c>
      <c r="D173">
        <v>0</v>
      </c>
      <c r="E173" s="103">
        <v>1618.16</v>
      </c>
      <c r="G173">
        <v>0</v>
      </c>
      <c r="J173" t="s">
        <v>321</v>
      </c>
    </row>
    <row r="174" spans="1:10" x14ac:dyDescent="0.25">
      <c r="A174" s="102">
        <v>46201</v>
      </c>
      <c r="C174" s="103">
        <v>2213.09</v>
      </c>
      <c r="D174">
        <v>0</v>
      </c>
      <c r="E174" s="103">
        <v>1613.38</v>
      </c>
      <c r="G174">
        <v>0</v>
      </c>
      <c r="J174" t="s">
        <v>322</v>
      </c>
    </row>
    <row r="175" spans="1:10" x14ac:dyDescent="0.25">
      <c r="A175" s="102">
        <v>46231</v>
      </c>
      <c r="C175" s="103">
        <v>2213.09</v>
      </c>
      <c r="D175">
        <v>0</v>
      </c>
      <c r="E175" s="103">
        <v>1647.26</v>
      </c>
      <c r="G175">
        <v>0</v>
      </c>
      <c r="J175" t="s">
        <v>323</v>
      </c>
    </row>
    <row r="176" spans="1:10" x14ac:dyDescent="0.25">
      <c r="A176" s="102">
        <v>46262</v>
      </c>
      <c r="C176" s="103">
        <v>2213.09</v>
      </c>
      <c r="D176">
        <v>0</v>
      </c>
      <c r="E176" s="103">
        <v>1643.72</v>
      </c>
      <c r="G176">
        <v>0</v>
      </c>
      <c r="J176" t="s">
        <v>324</v>
      </c>
    </row>
    <row r="177" spans="1:10" x14ac:dyDescent="0.25">
      <c r="A177" s="102">
        <v>46293</v>
      </c>
      <c r="C177" s="103">
        <v>2213.09</v>
      </c>
      <c r="D177">
        <v>0</v>
      </c>
      <c r="E177" s="103">
        <v>1659.02</v>
      </c>
      <c r="G177">
        <v>0</v>
      </c>
      <c r="J177" t="s">
        <v>325</v>
      </c>
    </row>
    <row r="178" spans="1:10" x14ac:dyDescent="0.25">
      <c r="A178" s="102">
        <v>46323</v>
      </c>
      <c r="C178" s="103">
        <v>2213.09</v>
      </c>
      <c r="D178">
        <v>0</v>
      </c>
      <c r="E178" s="103">
        <v>1691.83</v>
      </c>
      <c r="G178">
        <v>0</v>
      </c>
      <c r="J178" t="s">
        <v>326</v>
      </c>
    </row>
    <row r="179" spans="1:10" x14ac:dyDescent="0.25">
      <c r="A179" s="102">
        <v>46354</v>
      </c>
      <c r="C179" s="103">
        <v>2213.09</v>
      </c>
      <c r="D179">
        <v>0</v>
      </c>
      <c r="E179" s="103">
        <v>1690.2</v>
      </c>
      <c r="G179">
        <v>0</v>
      </c>
      <c r="J179" t="s">
        <v>327</v>
      </c>
    </row>
    <row r="180" spans="1:10" x14ac:dyDescent="0.25">
      <c r="A180" s="102">
        <v>46384</v>
      </c>
      <c r="C180" s="103">
        <v>2213.09</v>
      </c>
      <c r="D180">
        <v>0</v>
      </c>
      <c r="E180" s="103">
        <v>1722.29</v>
      </c>
      <c r="G180">
        <v>0</v>
      </c>
      <c r="J180" t="s">
        <v>328</v>
      </c>
    </row>
    <row r="181" spans="1:10" x14ac:dyDescent="0.25">
      <c r="A181" s="102">
        <v>46415</v>
      </c>
      <c r="C181" s="103">
        <v>2213.09</v>
      </c>
      <c r="D181">
        <v>0</v>
      </c>
      <c r="E181" s="103">
        <v>1721.95</v>
      </c>
      <c r="G181">
        <v>0</v>
      </c>
      <c r="J181" t="s">
        <v>329</v>
      </c>
    </row>
    <row r="182" spans="1:10" x14ac:dyDescent="0.25">
      <c r="A182" s="102">
        <v>46446</v>
      </c>
      <c r="C182" s="103">
        <v>2213.09</v>
      </c>
      <c r="D182">
        <v>0</v>
      </c>
      <c r="E182" s="103">
        <v>1737.98</v>
      </c>
      <c r="G182">
        <v>0</v>
      </c>
      <c r="J182" t="s">
        <v>330</v>
      </c>
    </row>
    <row r="183" spans="1:10" x14ac:dyDescent="0.25">
      <c r="A183" s="102">
        <v>46474</v>
      </c>
      <c r="C183" s="103">
        <v>2213.09</v>
      </c>
      <c r="D183">
        <v>0</v>
      </c>
      <c r="E183" s="103">
        <v>1798.56</v>
      </c>
      <c r="G183">
        <v>0</v>
      </c>
      <c r="J183" t="s">
        <v>331</v>
      </c>
    </row>
    <row r="184" spans="1:10" x14ac:dyDescent="0.25">
      <c r="A184" s="102">
        <v>46505</v>
      </c>
      <c r="C184" s="103">
        <v>2213.09</v>
      </c>
      <c r="D184">
        <v>0</v>
      </c>
      <c r="E184" s="103">
        <v>1770.89</v>
      </c>
      <c r="G184">
        <v>0</v>
      </c>
      <c r="J184" t="s">
        <v>332</v>
      </c>
    </row>
    <row r="185" spans="1:10" x14ac:dyDescent="0.25">
      <c r="A185" s="102">
        <v>46535</v>
      </c>
      <c r="C185" s="103">
        <v>2213.09</v>
      </c>
      <c r="D185">
        <v>0</v>
      </c>
      <c r="E185" s="103">
        <v>1801.1</v>
      </c>
      <c r="G185">
        <v>0</v>
      </c>
      <c r="J185" t="s">
        <v>333</v>
      </c>
    </row>
    <row r="186" spans="1:10" x14ac:dyDescent="0.25">
      <c r="A186" s="102">
        <v>46566</v>
      </c>
      <c r="C186" s="103">
        <v>2213.09</v>
      </c>
      <c r="D186">
        <v>0</v>
      </c>
      <c r="E186" s="103">
        <v>1804.12</v>
      </c>
      <c r="G186">
        <v>0</v>
      </c>
      <c r="J186" t="s">
        <v>334</v>
      </c>
    </row>
    <row r="187" spans="1:10" x14ac:dyDescent="0.25">
      <c r="A187" s="102">
        <v>46596</v>
      </c>
      <c r="C187" s="103">
        <v>2213.09</v>
      </c>
      <c r="D187">
        <v>0</v>
      </c>
      <c r="E187" s="103">
        <v>1833.56</v>
      </c>
      <c r="G187">
        <v>0</v>
      </c>
      <c r="J187" t="s">
        <v>335</v>
      </c>
    </row>
    <row r="188" spans="1:10" x14ac:dyDescent="0.25">
      <c r="A188" s="102">
        <v>46627</v>
      </c>
      <c r="C188" s="103">
        <v>2213.09</v>
      </c>
      <c r="D188">
        <v>0</v>
      </c>
      <c r="E188" s="103">
        <v>1837.97</v>
      </c>
      <c r="G188">
        <v>0</v>
      </c>
      <c r="J188" t="s">
        <v>336</v>
      </c>
    </row>
    <row r="189" spans="1:10" x14ac:dyDescent="0.25">
      <c r="A189" s="102">
        <v>46658</v>
      </c>
      <c r="C189" s="103">
        <v>2213.09</v>
      </c>
      <c r="D189">
        <v>0</v>
      </c>
      <c r="E189" s="103">
        <v>1855.08</v>
      </c>
      <c r="G189">
        <v>0</v>
      </c>
      <c r="J189" t="s">
        <v>337</v>
      </c>
    </row>
    <row r="190" spans="1:10" x14ac:dyDescent="0.25">
      <c r="A190" s="102">
        <v>46688</v>
      </c>
      <c r="C190" s="103">
        <v>2213.09</v>
      </c>
      <c r="D190">
        <v>0</v>
      </c>
      <c r="E190" s="103">
        <v>1883.33</v>
      </c>
      <c r="G190">
        <v>0</v>
      </c>
      <c r="J190" t="s">
        <v>338</v>
      </c>
    </row>
    <row r="191" spans="1:10" x14ac:dyDescent="0.25">
      <c r="A191" s="102">
        <v>46719</v>
      </c>
      <c r="C191" s="103">
        <v>2213.09</v>
      </c>
      <c r="D191">
        <v>0</v>
      </c>
      <c r="E191" s="103">
        <v>1889.86</v>
      </c>
      <c r="G191">
        <v>0</v>
      </c>
      <c r="J191" t="s">
        <v>339</v>
      </c>
    </row>
    <row r="192" spans="1:10" x14ac:dyDescent="0.25">
      <c r="A192" s="102">
        <v>46749</v>
      </c>
      <c r="C192" s="103">
        <v>2213.09</v>
      </c>
      <c r="D192">
        <v>0</v>
      </c>
      <c r="E192" s="103">
        <v>1917.31</v>
      </c>
      <c r="G192">
        <v>0</v>
      </c>
      <c r="J192" t="s">
        <v>340</v>
      </c>
    </row>
    <row r="193" spans="1:10" x14ac:dyDescent="0.25">
      <c r="A193" s="102">
        <v>46780</v>
      </c>
      <c r="C193" s="103">
        <v>2213.09</v>
      </c>
      <c r="D193">
        <v>0</v>
      </c>
      <c r="E193" s="103">
        <v>1925.29</v>
      </c>
      <c r="G193">
        <v>0</v>
      </c>
      <c r="J193" t="s">
        <v>341</v>
      </c>
    </row>
    <row r="194" spans="1:10" x14ac:dyDescent="0.25">
      <c r="A194" s="102">
        <v>46811</v>
      </c>
      <c r="C194" s="103">
        <v>2213.09</v>
      </c>
      <c r="D194">
        <v>0</v>
      </c>
      <c r="E194" s="103">
        <v>1943.2</v>
      </c>
      <c r="G194">
        <v>0</v>
      </c>
      <c r="J194" t="s">
        <v>342</v>
      </c>
    </row>
    <row r="195" spans="1:10" x14ac:dyDescent="0.25">
      <c r="A195" s="102">
        <v>46840</v>
      </c>
      <c r="C195" s="103">
        <v>2213.09</v>
      </c>
      <c r="D195">
        <v>0</v>
      </c>
      <c r="E195" s="103">
        <v>1977.53</v>
      </c>
      <c r="G195">
        <v>0</v>
      </c>
      <c r="J195" t="s">
        <v>343</v>
      </c>
    </row>
    <row r="196" spans="1:10" x14ac:dyDescent="0.25">
      <c r="A196" s="102">
        <v>46871</v>
      </c>
      <c r="C196" s="103">
        <v>2213.09</v>
      </c>
      <c r="D196">
        <v>0</v>
      </c>
      <c r="E196" s="103">
        <v>1979.69</v>
      </c>
      <c r="G196">
        <v>0</v>
      </c>
      <c r="J196" t="s">
        <v>344</v>
      </c>
    </row>
    <row r="197" spans="1:10" x14ac:dyDescent="0.25">
      <c r="A197" s="102">
        <v>46901</v>
      </c>
      <c r="C197" s="103">
        <v>2213.09</v>
      </c>
      <c r="D197">
        <v>0</v>
      </c>
      <c r="E197" s="103">
        <v>2005.04</v>
      </c>
      <c r="G197">
        <v>0</v>
      </c>
      <c r="J197" t="s">
        <v>345</v>
      </c>
    </row>
    <row r="198" spans="1:10" x14ac:dyDescent="0.25">
      <c r="A198" s="102">
        <v>46932</v>
      </c>
      <c r="C198" s="103">
        <v>2213.09</v>
      </c>
      <c r="D198">
        <v>0</v>
      </c>
      <c r="E198" s="103">
        <v>2016.77</v>
      </c>
      <c r="G198">
        <v>0</v>
      </c>
      <c r="J198" t="s">
        <v>346</v>
      </c>
    </row>
    <row r="199" spans="1:10" x14ac:dyDescent="0.25">
      <c r="A199" s="102">
        <v>46962</v>
      </c>
      <c r="C199" s="103">
        <v>2213.09</v>
      </c>
      <c r="D199">
        <v>0</v>
      </c>
      <c r="E199" s="103">
        <v>2041.26</v>
      </c>
      <c r="G199">
        <v>0</v>
      </c>
      <c r="J199" t="s">
        <v>347</v>
      </c>
    </row>
    <row r="200" spans="1:10" x14ac:dyDescent="0.25">
      <c r="A200" s="102">
        <v>46993</v>
      </c>
      <c r="C200" s="103">
        <v>2213.09</v>
      </c>
      <c r="D200">
        <v>0</v>
      </c>
      <c r="E200" s="103">
        <v>2054.5300000000002</v>
      </c>
      <c r="G200">
        <v>0</v>
      </c>
      <c r="J200" t="s">
        <v>348</v>
      </c>
    </row>
    <row r="201" spans="1:10" x14ac:dyDescent="0.25">
      <c r="A201" s="102">
        <v>47024</v>
      </c>
      <c r="C201" s="103">
        <v>2213.09</v>
      </c>
      <c r="D201">
        <v>0</v>
      </c>
      <c r="E201" s="103">
        <v>2073.64</v>
      </c>
      <c r="G201">
        <v>0</v>
      </c>
      <c r="J201" t="s">
        <v>349</v>
      </c>
    </row>
    <row r="202" spans="1:10" x14ac:dyDescent="0.25">
      <c r="A202" s="102">
        <v>47054</v>
      </c>
      <c r="C202" s="103">
        <v>2213.09</v>
      </c>
      <c r="D202">
        <v>0</v>
      </c>
      <c r="E202" s="103">
        <v>2096.8200000000002</v>
      </c>
      <c r="G202">
        <v>0</v>
      </c>
      <c r="J202" t="s">
        <v>350</v>
      </c>
    </row>
    <row r="203" spans="1:10" x14ac:dyDescent="0.25">
      <c r="A203" s="102">
        <v>47085</v>
      </c>
      <c r="C203" s="103">
        <v>2213.09</v>
      </c>
      <c r="D203">
        <v>0</v>
      </c>
      <c r="E203" s="103">
        <v>2112.4499999999998</v>
      </c>
      <c r="G203">
        <v>0</v>
      </c>
      <c r="J203" t="s">
        <v>351</v>
      </c>
    </row>
    <row r="204" spans="1:10" x14ac:dyDescent="0.25">
      <c r="A204" s="102">
        <v>47115</v>
      </c>
      <c r="C204" s="103">
        <v>1095.96</v>
      </c>
      <c r="D204">
        <v>0</v>
      </c>
      <c r="E204" s="103">
        <v>1017.59</v>
      </c>
      <c r="G204">
        <v>0</v>
      </c>
      <c r="J204" t="s">
        <v>352</v>
      </c>
    </row>
    <row r="205" spans="1:10" x14ac:dyDescent="0.25">
      <c r="A205" s="102">
        <v>47146</v>
      </c>
      <c r="C205" s="103">
        <v>7756.38</v>
      </c>
      <c r="D205">
        <v>0</v>
      </c>
      <c r="E205" s="103">
        <v>7685.33</v>
      </c>
      <c r="G205">
        <v>0</v>
      </c>
      <c r="J205">
        <v>0</v>
      </c>
    </row>
  </sheetData>
  <mergeCells count="3">
    <mergeCell ref="A1:C1"/>
    <mergeCell ref="A70:D70"/>
    <mergeCell ref="A140:D140"/>
  </mergeCells>
  <pageMargins left="0.7" right="0.7" top="0.75" bottom="0.75" header="0.3" footer="0.3"/>
  <pageSetup paperSize="9" orientation="portrait" r:id="rId1"/>
  <headerFooter>
    <oddFooter>&amp;L&amp;"Calibri Light,Regular"&amp;09&amp;K00C000Public</oddFooter>
    <evenFooter>&amp;L&amp;"Calibri Light,Regular"&amp;09&amp;K00C000Public</evenFooter>
    <firstFooter>&amp;L&amp;"Calibri Light,Regular"&amp;09&amp;K00C000Public</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5DFE2-E875-4CB3-8A76-E5D61312633D}">
  <sheetPr>
    <pageSetUpPr autoPageBreaks="0"/>
  </sheetPr>
  <dimension ref="A1:M66"/>
  <sheetViews>
    <sheetView tabSelected="1" topLeftCell="A3" workbookViewId="0">
      <selection activeCell="C6" sqref="C6:E13"/>
    </sheetView>
  </sheetViews>
  <sheetFormatPr defaultRowHeight="15" x14ac:dyDescent="0.25"/>
  <cols>
    <col min="1" max="1" width="15.85546875" bestFit="1" customWidth="1"/>
    <col min="2" max="2" width="44.7109375" customWidth="1"/>
    <col min="3" max="4" width="9.28515625" bestFit="1" customWidth="1"/>
    <col min="5" max="5" width="10.140625" bestFit="1" customWidth="1"/>
    <col min="6" max="6" width="11.7109375" bestFit="1" customWidth="1"/>
    <col min="7" max="7" width="8.28515625" bestFit="1" customWidth="1"/>
    <col min="8" max="8" width="10.85546875" bestFit="1" customWidth="1"/>
    <col min="9" max="9" width="3.7109375" bestFit="1" customWidth="1"/>
    <col min="10" max="10" width="14.7109375" customWidth="1"/>
    <col min="11" max="11" width="11.28515625" bestFit="1" customWidth="1"/>
    <col min="12" max="12" width="17.7109375" bestFit="1" customWidth="1"/>
  </cols>
  <sheetData>
    <row r="1" spans="1:12" x14ac:dyDescent="0.25">
      <c r="A1" s="13" t="s">
        <v>104</v>
      </c>
      <c r="B1" s="13" t="s">
        <v>105</v>
      </c>
      <c r="C1" s="13" t="s">
        <v>106</v>
      </c>
      <c r="D1" s="13" t="s">
        <v>107</v>
      </c>
      <c r="E1" s="13" t="s">
        <v>108</v>
      </c>
      <c r="F1" s="13" t="s">
        <v>109</v>
      </c>
      <c r="G1" s="13" t="s">
        <v>110</v>
      </c>
      <c r="H1" s="13" t="s">
        <v>111</v>
      </c>
      <c r="I1" s="13" t="s">
        <v>112</v>
      </c>
      <c r="J1" s="13" t="s">
        <v>113</v>
      </c>
      <c r="K1" s="13" t="s">
        <v>114</v>
      </c>
      <c r="L1" s="13" t="s">
        <v>115</v>
      </c>
    </row>
    <row r="2" spans="1:12" x14ac:dyDescent="0.25">
      <c r="A2" s="180">
        <v>45351</v>
      </c>
      <c r="B2" s="13"/>
      <c r="C2" s="181">
        <v>1150</v>
      </c>
      <c r="D2" s="13">
        <v>0</v>
      </c>
      <c r="E2" s="181">
        <v>100000</v>
      </c>
      <c r="F2" s="13"/>
      <c r="G2" s="13"/>
      <c r="H2" s="181">
        <v>1000</v>
      </c>
      <c r="I2" s="13">
        <v>150</v>
      </c>
      <c r="J2" s="181">
        <v>100000</v>
      </c>
      <c r="K2" s="13" t="s">
        <v>116</v>
      </c>
      <c r="L2" s="13" t="s">
        <v>362</v>
      </c>
    </row>
    <row r="3" spans="1:12" x14ac:dyDescent="0.25">
      <c r="A3" s="180">
        <v>45352</v>
      </c>
      <c r="B3" s="13" t="s">
        <v>363</v>
      </c>
      <c r="C3" s="181"/>
      <c r="D3" s="13"/>
      <c r="E3" s="181"/>
      <c r="F3" s="13"/>
      <c r="G3" s="13"/>
      <c r="H3" s="181"/>
      <c r="I3" s="13"/>
      <c r="J3" s="181"/>
      <c r="K3" s="13"/>
      <c r="L3" s="13"/>
    </row>
    <row r="4" spans="1:12" x14ac:dyDescent="0.25">
      <c r="A4" s="180">
        <v>45378</v>
      </c>
      <c r="B4" s="13" t="s">
        <v>364</v>
      </c>
      <c r="C4" s="181"/>
      <c r="D4" s="13"/>
      <c r="E4" s="181"/>
      <c r="F4" s="13"/>
      <c r="G4" s="13"/>
      <c r="H4" s="181"/>
      <c r="I4" s="13"/>
      <c r="J4" s="181"/>
      <c r="K4" s="13"/>
      <c r="L4" s="13"/>
    </row>
    <row r="5" spans="1:12" x14ac:dyDescent="0.25">
      <c r="A5" s="259">
        <v>45379</v>
      </c>
      <c r="B5" s="13"/>
      <c r="C5" s="181">
        <v>11460.72</v>
      </c>
      <c r="D5" s="13">
        <v>0</v>
      </c>
      <c r="E5" s="181">
        <v>8021.14</v>
      </c>
      <c r="F5" s="13"/>
      <c r="G5" s="13">
        <v>767.12</v>
      </c>
      <c r="H5" s="181">
        <v>2672.46</v>
      </c>
      <c r="I5" s="13"/>
      <c r="J5" s="13"/>
      <c r="K5" s="181">
        <v>-39249.300000000003</v>
      </c>
      <c r="L5" s="13" t="s">
        <v>365</v>
      </c>
    </row>
    <row r="6" spans="1:12" x14ac:dyDescent="0.25">
      <c r="A6" s="259">
        <v>45381</v>
      </c>
      <c r="B6" s="13" t="s">
        <v>366</v>
      </c>
      <c r="C6" s="181"/>
      <c r="D6" s="13"/>
      <c r="E6" s="181"/>
      <c r="F6" s="13"/>
      <c r="G6" s="13"/>
      <c r="H6" s="181"/>
      <c r="I6" s="13"/>
      <c r="J6" s="13"/>
      <c r="K6" s="13"/>
      <c r="L6" s="13"/>
    </row>
    <row r="7" spans="1:12" x14ac:dyDescent="0.25">
      <c r="A7" s="180">
        <v>45410</v>
      </c>
      <c r="B7" s="13"/>
      <c r="C7" s="181">
        <v>3994.66</v>
      </c>
      <c r="D7" s="13">
        <v>0</v>
      </c>
      <c r="E7" s="181">
        <v>3227.05</v>
      </c>
      <c r="F7" s="13"/>
      <c r="G7" s="260">
        <v>767.61</v>
      </c>
      <c r="H7" s="13">
        <v>0</v>
      </c>
      <c r="I7" s="13"/>
      <c r="J7" s="13"/>
      <c r="K7" s="181">
        <v>-36022.25</v>
      </c>
      <c r="L7" s="13" t="s">
        <v>367</v>
      </c>
    </row>
    <row r="8" spans="1:12" x14ac:dyDescent="0.25">
      <c r="A8" s="180">
        <v>45440</v>
      </c>
      <c r="B8" s="13"/>
      <c r="C8" s="181">
        <v>3994.66</v>
      </c>
      <c r="D8" s="13">
        <v>0</v>
      </c>
      <c r="E8" s="181">
        <v>3312.89</v>
      </c>
      <c r="F8" s="13"/>
      <c r="G8" s="260">
        <v>681.77</v>
      </c>
      <c r="H8" s="13">
        <v>0</v>
      </c>
      <c r="I8" s="13"/>
      <c r="J8" s="13"/>
      <c r="K8" s="181">
        <v>-32709.360000000001</v>
      </c>
      <c r="L8" s="13" t="s">
        <v>368</v>
      </c>
    </row>
    <row r="9" spans="1:12" x14ac:dyDescent="0.25">
      <c r="A9" s="180">
        <v>45471</v>
      </c>
      <c r="B9" s="13"/>
      <c r="C9" s="181">
        <v>3994.66</v>
      </c>
      <c r="D9" s="13">
        <v>0</v>
      </c>
      <c r="E9" s="181">
        <v>3354.95</v>
      </c>
      <c r="F9" s="13"/>
      <c r="G9" s="260">
        <v>639.71</v>
      </c>
      <c r="H9" s="13">
        <v>0</v>
      </c>
      <c r="I9" s="13"/>
      <c r="J9" s="13"/>
      <c r="K9" s="181">
        <v>-29354.41</v>
      </c>
      <c r="L9" s="13" t="s">
        <v>369</v>
      </c>
    </row>
    <row r="10" spans="1:12" x14ac:dyDescent="0.25">
      <c r="A10" s="180">
        <v>45501</v>
      </c>
      <c r="B10" s="13"/>
      <c r="C10" s="181">
        <v>3994.66</v>
      </c>
      <c r="D10" s="13">
        <v>0</v>
      </c>
      <c r="E10" s="181">
        <v>3439.09</v>
      </c>
      <c r="F10" s="13"/>
      <c r="G10" s="261">
        <v>555.57000000000005</v>
      </c>
      <c r="H10" s="13">
        <v>0</v>
      </c>
      <c r="I10" s="13"/>
      <c r="J10" s="13"/>
      <c r="K10" s="181">
        <v>-25915.32</v>
      </c>
      <c r="L10" s="13" t="s">
        <v>370</v>
      </c>
    </row>
    <row r="11" spans="1:12" x14ac:dyDescent="0.25">
      <c r="A11" s="180">
        <v>45532</v>
      </c>
      <c r="B11" s="13"/>
      <c r="C11" s="181">
        <v>3994.66</v>
      </c>
      <c r="D11" s="13">
        <v>0</v>
      </c>
      <c r="E11" s="181">
        <v>3487.83</v>
      </c>
      <c r="F11" s="13"/>
      <c r="G11" s="13">
        <v>506.83</v>
      </c>
      <c r="H11" s="13">
        <v>0</v>
      </c>
      <c r="I11" s="13"/>
      <c r="J11" s="13"/>
      <c r="K11" s="181">
        <v>-22427.49</v>
      </c>
      <c r="L11" s="13" t="s">
        <v>371</v>
      </c>
    </row>
    <row r="12" spans="1:12" x14ac:dyDescent="0.25">
      <c r="A12" s="180">
        <v>45563</v>
      </c>
      <c r="B12" s="13"/>
      <c r="C12" s="181">
        <v>3994.66</v>
      </c>
      <c r="D12" s="13">
        <v>0</v>
      </c>
      <c r="E12" s="181">
        <v>3556.04</v>
      </c>
      <c r="F12" s="13"/>
      <c r="G12" s="13">
        <v>438.62</v>
      </c>
      <c r="H12" s="13">
        <v>0</v>
      </c>
      <c r="I12" s="13"/>
      <c r="J12" s="13"/>
      <c r="K12" s="181">
        <v>-18871.45</v>
      </c>
      <c r="L12" s="13" t="s">
        <v>372</v>
      </c>
    </row>
    <row r="13" spans="1:12" x14ac:dyDescent="0.25">
      <c r="A13" s="180">
        <v>45593</v>
      </c>
      <c r="B13" s="13"/>
      <c r="C13" s="181">
        <v>3994.66</v>
      </c>
      <c r="D13" s="13">
        <v>0</v>
      </c>
      <c r="E13" s="181">
        <v>3637.49</v>
      </c>
      <c r="F13" s="13"/>
      <c r="G13" s="13">
        <v>357.17</v>
      </c>
      <c r="H13" s="13">
        <v>0</v>
      </c>
      <c r="I13" s="13"/>
      <c r="J13" s="13"/>
      <c r="K13" s="181">
        <v>-15233.96</v>
      </c>
      <c r="L13" s="13" t="s">
        <v>373</v>
      </c>
    </row>
    <row r="14" spans="1:12" x14ac:dyDescent="0.25">
      <c r="A14" s="180">
        <v>45624</v>
      </c>
      <c r="B14" s="13"/>
      <c r="C14" s="181">
        <v>3994.66</v>
      </c>
      <c r="D14" s="13">
        <v>0</v>
      </c>
      <c r="E14" s="181">
        <v>3696.73</v>
      </c>
      <c r="F14" s="13"/>
      <c r="G14" s="13">
        <v>297.93</v>
      </c>
      <c r="H14" s="13">
        <v>0</v>
      </c>
      <c r="I14" s="13"/>
      <c r="J14" s="13"/>
      <c r="K14" s="181">
        <v>-11537.23</v>
      </c>
      <c r="L14" s="13" t="s">
        <v>374</v>
      </c>
    </row>
    <row r="15" spans="1:12" x14ac:dyDescent="0.25">
      <c r="A15" s="180">
        <v>45654</v>
      </c>
      <c r="B15" s="13"/>
      <c r="C15" s="181">
        <v>3994.66</v>
      </c>
      <c r="D15" s="13">
        <v>0</v>
      </c>
      <c r="E15" s="181">
        <v>3776.3</v>
      </c>
      <c r="F15" s="13"/>
      <c r="G15" s="13">
        <v>218.36</v>
      </c>
      <c r="H15" s="13">
        <v>0</v>
      </c>
      <c r="I15" s="13"/>
      <c r="J15" s="13"/>
      <c r="K15" s="181">
        <v>-7760.93</v>
      </c>
      <c r="L15" s="13" t="s">
        <v>375</v>
      </c>
    </row>
    <row r="16" spans="1:12" x14ac:dyDescent="0.25">
      <c r="A16" s="180">
        <v>45685</v>
      </c>
      <c r="B16" s="13"/>
      <c r="C16" s="181">
        <v>3994.66</v>
      </c>
      <c r="D16" s="13">
        <v>0</v>
      </c>
      <c r="E16" s="181">
        <v>3842.88</v>
      </c>
      <c r="F16" s="13"/>
      <c r="G16" s="13">
        <v>151.78</v>
      </c>
      <c r="H16" s="13">
        <v>0</v>
      </c>
      <c r="I16" s="13"/>
      <c r="J16" s="13"/>
      <c r="K16" s="181">
        <v>-3918.05</v>
      </c>
      <c r="L16" s="13" t="s">
        <v>376</v>
      </c>
    </row>
    <row r="17" spans="1:13" x14ac:dyDescent="0.25">
      <c r="A17" s="180">
        <v>45716</v>
      </c>
      <c r="B17" s="13"/>
      <c r="C17" s="181">
        <v>3994.69</v>
      </c>
      <c r="D17" s="13">
        <v>0</v>
      </c>
      <c r="E17" s="181">
        <v>3918.05</v>
      </c>
      <c r="F17" s="13"/>
      <c r="G17" s="13">
        <v>76.64</v>
      </c>
      <c r="H17" s="13">
        <v>0</v>
      </c>
      <c r="I17" s="13"/>
      <c r="J17" s="13"/>
      <c r="K17" s="13">
        <v>0</v>
      </c>
      <c r="L17" s="13">
        <v>0</v>
      </c>
    </row>
    <row r="19" spans="1:13" x14ac:dyDescent="0.25">
      <c r="B19" s="179" t="s">
        <v>1463</v>
      </c>
      <c r="C19" s="262">
        <v>45381</v>
      </c>
      <c r="D19" s="262">
        <v>45379</v>
      </c>
      <c r="J19" s="107"/>
      <c r="M19" s="107"/>
    </row>
    <row r="20" spans="1:13" x14ac:dyDescent="0.25">
      <c r="B20" s="13" t="s">
        <v>378</v>
      </c>
      <c r="C20" s="181">
        <f>-K5</f>
        <v>39249.300000000003</v>
      </c>
      <c r="D20" s="181">
        <f>+C20</f>
        <v>39249.300000000003</v>
      </c>
      <c r="J20" s="107"/>
      <c r="M20" s="107"/>
    </row>
    <row r="21" spans="1:13" x14ac:dyDescent="0.25">
      <c r="B21" s="13" t="s">
        <v>379</v>
      </c>
      <c r="C21" s="13">
        <f>+G7</f>
        <v>767.61</v>
      </c>
      <c r="D21" s="13"/>
      <c r="J21" s="107"/>
      <c r="M21" s="107"/>
    </row>
    <row r="22" spans="1:13" x14ac:dyDescent="0.25">
      <c r="B22" s="13" t="s">
        <v>380</v>
      </c>
      <c r="C22" s="13">
        <f>SUM(G8:G10)</f>
        <v>1877.0500000000002</v>
      </c>
      <c r="D22" s="13">
        <f>SUM(G7:G9)</f>
        <v>2089.09</v>
      </c>
      <c r="J22" s="107"/>
      <c r="M22" s="107"/>
    </row>
    <row r="23" spans="1:13" x14ac:dyDescent="0.25">
      <c r="B23" s="179" t="s">
        <v>1464</v>
      </c>
      <c r="C23" s="188">
        <f>SUM(C20:C22)</f>
        <v>41893.960000000006</v>
      </c>
      <c r="D23" s="188">
        <f>SUM(D20:D22)</f>
        <v>41338.39</v>
      </c>
      <c r="J23" s="107"/>
      <c r="M23" s="107"/>
    </row>
    <row r="24" spans="1:13" x14ac:dyDescent="0.25">
      <c r="C24" s="103"/>
      <c r="J24" s="107"/>
      <c r="M24" s="107"/>
    </row>
    <row r="25" spans="1:13" x14ac:dyDescent="0.25">
      <c r="A25" s="688"/>
      <c r="B25" s="258"/>
      <c r="C25" s="258"/>
      <c r="D25" s="258"/>
      <c r="E25" s="258"/>
      <c r="F25" s="258"/>
      <c r="G25" s="258"/>
      <c r="H25" s="258"/>
      <c r="J25" s="258"/>
      <c r="M25" s="258"/>
    </row>
    <row r="26" spans="1:13" x14ac:dyDescent="0.25">
      <c r="A26" s="688"/>
      <c r="B26" s="258"/>
      <c r="C26" s="258"/>
      <c r="D26" s="258"/>
      <c r="E26" s="258"/>
      <c r="F26" s="258"/>
      <c r="G26" s="258"/>
      <c r="H26" s="258"/>
      <c r="J26" s="258"/>
      <c r="M26" s="258"/>
    </row>
    <row r="27" spans="1:13" x14ac:dyDescent="0.25">
      <c r="A27" s="688"/>
      <c r="B27" s="258"/>
      <c r="C27" s="258"/>
      <c r="D27" s="258"/>
      <c r="E27" s="258"/>
      <c r="F27" s="258"/>
      <c r="G27" s="258"/>
      <c r="H27" s="258"/>
      <c r="J27" s="258"/>
      <c r="M27" s="258"/>
    </row>
    <row r="28" spans="1:13" x14ac:dyDescent="0.25">
      <c r="A28" s="107"/>
      <c r="B28" s="258"/>
      <c r="C28" s="258"/>
      <c r="D28" s="258"/>
      <c r="E28" s="258"/>
      <c r="F28" s="258"/>
      <c r="G28" s="258"/>
      <c r="H28" s="258"/>
      <c r="J28" s="258"/>
      <c r="M28" s="258"/>
    </row>
    <row r="29" spans="1:13" x14ac:dyDescent="0.25">
      <c r="B29" s="258"/>
      <c r="C29" s="258"/>
      <c r="D29" s="258"/>
      <c r="E29" s="258"/>
      <c r="F29" s="258"/>
      <c r="G29" s="258"/>
      <c r="H29" s="258"/>
      <c r="J29" s="258"/>
      <c r="M29" s="258"/>
    </row>
    <row r="30" spans="1:13" x14ac:dyDescent="0.25">
      <c r="B30" s="258"/>
      <c r="C30" s="258"/>
      <c r="D30" s="258"/>
      <c r="E30" s="258"/>
      <c r="F30" s="258"/>
      <c r="G30" s="258"/>
      <c r="H30" s="258"/>
      <c r="J30" s="258"/>
      <c r="M30" s="258"/>
    </row>
    <row r="31" spans="1:13" x14ac:dyDescent="0.25">
      <c r="B31" s="258"/>
      <c r="C31" s="258"/>
      <c r="D31" s="258"/>
      <c r="E31" s="258"/>
      <c r="F31" s="258"/>
      <c r="G31" s="258"/>
      <c r="H31" s="258"/>
      <c r="J31" s="258"/>
      <c r="M31" s="258"/>
    </row>
    <row r="32" spans="1:13" x14ac:dyDescent="0.25">
      <c r="B32" s="258"/>
      <c r="C32" s="258"/>
      <c r="D32" s="258"/>
      <c r="E32" s="258"/>
      <c r="F32" s="258"/>
      <c r="G32" s="258"/>
      <c r="H32" s="258"/>
      <c r="J32" s="258"/>
      <c r="M32" s="258"/>
    </row>
    <row r="33" spans="1:13" x14ac:dyDescent="0.25">
      <c r="B33" s="258"/>
      <c r="C33" s="258"/>
      <c r="D33" s="258"/>
      <c r="E33" s="258"/>
      <c r="F33" s="258"/>
      <c r="G33" s="258"/>
      <c r="H33" s="258"/>
      <c r="J33" s="258"/>
      <c r="M33" s="258"/>
    </row>
    <row r="34" spans="1:13" x14ac:dyDescent="0.25">
      <c r="B34" s="258"/>
      <c r="C34" s="258"/>
      <c r="D34" s="258"/>
      <c r="E34" s="258"/>
      <c r="F34" s="258"/>
      <c r="G34" s="258"/>
      <c r="H34" s="258"/>
      <c r="J34" s="258"/>
      <c r="M34" s="258"/>
    </row>
    <row r="41" spans="1:13" x14ac:dyDescent="0.25">
      <c r="A41" t="s">
        <v>102</v>
      </c>
      <c r="M41" t="s">
        <v>381</v>
      </c>
    </row>
    <row r="43" spans="1:13" x14ac:dyDescent="0.25">
      <c r="A43" t="s">
        <v>104</v>
      </c>
      <c r="B43" t="s">
        <v>105</v>
      </c>
      <c r="C43" t="s">
        <v>106</v>
      </c>
      <c r="D43" t="s">
        <v>107</v>
      </c>
      <c r="E43" t="s">
        <v>108</v>
      </c>
      <c r="F43" t="s">
        <v>109</v>
      </c>
      <c r="G43" t="s">
        <v>110</v>
      </c>
      <c r="H43" t="s">
        <v>111</v>
      </c>
      <c r="I43" t="s">
        <v>112</v>
      </c>
      <c r="J43" t="s">
        <v>113</v>
      </c>
      <c r="K43" t="s">
        <v>114</v>
      </c>
      <c r="L43" t="s">
        <v>115</v>
      </c>
    </row>
    <row r="44" spans="1:13" x14ac:dyDescent="0.25">
      <c r="A44" s="102">
        <v>45351</v>
      </c>
      <c r="C44" s="103">
        <v>1150</v>
      </c>
      <c r="D44">
        <v>0</v>
      </c>
      <c r="E44" s="103">
        <v>100000</v>
      </c>
      <c r="H44" s="103">
        <v>1000</v>
      </c>
      <c r="I44">
        <v>150</v>
      </c>
      <c r="J44" s="103">
        <v>100000</v>
      </c>
      <c r="K44" t="s">
        <v>116</v>
      </c>
      <c r="L44" t="s">
        <v>362</v>
      </c>
    </row>
    <row r="45" spans="1:13" x14ac:dyDescent="0.25">
      <c r="A45" s="102">
        <v>45368</v>
      </c>
      <c r="B45" t="s">
        <v>382</v>
      </c>
      <c r="C45" s="103"/>
      <c r="E45" s="103"/>
      <c r="H45" s="103"/>
      <c r="J45" s="103"/>
    </row>
    <row r="46" spans="1:13" x14ac:dyDescent="0.25">
      <c r="A46" s="102">
        <v>45371</v>
      </c>
      <c r="B46" t="s">
        <v>383</v>
      </c>
      <c r="C46" s="103"/>
      <c r="E46" s="103"/>
      <c r="H46" s="103"/>
      <c r="J46" s="103"/>
    </row>
    <row r="47" spans="1:13" x14ac:dyDescent="0.25">
      <c r="A47" s="102">
        <f>A48-7</f>
        <v>45372</v>
      </c>
      <c r="B47" t="s">
        <v>384</v>
      </c>
      <c r="C47" s="103"/>
      <c r="E47" s="103"/>
      <c r="H47" s="103"/>
      <c r="J47" s="103"/>
    </row>
    <row r="48" spans="1:13" x14ac:dyDescent="0.25">
      <c r="A48" s="104">
        <v>45379</v>
      </c>
      <c r="C48" s="103">
        <v>11460.72</v>
      </c>
      <c r="D48">
        <v>0</v>
      </c>
      <c r="E48" s="103">
        <v>8021.14</v>
      </c>
      <c r="G48">
        <v>767.12</v>
      </c>
      <c r="H48" s="103">
        <v>2672.46</v>
      </c>
      <c r="K48" t="s">
        <v>385</v>
      </c>
      <c r="L48" t="s">
        <v>365</v>
      </c>
    </row>
    <row r="49" spans="1:12" x14ac:dyDescent="0.25">
      <c r="A49" s="102">
        <v>45410</v>
      </c>
      <c r="C49" s="103">
        <v>3994.66</v>
      </c>
      <c r="D49">
        <v>0</v>
      </c>
      <c r="E49" s="103">
        <v>3227.05</v>
      </c>
      <c r="G49" s="110">
        <v>767.61</v>
      </c>
      <c r="H49">
        <v>0</v>
      </c>
      <c r="K49" t="s">
        <v>386</v>
      </c>
      <c r="L49" t="s">
        <v>367</v>
      </c>
    </row>
    <row r="50" spans="1:12" x14ac:dyDescent="0.25">
      <c r="A50" s="102">
        <v>45440</v>
      </c>
      <c r="C50" s="103">
        <v>3994.66</v>
      </c>
      <c r="D50">
        <v>0</v>
      </c>
      <c r="E50" s="103">
        <v>3312.89</v>
      </c>
      <c r="G50" s="110">
        <v>681.77</v>
      </c>
      <c r="H50">
        <v>0</v>
      </c>
      <c r="K50" t="s">
        <v>387</v>
      </c>
      <c r="L50" t="s">
        <v>368</v>
      </c>
    </row>
    <row r="51" spans="1:12" x14ac:dyDescent="0.25">
      <c r="A51" s="102">
        <v>45471</v>
      </c>
      <c r="C51" s="103">
        <v>3994.66</v>
      </c>
      <c r="D51">
        <v>0</v>
      </c>
      <c r="E51" s="103">
        <v>3354.95</v>
      </c>
      <c r="G51" s="110">
        <v>639.71</v>
      </c>
      <c r="H51">
        <v>0</v>
      </c>
      <c r="K51" t="s">
        <v>388</v>
      </c>
      <c r="L51" t="s">
        <v>369</v>
      </c>
    </row>
    <row r="52" spans="1:12" x14ac:dyDescent="0.25">
      <c r="A52" s="102">
        <v>45501</v>
      </c>
      <c r="C52" s="103">
        <v>3994.66</v>
      </c>
      <c r="D52">
        <v>0</v>
      </c>
      <c r="E52" s="103">
        <v>3439.09</v>
      </c>
      <c r="G52" s="110">
        <v>555.57000000000005</v>
      </c>
      <c r="H52">
        <v>0</v>
      </c>
      <c r="K52" t="s">
        <v>389</v>
      </c>
      <c r="L52" t="s">
        <v>370</v>
      </c>
    </row>
    <row r="53" spans="1:12" x14ac:dyDescent="0.25">
      <c r="A53" s="102">
        <v>45532</v>
      </c>
      <c r="C53" s="103">
        <v>3994.66</v>
      </c>
      <c r="D53">
        <v>0</v>
      </c>
      <c r="E53" s="103">
        <v>3487.83</v>
      </c>
      <c r="G53">
        <v>506.83</v>
      </c>
      <c r="H53">
        <v>0</v>
      </c>
      <c r="K53" t="s">
        <v>390</v>
      </c>
      <c r="L53" t="s">
        <v>371</v>
      </c>
    </row>
    <row r="54" spans="1:12" x14ac:dyDescent="0.25">
      <c r="A54" s="102">
        <v>45563</v>
      </c>
      <c r="C54" s="103">
        <v>3994.66</v>
      </c>
      <c r="D54">
        <v>0</v>
      </c>
      <c r="E54" s="103">
        <v>3556.04</v>
      </c>
      <c r="G54">
        <v>438.62</v>
      </c>
      <c r="H54">
        <v>0</v>
      </c>
      <c r="K54" t="s">
        <v>391</v>
      </c>
      <c r="L54" t="s">
        <v>372</v>
      </c>
    </row>
    <row r="55" spans="1:12" x14ac:dyDescent="0.25">
      <c r="A55" s="102">
        <v>45593</v>
      </c>
      <c r="C55" s="103">
        <v>3994.66</v>
      </c>
      <c r="D55">
        <v>0</v>
      </c>
      <c r="E55" s="103">
        <v>3637.49</v>
      </c>
      <c r="G55">
        <v>357.17</v>
      </c>
      <c r="H55">
        <v>0</v>
      </c>
      <c r="K55" t="s">
        <v>392</v>
      </c>
      <c r="L55" t="s">
        <v>373</v>
      </c>
    </row>
    <row r="56" spans="1:12" x14ac:dyDescent="0.25">
      <c r="A56" s="102">
        <v>45624</v>
      </c>
      <c r="C56" s="103">
        <v>3994.66</v>
      </c>
      <c r="D56">
        <v>0</v>
      </c>
      <c r="E56" s="103">
        <v>3696.73</v>
      </c>
      <c r="G56">
        <v>297.93</v>
      </c>
      <c r="H56">
        <v>0</v>
      </c>
      <c r="K56" t="s">
        <v>393</v>
      </c>
      <c r="L56" t="s">
        <v>374</v>
      </c>
    </row>
    <row r="57" spans="1:12" x14ac:dyDescent="0.25">
      <c r="A57" s="102">
        <v>45654</v>
      </c>
      <c r="C57" s="103">
        <v>3994.66</v>
      </c>
      <c r="D57">
        <v>0</v>
      </c>
      <c r="E57" s="103">
        <v>3776.3</v>
      </c>
      <c r="G57">
        <v>218.36</v>
      </c>
      <c r="H57">
        <v>0</v>
      </c>
      <c r="K57" t="s">
        <v>394</v>
      </c>
      <c r="L57" t="s">
        <v>375</v>
      </c>
    </row>
    <row r="58" spans="1:12" x14ac:dyDescent="0.25">
      <c r="A58" s="102">
        <v>45685</v>
      </c>
      <c r="C58" s="103">
        <v>3994.66</v>
      </c>
      <c r="D58">
        <v>0</v>
      </c>
      <c r="E58" s="103">
        <v>3842.88</v>
      </c>
      <c r="G58">
        <v>151.78</v>
      </c>
      <c r="H58">
        <v>0</v>
      </c>
      <c r="K58" t="s">
        <v>395</v>
      </c>
      <c r="L58" t="s">
        <v>376</v>
      </c>
    </row>
    <row r="59" spans="1:12" x14ac:dyDescent="0.25">
      <c r="A59" s="102">
        <v>45716</v>
      </c>
      <c r="C59" s="103">
        <v>3994.69</v>
      </c>
      <c r="D59">
        <v>0</v>
      </c>
      <c r="E59" s="103">
        <v>3918.05</v>
      </c>
      <c r="G59">
        <v>76.64</v>
      </c>
      <c r="H59">
        <v>0</v>
      </c>
      <c r="K59">
        <v>0</v>
      </c>
      <c r="L59">
        <v>0</v>
      </c>
    </row>
    <row r="62" spans="1:12" x14ac:dyDescent="0.25">
      <c r="F62" t="s">
        <v>396</v>
      </c>
      <c r="G62" s="107">
        <f>SUM(G49:G52)</f>
        <v>2644.6600000000003</v>
      </c>
      <c r="H62" t="s">
        <v>397</v>
      </c>
    </row>
    <row r="63" spans="1:12" x14ac:dyDescent="0.25">
      <c r="B63" t="s">
        <v>398</v>
      </c>
    </row>
    <row r="64" spans="1:12" x14ac:dyDescent="0.25">
      <c r="B64" t="s">
        <v>399</v>
      </c>
    </row>
    <row r="65" spans="1:2" x14ac:dyDescent="0.25">
      <c r="B65" t="s">
        <v>400</v>
      </c>
    </row>
    <row r="66" spans="1:2" x14ac:dyDescent="0.25">
      <c r="A66" t="s">
        <v>401</v>
      </c>
      <c r="B66" t="s">
        <v>402</v>
      </c>
    </row>
  </sheetData>
  <mergeCells count="1">
    <mergeCell ref="A25:A27"/>
  </mergeCells>
  <pageMargins left="0.7" right="0.7" top="0.75" bottom="0.75" header="0.3" footer="0.3"/>
  <pageSetup orientation="portrait" r:id="rId1"/>
  <headerFooter>
    <oddFooter>&amp;L&amp;"Calibri Light,Regular"&amp;09&amp;K00C000Public</oddFooter>
    <evenFooter>&amp;L&amp;"Calibri Light,Regular"&amp;09&amp;K00C000Public</evenFooter>
    <firstFooter>&amp;L&amp;"Calibri Light,Regular"&amp;09&amp;K00C000Public</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D9BF5-58B0-43E8-B248-78775D2BA737}">
  <sheetPr>
    <pageSetUpPr autoPageBreaks="0"/>
  </sheetPr>
  <dimension ref="A1:L83"/>
  <sheetViews>
    <sheetView topLeftCell="A25" workbookViewId="0">
      <selection activeCell="F31" sqref="F31"/>
    </sheetView>
  </sheetViews>
  <sheetFormatPr defaultRowHeight="15" x14ac:dyDescent="0.25"/>
  <cols>
    <col min="1" max="1" width="25.28515625" bestFit="1" customWidth="1"/>
    <col min="2" max="2" width="13.28515625" customWidth="1"/>
    <col min="3" max="3" width="23" bestFit="1" customWidth="1"/>
    <col min="4" max="4" width="11.7109375" bestFit="1" customWidth="1"/>
    <col min="5" max="5" width="10.140625" bestFit="1" customWidth="1"/>
    <col min="6" max="6" width="12.7109375" bestFit="1" customWidth="1"/>
    <col min="7" max="7" width="13.28515625" bestFit="1" customWidth="1"/>
    <col min="9" max="9" width="7.140625" bestFit="1" customWidth="1"/>
    <col min="10" max="10" width="10.28515625" bestFit="1" customWidth="1"/>
    <col min="11" max="11" width="11.28515625" bestFit="1" customWidth="1"/>
  </cols>
  <sheetData>
    <row r="1" spans="1:11" ht="15.75" x14ac:dyDescent="0.25">
      <c r="A1" s="111" t="s">
        <v>403</v>
      </c>
    </row>
    <row r="2" spans="1:11" ht="15.75" x14ac:dyDescent="0.25">
      <c r="A2" s="112" t="s">
        <v>361</v>
      </c>
      <c r="B2" s="113">
        <v>45322</v>
      </c>
    </row>
    <row r="3" spans="1:11" ht="15.75" x14ac:dyDescent="0.25">
      <c r="A3" s="112" t="s">
        <v>404</v>
      </c>
      <c r="B3" s="114">
        <v>200000</v>
      </c>
      <c r="C3" t="s">
        <v>405</v>
      </c>
      <c r="D3" s="115">
        <v>45337</v>
      </c>
    </row>
    <row r="4" spans="1:11" ht="15.75" x14ac:dyDescent="0.25">
      <c r="A4" s="112" t="s">
        <v>406</v>
      </c>
      <c r="B4" s="116">
        <v>0.12</v>
      </c>
      <c r="C4" t="s">
        <v>407</v>
      </c>
      <c r="D4" s="117">
        <f>SUM(F13:F24)</f>
        <v>11995.63</v>
      </c>
      <c r="E4" s="124">
        <f>+D7*1*B3</f>
        <v>12545.572922636104</v>
      </c>
    </row>
    <row r="5" spans="1:11" ht="15.75" x14ac:dyDescent="0.25">
      <c r="A5" s="112" t="s">
        <v>408</v>
      </c>
      <c r="B5" t="s">
        <v>409</v>
      </c>
      <c r="C5" t="s">
        <v>410</v>
      </c>
      <c r="D5" s="103">
        <f>+C13</f>
        <v>17666.3</v>
      </c>
    </row>
    <row r="6" spans="1:11" ht="15.75" x14ac:dyDescent="0.25">
      <c r="A6" s="112" t="s">
        <v>411</v>
      </c>
      <c r="B6" s="113">
        <v>45350</v>
      </c>
      <c r="C6" t="s">
        <v>412</v>
      </c>
      <c r="D6" s="320">
        <v>0.15329899999999999</v>
      </c>
      <c r="J6" s="321">
        <f>+XIRR(J12:J24,A12:A24)</f>
        <v>0.15329998135566711</v>
      </c>
    </row>
    <row r="7" spans="1:11" ht="15.75" x14ac:dyDescent="0.25">
      <c r="A7" s="112" t="s">
        <v>413</v>
      </c>
      <c r="B7" s="113">
        <v>45685</v>
      </c>
      <c r="C7" t="s">
        <v>414</v>
      </c>
      <c r="D7" s="119">
        <f>(D4/(A24-A12)*365)/B3</f>
        <v>6.2727864613180515E-2</v>
      </c>
    </row>
    <row r="8" spans="1:11" ht="16.5" x14ac:dyDescent="0.35">
      <c r="A8" s="112" t="s">
        <v>415</v>
      </c>
      <c r="B8" t="s">
        <v>416</v>
      </c>
      <c r="C8" t="s">
        <v>417</v>
      </c>
      <c r="D8" s="114">
        <f>+B7-D3</f>
        <v>348</v>
      </c>
      <c r="E8" t="s">
        <v>418</v>
      </c>
      <c r="F8" s="120" t="s">
        <v>419</v>
      </c>
    </row>
    <row r="10" spans="1:11" x14ac:dyDescent="0.25">
      <c r="A10" t="s">
        <v>102</v>
      </c>
    </row>
    <row r="11" spans="1:11" x14ac:dyDescent="0.25">
      <c r="A11" t="s">
        <v>104</v>
      </c>
      <c r="B11" t="s">
        <v>105</v>
      </c>
      <c r="C11" t="s">
        <v>106</v>
      </c>
      <c r="D11" t="s">
        <v>107</v>
      </c>
      <c r="E11" t="s">
        <v>108</v>
      </c>
      <c r="F11" t="s">
        <v>109</v>
      </c>
      <c r="G11" t="s">
        <v>420</v>
      </c>
      <c r="H11" t="s">
        <v>111</v>
      </c>
      <c r="I11" t="s">
        <v>112</v>
      </c>
      <c r="J11" t="s">
        <v>113</v>
      </c>
      <c r="K11" t="s">
        <v>114</v>
      </c>
    </row>
    <row r="12" spans="1:11" x14ac:dyDescent="0.25">
      <c r="A12" s="121">
        <v>45336</v>
      </c>
      <c r="C12" s="103">
        <v>2300</v>
      </c>
      <c r="D12">
        <v>0</v>
      </c>
      <c r="E12" s="103">
        <v>200000</v>
      </c>
      <c r="H12" s="103">
        <v>2000</v>
      </c>
      <c r="I12">
        <v>300</v>
      </c>
      <c r="J12" s="103">
        <f>C12-E12</f>
        <v>-197700</v>
      </c>
      <c r="K12" s="103">
        <v>-200000</v>
      </c>
    </row>
    <row r="13" spans="1:11" x14ac:dyDescent="0.25">
      <c r="A13" s="102">
        <v>45350</v>
      </c>
      <c r="B13">
        <f>A13-D3</f>
        <v>13</v>
      </c>
      <c r="C13" s="103">
        <v>17666.3</v>
      </c>
      <c r="D13">
        <v>0</v>
      </c>
      <c r="E13" s="103">
        <v>16811.509999999998</v>
      </c>
      <c r="F13">
        <v>854.79</v>
      </c>
      <c r="G13" s="122">
        <f>(F13/B13*365)/-K12</f>
        <v>0.11999936538461538</v>
      </c>
      <c r="H13">
        <v>0</v>
      </c>
      <c r="J13" s="103">
        <f>+C13</f>
        <v>17666.3</v>
      </c>
      <c r="K13" s="103">
        <v>-183188.49</v>
      </c>
    </row>
    <row r="14" spans="1:11" x14ac:dyDescent="0.25">
      <c r="A14" s="102">
        <v>45379</v>
      </c>
      <c r="B14">
        <f>A14-A13</f>
        <v>29</v>
      </c>
      <c r="C14" s="103">
        <v>17666.3</v>
      </c>
      <c r="D14">
        <v>0</v>
      </c>
      <c r="E14" s="103">
        <v>15919.74</v>
      </c>
      <c r="F14" s="103">
        <v>1746.56</v>
      </c>
      <c r="G14" s="122">
        <f t="shared" ref="G14:G24" si="0">(F14/B14*365)/-K13</f>
        <v>0.11999970913697351</v>
      </c>
      <c r="H14">
        <v>0</v>
      </c>
      <c r="J14" s="103">
        <f t="shared" ref="J14:J24" si="1">+C14</f>
        <v>17666.3</v>
      </c>
      <c r="K14" s="103">
        <v>-167268.75</v>
      </c>
    </row>
    <row r="15" spans="1:11" x14ac:dyDescent="0.25">
      <c r="A15" s="102">
        <v>45410</v>
      </c>
      <c r="B15">
        <f t="shared" ref="B15:B24" si="2">A15-A14</f>
        <v>31</v>
      </c>
      <c r="C15" s="103">
        <v>17666.3</v>
      </c>
      <c r="D15">
        <v>0</v>
      </c>
      <c r="E15" s="103">
        <v>15961.53</v>
      </c>
      <c r="F15" s="103">
        <v>1704.77</v>
      </c>
      <c r="G15" s="122">
        <f t="shared" si="0"/>
        <v>0.12000025070722338</v>
      </c>
      <c r="H15">
        <v>0</v>
      </c>
      <c r="J15" s="103">
        <f t="shared" si="1"/>
        <v>17666.3</v>
      </c>
      <c r="K15" s="103">
        <v>-151307.22</v>
      </c>
    </row>
    <row r="16" spans="1:11" x14ac:dyDescent="0.25">
      <c r="A16" s="102">
        <v>45440</v>
      </c>
      <c r="B16">
        <f t="shared" si="2"/>
        <v>30</v>
      </c>
      <c r="C16" s="103">
        <v>17666.3</v>
      </c>
      <c r="D16">
        <v>0</v>
      </c>
      <c r="E16" s="103">
        <v>16173.96</v>
      </c>
      <c r="F16" s="103">
        <v>1492.34</v>
      </c>
      <c r="G16" s="122">
        <f t="shared" si="0"/>
        <v>0.11999958318798887</v>
      </c>
      <c r="H16">
        <v>0</v>
      </c>
      <c r="J16" s="103">
        <f t="shared" si="1"/>
        <v>17666.3</v>
      </c>
      <c r="K16" s="103">
        <v>-135133.26</v>
      </c>
    </row>
    <row r="17" spans="1:11" x14ac:dyDescent="0.25">
      <c r="A17" s="102">
        <v>45471</v>
      </c>
      <c r="B17">
        <f t="shared" si="2"/>
        <v>31</v>
      </c>
      <c r="C17" s="103">
        <v>17666.3</v>
      </c>
      <c r="D17">
        <v>0</v>
      </c>
      <c r="E17" s="103">
        <v>16289.05</v>
      </c>
      <c r="F17" s="103">
        <v>1377.25</v>
      </c>
      <c r="G17" s="122">
        <f t="shared" si="0"/>
        <v>0.12000012479915106</v>
      </c>
      <c r="H17">
        <v>0</v>
      </c>
      <c r="J17" s="103">
        <f t="shared" si="1"/>
        <v>17666.3</v>
      </c>
      <c r="K17" s="103">
        <v>-118844.21</v>
      </c>
    </row>
    <row r="18" spans="1:11" x14ac:dyDescent="0.25">
      <c r="A18" s="102">
        <v>45501</v>
      </c>
      <c r="B18">
        <f t="shared" si="2"/>
        <v>30</v>
      </c>
      <c r="C18" s="103">
        <v>17666.3</v>
      </c>
      <c r="D18">
        <v>0</v>
      </c>
      <c r="E18" s="103">
        <v>16494.14</v>
      </c>
      <c r="F18" s="103">
        <v>1172.1600000000001</v>
      </c>
      <c r="G18" s="122">
        <f t="shared" si="0"/>
        <v>0.11999978795769689</v>
      </c>
      <c r="H18">
        <v>0</v>
      </c>
      <c r="J18" s="103">
        <f t="shared" si="1"/>
        <v>17666.3</v>
      </c>
      <c r="K18" s="103">
        <v>-102350.07</v>
      </c>
    </row>
    <row r="19" spans="1:11" x14ac:dyDescent="0.25">
      <c r="A19" s="102">
        <v>45532</v>
      </c>
      <c r="B19">
        <f t="shared" si="2"/>
        <v>31</v>
      </c>
      <c r="C19" s="103">
        <v>17666.3</v>
      </c>
      <c r="D19">
        <v>0</v>
      </c>
      <c r="E19" s="103">
        <v>16623.169999999998</v>
      </c>
      <c r="F19" s="103">
        <v>1043.1300000000001</v>
      </c>
      <c r="G19" s="122">
        <f t="shared" si="0"/>
        <v>0.12000005975695995</v>
      </c>
      <c r="H19">
        <v>0</v>
      </c>
      <c r="J19" s="103">
        <f t="shared" si="1"/>
        <v>17666.3</v>
      </c>
      <c r="K19" s="103">
        <v>-85726.9</v>
      </c>
    </row>
    <row r="20" spans="1:11" x14ac:dyDescent="0.25">
      <c r="A20" s="102">
        <v>45563</v>
      </c>
      <c r="B20">
        <f t="shared" si="2"/>
        <v>31</v>
      </c>
      <c r="C20" s="103">
        <v>17666.3</v>
      </c>
      <c r="D20">
        <v>0</v>
      </c>
      <c r="E20" s="103">
        <v>16792.59</v>
      </c>
      <c r="F20">
        <v>873.71</v>
      </c>
      <c r="G20" s="122">
        <f t="shared" si="0"/>
        <v>0.12000003085567412</v>
      </c>
      <c r="H20">
        <v>0</v>
      </c>
      <c r="J20" s="103">
        <f t="shared" si="1"/>
        <v>17666.3</v>
      </c>
      <c r="K20" s="103">
        <v>-68934.31</v>
      </c>
    </row>
    <row r="21" spans="1:11" x14ac:dyDescent="0.25">
      <c r="A21" s="102">
        <v>45593</v>
      </c>
      <c r="B21">
        <f t="shared" si="2"/>
        <v>30</v>
      </c>
      <c r="C21" s="103">
        <v>17666.3</v>
      </c>
      <c r="D21">
        <v>0</v>
      </c>
      <c r="E21" s="103">
        <v>16986.400000000001</v>
      </c>
      <c r="F21">
        <v>679.9</v>
      </c>
      <c r="G21" s="122">
        <f t="shared" si="0"/>
        <v>0.11999999226316571</v>
      </c>
      <c r="H21">
        <v>0</v>
      </c>
      <c r="J21" s="103">
        <f t="shared" si="1"/>
        <v>17666.3</v>
      </c>
      <c r="K21" s="103">
        <v>-51947.91</v>
      </c>
    </row>
    <row r="22" spans="1:11" x14ac:dyDescent="0.25">
      <c r="A22" s="102">
        <v>45624</v>
      </c>
      <c r="B22">
        <f t="shared" si="2"/>
        <v>31</v>
      </c>
      <c r="C22" s="103">
        <v>17666.3</v>
      </c>
      <c r="D22">
        <v>0</v>
      </c>
      <c r="E22" s="103">
        <v>17136.86</v>
      </c>
      <c r="F22">
        <v>529.44000000000005</v>
      </c>
      <c r="G22" s="122">
        <f t="shared" si="0"/>
        <v>0.11999961176990692</v>
      </c>
      <c r="H22">
        <v>0</v>
      </c>
      <c r="J22" s="103">
        <f t="shared" si="1"/>
        <v>17666.3</v>
      </c>
      <c r="K22" s="103">
        <v>-34811.050000000003</v>
      </c>
    </row>
    <row r="23" spans="1:11" x14ac:dyDescent="0.25">
      <c r="A23" s="102">
        <v>45654</v>
      </c>
      <c r="B23">
        <f t="shared" si="2"/>
        <v>30</v>
      </c>
      <c r="C23" s="103">
        <v>17666.3</v>
      </c>
      <c r="D23">
        <v>0</v>
      </c>
      <c r="E23" s="103">
        <v>17322.96</v>
      </c>
      <c r="F23">
        <v>343.34</v>
      </c>
      <c r="G23" s="122">
        <f t="shared" si="0"/>
        <v>0.11999934886575765</v>
      </c>
      <c r="H23">
        <v>0</v>
      </c>
      <c r="J23" s="103">
        <f t="shared" si="1"/>
        <v>17666.3</v>
      </c>
      <c r="K23" s="103">
        <v>-17488.09</v>
      </c>
    </row>
    <row r="24" spans="1:11" x14ac:dyDescent="0.25">
      <c r="A24" s="102">
        <v>45685</v>
      </c>
      <c r="B24">
        <f t="shared" si="2"/>
        <v>31</v>
      </c>
      <c r="C24" s="103">
        <v>17666.330000000002</v>
      </c>
      <c r="D24">
        <v>0</v>
      </c>
      <c r="E24" s="103">
        <v>17488.09</v>
      </c>
      <c r="F24">
        <v>178.24</v>
      </c>
      <c r="G24" s="122">
        <f t="shared" si="0"/>
        <v>0.12000351428112026</v>
      </c>
      <c r="H24">
        <v>0</v>
      </c>
      <c r="J24" s="103">
        <f t="shared" si="1"/>
        <v>17666.330000000002</v>
      </c>
      <c r="K24">
        <v>0</v>
      </c>
    </row>
    <row r="25" spans="1:11" x14ac:dyDescent="0.25">
      <c r="B25" s="123">
        <f>SUM(B13:B24)</f>
        <v>348</v>
      </c>
      <c r="D25" s="124">
        <f>B51-B25</f>
        <v>15</v>
      </c>
      <c r="F25" s="125">
        <f>SUM(F13:F24)</f>
        <v>11995.63</v>
      </c>
    </row>
    <row r="26" spans="1:11" ht="15.75" x14ac:dyDescent="0.25">
      <c r="A26" s="111" t="s">
        <v>421</v>
      </c>
      <c r="B26" s="111"/>
    </row>
    <row r="27" spans="1:11" ht="15.75" x14ac:dyDescent="0.25">
      <c r="A27" s="112" t="s">
        <v>361</v>
      </c>
      <c r="B27" s="113">
        <v>45322</v>
      </c>
    </row>
    <row r="28" spans="1:11" ht="15.75" x14ac:dyDescent="0.25">
      <c r="A28" s="112" t="s">
        <v>404</v>
      </c>
      <c r="B28" s="114">
        <v>200000</v>
      </c>
      <c r="C28" t="s">
        <v>405</v>
      </c>
      <c r="D28" s="113">
        <v>45322</v>
      </c>
    </row>
    <row r="29" spans="1:11" ht="15.75" x14ac:dyDescent="0.25">
      <c r="A29" s="112" t="s">
        <v>406</v>
      </c>
      <c r="B29" s="116">
        <f>+I39</f>
        <v>0.1105669732142857</v>
      </c>
      <c r="C29" t="s">
        <v>407</v>
      </c>
      <c r="D29" s="117">
        <f>SUM(G39:G50)</f>
        <v>11995.630000000001</v>
      </c>
      <c r="F29" t="s">
        <v>422</v>
      </c>
      <c r="G29" s="116">
        <f>+B4</f>
        <v>0.12</v>
      </c>
      <c r="J29" s="116">
        <f>B29-G29</f>
        <v>-9.4330267857142963E-3</v>
      </c>
    </row>
    <row r="30" spans="1:11" ht="15.75" x14ac:dyDescent="0.25">
      <c r="A30" s="112" t="s">
        <v>408</v>
      </c>
      <c r="B30" t="s">
        <v>409</v>
      </c>
      <c r="C30" t="s">
        <v>410</v>
      </c>
      <c r="D30" s="103">
        <f>+C39</f>
        <v>17666.3</v>
      </c>
    </row>
    <row r="31" spans="1:11" ht="15.75" x14ac:dyDescent="0.25">
      <c r="A31" s="112" t="s">
        <v>411</v>
      </c>
      <c r="B31" s="113">
        <v>45350</v>
      </c>
      <c r="C31" t="s">
        <v>412</v>
      </c>
      <c r="D31" s="118">
        <v>0.14128399999999999</v>
      </c>
      <c r="F31" s="322">
        <f>D29/B28</f>
        <v>5.9978150000000008E-2</v>
      </c>
    </row>
    <row r="32" spans="1:11" ht="15.75" x14ac:dyDescent="0.25">
      <c r="A32" s="112" t="s">
        <v>413</v>
      </c>
      <c r="B32" s="113">
        <v>45685</v>
      </c>
      <c r="C32" t="s">
        <v>414</v>
      </c>
      <c r="D32" s="119">
        <f>(D29/(A50-A38)*365)/B28</f>
        <v>6.0308608126721765E-2</v>
      </c>
      <c r="E32" s="124">
        <f>+D32*B28</f>
        <v>12061.721625344353</v>
      </c>
    </row>
    <row r="33" spans="1:12" ht="15.75" x14ac:dyDescent="0.25">
      <c r="A33" s="112" t="s">
        <v>423</v>
      </c>
      <c r="B33" t="s">
        <v>424</v>
      </c>
      <c r="C33" t="s">
        <v>417</v>
      </c>
      <c r="D33" s="114">
        <f>+B32-D28</f>
        <v>363</v>
      </c>
    </row>
    <row r="34" spans="1:12" ht="15.75" x14ac:dyDescent="0.25">
      <c r="A34" s="112" t="s">
        <v>425</v>
      </c>
      <c r="B34" t="s">
        <v>426</v>
      </c>
    </row>
    <row r="36" spans="1:12" x14ac:dyDescent="0.25">
      <c r="A36" t="s">
        <v>102</v>
      </c>
    </row>
    <row r="37" spans="1:12" x14ac:dyDescent="0.25">
      <c r="A37" t="s">
        <v>104</v>
      </c>
      <c r="B37" t="s">
        <v>105</v>
      </c>
      <c r="C37" t="s">
        <v>106</v>
      </c>
      <c r="D37" t="s">
        <v>107</v>
      </c>
      <c r="E37" t="s">
        <v>108</v>
      </c>
      <c r="F37" t="s">
        <v>109</v>
      </c>
      <c r="G37" t="s">
        <v>110</v>
      </c>
      <c r="H37" t="s">
        <v>111</v>
      </c>
      <c r="I37" t="s">
        <v>112</v>
      </c>
      <c r="J37" t="s">
        <v>113</v>
      </c>
      <c r="K37" t="s">
        <v>114</v>
      </c>
      <c r="L37" t="s">
        <v>115</v>
      </c>
    </row>
    <row r="38" spans="1:12" x14ac:dyDescent="0.25">
      <c r="A38" s="121">
        <v>45322</v>
      </c>
      <c r="C38" s="103">
        <v>2300</v>
      </c>
      <c r="D38">
        <v>0</v>
      </c>
      <c r="E38" s="103">
        <v>200000</v>
      </c>
      <c r="H38" s="103">
        <v>2000</v>
      </c>
      <c r="I38">
        <v>300</v>
      </c>
      <c r="J38" s="103">
        <v>200000</v>
      </c>
      <c r="K38" s="103">
        <v>-200000</v>
      </c>
      <c r="L38" t="s">
        <v>427</v>
      </c>
    </row>
    <row r="39" spans="1:12" x14ac:dyDescent="0.25">
      <c r="A39" s="102">
        <v>45350</v>
      </c>
      <c r="B39" s="125">
        <f>+A39-A38</f>
        <v>28</v>
      </c>
      <c r="C39" s="103">
        <v>17666.3</v>
      </c>
      <c r="D39">
        <v>0</v>
      </c>
      <c r="E39" s="103">
        <v>15969.93</v>
      </c>
      <c r="G39" s="103">
        <v>1696.37</v>
      </c>
      <c r="H39">
        <v>0</v>
      </c>
      <c r="I39" s="122">
        <f>(G39/B39*365)/-K38</f>
        <v>0.1105669732142857</v>
      </c>
      <c r="K39" s="103">
        <v>-184030.07</v>
      </c>
      <c r="L39" t="s">
        <v>428</v>
      </c>
    </row>
    <row r="40" spans="1:12" x14ac:dyDescent="0.25">
      <c r="A40" s="102">
        <v>45379</v>
      </c>
      <c r="B40" s="125">
        <f t="shared" ref="B40:B50" si="3">+A40-A39</f>
        <v>29</v>
      </c>
      <c r="C40" s="103">
        <v>17666.3</v>
      </c>
      <c r="D40">
        <v>0</v>
      </c>
      <c r="E40" s="103">
        <v>16049.63</v>
      </c>
      <c r="G40" s="103">
        <v>1616.67</v>
      </c>
      <c r="H40">
        <v>0</v>
      </c>
      <c r="I40" s="122">
        <f t="shared" ref="I40:I50" si="4">(G40/B40*365)/-K39</f>
        <v>0.1105674909727974</v>
      </c>
      <c r="K40" s="103">
        <v>-167980.44</v>
      </c>
      <c r="L40" t="s">
        <v>429</v>
      </c>
    </row>
    <row r="41" spans="1:12" x14ac:dyDescent="0.25">
      <c r="A41" s="102">
        <v>45410</v>
      </c>
      <c r="B41" s="125">
        <f t="shared" si="3"/>
        <v>31</v>
      </c>
      <c r="C41" s="103">
        <v>17666.3</v>
      </c>
      <c r="D41">
        <v>0</v>
      </c>
      <c r="E41" s="103">
        <v>16088.85</v>
      </c>
      <c r="G41" s="103">
        <v>1577.45</v>
      </c>
      <c r="H41">
        <v>0</v>
      </c>
      <c r="I41" s="122">
        <f t="shared" si="4"/>
        <v>0.11056764473829946</v>
      </c>
      <c r="K41" s="103">
        <v>-151891.59</v>
      </c>
      <c r="L41" t="s">
        <v>430</v>
      </c>
    </row>
    <row r="42" spans="1:12" x14ac:dyDescent="0.25">
      <c r="A42" s="102">
        <v>45440</v>
      </c>
      <c r="B42" s="125">
        <f t="shared" si="3"/>
        <v>30</v>
      </c>
      <c r="C42" s="103">
        <v>17666.3</v>
      </c>
      <c r="D42">
        <v>0</v>
      </c>
      <c r="E42" s="103">
        <v>16285.95</v>
      </c>
      <c r="G42" s="103">
        <v>1380.35</v>
      </c>
      <c r="H42">
        <v>0</v>
      </c>
      <c r="I42" s="122">
        <f t="shared" si="4"/>
        <v>0.11056740095572988</v>
      </c>
      <c r="K42" s="103">
        <v>-135605.64000000001</v>
      </c>
      <c r="L42" t="s">
        <v>431</v>
      </c>
    </row>
    <row r="43" spans="1:12" x14ac:dyDescent="0.25">
      <c r="A43" s="102">
        <v>45471</v>
      </c>
      <c r="B43" s="125">
        <f t="shared" si="3"/>
        <v>31</v>
      </c>
      <c r="C43" s="103">
        <v>17666.3</v>
      </c>
      <c r="D43">
        <v>0</v>
      </c>
      <c r="E43" s="103">
        <v>16392.88</v>
      </c>
      <c r="G43" s="103">
        <v>1273.42</v>
      </c>
      <c r="H43">
        <v>0</v>
      </c>
      <c r="I43" s="122">
        <f t="shared" si="4"/>
        <v>0.11056688754529012</v>
      </c>
      <c r="K43" s="103">
        <v>-119212.76</v>
      </c>
      <c r="L43" t="s">
        <v>432</v>
      </c>
    </row>
    <row r="44" spans="1:12" x14ac:dyDescent="0.25">
      <c r="A44" s="102">
        <v>45501</v>
      </c>
      <c r="B44" s="125">
        <f t="shared" si="3"/>
        <v>30</v>
      </c>
      <c r="C44" s="103">
        <v>17666.3</v>
      </c>
      <c r="D44">
        <v>0</v>
      </c>
      <c r="E44" s="103">
        <v>16582.93</v>
      </c>
      <c r="G44" s="103">
        <v>1083.3699999999999</v>
      </c>
      <c r="H44">
        <v>0</v>
      </c>
      <c r="I44" s="122">
        <f t="shared" si="4"/>
        <v>0.1105670371751033</v>
      </c>
      <c r="K44" s="103">
        <v>-102629.83</v>
      </c>
      <c r="L44" t="s">
        <v>433</v>
      </c>
    </row>
    <row r="45" spans="1:12" x14ac:dyDescent="0.25">
      <c r="A45" s="102">
        <v>45532</v>
      </c>
      <c r="B45" s="125">
        <f t="shared" si="3"/>
        <v>31</v>
      </c>
      <c r="C45" s="103">
        <v>17666.3</v>
      </c>
      <c r="D45">
        <v>0</v>
      </c>
      <c r="E45" s="103">
        <v>16702.54</v>
      </c>
      <c r="G45">
        <v>963.76</v>
      </c>
      <c r="H45">
        <v>0</v>
      </c>
      <c r="I45" s="122">
        <f t="shared" si="4"/>
        <v>0.11056723736357693</v>
      </c>
      <c r="K45" s="103">
        <v>-85927.29</v>
      </c>
      <c r="L45" t="s">
        <v>434</v>
      </c>
    </row>
    <row r="46" spans="1:12" x14ac:dyDescent="0.25">
      <c r="A46" s="102">
        <v>45563</v>
      </c>
      <c r="B46" s="125">
        <f t="shared" si="3"/>
        <v>31</v>
      </c>
      <c r="C46" s="103">
        <v>17666.3</v>
      </c>
      <c r="D46">
        <v>0</v>
      </c>
      <c r="E46" s="103">
        <v>16859.39</v>
      </c>
      <c r="G46">
        <v>806.91</v>
      </c>
      <c r="H46">
        <v>0</v>
      </c>
      <c r="I46" s="122">
        <f t="shared" si="4"/>
        <v>0.11056690506740097</v>
      </c>
      <c r="K46" s="103">
        <v>-69067.899999999994</v>
      </c>
      <c r="L46" t="s">
        <v>435</v>
      </c>
    </row>
    <row r="47" spans="1:12" x14ac:dyDescent="0.25">
      <c r="A47" s="102">
        <v>45593</v>
      </c>
      <c r="B47" s="125">
        <f t="shared" si="3"/>
        <v>30</v>
      </c>
      <c r="C47" s="103">
        <v>17666.3</v>
      </c>
      <c r="D47">
        <v>0</v>
      </c>
      <c r="E47" s="103">
        <v>17038.63</v>
      </c>
      <c r="G47">
        <v>627.66999999999996</v>
      </c>
      <c r="H47">
        <v>0</v>
      </c>
      <c r="I47" s="122">
        <f t="shared" si="4"/>
        <v>0.11056730647184389</v>
      </c>
      <c r="K47" s="103">
        <v>-52029.27</v>
      </c>
      <c r="L47" t="s">
        <v>436</v>
      </c>
    </row>
    <row r="48" spans="1:12" x14ac:dyDescent="0.25">
      <c r="A48" s="102">
        <v>45624</v>
      </c>
      <c r="B48" s="125">
        <f t="shared" si="3"/>
        <v>31</v>
      </c>
      <c r="C48" s="103">
        <v>17666.3</v>
      </c>
      <c r="D48">
        <v>0</v>
      </c>
      <c r="E48" s="103">
        <v>17177.71</v>
      </c>
      <c r="G48">
        <v>488.59</v>
      </c>
      <c r="H48">
        <v>0</v>
      </c>
      <c r="I48" s="122">
        <f t="shared" si="4"/>
        <v>0.110567632907524</v>
      </c>
      <c r="K48" s="103">
        <v>-34851.56</v>
      </c>
      <c r="L48" t="s">
        <v>437</v>
      </c>
    </row>
    <row r="49" spans="1:12" x14ac:dyDescent="0.25">
      <c r="A49" s="102">
        <v>45654</v>
      </c>
      <c r="B49" s="125">
        <f t="shared" si="3"/>
        <v>30</v>
      </c>
      <c r="C49" s="103">
        <v>17666.3</v>
      </c>
      <c r="D49">
        <v>0</v>
      </c>
      <c r="E49" s="103">
        <v>17349.580000000002</v>
      </c>
      <c r="G49">
        <v>316.72000000000003</v>
      </c>
      <c r="H49">
        <v>0</v>
      </c>
      <c r="I49" s="122">
        <f t="shared" si="4"/>
        <v>0.11056683450229106</v>
      </c>
      <c r="K49" s="103">
        <v>-17501.98</v>
      </c>
      <c r="L49" t="s">
        <v>438</v>
      </c>
    </row>
    <row r="50" spans="1:12" x14ac:dyDescent="0.25">
      <c r="A50" s="102">
        <v>45685</v>
      </c>
      <c r="B50" s="125">
        <f t="shared" si="3"/>
        <v>31</v>
      </c>
      <c r="C50" s="103">
        <v>17666.330000000002</v>
      </c>
      <c r="D50">
        <v>0</v>
      </c>
      <c r="E50" s="103">
        <v>17501.98</v>
      </c>
      <c r="G50">
        <v>164.35</v>
      </c>
      <c r="H50">
        <v>0</v>
      </c>
      <c r="I50" s="122">
        <f t="shared" si="4"/>
        <v>0.11056398817033385</v>
      </c>
      <c r="K50">
        <v>0</v>
      </c>
      <c r="L50">
        <v>0</v>
      </c>
    </row>
    <row r="51" spans="1:12" x14ac:dyDescent="0.25">
      <c r="B51" s="126">
        <f>SUM(B39:B50)</f>
        <v>363</v>
      </c>
      <c r="G51" s="103">
        <f>SUM(G39:G50)</f>
        <v>11995.630000000001</v>
      </c>
    </row>
    <row r="53" spans="1:12" ht="15.75" x14ac:dyDescent="0.25">
      <c r="A53" s="111" t="s">
        <v>439</v>
      </c>
      <c r="B53" s="111" t="s">
        <v>440</v>
      </c>
      <c r="C53" s="111" t="s">
        <v>441</v>
      </c>
      <c r="D53" s="111" t="s">
        <v>442</v>
      </c>
    </row>
    <row r="54" spans="1:12" x14ac:dyDescent="0.25">
      <c r="A54" t="s">
        <v>405</v>
      </c>
      <c r="B54" s="113">
        <f>+D3</f>
        <v>45337</v>
      </c>
      <c r="C54" s="113">
        <f>+D28</f>
        <v>45322</v>
      </c>
    </row>
    <row r="55" spans="1:12" x14ac:dyDescent="0.25">
      <c r="A55" t="s">
        <v>22</v>
      </c>
      <c r="B55" s="124">
        <f>+D4</f>
        <v>11995.63</v>
      </c>
      <c r="C55" s="124">
        <f>+D29</f>
        <v>11995.630000000001</v>
      </c>
      <c r="D55" s="124">
        <f>+C55-B55</f>
        <v>0</v>
      </c>
    </row>
    <row r="56" spans="1:12" x14ac:dyDescent="0.25">
      <c r="A56" t="s">
        <v>422</v>
      </c>
      <c r="B56" s="116">
        <f>+B4</f>
        <v>0.12</v>
      </c>
      <c r="C56" s="116">
        <f>+B29</f>
        <v>0.1105669732142857</v>
      </c>
      <c r="D56" s="116">
        <f>+C56-B56</f>
        <v>-9.4330267857142963E-3</v>
      </c>
    </row>
    <row r="57" spans="1:12" x14ac:dyDescent="0.25">
      <c r="A57" t="s">
        <v>412</v>
      </c>
      <c r="B57" s="118">
        <f>+D6</f>
        <v>0.15329899999999999</v>
      </c>
      <c r="C57" s="118">
        <f>+D31</f>
        <v>0.14128399999999999</v>
      </c>
      <c r="D57" s="118">
        <f>C57-B57</f>
        <v>-1.2014999999999998E-2</v>
      </c>
    </row>
    <row r="58" spans="1:12" x14ac:dyDescent="0.25">
      <c r="A58" t="s">
        <v>414</v>
      </c>
      <c r="B58" s="116">
        <f>+D7</f>
        <v>6.2727864613180515E-2</v>
      </c>
      <c r="C58" s="116">
        <f>+D32</f>
        <v>6.0308608126721765E-2</v>
      </c>
      <c r="D58" s="118">
        <f>C58-B58</f>
        <v>-2.4192564864587499E-3</v>
      </c>
    </row>
    <row r="59" spans="1:12" x14ac:dyDescent="0.25">
      <c r="B59" s="113"/>
      <c r="C59" s="113"/>
    </row>
    <row r="64" spans="1:12" ht="15.75" x14ac:dyDescent="0.25">
      <c r="A64" s="111"/>
    </row>
    <row r="70" spans="1:1" ht="15.75" x14ac:dyDescent="0.25">
      <c r="A70" s="111"/>
    </row>
    <row r="78" spans="1:1" x14ac:dyDescent="0.25">
      <c r="A78" t="s">
        <v>443</v>
      </c>
    </row>
    <row r="79" spans="1:1" x14ac:dyDescent="0.25">
      <c r="A79" t="s">
        <v>444</v>
      </c>
    </row>
    <row r="80" spans="1:1" x14ac:dyDescent="0.25">
      <c r="A80" t="s">
        <v>445</v>
      </c>
    </row>
    <row r="81" spans="1:1" x14ac:dyDescent="0.25">
      <c r="A81" t="s">
        <v>446</v>
      </c>
    </row>
    <row r="82" spans="1:1" x14ac:dyDescent="0.25">
      <c r="A82" t="s">
        <v>447</v>
      </c>
    </row>
    <row r="83" spans="1:1" x14ac:dyDescent="0.25">
      <c r="A83" t="s">
        <v>448</v>
      </c>
    </row>
  </sheetData>
  <pageMargins left="0.7" right="0.7" top="0.75" bottom="0.75" header="0.3" footer="0.3"/>
  <pageSetup paperSize="9" orientation="portrait" r:id="rId1"/>
  <headerFooter>
    <oddFooter>&amp;L&amp;"Calibri Light,Regular"&amp;09&amp;K00C000Public</oddFooter>
    <evenFooter>&amp;L&amp;"Calibri Light,Regular"&amp;09&amp;K00C000Public</evenFooter>
    <firstFooter>&amp;L&amp;"Calibri Light,Regular"&amp;09&amp;K00C000Public</first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04D77-E9B7-42B6-866F-106AE6964061}">
  <sheetPr>
    <pageSetUpPr autoPageBreaks="0"/>
  </sheetPr>
  <dimension ref="A1:U124"/>
  <sheetViews>
    <sheetView topLeftCell="A3" zoomScale="120" zoomScaleNormal="120" workbookViewId="0">
      <selection activeCell="A6" sqref="A6:J6"/>
    </sheetView>
  </sheetViews>
  <sheetFormatPr defaultColWidth="23.28515625" defaultRowHeight="15" x14ac:dyDescent="0.25"/>
  <cols>
    <col min="1" max="1" width="16.28515625" bestFit="1" customWidth="1"/>
    <col min="2" max="2" width="23" bestFit="1" customWidth="1"/>
    <col min="4" max="4" width="20.7109375" bestFit="1" customWidth="1"/>
    <col min="6" max="6" width="18.140625" bestFit="1" customWidth="1"/>
    <col min="7" max="7" width="23.28515625" customWidth="1"/>
    <col min="8" max="8" width="19.7109375" customWidth="1"/>
    <col min="9" max="9" width="22.28515625" bestFit="1" customWidth="1"/>
    <col min="10" max="10" width="25.7109375" customWidth="1"/>
    <col min="11" max="11" width="40.140625" customWidth="1"/>
    <col min="12" max="12" width="25.28515625" customWidth="1"/>
    <col min="13" max="14" width="9.7109375" bestFit="1" customWidth="1"/>
    <col min="15" max="15" width="8.140625" bestFit="1" customWidth="1"/>
    <col min="16" max="16" width="8.28515625" bestFit="1" customWidth="1"/>
    <col min="17" max="17" width="8.140625" bestFit="1" customWidth="1"/>
    <col min="18" max="18" width="14.28515625" bestFit="1" customWidth="1"/>
    <col min="19" max="19" width="14" customWidth="1"/>
  </cols>
  <sheetData>
    <row r="1" spans="1:18" x14ac:dyDescent="0.25">
      <c r="A1" s="127"/>
      <c r="B1" s="127"/>
      <c r="C1" s="127"/>
      <c r="D1" s="127"/>
      <c r="E1" s="127"/>
      <c r="F1" s="127"/>
      <c r="G1" s="127"/>
      <c r="H1" s="127"/>
      <c r="I1" s="127"/>
      <c r="J1" s="127"/>
      <c r="K1" s="127"/>
    </row>
    <row r="2" spans="1:18" x14ac:dyDescent="0.25">
      <c r="A2" s="127"/>
      <c r="B2" s="127"/>
      <c r="C2" s="127"/>
      <c r="D2" s="127"/>
      <c r="E2" s="127"/>
      <c r="F2" s="127"/>
      <c r="G2" s="127"/>
      <c r="H2" s="127"/>
      <c r="I2" s="127"/>
      <c r="J2" s="127"/>
      <c r="K2" s="127"/>
    </row>
    <row r="3" spans="1:18" x14ac:dyDescent="0.25">
      <c r="A3" s="127"/>
      <c r="B3" s="127"/>
      <c r="C3" s="127"/>
      <c r="D3" s="127"/>
      <c r="E3" s="127"/>
      <c r="F3" s="127"/>
      <c r="G3" s="127"/>
      <c r="H3" s="127"/>
      <c r="I3" s="127"/>
      <c r="J3" s="127"/>
      <c r="K3" s="127"/>
    </row>
    <row r="4" spans="1:18" x14ac:dyDescent="0.25">
      <c r="A4" s="127"/>
      <c r="B4" s="127"/>
      <c r="C4" s="127"/>
      <c r="D4" s="127"/>
      <c r="E4" s="127"/>
      <c r="F4" s="127"/>
      <c r="G4" s="127"/>
      <c r="H4" s="127"/>
      <c r="I4" s="127"/>
      <c r="J4" s="127"/>
      <c r="K4" s="127"/>
    </row>
    <row r="5" spans="1:18" x14ac:dyDescent="0.25">
      <c r="A5" s="127"/>
      <c r="B5" s="127"/>
      <c r="C5" s="127"/>
      <c r="D5" s="127"/>
      <c r="E5" s="127"/>
      <c r="F5" s="127"/>
      <c r="G5" s="127"/>
      <c r="H5" s="127"/>
      <c r="I5" s="127"/>
      <c r="J5" s="127"/>
      <c r="K5" s="127"/>
    </row>
    <row r="6" spans="1:18" x14ac:dyDescent="0.25">
      <c r="A6" s="691" t="s">
        <v>1757</v>
      </c>
      <c r="B6" s="691"/>
      <c r="C6" s="691"/>
      <c r="D6" s="691"/>
      <c r="E6" s="691"/>
      <c r="F6" s="691"/>
      <c r="G6" s="691"/>
      <c r="H6" s="691"/>
      <c r="I6" s="691"/>
      <c r="J6" s="691"/>
      <c r="K6" s="127"/>
    </row>
    <row r="7" spans="1:18" ht="120" x14ac:dyDescent="0.25">
      <c r="A7" s="128" t="s">
        <v>449</v>
      </c>
      <c r="B7" s="129" t="s">
        <v>450</v>
      </c>
      <c r="C7" s="129" t="s">
        <v>451</v>
      </c>
      <c r="D7" s="129" t="s">
        <v>452</v>
      </c>
      <c r="E7" s="129" t="s">
        <v>453</v>
      </c>
      <c r="F7" s="692" t="s">
        <v>454</v>
      </c>
      <c r="G7" s="693"/>
      <c r="H7" s="129" t="s">
        <v>455</v>
      </c>
      <c r="I7" s="132" t="s">
        <v>456</v>
      </c>
      <c r="J7" s="133" t="s">
        <v>457</v>
      </c>
      <c r="K7" s="130" t="s">
        <v>458</v>
      </c>
      <c r="M7" s="134"/>
      <c r="N7" s="134"/>
      <c r="O7" s="134"/>
      <c r="P7" s="134"/>
      <c r="Q7" s="134"/>
      <c r="R7" s="134"/>
    </row>
    <row r="8" spans="1:18" ht="24" x14ac:dyDescent="0.25">
      <c r="A8" s="134"/>
      <c r="B8" s="135" t="s">
        <v>459</v>
      </c>
      <c r="C8" s="136" t="s">
        <v>460</v>
      </c>
      <c r="D8" s="136" t="s">
        <v>461</v>
      </c>
      <c r="E8" s="137" t="s">
        <v>462</v>
      </c>
      <c r="F8" s="694" t="s">
        <v>463</v>
      </c>
      <c r="G8" s="694"/>
      <c r="H8" s="138" t="s">
        <v>464</v>
      </c>
      <c r="I8" s="138"/>
      <c r="J8" s="138"/>
      <c r="K8" s="139"/>
      <c r="L8" s="134"/>
      <c r="M8" s="134"/>
      <c r="N8" s="134"/>
      <c r="O8" s="134"/>
      <c r="P8" s="134"/>
      <c r="Q8" s="134"/>
      <c r="R8" s="134"/>
    </row>
    <row r="9" spans="1:18" ht="24" x14ac:dyDescent="0.25">
      <c r="A9" s="134"/>
      <c r="B9" s="135" t="s">
        <v>465</v>
      </c>
      <c r="C9" s="136" t="s">
        <v>466</v>
      </c>
      <c r="D9" s="136" t="s">
        <v>467</v>
      </c>
      <c r="E9" s="137" t="s">
        <v>468</v>
      </c>
      <c r="F9" s="695" t="s">
        <v>469</v>
      </c>
      <c r="G9" s="695"/>
      <c r="H9" s="138" t="s">
        <v>464</v>
      </c>
      <c r="I9" s="138"/>
      <c r="J9" s="138"/>
      <c r="K9" s="139"/>
      <c r="L9" s="134"/>
      <c r="M9" s="134"/>
      <c r="N9" s="134"/>
      <c r="O9" s="134"/>
      <c r="P9" s="134"/>
      <c r="Q9" s="134"/>
      <c r="R9" s="134"/>
    </row>
    <row r="10" spans="1:18" ht="36" x14ac:dyDescent="0.25">
      <c r="A10" s="134"/>
      <c r="B10" s="135" t="s">
        <v>470</v>
      </c>
      <c r="C10" s="136" t="s">
        <v>471</v>
      </c>
      <c r="D10" s="136" t="s">
        <v>472</v>
      </c>
      <c r="E10" s="137" t="s">
        <v>473</v>
      </c>
      <c r="F10" s="695" t="s">
        <v>474</v>
      </c>
      <c r="G10" s="695"/>
      <c r="H10" s="138" t="s">
        <v>464</v>
      </c>
      <c r="I10" s="138"/>
      <c r="J10" s="138"/>
      <c r="K10" s="139"/>
      <c r="L10" s="134"/>
      <c r="M10" s="134"/>
      <c r="N10" s="134"/>
      <c r="O10" s="134"/>
      <c r="P10" s="134"/>
      <c r="Q10" s="134"/>
      <c r="R10" s="134"/>
    </row>
    <row r="11" spans="1:18" x14ac:dyDescent="0.25">
      <c r="A11" s="134"/>
      <c r="B11" s="135" t="s">
        <v>475</v>
      </c>
      <c r="C11" s="136" t="s">
        <v>476</v>
      </c>
      <c r="D11" s="136" t="s">
        <v>477</v>
      </c>
      <c r="E11" s="137" t="s">
        <v>478</v>
      </c>
      <c r="F11" s="694" t="s">
        <v>474</v>
      </c>
      <c r="G11" s="694"/>
      <c r="H11" s="138" t="s">
        <v>464</v>
      </c>
      <c r="I11" s="138"/>
      <c r="J11" s="138"/>
      <c r="K11" s="139"/>
      <c r="L11" s="134"/>
      <c r="M11" s="134"/>
      <c r="N11" s="134"/>
      <c r="O11" s="134"/>
      <c r="P11" s="134"/>
      <c r="Q11" s="134"/>
      <c r="R11" s="134"/>
    </row>
    <row r="12" spans="1:18" ht="24" x14ac:dyDescent="0.25">
      <c r="A12" s="134"/>
      <c r="B12" s="135" t="s">
        <v>479</v>
      </c>
      <c r="C12" s="136" t="s">
        <v>476</v>
      </c>
      <c r="D12" s="136" t="s">
        <v>477</v>
      </c>
      <c r="E12" s="137" t="s">
        <v>480</v>
      </c>
      <c r="F12" s="694" t="s">
        <v>474</v>
      </c>
      <c r="G12" s="694"/>
      <c r="H12" s="138"/>
      <c r="I12" s="138"/>
      <c r="J12" s="138"/>
      <c r="K12" s="139"/>
      <c r="L12" s="134"/>
      <c r="M12" s="134"/>
      <c r="N12" s="134"/>
      <c r="O12" s="134"/>
      <c r="P12" s="134"/>
      <c r="Q12" s="134"/>
      <c r="R12" s="134"/>
    </row>
    <row r="13" spans="1:18" x14ac:dyDescent="0.25">
      <c r="A13" s="134"/>
      <c r="B13" s="135" t="s">
        <v>481</v>
      </c>
      <c r="C13" s="136" t="s">
        <v>476</v>
      </c>
      <c r="D13" s="136" t="s">
        <v>482</v>
      </c>
      <c r="E13" s="137" t="s">
        <v>483</v>
      </c>
      <c r="F13" s="695" t="s">
        <v>484</v>
      </c>
      <c r="G13" s="695"/>
      <c r="H13" s="138"/>
      <c r="I13" s="138"/>
      <c r="J13" s="138"/>
      <c r="K13" s="139"/>
      <c r="L13" s="134"/>
      <c r="M13" s="134"/>
      <c r="N13" s="134"/>
      <c r="O13" s="134"/>
      <c r="P13" s="134"/>
      <c r="Q13" s="134"/>
      <c r="R13" s="134"/>
    </row>
    <row r="14" spans="1:18" ht="36" x14ac:dyDescent="0.25">
      <c r="A14" s="134"/>
      <c r="B14" s="140" t="s">
        <v>485</v>
      </c>
      <c r="C14" s="136" t="s">
        <v>476</v>
      </c>
      <c r="D14" s="136" t="s">
        <v>486</v>
      </c>
      <c r="E14" s="137" t="s">
        <v>487</v>
      </c>
      <c r="F14" s="696" t="s">
        <v>488</v>
      </c>
      <c r="G14" s="697"/>
      <c r="H14" s="138" t="s">
        <v>464</v>
      </c>
      <c r="I14" s="138"/>
      <c r="J14" s="138"/>
      <c r="K14" s="139"/>
      <c r="L14" s="134"/>
      <c r="M14" s="134"/>
      <c r="N14" s="134"/>
      <c r="O14" s="134"/>
      <c r="P14" s="134"/>
      <c r="Q14" s="134"/>
      <c r="R14" s="134"/>
    </row>
    <row r="15" spans="1:18" ht="72" x14ac:dyDescent="0.25">
      <c r="A15" s="134"/>
      <c r="B15" s="135" t="s">
        <v>489</v>
      </c>
      <c r="C15" s="136" t="s">
        <v>476</v>
      </c>
      <c r="D15" s="136" t="s">
        <v>490</v>
      </c>
      <c r="E15" s="137" t="s">
        <v>491</v>
      </c>
      <c r="F15" s="696" t="s">
        <v>492</v>
      </c>
      <c r="G15" s="697"/>
      <c r="H15" s="138" t="s">
        <v>493</v>
      </c>
      <c r="I15" s="138"/>
      <c r="J15" s="138"/>
      <c r="K15" s="139"/>
      <c r="L15" s="134"/>
      <c r="M15" s="134"/>
      <c r="N15" s="134"/>
      <c r="O15" s="134"/>
      <c r="P15" s="134"/>
      <c r="Q15" s="134"/>
      <c r="R15" s="134"/>
    </row>
    <row r="16" spans="1:18" ht="24" x14ac:dyDescent="0.25">
      <c r="A16" s="134"/>
      <c r="B16" s="135" t="s">
        <v>494</v>
      </c>
      <c r="C16" s="136" t="s">
        <v>495</v>
      </c>
      <c r="D16" s="136" t="s">
        <v>496</v>
      </c>
      <c r="E16" s="137" t="s">
        <v>497</v>
      </c>
      <c r="F16" s="694" t="s">
        <v>498</v>
      </c>
      <c r="G16" s="694"/>
      <c r="H16" s="138" t="s">
        <v>499</v>
      </c>
      <c r="I16" s="138"/>
      <c r="J16" s="138"/>
      <c r="K16" s="139"/>
      <c r="L16" s="134"/>
      <c r="M16" s="134"/>
      <c r="N16" s="134"/>
      <c r="O16" s="134"/>
      <c r="P16" s="134"/>
      <c r="Q16" s="134"/>
      <c r="R16" s="134"/>
    </row>
    <row r="17" spans="1:18" ht="96" x14ac:dyDescent="0.25">
      <c r="A17" s="134"/>
      <c r="B17" s="135" t="s">
        <v>500</v>
      </c>
      <c r="C17" s="136" t="s">
        <v>501</v>
      </c>
      <c r="D17" s="136" t="s">
        <v>502</v>
      </c>
      <c r="E17" s="137" t="s">
        <v>503</v>
      </c>
      <c r="F17" s="689" t="s">
        <v>504</v>
      </c>
      <c r="G17" s="690"/>
      <c r="H17" s="138" t="s">
        <v>499</v>
      </c>
      <c r="I17" s="138"/>
      <c r="J17" s="138"/>
      <c r="K17" s="139"/>
      <c r="L17" s="134"/>
      <c r="M17" s="134"/>
      <c r="N17" s="134"/>
      <c r="O17" s="134"/>
      <c r="P17" s="134"/>
      <c r="Q17" s="134"/>
      <c r="R17" s="134"/>
    </row>
    <row r="18" spans="1:18" x14ac:dyDescent="0.25">
      <c r="A18" s="134"/>
      <c r="B18" s="135" t="s">
        <v>505</v>
      </c>
      <c r="C18" s="136" t="s">
        <v>506</v>
      </c>
      <c r="D18" s="136" t="s">
        <v>507</v>
      </c>
      <c r="E18" s="137" t="s">
        <v>508</v>
      </c>
      <c r="F18" s="695" t="s">
        <v>498</v>
      </c>
      <c r="G18" s="695"/>
      <c r="H18" s="138" t="s">
        <v>499</v>
      </c>
      <c r="I18" s="138"/>
      <c r="J18" s="138"/>
      <c r="K18" s="139"/>
      <c r="L18" s="134"/>
      <c r="M18" s="134"/>
      <c r="N18" s="134"/>
      <c r="O18" s="134"/>
      <c r="P18" s="134"/>
      <c r="Q18" s="134"/>
      <c r="R18" s="134"/>
    </row>
    <row r="19" spans="1:18" ht="36" x14ac:dyDescent="0.25">
      <c r="A19" s="134"/>
      <c r="B19" s="135" t="s">
        <v>509</v>
      </c>
      <c r="C19" s="136" t="s">
        <v>510</v>
      </c>
      <c r="D19" s="136" t="s">
        <v>511</v>
      </c>
      <c r="E19" s="137" t="s">
        <v>512</v>
      </c>
      <c r="F19" s="695" t="s">
        <v>498</v>
      </c>
      <c r="G19" s="695"/>
      <c r="H19" s="138"/>
      <c r="I19" s="138"/>
      <c r="J19" s="138"/>
      <c r="K19" s="134"/>
      <c r="L19" s="134"/>
      <c r="M19" s="134"/>
      <c r="N19" s="134"/>
      <c r="O19" s="134"/>
      <c r="P19" s="134"/>
      <c r="Q19" s="134"/>
    </row>
    <row r="20" spans="1:18" ht="24" x14ac:dyDescent="0.25">
      <c r="A20" s="134"/>
      <c r="B20" s="135" t="s">
        <v>513</v>
      </c>
      <c r="C20" s="136" t="s">
        <v>514</v>
      </c>
      <c r="D20" s="136" t="s">
        <v>515</v>
      </c>
      <c r="E20" s="137" t="s">
        <v>516</v>
      </c>
      <c r="F20" s="694" t="s">
        <v>517</v>
      </c>
      <c r="G20" s="694"/>
      <c r="H20" s="138" t="s">
        <v>464</v>
      </c>
      <c r="I20" s="138"/>
      <c r="J20" s="138"/>
      <c r="K20" s="139"/>
      <c r="L20" s="134"/>
      <c r="M20" s="134"/>
      <c r="N20" s="134"/>
      <c r="O20" s="134"/>
      <c r="P20" s="134"/>
      <c r="Q20" s="134"/>
    </row>
    <row r="21" spans="1:18" ht="24" x14ac:dyDescent="0.25">
      <c r="A21" s="134"/>
      <c r="B21" s="135" t="s">
        <v>518</v>
      </c>
      <c r="C21" s="136" t="s">
        <v>519</v>
      </c>
      <c r="D21" s="136"/>
      <c r="E21" s="137" t="s">
        <v>520</v>
      </c>
      <c r="F21" s="689" t="s">
        <v>517</v>
      </c>
      <c r="G21" s="690"/>
      <c r="H21" s="138" t="s">
        <v>493</v>
      </c>
      <c r="I21" s="138"/>
      <c r="J21" s="138"/>
      <c r="K21" s="139"/>
      <c r="L21" s="134"/>
      <c r="M21" s="134"/>
      <c r="N21" s="134"/>
      <c r="O21" s="134"/>
      <c r="P21" s="134"/>
      <c r="Q21" s="134"/>
      <c r="R21" s="134"/>
    </row>
    <row r="22" spans="1:18" ht="48" x14ac:dyDescent="0.25">
      <c r="A22" s="134"/>
      <c r="B22" s="135" t="s">
        <v>521</v>
      </c>
      <c r="C22" s="136" t="s">
        <v>522</v>
      </c>
      <c r="D22" s="136"/>
      <c r="E22" s="137" t="s">
        <v>523</v>
      </c>
      <c r="F22" s="689" t="s">
        <v>474</v>
      </c>
      <c r="G22" s="690"/>
      <c r="H22" s="138" t="s">
        <v>493</v>
      </c>
      <c r="I22" s="138"/>
      <c r="J22" s="138"/>
      <c r="K22" s="139"/>
      <c r="L22" s="134"/>
      <c r="M22" s="134"/>
      <c r="N22" s="134"/>
      <c r="O22" s="134"/>
      <c r="P22" s="134"/>
      <c r="Q22" s="134"/>
      <c r="R22" s="134"/>
    </row>
    <row r="23" spans="1:18" ht="24" x14ac:dyDescent="0.25">
      <c r="A23" s="141"/>
      <c r="B23" s="135" t="s">
        <v>524</v>
      </c>
      <c r="C23" s="136" t="s">
        <v>525</v>
      </c>
      <c r="D23" s="142"/>
      <c r="E23" s="137" t="s">
        <v>526</v>
      </c>
      <c r="F23" s="689" t="s">
        <v>498</v>
      </c>
      <c r="G23" s="690"/>
      <c r="H23" s="138"/>
      <c r="I23" s="143"/>
      <c r="J23" s="143"/>
      <c r="K23" s="144"/>
      <c r="L23" s="134"/>
      <c r="M23" s="134"/>
      <c r="N23" s="134"/>
      <c r="O23" s="134"/>
      <c r="P23" s="134"/>
      <c r="Q23" s="134"/>
      <c r="R23" s="134"/>
    </row>
    <row r="24" spans="1:18" ht="63" customHeight="1" x14ac:dyDescent="0.25">
      <c r="A24" s="128" t="s">
        <v>527</v>
      </c>
      <c r="B24" s="129" t="s">
        <v>450</v>
      </c>
      <c r="C24" s="129" t="s">
        <v>451</v>
      </c>
      <c r="D24" s="129" t="s">
        <v>452</v>
      </c>
      <c r="E24" s="129" t="s">
        <v>528</v>
      </c>
      <c r="F24" s="129" t="s">
        <v>109</v>
      </c>
      <c r="G24" s="129" t="s">
        <v>529</v>
      </c>
      <c r="H24" s="129" t="s">
        <v>455</v>
      </c>
      <c r="I24" s="132" t="s">
        <v>456</v>
      </c>
      <c r="J24" s="133" t="s">
        <v>457</v>
      </c>
      <c r="K24" s="130" t="s">
        <v>458</v>
      </c>
      <c r="L24" s="134"/>
      <c r="M24" s="134"/>
      <c r="N24" s="134"/>
      <c r="O24" s="134"/>
      <c r="P24" s="134"/>
      <c r="Q24" s="134"/>
      <c r="R24" s="134"/>
    </row>
    <row r="25" spans="1:18" x14ac:dyDescent="0.25">
      <c r="A25" s="134"/>
      <c r="B25" s="135" t="s">
        <v>530</v>
      </c>
      <c r="C25" s="136" t="s">
        <v>531</v>
      </c>
      <c r="D25" s="136" t="s">
        <v>532</v>
      </c>
      <c r="E25" s="137" t="s">
        <v>533</v>
      </c>
      <c r="F25" s="145" t="s">
        <v>534</v>
      </c>
      <c r="G25" s="145" t="s">
        <v>517</v>
      </c>
      <c r="H25" s="145"/>
      <c r="I25" s="145"/>
      <c r="J25" s="138"/>
      <c r="K25" s="139"/>
      <c r="L25" s="700"/>
      <c r="M25" s="134"/>
      <c r="N25" s="134"/>
      <c r="O25" s="134"/>
      <c r="P25" s="134"/>
      <c r="Q25" s="134"/>
      <c r="R25" s="134"/>
    </row>
    <row r="26" spans="1:18" ht="24" x14ac:dyDescent="0.25">
      <c r="A26" s="134"/>
      <c r="B26" s="135" t="s">
        <v>535</v>
      </c>
      <c r="C26" s="136" t="s">
        <v>536</v>
      </c>
      <c r="D26" s="136" t="s">
        <v>537</v>
      </c>
      <c r="E26" s="137" t="s">
        <v>538</v>
      </c>
      <c r="F26" s="145" t="s">
        <v>539</v>
      </c>
      <c r="G26" s="145" t="s">
        <v>517</v>
      </c>
      <c r="H26" s="145" t="s">
        <v>499</v>
      </c>
      <c r="I26" s="145"/>
      <c r="J26" s="138"/>
      <c r="K26" s="139"/>
      <c r="L26" s="700"/>
      <c r="M26" s="134"/>
      <c r="N26" s="134"/>
      <c r="O26" s="134"/>
      <c r="P26" s="134"/>
      <c r="Q26" s="134"/>
      <c r="R26" s="134"/>
    </row>
    <row r="27" spans="1:18" ht="36" x14ac:dyDescent="0.25">
      <c r="A27" s="146" t="s">
        <v>540</v>
      </c>
      <c r="B27" s="135" t="s">
        <v>541</v>
      </c>
      <c r="C27" s="136" t="s">
        <v>536</v>
      </c>
      <c r="D27" s="136" t="s">
        <v>542</v>
      </c>
      <c r="E27" s="137" t="s">
        <v>543</v>
      </c>
      <c r="F27" s="145" t="s">
        <v>544</v>
      </c>
      <c r="G27" s="145" t="s">
        <v>517</v>
      </c>
      <c r="H27" s="147"/>
      <c r="I27" s="145"/>
      <c r="J27" s="138"/>
      <c r="K27" s="139"/>
      <c r="L27" s="700"/>
      <c r="M27" s="134"/>
      <c r="N27" s="134"/>
      <c r="O27" s="134"/>
      <c r="P27" s="134"/>
      <c r="Q27" s="134"/>
      <c r="R27" s="134"/>
    </row>
    <row r="28" spans="1:18" ht="24" x14ac:dyDescent="0.25">
      <c r="A28" s="134"/>
      <c r="B28" s="135" t="s">
        <v>545</v>
      </c>
      <c r="C28" s="136" t="s">
        <v>546</v>
      </c>
      <c r="D28" s="136" t="s">
        <v>547</v>
      </c>
      <c r="E28" s="137" t="s">
        <v>548</v>
      </c>
      <c r="F28" s="148" t="s">
        <v>549</v>
      </c>
      <c r="G28" s="145" t="s">
        <v>517</v>
      </c>
      <c r="H28" s="145"/>
      <c r="I28" s="145"/>
      <c r="J28" s="138"/>
      <c r="K28" s="139"/>
      <c r="L28" s="700"/>
      <c r="M28" s="134"/>
      <c r="N28" s="134"/>
      <c r="O28" s="134"/>
      <c r="P28" s="134"/>
      <c r="Q28" s="134"/>
      <c r="R28" s="134"/>
    </row>
    <row r="29" spans="1:18" ht="36" x14ac:dyDescent="0.25">
      <c r="A29" s="134"/>
      <c r="B29" s="135" t="s">
        <v>550</v>
      </c>
      <c r="C29" s="136" t="s">
        <v>546</v>
      </c>
      <c r="D29" s="136" t="s">
        <v>551</v>
      </c>
      <c r="E29" s="137" t="s">
        <v>552</v>
      </c>
      <c r="F29" s="145" t="s">
        <v>553</v>
      </c>
      <c r="G29" s="145" t="s">
        <v>517</v>
      </c>
      <c r="H29" s="145" t="s">
        <v>499</v>
      </c>
      <c r="I29" s="145"/>
      <c r="J29" s="138"/>
      <c r="K29" s="139"/>
      <c r="L29" s="134"/>
      <c r="M29" s="134"/>
      <c r="N29" s="134"/>
      <c r="O29" s="134"/>
      <c r="P29" s="134"/>
      <c r="Q29" s="134"/>
      <c r="R29" s="134"/>
    </row>
    <row r="30" spans="1:18" x14ac:dyDescent="0.25">
      <c r="A30" s="134"/>
      <c r="B30" s="135" t="s">
        <v>554</v>
      </c>
      <c r="C30" s="136" t="s">
        <v>546</v>
      </c>
      <c r="D30" s="136" t="s">
        <v>555</v>
      </c>
      <c r="E30" s="137" t="s">
        <v>556</v>
      </c>
      <c r="F30" s="145" t="s">
        <v>517</v>
      </c>
      <c r="G30" s="145" t="s">
        <v>517</v>
      </c>
      <c r="H30" s="145"/>
      <c r="I30" s="145"/>
      <c r="J30" s="138"/>
      <c r="K30" s="139"/>
      <c r="L30" s="134"/>
      <c r="M30" s="134"/>
      <c r="N30" s="134"/>
      <c r="O30" s="134"/>
      <c r="P30" s="134"/>
      <c r="Q30" s="134"/>
      <c r="R30" s="134"/>
    </row>
    <row r="31" spans="1:18" x14ac:dyDescent="0.25">
      <c r="A31" s="134"/>
      <c r="B31" s="135" t="s">
        <v>557</v>
      </c>
      <c r="C31" s="136" t="s">
        <v>546</v>
      </c>
      <c r="D31" s="136"/>
      <c r="E31" s="137" t="s">
        <v>558</v>
      </c>
      <c r="F31" s="145" t="s">
        <v>559</v>
      </c>
      <c r="G31" s="145" t="s">
        <v>517</v>
      </c>
      <c r="H31" s="145" t="s">
        <v>499</v>
      </c>
      <c r="I31" s="145"/>
      <c r="J31" s="145"/>
      <c r="K31" s="139"/>
      <c r="L31" s="134"/>
      <c r="M31" s="134"/>
      <c r="N31" s="134"/>
      <c r="O31" s="134"/>
      <c r="P31" s="134"/>
      <c r="Q31" s="134"/>
      <c r="R31" s="134"/>
    </row>
    <row r="32" spans="1:18" x14ac:dyDescent="0.25">
      <c r="A32" s="134"/>
      <c r="B32" s="134"/>
      <c r="C32" s="134"/>
      <c r="D32" s="134"/>
      <c r="E32" s="137" t="s">
        <v>560</v>
      </c>
      <c r="F32" s="149" t="s">
        <v>561</v>
      </c>
      <c r="G32" s="145" t="s">
        <v>517</v>
      </c>
      <c r="H32" s="145" t="s">
        <v>499</v>
      </c>
      <c r="I32" s="145"/>
      <c r="J32" s="145"/>
      <c r="K32" s="139"/>
      <c r="L32" s="134"/>
      <c r="M32" s="134"/>
      <c r="N32" s="134"/>
      <c r="O32" s="134"/>
      <c r="P32" s="134"/>
      <c r="Q32" s="134"/>
      <c r="R32" s="134"/>
    </row>
    <row r="33" spans="1:19" ht="24" x14ac:dyDescent="0.25">
      <c r="A33" s="134"/>
      <c r="B33" s="134"/>
      <c r="C33" s="134"/>
      <c r="D33" s="134"/>
      <c r="E33" s="137" t="s">
        <v>562</v>
      </c>
      <c r="F33" s="145" t="s">
        <v>517</v>
      </c>
      <c r="G33" s="145" t="s">
        <v>517</v>
      </c>
      <c r="H33" s="145" t="s">
        <v>499</v>
      </c>
      <c r="I33" s="145"/>
      <c r="J33" s="145"/>
      <c r="K33" s="139"/>
      <c r="L33" s="134"/>
      <c r="M33" s="134"/>
      <c r="N33" s="134"/>
      <c r="O33" s="134"/>
      <c r="P33" s="134"/>
      <c r="Q33" s="134"/>
      <c r="R33" s="134"/>
    </row>
    <row r="34" spans="1:19" ht="48" x14ac:dyDescent="0.25">
      <c r="A34" s="134"/>
      <c r="B34" s="134"/>
      <c r="C34" s="134"/>
      <c r="D34" s="134"/>
      <c r="E34" s="137" t="s">
        <v>563</v>
      </c>
      <c r="F34" s="145" t="s">
        <v>517</v>
      </c>
      <c r="G34" s="145" t="s">
        <v>517</v>
      </c>
      <c r="H34" s="145"/>
      <c r="I34" s="145"/>
      <c r="J34" s="138"/>
      <c r="K34" s="139"/>
      <c r="L34" s="134"/>
      <c r="M34" s="134"/>
      <c r="N34" s="134"/>
      <c r="O34" s="134"/>
      <c r="P34" s="134"/>
      <c r="Q34" s="134"/>
      <c r="R34" s="134"/>
    </row>
    <row r="35" spans="1:19" ht="84" x14ac:dyDescent="0.25">
      <c r="A35" s="134"/>
      <c r="B35" s="135" t="s">
        <v>564</v>
      </c>
      <c r="C35" s="136" t="s">
        <v>546</v>
      </c>
      <c r="D35" s="136" t="s">
        <v>565</v>
      </c>
      <c r="E35" s="137" t="s">
        <v>566</v>
      </c>
      <c r="F35" s="145" t="s">
        <v>567</v>
      </c>
      <c r="G35" s="145" t="s">
        <v>517</v>
      </c>
      <c r="H35" s="145"/>
      <c r="I35" s="145"/>
      <c r="J35" s="138"/>
      <c r="K35" s="139"/>
      <c r="L35" s="134"/>
      <c r="M35" s="134"/>
      <c r="N35" s="134"/>
      <c r="O35" s="134"/>
      <c r="P35" s="134"/>
      <c r="Q35" s="134"/>
      <c r="R35" s="134"/>
    </row>
    <row r="36" spans="1:19" ht="72" x14ac:dyDescent="0.25">
      <c r="A36" s="134"/>
      <c r="B36" s="135" t="s">
        <v>568</v>
      </c>
      <c r="C36" s="136" t="s">
        <v>546</v>
      </c>
      <c r="D36" s="136" t="s">
        <v>569</v>
      </c>
      <c r="E36" s="137" t="s">
        <v>570</v>
      </c>
      <c r="F36" s="145" t="s">
        <v>517</v>
      </c>
      <c r="G36" s="145" t="s">
        <v>517</v>
      </c>
      <c r="H36" s="145"/>
      <c r="I36" s="145"/>
      <c r="J36" s="138"/>
      <c r="K36" s="139"/>
      <c r="L36" s="134"/>
      <c r="M36" s="134"/>
      <c r="N36" s="134"/>
      <c r="O36" s="134"/>
      <c r="P36" s="134"/>
      <c r="Q36" s="134"/>
      <c r="R36" s="134"/>
    </row>
    <row r="37" spans="1:19" ht="36" x14ac:dyDescent="0.25">
      <c r="A37" s="134"/>
      <c r="B37" s="135" t="s">
        <v>571</v>
      </c>
      <c r="C37" s="136" t="s">
        <v>546</v>
      </c>
      <c r="D37" s="136" t="s">
        <v>572</v>
      </c>
      <c r="E37" s="137" t="s">
        <v>573</v>
      </c>
      <c r="F37" s="145" t="s">
        <v>517</v>
      </c>
      <c r="G37" s="145" t="s">
        <v>517</v>
      </c>
      <c r="H37" s="145"/>
      <c r="I37" s="145"/>
      <c r="J37" s="138"/>
      <c r="K37" s="139"/>
      <c r="L37" s="134"/>
      <c r="M37" s="134"/>
      <c r="N37" s="134"/>
      <c r="O37" s="134"/>
      <c r="P37" s="134"/>
      <c r="Q37" s="134"/>
      <c r="R37" s="134"/>
    </row>
    <row r="38" spans="1:19" ht="60" x14ac:dyDescent="0.25">
      <c r="A38" s="134"/>
      <c r="B38" s="135" t="s">
        <v>574</v>
      </c>
      <c r="C38" s="136" t="s">
        <v>546</v>
      </c>
      <c r="D38" s="136" t="s">
        <v>575</v>
      </c>
      <c r="E38" s="137" t="s">
        <v>576</v>
      </c>
      <c r="F38" s="145" t="s">
        <v>517</v>
      </c>
      <c r="G38" s="145" t="s">
        <v>517</v>
      </c>
      <c r="H38" s="145"/>
      <c r="I38" s="145"/>
      <c r="J38" s="138"/>
      <c r="K38" s="139"/>
      <c r="L38" s="134"/>
      <c r="M38" s="134"/>
      <c r="N38" s="134"/>
      <c r="O38" s="134"/>
      <c r="P38" s="134"/>
      <c r="Q38" s="134"/>
      <c r="R38" s="134"/>
    </row>
    <row r="39" spans="1:19" ht="36" x14ac:dyDescent="0.25">
      <c r="A39" s="134"/>
      <c r="B39" s="135" t="s">
        <v>577</v>
      </c>
      <c r="C39" s="136" t="s">
        <v>578</v>
      </c>
      <c r="D39" s="136" t="s">
        <v>515</v>
      </c>
      <c r="E39" s="137" t="s">
        <v>579</v>
      </c>
      <c r="F39" s="150" t="s">
        <v>517</v>
      </c>
      <c r="G39" s="145" t="s">
        <v>517</v>
      </c>
      <c r="H39" s="145"/>
      <c r="I39" s="145"/>
      <c r="J39" s="138"/>
      <c r="K39" s="139"/>
      <c r="L39" s="134"/>
      <c r="M39" s="134"/>
      <c r="N39" s="134"/>
      <c r="O39" s="134"/>
      <c r="P39" s="134"/>
      <c r="Q39" s="134"/>
      <c r="R39" s="134"/>
    </row>
    <row r="40" spans="1:19" ht="78" customHeight="1" x14ac:dyDescent="0.25">
      <c r="A40" s="128" t="s">
        <v>580</v>
      </c>
      <c r="B40" s="129" t="s">
        <v>450</v>
      </c>
      <c r="C40" s="129" t="s">
        <v>451</v>
      </c>
      <c r="D40" s="129" t="s">
        <v>452</v>
      </c>
      <c r="E40" s="129" t="s">
        <v>528</v>
      </c>
      <c r="F40" s="129" t="s">
        <v>581</v>
      </c>
      <c r="G40" s="129" t="s">
        <v>582</v>
      </c>
      <c r="H40" s="129" t="s">
        <v>583</v>
      </c>
      <c r="I40" s="129" t="s">
        <v>455</v>
      </c>
      <c r="J40" s="129" t="s">
        <v>584</v>
      </c>
      <c r="K40" s="129" t="s">
        <v>585</v>
      </c>
      <c r="L40" s="129" t="s">
        <v>586</v>
      </c>
      <c r="M40" s="129" t="s">
        <v>587</v>
      </c>
      <c r="N40" s="129" t="s">
        <v>588</v>
      </c>
      <c r="O40" s="129" t="s">
        <v>589</v>
      </c>
      <c r="P40" s="129" t="s">
        <v>590</v>
      </c>
      <c r="Q40" s="129" t="s">
        <v>591</v>
      </c>
      <c r="R40" s="133" t="s">
        <v>457</v>
      </c>
      <c r="S40" s="129" t="s">
        <v>458</v>
      </c>
    </row>
    <row r="41" spans="1:19" ht="43.9" customHeight="1" x14ac:dyDescent="0.25">
      <c r="A41" s="134"/>
      <c r="B41" s="135" t="s">
        <v>592</v>
      </c>
      <c r="C41" s="136" t="s">
        <v>578</v>
      </c>
      <c r="D41" s="136" t="s">
        <v>515</v>
      </c>
      <c r="E41" s="137" t="s">
        <v>593</v>
      </c>
      <c r="F41" s="151" t="s">
        <v>498</v>
      </c>
      <c r="G41" s="152" t="s">
        <v>594</v>
      </c>
      <c r="H41" s="153" t="s">
        <v>595</v>
      </c>
      <c r="I41" s="145" t="s">
        <v>499</v>
      </c>
      <c r="J41" s="153"/>
      <c r="K41" s="154"/>
      <c r="L41" s="153"/>
      <c r="M41" s="154"/>
      <c r="N41" s="154"/>
      <c r="O41" s="154"/>
      <c r="P41" s="154"/>
      <c r="Q41" s="154"/>
      <c r="R41" s="154"/>
      <c r="S41" s="139" t="s">
        <v>596</v>
      </c>
    </row>
    <row r="42" spans="1:19" ht="48" x14ac:dyDescent="0.25">
      <c r="A42" s="134"/>
      <c r="B42" s="135" t="s">
        <v>597</v>
      </c>
      <c r="C42" s="136" t="s">
        <v>598</v>
      </c>
      <c r="D42" s="136" t="s">
        <v>515</v>
      </c>
      <c r="E42" s="137" t="s">
        <v>599</v>
      </c>
      <c r="F42" s="151" t="s">
        <v>498</v>
      </c>
      <c r="G42" s="154" t="s">
        <v>600</v>
      </c>
      <c r="H42" s="153" t="s">
        <v>601</v>
      </c>
      <c r="I42" s="145" t="s">
        <v>499</v>
      </c>
      <c r="J42" s="153"/>
      <c r="K42" s="154" t="s">
        <v>602</v>
      </c>
      <c r="L42" s="154"/>
      <c r="M42" s="155">
        <v>0</v>
      </c>
      <c r="N42" s="154"/>
      <c r="O42" s="154"/>
      <c r="P42" s="154"/>
      <c r="Q42" s="154"/>
      <c r="R42" s="154"/>
      <c r="S42" s="139" t="s">
        <v>596</v>
      </c>
    </row>
    <row r="43" spans="1:19" ht="48" x14ac:dyDescent="0.25">
      <c r="A43" s="134"/>
      <c r="B43" s="135" t="s">
        <v>603</v>
      </c>
      <c r="C43" s="136" t="s">
        <v>598</v>
      </c>
      <c r="D43" s="136" t="s">
        <v>515</v>
      </c>
      <c r="E43" s="137" t="s">
        <v>604</v>
      </c>
      <c r="F43" s="151" t="s">
        <v>498</v>
      </c>
      <c r="G43" s="154" t="s">
        <v>581</v>
      </c>
      <c r="H43" s="153" t="s">
        <v>605</v>
      </c>
      <c r="I43" s="145" t="s">
        <v>499</v>
      </c>
      <c r="J43" s="153"/>
      <c r="K43" s="154" t="s">
        <v>602</v>
      </c>
      <c r="L43" s="154"/>
      <c r="M43" s="155">
        <v>0</v>
      </c>
      <c r="N43" s="154"/>
      <c r="O43" s="154"/>
      <c r="P43" s="154"/>
      <c r="Q43" s="154"/>
      <c r="R43" s="154"/>
      <c r="S43" s="139" t="s">
        <v>596</v>
      </c>
    </row>
    <row r="44" spans="1:19" ht="48" x14ac:dyDescent="0.25">
      <c r="A44" s="134"/>
      <c r="B44" s="135" t="s">
        <v>606</v>
      </c>
      <c r="C44" s="136" t="s">
        <v>598</v>
      </c>
      <c r="D44" s="136" t="s">
        <v>515</v>
      </c>
      <c r="E44" s="137" t="s">
        <v>607</v>
      </c>
      <c r="F44" s="151" t="s">
        <v>498</v>
      </c>
      <c r="G44" s="154" t="s">
        <v>581</v>
      </c>
      <c r="H44" s="153" t="s">
        <v>605</v>
      </c>
      <c r="I44" s="145" t="s">
        <v>499</v>
      </c>
      <c r="J44" s="153"/>
      <c r="K44" s="154" t="s">
        <v>602</v>
      </c>
      <c r="L44" s="154"/>
      <c r="M44" s="156">
        <v>0</v>
      </c>
      <c r="N44" s="154"/>
      <c r="O44" s="154"/>
      <c r="P44" s="154"/>
      <c r="Q44" s="154"/>
      <c r="R44" s="154"/>
      <c r="S44" s="139" t="s">
        <v>596</v>
      </c>
    </row>
    <row r="45" spans="1:19" ht="24" x14ac:dyDescent="0.25">
      <c r="A45" s="134"/>
      <c r="B45" s="135" t="s">
        <v>377</v>
      </c>
      <c r="C45" s="136" t="s">
        <v>598</v>
      </c>
      <c r="D45" s="136" t="s">
        <v>515</v>
      </c>
      <c r="E45" s="137" t="s">
        <v>608</v>
      </c>
      <c r="F45" s="150" t="s">
        <v>498</v>
      </c>
      <c r="G45" s="154" t="s">
        <v>581</v>
      </c>
      <c r="H45" s="154"/>
      <c r="I45" s="145" t="s">
        <v>499</v>
      </c>
      <c r="J45" s="153"/>
      <c r="K45" s="154"/>
      <c r="L45" s="154"/>
      <c r="M45" s="154"/>
      <c r="N45" s="154"/>
      <c r="O45" s="154"/>
      <c r="P45" s="154"/>
      <c r="Q45" s="154"/>
      <c r="R45" s="154"/>
      <c r="S45" s="139" t="s">
        <v>596</v>
      </c>
    </row>
    <row r="46" spans="1:19" ht="60" x14ac:dyDescent="0.25">
      <c r="A46" s="128" t="s">
        <v>524</v>
      </c>
      <c r="B46" s="129" t="s">
        <v>450</v>
      </c>
      <c r="C46" s="129" t="s">
        <v>451</v>
      </c>
      <c r="D46" s="129" t="s">
        <v>452</v>
      </c>
      <c r="E46" s="129" t="s">
        <v>528</v>
      </c>
      <c r="F46" s="692" t="s">
        <v>454</v>
      </c>
      <c r="G46" s="693"/>
      <c r="H46" s="129" t="s">
        <v>455</v>
      </c>
      <c r="I46" s="132" t="s">
        <v>456</v>
      </c>
      <c r="J46" s="133"/>
      <c r="K46" s="130" t="s">
        <v>458</v>
      </c>
      <c r="L46" s="134"/>
      <c r="M46" s="134"/>
      <c r="N46" s="134"/>
      <c r="O46" s="134"/>
      <c r="P46" s="134"/>
      <c r="Q46" s="134"/>
      <c r="R46" s="134"/>
    </row>
    <row r="47" spans="1:19" ht="48" x14ac:dyDescent="0.25">
      <c r="A47" s="134"/>
      <c r="B47" s="135" t="s">
        <v>609</v>
      </c>
      <c r="C47" s="136" t="s">
        <v>525</v>
      </c>
      <c r="D47" s="136" t="s">
        <v>610</v>
      </c>
      <c r="E47" s="137" t="s">
        <v>611</v>
      </c>
      <c r="F47" s="701" t="s">
        <v>612</v>
      </c>
      <c r="G47" s="702"/>
      <c r="H47" s="154"/>
      <c r="I47" s="154"/>
      <c r="J47" s="153"/>
      <c r="K47" s="157"/>
      <c r="L47" s="154"/>
      <c r="M47" s="154"/>
      <c r="N47" s="154"/>
      <c r="O47" s="154"/>
      <c r="P47" s="154"/>
      <c r="Q47" s="154"/>
      <c r="R47" s="134"/>
    </row>
    <row r="48" spans="1:19" ht="48" x14ac:dyDescent="0.25">
      <c r="A48" s="134"/>
      <c r="B48" s="135" t="s">
        <v>613</v>
      </c>
      <c r="C48" s="158" t="s">
        <v>525</v>
      </c>
      <c r="D48" s="158" t="s">
        <v>614</v>
      </c>
      <c r="E48" s="159" t="s">
        <v>615</v>
      </c>
      <c r="F48" s="703"/>
      <c r="G48" s="704"/>
      <c r="H48" s="154"/>
      <c r="I48" s="154"/>
      <c r="J48" s="153"/>
      <c r="K48" s="154"/>
      <c r="L48" s="154"/>
      <c r="M48" s="154"/>
      <c r="N48" s="154"/>
      <c r="O48" s="154"/>
      <c r="P48" s="154"/>
      <c r="Q48" s="154"/>
      <c r="R48" s="134"/>
    </row>
    <row r="49" spans="1:21" x14ac:dyDescent="0.25">
      <c r="A49" s="134"/>
      <c r="B49" s="160"/>
      <c r="C49" s="705" t="s">
        <v>616</v>
      </c>
      <c r="D49" s="705"/>
      <c r="E49" s="161" t="s">
        <v>617</v>
      </c>
      <c r="F49" s="162"/>
      <c r="G49" s="161"/>
      <c r="H49" s="163"/>
      <c r="I49" s="154"/>
      <c r="J49" s="153"/>
      <c r="K49" s="154"/>
      <c r="L49" s="154"/>
      <c r="M49" s="154"/>
      <c r="N49" s="154"/>
      <c r="O49" s="154"/>
      <c r="P49" s="154"/>
      <c r="Q49" s="154"/>
      <c r="R49" s="134"/>
    </row>
    <row r="50" spans="1:21" x14ac:dyDescent="0.25">
      <c r="A50" s="134"/>
      <c r="B50" s="160"/>
      <c r="C50" s="705"/>
      <c r="D50" s="705"/>
      <c r="E50" s="161" t="s">
        <v>618</v>
      </c>
      <c r="F50" s="162" t="s">
        <v>619</v>
      </c>
      <c r="G50" s="161"/>
      <c r="H50" s="163" t="s">
        <v>620</v>
      </c>
      <c r="I50" s="154"/>
      <c r="J50" s="153"/>
      <c r="K50" s="154"/>
      <c r="L50" s="154"/>
      <c r="M50" s="154"/>
      <c r="N50" s="154"/>
      <c r="O50" s="154"/>
      <c r="P50" s="154"/>
      <c r="Q50" s="154"/>
      <c r="R50" s="134"/>
    </row>
    <row r="51" spans="1:21" x14ac:dyDescent="0.25">
      <c r="A51" s="134"/>
      <c r="B51" s="160"/>
      <c r="C51" s="705"/>
      <c r="D51" s="705"/>
      <c r="E51" s="161" t="s">
        <v>621</v>
      </c>
      <c r="F51" s="162" t="s">
        <v>622</v>
      </c>
      <c r="G51" s="161"/>
      <c r="H51" s="163" t="s">
        <v>623</v>
      </c>
      <c r="I51" s="154"/>
      <c r="J51" s="153"/>
      <c r="K51" s="154"/>
      <c r="L51" s="154"/>
      <c r="M51" s="154"/>
      <c r="N51" s="154"/>
      <c r="O51" s="154"/>
      <c r="P51" s="154"/>
      <c r="Q51" s="154"/>
      <c r="R51" s="134"/>
    </row>
    <row r="52" spans="1:21" x14ac:dyDescent="0.25">
      <c r="A52" s="134"/>
      <c r="B52" s="160"/>
      <c r="C52" s="705"/>
      <c r="D52" s="705"/>
      <c r="E52" s="161" t="s">
        <v>624</v>
      </c>
      <c r="F52" s="162" t="s">
        <v>625</v>
      </c>
      <c r="G52" s="161"/>
      <c r="H52" s="163"/>
      <c r="I52" s="154"/>
      <c r="J52" s="153"/>
      <c r="K52" s="154"/>
      <c r="L52" s="154"/>
      <c r="M52" s="154"/>
      <c r="N52" s="154"/>
      <c r="O52" s="154"/>
      <c r="P52" s="154"/>
      <c r="Q52" s="154"/>
      <c r="R52" s="134"/>
    </row>
    <row r="53" spans="1:21" x14ac:dyDescent="0.25">
      <c r="A53" s="134"/>
      <c r="B53" s="160"/>
      <c r="C53" s="705"/>
      <c r="D53" s="705"/>
      <c r="E53" s="161" t="s">
        <v>626</v>
      </c>
      <c r="F53" s="162" t="s">
        <v>627</v>
      </c>
      <c r="G53" s="161"/>
      <c r="H53" s="163"/>
      <c r="I53" s="154"/>
      <c r="J53" s="153"/>
      <c r="K53" s="154"/>
      <c r="L53" s="154"/>
      <c r="M53" s="154"/>
      <c r="N53" s="154"/>
      <c r="O53" s="154"/>
      <c r="P53" s="154"/>
      <c r="Q53" s="154"/>
      <c r="R53" s="134"/>
    </row>
    <row r="54" spans="1:21" x14ac:dyDescent="0.25">
      <c r="A54" s="134"/>
      <c r="B54" s="160"/>
      <c r="C54" s="705"/>
      <c r="D54" s="705"/>
      <c r="E54" s="161" t="s">
        <v>628</v>
      </c>
      <c r="F54" s="162" t="s">
        <v>629</v>
      </c>
      <c r="G54" s="161"/>
      <c r="H54" s="163"/>
      <c r="I54" s="154"/>
      <c r="J54" s="153"/>
      <c r="K54" s="154"/>
      <c r="L54" s="154"/>
      <c r="M54" s="154"/>
      <c r="N54" s="154"/>
      <c r="O54" s="154"/>
      <c r="P54" s="154"/>
      <c r="Q54" s="154"/>
      <c r="R54" s="134"/>
    </row>
    <row r="55" spans="1:21" x14ac:dyDescent="0.25">
      <c r="A55" s="134"/>
      <c r="B55" s="160"/>
      <c r="C55" s="705"/>
      <c r="D55" s="705"/>
      <c r="E55" s="161" t="s">
        <v>630</v>
      </c>
      <c r="F55" s="162" t="s">
        <v>631</v>
      </c>
      <c r="G55" s="161"/>
      <c r="H55" s="163"/>
      <c r="I55" s="154"/>
      <c r="J55" s="153"/>
      <c r="K55" s="154"/>
      <c r="L55" s="154"/>
      <c r="M55" s="154"/>
      <c r="N55" s="154"/>
      <c r="O55" s="154"/>
      <c r="P55" s="154"/>
      <c r="Q55" s="154"/>
      <c r="R55" s="134"/>
    </row>
    <row r="56" spans="1:21" x14ac:dyDescent="0.25">
      <c r="A56" s="134"/>
      <c r="B56" s="160"/>
      <c r="C56" s="705"/>
      <c r="D56" s="705"/>
      <c r="E56" s="161" t="s">
        <v>632</v>
      </c>
      <c r="F56" s="162" t="s">
        <v>633</v>
      </c>
      <c r="G56" s="161"/>
      <c r="H56" s="163"/>
      <c r="I56" s="154"/>
      <c r="J56" s="153"/>
      <c r="K56" s="154"/>
      <c r="L56" s="154"/>
      <c r="M56" s="154"/>
      <c r="N56" s="154"/>
      <c r="O56" s="154"/>
      <c r="P56" s="154"/>
      <c r="Q56" s="154"/>
      <c r="R56" s="134"/>
    </row>
    <row r="57" spans="1:21" ht="36" x14ac:dyDescent="0.25">
      <c r="A57" s="134"/>
      <c r="B57" s="135" t="s">
        <v>634</v>
      </c>
      <c r="C57" s="136" t="s">
        <v>525</v>
      </c>
      <c r="D57" s="136" t="s">
        <v>635</v>
      </c>
      <c r="E57" s="137" t="s">
        <v>636</v>
      </c>
      <c r="F57" s="698" t="s">
        <v>498</v>
      </c>
      <c r="G57" s="699"/>
      <c r="H57" s="154" t="s">
        <v>637</v>
      </c>
      <c r="I57" s="154"/>
      <c r="J57" s="153"/>
      <c r="K57" s="154"/>
      <c r="L57" s="154"/>
      <c r="M57" s="154"/>
      <c r="N57" s="154"/>
      <c r="O57" s="154"/>
      <c r="P57" s="154"/>
      <c r="Q57" s="154"/>
      <c r="R57" s="134"/>
    </row>
    <row r="58" spans="1:21" ht="24" x14ac:dyDescent="0.25">
      <c r="A58" s="134"/>
      <c r="B58" s="134"/>
      <c r="C58" s="134"/>
      <c r="D58" s="134"/>
      <c r="E58" s="137" t="s">
        <v>638</v>
      </c>
      <c r="F58" s="698" t="s">
        <v>639</v>
      </c>
      <c r="G58" s="699"/>
      <c r="H58" s="154"/>
      <c r="I58" s="154"/>
      <c r="J58" s="153"/>
      <c r="K58" s="154"/>
      <c r="L58" s="154"/>
      <c r="M58" s="154"/>
      <c r="N58" s="154"/>
      <c r="O58" s="154"/>
      <c r="P58" s="154"/>
      <c r="Q58" s="154"/>
      <c r="R58" s="134"/>
    </row>
    <row r="59" spans="1:21" x14ac:dyDescent="0.25">
      <c r="A59" s="134"/>
      <c r="B59" s="134"/>
      <c r="C59" s="136" t="s">
        <v>525</v>
      </c>
      <c r="D59" s="136"/>
      <c r="E59" s="137"/>
      <c r="F59" s="164"/>
      <c r="G59" s="165"/>
      <c r="H59" s="154"/>
      <c r="I59" s="154"/>
      <c r="J59" s="153"/>
      <c r="K59" s="154"/>
      <c r="L59" s="154"/>
      <c r="M59" s="154"/>
      <c r="N59" s="154"/>
      <c r="O59" s="154"/>
      <c r="P59" s="154"/>
      <c r="Q59" s="154"/>
      <c r="R59" s="134"/>
    </row>
    <row r="60" spans="1:21" ht="36" x14ac:dyDescent="0.25">
      <c r="A60" s="134"/>
      <c r="B60" s="135" t="s">
        <v>640</v>
      </c>
      <c r="C60" s="136" t="s">
        <v>525</v>
      </c>
      <c r="D60" s="136" t="s">
        <v>641</v>
      </c>
      <c r="E60" s="137" t="s">
        <v>642</v>
      </c>
      <c r="F60" s="698" t="s">
        <v>643</v>
      </c>
      <c r="G60" s="699"/>
      <c r="H60" s="154"/>
      <c r="I60" s="154"/>
      <c r="J60" s="153"/>
      <c r="K60" s="154"/>
      <c r="L60" s="154"/>
      <c r="M60" s="154"/>
      <c r="N60" s="154"/>
      <c r="O60" s="154"/>
      <c r="P60" s="154"/>
      <c r="Q60" s="154"/>
      <c r="R60" s="134"/>
    </row>
    <row r="61" spans="1:21" ht="60" x14ac:dyDescent="0.25">
      <c r="A61" s="128" t="s">
        <v>644</v>
      </c>
      <c r="B61" s="129" t="s">
        <v>450</v>
      </c>
      <c r="C61" s="129" t="s">
        <v>451</v>
      </c>
      <c r="D61" s="129" t="s">
        <v>452</v>
      </c>
      <c r="E61" s="129" t="s">
        <v>528</v>
      </c>
      <c r="F61" s="692" t="s">
        <v>454</v>
      </c>
      <c r="G61" s="693"/>
      <c r="H61" s="129" t="s">
        <v>455</v>
      </c>
      <c r="I61" s="132" t="s">
        <v>456</v>
      </c>
      <c r="J61" s="130" t="s">
        <v>458</v>
      </c>
      <c r="K61" s="134"/>
      <c r="L61" s="134"/>
      <c r="M61" s="134"/>
      <c r="N61" s="134"/>
      <c r="O61" s="134"/>
      <c r="P61" s="134"/>
      <c r="Q61" s="134"/>
      <c r="R61" s="134"/>
    </row>
    <row r="62" spans="1:21" ht="36" x14ac:dyDescent="0.25">
      <c r="A62" s="134"/>
      <c r="B62" s="135" t="s">
        <v>645</v>
      </c>
      <c r="C62" s="136" t="s">
        <v>646</v>
      </c>
      <c r="D62" s="136" t="s">
        <v>647</v>
      </c>
      <c r="E62" s="137" t="s">
        <v>648</v>
      </c>
      <c r="F62" s="698" t="s">
        <v>104</v>
      </c>
      <c r="G62" s="699"/>
      <c r="H62" s="154"/>
      <c r="I62" s="154"/>
      <c r="J62" s="153"/>
      <c r="K62" s="154"/>
      <c r="L62" s="154"/>
      <c r="M62" s="154"/>
      <c r="N62" s="154"/>
      <c r="O62" s="154"/>
      <c r="P62" s="154"/>
      <c r="Q62" s="154"/>
      <c r="R62" s="134"/>
    </row>
    <row r="63" spans="1:21" ht="36" x14ac:dyDescent="0.25">
      <c r="A63" s="134"/>
      <c r="B63" s="135" t="s">
        <v>649</v>
      </c>
      <c r="C63" s="136" t="s">
        <v>646</v>
      </c>
      <c r="D63" s="136" t="s">
        <v>650</v>
      </c>
      <c r="E63" s="137" t="s">
        <v>651</v>
      </c>
      <c r="F63" s="698" t="s">
        <v>652</v>
      </c>
      <c r="G63" s="699"/>
      <c r="H63" s="154"/>
      <c r="I63" s="154"/>
      <c r="J63" s="153"/>
      <c r="K63" s="154"/>
      <c r="L63" s="154"/>
      <c r="M63" s="154"/>
      <c r="N63" s="154"/>
      <c r="O63" s="154"/>
      <c r="P63" s="154"/>
      <c r="Q63" s="154"/>
      <c r="R63" s="134"/>
    </row>
    <row r="64" spans="1:21" ht="60" x14ac:dyDescent="0.25">
      <c r="A64" s="134"/>
      <c r="B64" s="135" t="s">
        <v>653</v>
      </c>
      <c r="C64" s="136" t="s">
        <v>646</v>
      </c>
      <c r="D64" s="136" t="s">
        <v>654</v>
      </c>
      <c r="E64" s="137" t="s">
        <v>655</v>
      </c>
      <c r="F64" s="689" t="s">
        <v>656</v>
      </c>
      <c r="G64" s="690"/>
      <c r="H64" s="154"/>
      <c r="I64" s="154"/>
      <c r="J64" s="153"/>
      <c r="K64" s="154"/>
      <c r="L64" s="154"/>
      <c r="M64" s="154"/>
      <c r="N64" s="154"/>
      <c r="O64" s="154"/>
      <c r="P64" s="154"/>
      <c r="Q64" s="154"/>
      <c r="R64" s="134"/>
      <c r="U64" s="166" t="s">
        <v>657</v>
      </c>
    </row>
    <row r="65" spans="1:18" ht="36" x14ac:dyDescent="0.25">
      <c r="A65" s="134"/>
      <c r="B65" s="135" t="s">
        <v>658</v>
      </c>
      <c r="C65" s="136" t="s">
        <v>646</v>
      </c>
      <c r="D65" s="136" t="s">
        <v>659</v>
      </c>
      <c r="E65" s="137" t="s">
        <v>660</v>
      </c>
      <c r="F65" s="698" t="s">
        <v>661</v>
      </c>
      <c r="G65" s="699"/>
      <c r="H65" s="167"/>
      <c r="I65" s="154"/>
      <c r="J65" s="153"/>
      <c r="K65" s="154"/>
      <c r="L65" s="154"/>
      <c r="M65" s="154"/>
      <c r="N65" s="154"/>
      <c r="O65" s="154"/>
      <c r="P65" s="154"/>
      <c r="Q65" s="154"/>
      <c r="R65" s="134"/>
    </row>
    <row r="66" spans="1:18" ht="24" x14ac:dyDescent="0.25">
      <c r="A66" s="134"/>
      <c r="B66" s="134"/>
      <c r="C66" s="134"/>
      <c r="D66" s="134"/>
      <c r="E66" s="168" t="s">
        <v>662</v>
      </c>
      <c r="F66" s="698" t="s">
        <v>661</v>
      </c>
      <c r="G66" s="699"/>
      <c r="H66" s="167" t="s">
        <v>663</v>
      </c>
      <c r="I66" s="154"/>
      <c r="J66" s="153"/>
      <c r="K66" s="154"/>
      <c r="L66" s="154"/>
      <c r="M66" s="154"/>
      <c r="N66" s="154"/>
      <c r="O66" s="154"/>
      <c r="P66" s="154"/>
      <c r="Q66" s="154"/>
      <c r="R66" s="134"/>
    </row>
    <row r="67" spans="1:18" ht="24" x14ac:dyDescent="0.25">
      <c r="A67" s="134"/>
      <c r="B67" s="134"/>
      <c r="C67" s="134"/>
      <c r="D67" s="134"/>
      <c r="E67" s="168" t="s">
        <v>664</v>
      </c>
      <c r="F67" s="698" t="s">
        <v>661</v>
      </c>
      <c r="G67" s="699"/>
      <c r="H67" s="167" t="s">
        <v>663</v>
      </c>
      <c r="I67" s="154"/>
      <c r="J67" s="153"/>
      <c r="K67" s="154"/>
      <c r="L67" s="154"/>
      <c r="M67" s="154"/>
      <c r="N67" s="154"/>
      <c r="O67" s="154"/>
      <c r="P67" s="154"/>
      <c r="Q67" s="154"/>
      <c r="R67" s="134"/>
    </row>
    <row r="68" spans="1:18" ht="36" x14ac:dyDescent="0.25">
      <c r="A68" s="134"/>
      <c r="B68" s="134"/>
      <c r="C68" s="134"/>
      <c r="D68" s="134"/>
      <c r="E68" s="168" t="s">
        <v>665</v>
      </c>
      <c r="F68" s="698" t="s">
        <v>661</v>
      </c>
      <c r="G68" s="699"/>
      <c r="H68" s="167" t="s">
        <v>663</v>
      </c>
      <c r="I68" s="154"/>
      <c r="J68" s="153"/>
      <c r="K68" s="154"/>
      <c r="L68" s="154"/>
      <c r="M68" s="154"/>
      <c r="N68" s="154"/>
      <c r="O68" s="154"/>
      <c r="P68" s="154"/>
      <c r="Q68" s="154"/>
      <c r="R68" s="134"/>
    </row>
    <row r="69" spans="1:18" ht="24" x14ac:dyDescent="0.25">
      <c r="A69" s="134"/>
      <c r="B69" s="134"/>
      <c r="C69" s="134"/>
      <c r="D69" s="134"/>
      <c r="E69" s="168" t="s">
        <v>666</v>
      </c>
      <c r="F69" s="698" t="s">
        <v>661</v>
      </c>
      <c r="G69" s="699"/>
      <c r="H69" s="167" t="s">
        <v>663</v>
      </c>
      <c r="I69" s="154"/>
      <c r="J69" s="153"/>
      <c r="K69" s="154"/>
      <c r="L69" s="154"/>
      <c r="M69" s="154"/>
      <c r="N69" s="154"/>
      <c r="O69" s="154"/>
      <c r="P69" s="154"/>
      <c r="Q69" s="154"/>
      <c r="R69" s="134"/>
    </row>
    <row r="70" spans="1:18" ht="24" x14ac:dyDescent="0.25">
      <c r="A70" s="134"/>
      <c r="B70" s="134"/>
      <c r="C70" s="134"/>
      <c r="D70" s="134"/>
      <c r="E70" s="169" t="s">
        <v>667</v>
      </c>
      <c r="F70" s="706" t="s">
        <v>663</v>
      </c>
      <c r="G70" s="707"/>
      <c r="H70" s="167" t="s">
        <v>663</v>
      </c>
      <c r="I70" s="154"/>
      <c r="J70" s="153"/>
      <c r="K70" s="154"/>
      <c r="L70" s="154"/>
      <c r="M70" s="154"/>
      <c r="N70" s="154"/>
      <c r="O70" s="154"/>
      <c r="P70" s="154"/>
      <c r="Q70" s="154"/>
      <c r="R70" s="134"/>
    </row>
    <row r="71" spans="1:18" x14ac:dyDescent="0.25">
      <c r="A71" s="134"/>
      <c r="B71" s="134"/>
      <c r="C71" s="134"/>
      <c r="D71" s="134"/>
      <c r="E71" s="169" t="s">
        <v>668</v>
      </c>
      <c r="F71" s="706" t="s">
        <v>663</v>
      </c>
      <c r="G71" s="707"/>
      <c r="H71" s="154"/>
      <c r="I71" s="154"/>
      <c r="J71" s="153"/>
      <c r="K71" s="154"/>
      <c r="L71" s="154"/>
      <c r="M71" s="154"/>
      <c r="N71" s="154"/>
      <c r="O71" s="154"/>
      <c r="P71" s="154"/>
      <c r="Q71" s="154"/>
      <c r="R71" s="134"/>
    </row>
    <row r="72" spans="1:18" x14ac:dyDescent="0.25">
      <c r="A72" s="134"/>
      <c r="B72" s="134"/>
      <c r="C72" s="134"/>
      <c r="D72" s="134"/>
      <c r="E72" s="169" t="s">
        <v>669</v>
      </c>
      <c r="F72" s="706" t="s">
        <v>663</v>
      </c>
      <c r="G72" s="707"/>
      <c r="H72" s="154"/>
      <c r="I72" s="154"/>
      <c r="J72" s="153"/>
      <c r="K72" s="154"/>
      <c r="L72" s="154"/>
      <c r="M72" s="154"/>
      <c r="N72" s="154"/>
      <c r="O72" s="154"/>
      <c r="P72" s="154"/>
      <c r="Q72" s="154"/>
      <c r="R72" s="134"/>
    </row>
    <row r="73" spans="1:18" x14ac:dyDescent="0.25">
      <c r="A73" s="134"/>
      <c r="B73" s="134"/>
      <c r="C73" s="134"/>
      <c r="D73" s="134"/>
      <c r="E73" s="169" t="s">
        <v>670</v>
      </c>
      <c r="F73" s="706" t="s">
        <v>663</v>
      </c>
      <c r="G73" s="707"/>
      <c r="H73" s="154"/>
      <c r="I73" s="154"/>
      <c r="J73" s="153"/>
      <c r="K73" s="154"/>
      <c r="L73" s="154"/>
      <c r="M73" s="154"/>
      <c r="N73" s="154"/>
      <c r="O73" s="154"/>
      <c r="P73" s="154"/>
      <c r="Q73" s="154"/>
      <c r="R73" s="134"/>
    </row>
    <row r="74" spans="1:18" ht="60" x14ac:dyDescent="0.25">
      <c r="A74" s="128" t="s">
        <v>671</v>
      </c>
      <c r="B74" s="129" t="s">
        <v>450</v>
      </c>
      <c r="C74" s="129" t="s">
        <v>451</v>
      </c>
      <c r="D74" s="129" t="s">
        <v>452</v>
      </c>
      <c r="E74" s="129" t="s">
        <v>528</v>
      </c>
      <c r="F74" s="692" t="s">
        <v>454</v>
      </c>
      <c r="G74" s="693"/>
      <c r="H74" s="129" t="s">
        <v>455</v>
      </c>
      <c r="I74" s="132" t="s">
        <v>456</v>
      </c>
      <c r="J74" s="130" t="s">
        <v>458</v>
      </c>
      <c r="K74" s="134"/>
      <c r="L74" s="134"/>
      <c r="M74" s="134"/>
      <c r="N74" s="134"/>
      <c r="O74" s="134"/>
      <c r="P74" s="134"/>
      <c r="Q74" s="134"/>
      <c r="R74" s="134"/>
    </row>
    <row r="75" spans="1:18" ht="36" x14ac:dyDescent="0.25">
      <c r="A75" s="134"/>
      <c r="B75" s="135" t="s">
        <v>645</v>
      </c>
      <c r="C75" s="136" t="s">
        <v>672</v>
      </c>
      <c r="D75" s="136" t="s">
        <v>647</v>
      </c>
      <c r="E75" s="137" t="s">
        <v>673</v>
      </c>
      <c r="F75" s="698" t="s">
        <v>498</v>
      </c>
      <c r="G75" s="699"/>
      <c r="H75" s="154"/>
      <c r="I75" s="154"/>
      <c r="J75" s="157"/>
      <c r="K75" s="154"/>
      <c r="L75" s="154"/>
      <c r="M75" s="154"/>
      <c r="N75" s="154"/>
      <c r="O75" s="154"/>
      <c r="P75" s="154"/>
      <c r="Q75" s="154"/>
      <c r="R75" s="134"/>
    </row>
    <row r="76" spans="1:18" ht="36" x14ac:dyDescent="0.25">
      <c r="A76" s="134"/>
      <c r="B76" s="135" t="s">
        <v>649</v>
      </c>
      <c r="C76" s="136" t="s">
        <v>672</v>
      </c>
      <c r="D76" s="136" t="s">
        <v>650</v>
      </c>
      <c r="E76" s="137" t="s">
        <v>651</v>
      </c>
      <c r="F76" s="698" t="s">
        <v>674</v>
      </c>
      <c r="G76" s="699"/>
      <c r="H76" s="154"/>
      <c r="I76" s="154"/>
      <c r="J76" s="157"/>
      <c r="K76" s="154"/>
      <c r="L76" s="154"/>
      <c r="M76" s="154"/>
      <c r="N76" s="154"/>
      <c r="O76" s="154"/>
      <c r="P76" s="154"/>
      <c r="Q76" s="154"/>
      <c r="R76" s="134"/>
    </row>
    <row r="77" spans="1:18" ht="60" x14ac:dyDescent="0.25">
      <c r="A77" s="134"/>
      <c r="B77" s="135" t="s">
        <v>653</v>
      </c>
      <c r="C77" s="136" t="s">
        <v>672</v>
      </c>
      <c r="D77" s="136" t="s">
        <v>654</v>
      </c>
      <c r="E77" s="137" t="s">
        <v>675</v>
      </c>
      <c r="F77" s="698" t="s">
        <v>674</v>
      </c>
      <c r="G77" s="699"/>
      <c r="H77" s="154"/>
      <c r="I77" s="154"/>
      <c r="J77" s="157"/>
      <c r="K77" s="154"/>
      <c r="L77" s="154"/>
      <c r="M77" s="154"/>
      <c r="N77" s="154"/>
      <c r="O77" s="154"/>
      <c r="P77" s="154"/>
      <c r="Q77" s="154"/>
      <c r="R77" s="134"/>
    </row>
    <row r="78" spans="1:18" x14ac:dyDescent="0.25">
      <c r="A78" s="134"/>
      <c r="B78" s="135" t="s">
        <v>658</v>
      </c>
      <c r="C78" s="136" t="s">
        <v>672</v>
      </c>
      <c r="D78" s="136" t="s">
        <v>659</v>
      </c>
      <c r="E78" s="137" t="s">
        <v>676</v>
      </c>
      <c r="F78" s="706" t="s">
        <v>677</v>
      </c>
      <c r="G78" s="707"/>
      <c r="H78" s="154"/>
      <c r="I78" s="154"/>
      <c r="J78" s="157"/>
      <c r="K78" s="154"/>
      <c r="L78" s="154"/>
      <c r="M78" s="154"/>
      <c r="N78" s="154"/>
      <c r="O78" s="154"/>
      <c r="P78" s="154"/>
      <c r="Q78" s="154"/>
      <c r="R78" s="134"/>
    </row>
    <row r="79" spans="1:18" ht="120" x14ac:dyDescent="0.25">
      <c r="A79" s="128" t="s">
        <v>102</v>
      </c>
      <c r="B79" s="129" t="s">
        <v>450</v>
      </c>
      <c r="C79" s="129" t="s">
        <v>451</v>
      </c>
      <c r="D79" s="129" t="s">
        <v>452</v>
      </c>
      <c r="E79" s="129" t="s">
        <v>528</v>
      </c>
      <c r="F79" s="692" t="s">
        <v>454</v>
      </c>
      <c r="G79" s="693"/>
      <c r="H79" s="129" t="s">
        <v>455</v>
      </c>
      <c r="I79" s="132" t="s">
        <v>456</v>
      </c>
      <c r="J79" s="133" t="s">
        <v>457</v>
      </c>
      <c r="K79" s="130" t="s">
        <v>458</v>
      </c>
      <c r="L79" s="134"/>
      <c r="M79" s="134"/>
      <c r="N79" s="134"/>
      <c r="O79" s="134"/>
      <c r="P79" s="134"/>
      <c r="Q79" s="134"/>
      <c r="R79" s="134"/>
    </row>
    <row r="80" spans="1:18" ht="36.75" x14ac:dyDescent="0.25">
      <c r="A80" s="134"/>
      <c r="B80" s="135" t="s">
        <v>645</v>
      </c>
      <c r="C80" s="136" t="s">
        <v>536</v>
      </c>
      <c r="D80" s="136" t="s">
        <v>678</v>
      </c>
      <c r="E80" s="137" t="s">
        <v>679</v>
      </c>
      <c r="F80" s="708" t="s">
        <v>680</v>
      </c>
      <c r="G80" s="707"/>
      <c r="H80" s="154" t="s">
        <v>499</v>
      </c>
      <c r="I80" s="154"/>
      <c r="J80" s="153"/>
      <c r="K80" s="154"/>
      <c r="L80" s="154"/>
      <c r="M80" s="154"/>
      <c r="N80" s="154"/>
      <c r="O80" s="154"/>
      <c r="P80" s="154"/>
      <c r="Q80" s="154"/>
      <c r="R80" s="134"/>
    </row>
    <row r="81" spans="1:18" ht="24" x14ac:dyDescent="0.25">
      <c r="A81" s="134"/>
      <c r="B81" s="134"/>
      <c r="C81" s="134"/>
      <c r="D81" s="134"/>
      <c r="E81" s="137" t="s">
        <v>681</v>
      </c>
      <c r="F81" s="706" t="s">
        <v>682</v>
      </c>
      <c r="G81" s="707"/>
      <c r="H81" s="154"/>
      <c r="I81" s="154"/>
      <c r="J81" s="153"/>
      <c r="K81" s="154"/>
      <c r="L81" s="154"/>
      <c r="M81" s="154"/>
      <c r="N81" s="154"/>
      <c r="O81" s="154"/>
      <c r="P81" s="154"/>
      <c r="Q81" s="154"/>
      <c r="R81" s="134"/>
    </row>
    <row r="82" spans="1:18" ht="36" x14ac:dyDescent="0.25">
      <c r="A82" s="134"/>
      <c r="B82" s="135" t="s">
        <v>683</v>
      </c>
      <c r="C82" s="136" t="s">
        <v>536</v>
      </c>
      <c r="D82" s="136" t="s">
        <v>542</v>
      </c>
      <c r="E82" s="137" t="s">
        <v>684</v>
      </c>
      <c r="F82" s="706" t="s">
        <v>685</v>
      </c>
      <c r="G82" s="707"/>
      <c r="H82" s="154"/>
      <c r="I82" s="154"/>
      <c r="J82" s="153"/>
      <c r="K82" s="154"/>
      <c r="L82" s="154"/>
      <c r="M82" s="154"/>
      <c r="N82" s="154"/>
      <c r="O82" s="154"/>
      <c r="P82" s="154"/>
      <c r="Q82" s="154"/>
      <c r="R82" s="134"/>
    </row>
    <row r="83" spans="1:18" ht="48" x14ac:dyDescent="0.25">
      <c r="A83" s="134"/>
      <c r="B83" s="135" t="s">
        <v>686</v>
      </c>
      <c r="C83" s="136" t="s">
        <v>536</v>
      </c>
      <c r="D83" s="136" t="s">
        <v>687</v>
      </c>
      <c r="E83" s="137" t="s">
        <v>688</v>
      </c>
      <c r="F83" s="706" t="s">
        <v>689</v>
      </c>
      <c r="G83" s="707"/>
      <c r="H83" s="154" t="s">
        <v>499</v>
      </c>
      <c r="I83" s="154"/>
      <c r="J83" s="153"/>
      <c r="K83" s="154"/>
      <c r="L83" s="154"/>
      <c r="M83" s="154"/>
      <c r="N83" s="154"/>
      <c r="O83" s="154"/>
      <c r="P83" s="154"/>
      <c r="Q83" s="154"/>
      <c r="R83" s="134"/>
    </row>
    <row r="84" spans="1:18" ht="48" x14ac:dyDescent="0.25">
      <c r="A84" s="134"/>
      <c r="B84" s="135" t="s">
        <v>690</v>
      </c>
      <c r="C84" s="136" t="s">
        <v>536</v>
      </c>
      <c r="D84" s="136" t="s">
        <v>691</v>
      </c>
      <c r="E84" s="137" t="s">
        <v>692</v>
      </c>
      <c r="F84" s="701" t="s">
        <v>693</v>
      </c>
      <c r="G84" s="702"/>
      <c r="H84" s="154" t="s">
        <v>499</v>
      </c>
      <c r="I84" s="153" t="s">
        <v>694</v>
      </c>
      <c r="J84" s="153"/>
      <c r="K84" s="154"/>
      <c r="L84" s="154"/>
      <c r="M84" s="154"/>
      <c r="N84" s="154"/>
      <c r="O84" s="154"/>
      <c r="P84" s="154"/>
      <c r="Q84" s="154"/>
      <c r="R84" s="134"/>
    </row>
    <row r="85" spans="1:18" ht="24" x14ac:dyDescent="0.25">
      <c r="A85" s="134"/>
      <c r="B85" s="135" t="s">
        <v>695</v>
      </c>
      <c r="C85" s="136" t="s">
        <v>536</v>
      </c>
      <c r="D85" s="136" t="s">
        <v>696</v>
      </c>
      <c r="E85" s="137" t="s">
        <v>697</v>
      </c>
      <c r="F85" s="706" t="s">
        <v>698</v>
      </c>
      <c r="G85" s="707"/>
      <c r="H85" s="154" t="s">
        <v>499</v>
      </c>
      <c r="I85" s="154"/>
      <c r="J85" s="153"/>
      <c r="K85" s="154"/>
      <c r="L85" s="154"/>
      <c r="M85" s="154"/>
      <c r="N85" s="154"/>
      <c r="O85" s="154"/>
      <c r="P85" s="154"/>
      <c r="Q85" s="154"/>
      <c r="R85" s="134"/>
    </row>
    <row r="86" spans="1:18" ht="24" x14ac:dyDescent="0.25">
      <c r="A86" s="134"/>
      <c r="B86" s="135" t="s">
        <v>699</v>
      </c>
      <c r="C86" s="136" t="s">
        <v>536</v>
      </c>
      <c r="D86" s="136" t="s">
        <v>700</v>
      </c>
      <c r="E86" s="137" t="s">
        <v>701</v>
      </c>
      <c r="F86" s="706" t="s">
        <v>698</v>
      </c>
      <c r="G86" s="707"/>
      <c r="H86" s="154" t="s">
        <v>499</v>
      </c>
      <c r="I86" s="154"/>
      <c r="J86" s="153"/>
      <c r="K86" s="154"/>
      <c r="L86" s="154"/>
      <c r="M86" s="154"/>
      <c r="N86" s="154"/>
      <c r="O86" s="154"/>
      <c r="P86" s="154"/>
      <c r="Q86" s="154"/>
      <c r="R86" s="134"/>
    </row>
    <row r="87" spans="1:18" ht="36" x14ac:dyDescent="0.25">
      <c r="A87" s="134"/>
      <c r="B87" s="135" t="s">
        <v>702</v>
      </c>
      <c r="C87" s="136" t="s">
        <v>536</v>
      </c>
      <c r="D87" s="136" t="s">
        <v>703</v>
      </c>
      <c r="E87" s="137" t="s">
        <v>704</v>
      </c>
      <c r="F87" s="706" t="s">
        <v>677</v>
      </c>
      <c r="G87" s="707"/>
      <c r="H87" s="154"/>
      <c r="I87" s="154"/>
      <c r="J87" s="153"/>
      <c r="K87" s="154"/>
      <c r="L87" s="154"/>
      <c r="M87" s="154"/>
      <c r="N87" s="154"/>
      <c r="O87" s="154"/>
      <c r="P87" s="154"/>
      <c r="Q87" s="154"/>
      <c r="R87" s="134"/>
    </row>
    <row r="88" spans="1:18" ht="72" x14ac:dyDescent="0.25">
      <c r="A88" s="134"/>
      <c r="B88" s="135" t="s">
        <v>705</v>
      </c>
      <c r="C88" s="136" t="s">
        <v>536</v>
      </c>
      <c r="D88" s="136" t="s">
        <v>706</v>
      </c>
      <c r="E88" s="137" t="s">
        <v>707</v>
      </c>
      <c r="F88" s="706" t="s">
        <v>674</v>
      </c>
      <c r="G88" s="707"/>
      <c r="H88" s="154" t="s">
        <v>499</v>
      </c>
      <c r="I88" s="154"/>
      <c r="J88" s="153"/>
      <c r="K88" s="154"/>
      <c r="L88" s="154"/>
      <c r="M88" s="154"/>
      <c r="N88" s="154"/>
      <c r="O88" s="154"/>
      <c r="P88" s="154"/>
      <c r="Q88" s="154"/>
      <c r="R88" s="134"/>
    </row>
    <row r="89" spans="1:18" ht="48" x14ac:dyDescent="0.25">
      <c r="A89" s="134"/>
      <c r="B89" s="135" t="s">
        <v>708</v>
      </c>
      <c r="C89" s="136" t="s">
        <v>536</v>
      </c>
      <c r="D89" s="136" t="s">
        <v>709</v>
      </c>
      <c r="E89" s="137" t="s">
        <v>710</v>
      </c>
      <c r="F89" s="706" t="s">
        <v>674</v>
      </c>
      <c r="G89" s="707"/>
      <c r="H89" s="154" t="s">
        <v>499</v>
      </c>
      <c r="I89" s="154"/>
      <c r="J89" s="153"/>
      <c r="K89" s="154"/>
      <c r="L89" s="154"/>
      <c r="M89" s="154"/>
      <c r="N89" s="154"/>
      <c r="O89" s="154"/>
      <c r="P89" s="154"/>
      <c r="Q89" s="154"/>
      <c r="R89" s="134"/>
    </row>
    <row r="90" spans="1:18" ht="36" x14ac:dyDescent="0.25">
      <c r="A90" s="134"/>
      <c r="B90" s="135" t="s">
        <v>711</v>
      </c>
      <c r="C90" s="136" t="s">
        <v>536</v>
      </c>
      <c r="D90" s="136" t="s">
        <v>712</v>
      </c>
      <c r="E90" s="137" t="s">
        <v>713</v>
      </c>
      <c r="F90" s="706" t="s">
        <v>714</v>
      </c>
      <c r="G90" s="707"/>
      <c r="H90" s="154" t="s">
        <v>499</v>
      </c>
      <c r="I90" s="154"/>
      <c r="J90" s="153"/>
      <c r="K90" s="154"/>
      <c r="L90" s="154"/>
      <c r="M90" s="154"/>
      <c r="N90" s="154"/>
      <c r="O90" s="154"/>
      <c r="P90" s="154"/>
      <c r="Q90" s="154"/>
      <c r="R90" s="134"/>
    </row>
    <row r="91" spans="1:18" ht="48" x14ac:dyDescent="0.25">
      <c r="A91" s="134"/>
      <c r="B91" s="135" t="s">
        <v>715</v>
      </c>
      <c r="C91" s="136" t="s">
        <v>536</v>
      </c>
      <c r="D91" s="136" t="s">
        <v>716</v>
      </c>
      <c r="E91" s="137" t="s">
        <v>717</v>
      </c>
      <c r="F91" s="706" t="s">
        <v>718</v>
      </c>
      <c r="G91" s="707"/>
      <c r="H91" s="154"/>
      <c r="I91" s="154"/>
      <c r="J91" s="153"/>
      <c r="K91" s="154"/>
      <c r="L91" s="154"/>
      <c r="M91" s="154"/>
      <c r="N91" s="154"/>
      <c r="O91" s="154"/>
      <c r="P91" s="154"/>
      <c r="Q91" s="154"/>
      <c r="R91" s="134"/>
    </row>
    <row r="92" spans="1:18" ht="60" x14ac:dyDescent="0.25">
      <c r="A92" s="128" t="s">
        <v>76</v>
      </c>
      <c r="B92" s="129" t="s">
        <v>450</v>
      </c>
      <c r="C92" s="129" t="s">
        <v>451</v>
      </c>
      <c r="D92" s="129" t="s">
        <v>452</v>
      </c>
      <c r="E92" s="129" t="s">
        <v>528</v>
      </c>
      <c r="F92" s="692" t="s">
        <v>454</v>
      </c>
      <c r="G92" s="693"/>
      <c r="H92" s="129" t="s">
        <v>455</v>
      </c>
      <c r="I92" s="132" t="s">
        <v>456</v>
      </c>
      <c r="J92" s="130" t="s">
        <v>458</v>
      </c>
      <c r="K92" s="134"/>
      <c r="L92" s="134"/>
      <c r="M92" s="134"/>
      <c r="N92" s="134"/>
      <c r="O92" s="134"/>
      <c r="P92" s="134"/>
      <c r="Q92" s="134"/>
      <c r="R92" s="134"/>
    </row>
    <row r="93" spans="1:18" ht="48" x14ac:dyDescent="0.25">
      <c r="A93" s="134"/>
      <c r="B93" s="135" t="s">
        <v>719</v>
      </c>
      <c r="C93" s="136" t="s">
        <v>720</v>
      </c>
      <c r="D93" s="136" t="s">
        <v>721</v>
      </c>
      <c r="E93" s="137" t="s">
        <v>722</v>
      </c>
      <c r="F93" s="698" t="s">
        <v>474</v>
      </c>
      <c r="G93" s="699"/>
      <c r="H93" s="154"/>
      <c r="I93" s="154"/>
      <c r="J93" s="153"/>
      <c r="K93" s="154"/>
      <c r="L93" s="154"/>
      <c r="M93" s="154"/>
      <c r="N93" s="154"/>
      <c r="O93" s="154"/>
      <c r="P93" s="154"/>
      <c r="Q93" s="154"/>
      <c r="R93" s="134"/>
    </row>
    <row r="94" spans="1:18" ht="60" x14ac:dyDescent="0.25">
      <c r="A94" s="128" t="s">
        <v>723</v>
      </c>
      <c r="B94" s="129" t="s">
        <v>450</v>
      </c>
      <c r="C94" s="129" t="s">
        <v>451</v>
      </c>
      <c r="D94" s="129" t="s">
        <v>452</v>
      </c>
      <c r="E94" s="129" t="s">
        <v>528</v>
      </c>
      <c r="F94" s="692" t="s">
        <v>454</v>
      </c>
      <c r="G94" s="693"/>
      <c r="H94" s="129" t="s">
        <v>455</v>
      </c>
      <c r="I94" s="132" t="s">
        <v>456</v>
      </c>
      <c r="J94" s="130" t="s">
        <v>458</v>
      </c>
      <c r="K94" s="134"/>
      <c r="L94" s="134"/>
      <c r="M94" s="134"/>
      <c r="N94" s="134"/>
      <c r="O94" s="134"/>
      <c r="P94" s="134"/>
      <c r="Q94" s="134"/>
      <c r="R94" s="134"/>
    </row>
    <row r="95" spans="1:18" ht="48.75" x14ac:dyDescent="0.25">
      <c r="A95" s="134"/>
      <c r="B95" s="135" t="s">
        <v>724</v>
      </c>
      <c r="C95" s="136" t="s">
        <v>725</v>
      </c>
      <c r="D95" s="136" t="s">
        <v>678</v>
      </c>
      <c r="E95" s="137" t="s">
        <v>726</v>
      </c>
      <c r="F95" s="708" t="s">
        <v>727</v>
      </c>
      <c r="G95" s="707"/>
      <c r="H95" s="154" t="s">
        <v>499</v>
      </c>
      <c r="I95" s="154"/>
      <c r="J95" s="153"/>
      <c r="K95" s="154"/>
      <c r="L95" s="154"/>
      <c r="M95" s="154"/>
      <c r="N95" s="154"/>
      <c r="O95" s="154"/>
      <c r="P95" s="154"/>
      <c r="Q95" s="154"/>
      <c r="R95" s="134"/>
    </row>
    <row r="96" spans="1:18" ht="48" x14ac:dyDescent="0.25">
      <c r="A96" s="134"/>
      <c r="B96" s="135" t="s">
        <v>728</v>
      </c>
      <c r="C96" s="136" t="s">
        <v>725</v>
      </c>
      <c r="D96" s="136" t="s">
        <v>729</v>
      </c>
      <c r="E96" s="137" t="s">
        <v>730</v>
      </c>
      <c r="F96" s="709" t="s">
        <v>731</v>
      </c>
      <c r="G96" s="710"/>
      <c r="H96" s="154" t="s">
        <v>499</v>
      </c>
      <c r="I96" s="154"/>
      <c r="J96" s="153"/>
      <c r="K96" s="154"/>
      <c r="L96" s="154"/>
      <c r="M96" s="154"/>
      <c r="N96" s="154"/>
      <c r="O96" s="154"/>
      <c r="P96" s="154"/>
      <c r="Q96" s="154"/>
      <c r="R96" s="134"/>
    </row>
    <row r="97" spans="1:19" ht="36" x14ac:dyDescent="0.25">
      <c r="A97" s="134"/>
      <c r="B97" s="135" t="s">
        <v>732</v>
      </c>
      <c r="C97" s="136" t="s">
        <v>725</v>
      </c>
      <c r="D97" s="136" t="s">
        <v>733</v>
      </c>
      <c r="E97" s="137" t="s">
        <v>734</v>
      </c>
      <c r="F97" s="698" t="s">
        <v>735</v>
      </c>
      <c r="G97" s="699"/>
      <c r="H97" s="154" t="s">
        <v>736</v>
      </c>
      <c r="I97" s="154"/>
      <c r="J97" s="153"/>
      <c r="K97" s="154"/>
      <c r="L97" s="154"/>
      <c r="M97" s="154"/>
      <c r="N97" s="154"/>
      <c r="O97" s="154"/>
      <c r="P97" s="154"/>
      <c r="Q97" s="154"/>
      <c r="R97" s="134"/>
    </row>
    <row r="98" spans="1:19" ht="24" x14ac:dyDescent="0.25">
      <c r="A98" s="134"/>
      <c r="B98" s="135" t="s">
        <v>737</v>
      </c>
      <c r="C98" s="136" t="s">
        <v>725</v>
      </c>
      <c r="D98" s="136" t="s">
        <v>738</v>
      </c>
      <c r="E98" s="137" t="s">
        <v>739</v>
      </c>
      <c r="F98" s="698" t="s">
        <v>740</v>
      </c>
      <c r="G98" s="699"/>
      <c r="H98" s="154"/>
      <c r="I98" s="154"/>
      <c r="J98" s="153"/>
      <c r="K98" s="154"/>
      <c r="L98" s="154"/>
      <c r="M98" s="154"/>
      <c r="N98" s="154"/>
      <c r="O98" s="154"/>
      <c r="P98" s="154"/>
      <c r="Q98" s="154"/>
      <c r="R98" s="134"/>
    </row>
    <row r="99" spans="1:19" x14ac:dyDescent="0.25">
      <c r="A99" s="134"/>
      <c r="B99" s="135" t="s">
        <v>741</v>
      </c>
      <c r="C99" s="136" t="s">
        <v>725</v>
      </c>
      <c r="D99" s="136" t="s">
        <v>742</v>
      </c>
      <c r="E99" s="137" t="s">
        <v>743</v>
      </c>
      <c r="F99" s="706" t="s">
        <v>744</v>
      </c>
      <c r="G99" s="707"/>
      <c r="H99" s="154"/>
      <c r="I99" s="154"/>
      <c r="J99" s="153"/>
      <c r="K99" s="154"/>
      <c r="L99" s="154"/>
      <c r="M99" s="154"/>
      <c r="N99" s="154"/>
      <c r="O99" s="154"/>
      <c r="P99" s="154"/>
      <c r="Q99" s="154"/>
      <c r="R99" s="134"/>
    </row>
    <row r="100" spans="1:19" ht="48" x14ac:dyDescent="0.25">
      <c r="A100" s="134"/>
      <c r="B100" s="135" t="s">
        <v>745</v>
      </c>
      <c r="C100" s="136" t="s">
        <v>725</v>
      </c>
      <c r="D100" s="136" t="s">
        <v>746</v>
      </c>
      <c r="E100" s="137" t="s">
        <v>747</v>
      </c>
      <c r="F100" s="706" t="s">
        <v>748</v>
      </c>
      <c r="G100" s="707"/>
      <c r="H100" s="154" t="s">
        <v>499</v>
      </c>
      <c r="I100" s="154"/>
      <c r="J100" s="153"/>
      <c r="K100" s="154"/>
      <c r="L100" s="154"/>
      <c r="M100" s="154"/>
      <c r="N100" s="154"/>
      <c r="O100" s="154"/>
      <c r="P100" s="154"/>
      <c r="Q100" s="154"/>
      <c r="R100" s="134"/>
    </row>
    <row r="101" spans="1:19" ht="48" x14ac:dyDescent="0.25">
      <c r="A101" s="134"/>
      <c r="B101" s="135" t="s">
        <v>749</v>
      </c>
      <c r="C101" s="136" t="s">
        <v>725</v>
      </c>
      <c r="D101" s="136" t="s">
        <v>750</v>
      </c>
      <c r="E101" s="137" t="s">
        <v>730</v>
      </c>
      <c r="F101" s="711" t="s">
        <v>498</v>
      </c>
      <c r="G101" s="710"/>
      <c r="H101" s="154"/>
      <c r="I101" s="154"/>
      <c r="J101" s="153"/>
      <c r="K101" s="154"/>
      <c r="L101" s="154"/>
      <c r="M101" s="154"/>
      <c r="N101" s="154"/>
      <c r="O101" s="154"/>
      <c r="P101" s="154"/>
      <c r="Q101" s="154"/>
      <c r="R101" s="134"/>
    </row>
    <row r="102" spans="1:19" ht="60" x14ac:dyDescent="0.25">
      <c r="A102" s="128" t="s">
        <v>751</v>
      </c>
      <c r="B102" s="129" t="s">
        <v>450</v>
      </c>
      <c r="C102" s="129" t="s">
        <v>451</v>
      </c>
      <c r="D102" s="129" t="s">
        <v>452</v>
      </c>
      <c r="E102" s="129" t="s">
        <v>528</v>
      </c>
      <c r="F102" s="692" t="s">
        <v>454</v>
      </c>
      <c r="G102" s="693"/>
      <c r="H102" s="129" t="s">
        <v>455</v>
      </c>
      <c r="I102" s="132" t="s">
        <v>456</v>
      </c>
      <c r="J102" s="130" t="s">
        <v>458</v>
      </c>
      <c r="K102" s="134"/>
      <c r="L102" s="134"/>
      <c r="M102" s="134"/>
      <c r="N102" s="134"/>
      <c r="O102" s="134"/>
      <c r="P102" s="134"/>
      <c r="Q102" s="134"/>
      <c r="R102" s="134"/>
    </row>
    <row r="103" spans="1:19" ht="84" x14ac:dyDescent="0.25">
      <c r="A103" s="134"/>
      <c r="B103" s="135" t="s">
        <v>752</v>
      </c>
      <c r="C103" s="136" t="s">
        <v>753</v>
      </c>
      <c r="D103" s="136" t="s">
        <v>754</v>
      </c>
      <c r="E103" s="137" t="s">
        <v>755</v>
      </c>
      <c r="F103" s="164" t="s">
        <v>756</v>
      </c>
      <c r="G103" s="170"/>
      <c r="H103" s="154"/>
      <c r="I103" s="154"/>
      <c r="J103" s="153"/>
      <c r="K103" s="154"/>
      <c r="L103" s="154"/>
      <c r="M103" s="154"/>
      <c r="N103" s="154"/>
      <c r="O103" s="154"/>
      <c r="P103" s="154"/>
      <c r="Q103" s="154"/>
      <c r="R103" s="134"/>
    </row>
    <row r="104" spans="1:19" ht="24" x14ac:dyDescent="0.25">
      <c r="A104" s="134"/>
      <c r="B104" s="135" t="s">
        <v>757</v>
      </c>
      <c r="C104" s="136" t="s">
        <v>753</v>
      </c>
      <c r="D104" s="136" t="s">
        <v>758</v>
      </c>
      <c r="E104" s="137" t="s">
        <v>759</v>
      </c>
      <c r="F104" s="712" t="s">
        <v>760</v>
      </c>
      <c r="G104" s="713"/>
      <c r="H104" s="154" t="s">
        <v>499</v>
      </c>
      <c r="I104" s="154"/>
      <c r="J104" s="153"/>
      <c r="K104" s="154"/>
      <c r="L104" s="154"/>
      <c r="M104" s="154"/>
      <c r="N104" s="154"/>
      <c r="O104" s="154"/>
      <c r="P104" s="154"/>
      <c r="Q104" s="154"/>
      <c r="R104" s="134"/>
    </row>
    <row r="105" spans="1:19" ht="36" x14ac:dyDescent="0.25">
      <c r="A105" s="134"/>
      <c r="B105" s="135" t="s">
        <v>761</v>
      </c>
      <c r="C105" s="136" t="s">
        <v>753</v>
      </c>
      <c r="D105" s="136" t="s">
        <v>762</v>
      </c>
      <c r="E105" s="137" t="s">
        <v>763</v>
      </c>
      <c r="F105" s="706" t="s">
        <v>764</v>
      </c>
      <c r="G105" s="707"/>
      <c r="H105" s="154"/>
      <c r="I105" s="154"/>
      <c r="J105" s="153" t="s">
        <v>765</v>
      </c>
      <c r="K105" s="154"/>
      <c r="L105" s="154"/>
      <c r="M105" s="154"/>
      <c r="N105" s="154"/>
      <c r="O105" s="154"/>
      <c r="P105" s="154"/>
      <c r="Q105" s="154"/>
      <c r="R105" s="134"/>
    </row>
    <row r="106" spans="1:19" ht="48" x14ac:dyDescent="0.25">
      <c r="A106" s="134"/>
      <c r="B106" s="135" t="s">
        <v>766</v>
      </c>
      <c r="C106" s="136" t="s">
        <v>753</v>
      </c>
      <c r="D106" s="136" t="s">
        <v>767</v>
      </c>
      <c r="E106" s="137" t="s">
        <v>768</v>
      </c>
      <c r="F106" s="706" t="s">
        <v>556</v>
      </c>
      <c r="G106" s="707"/>
      <c r="H106" s="154"/>
      <c r="I106" s="154"/>
      <c r="J106" s="153"/>
      <c r="K106" s="154"/>
      <c r="L106" s="154"/>
      <c r="M106" s="154"/>
      <c r="N106" s="154"/>
      <c r="O106" s="154"/>
      <c r="P106" s="154"/>
      <c r="Q106" s="154"/>
      <c r="R106" s="134"/>
    </row>
    <row r="107" spans="1:19" ht="24" x14ac:dyDescent="0.25">
      <c r="A107" s="134"/>
      <c r="B107" s="135" t="s">
        <v>769</v>
      </c>
      <c r="C107" s="136" t="s">
        <v>753</v>
      </c>
      <c r="D107" s="136" t="s">
        <v>770</v>
      </c>
      <c r="E107" s="137" t="s">
        <v>771</v>
      </c>
      <c r="F107" s="698" t="s">
        <v>474</v>
      </c>
      <c r="G107" s="699"/>
      <c r="H107" s="154" t="s">
        <v>499</v>
      </c>
      <c r="I107" s="154"/>
      <c r="J107" s="153"/>
      <c r="K107" s="154"/>
      <c r="L107" s="154"/>
      <c r="M107" s="154"/>
      <c r="N107" s="154"/>
      <c r="O107" s="154"/>
      <c r="P107" s="154"/>
      <c r="Q107" s="154"/>
      <c r="R107" s="134"/>
    </row>
    <row r="108" spans="1:19" x14ac:dyDescent="0.25">
      <c r="A108" s="128" t="s">
        <v>16</v>
      </c>
      <c r="B108" s="129"/>
      <c r="C108" s="129"/>
      <c r="D108" s="129"/>
      <c r="E108" s="129"/>
      <c r="F108" s="692"/>
      <c r="G108" s="693"/>
      <c r="H108" s="129"/>
      <c r="I108" s="132"/>
      <c r="J108" s="130"/>
      <c r="K108" s="134"/>
      <c r="L108" s="134"/>
      <c r="M108" s="134"/>
      <c r="N108" s="134"/>
      <c r="O108" s="134"/>
      <c r="P108" s="134"/>
      <c r="Q108" s="134"/>
      <c r="R108" s="134"/>
    </row>
    <row r="109" spans="1:19" x14ac:dyDescent="0.25">
      <c r="A109" s="134"/>
      <c r="B109" s="135"/>
      <c r="C109" s="136"/>
      <c r="D109" s="136"/>
      <c r="E109" s="137"/>
      <c r="F109" s="706" t="s">
        <v>772</v>
      </c>
      <c r="G109" s="707"/>
      <c r="H109" s="170"/>
      <c r="I109" s="154"/>
      <c r="J109" s="154"/>
      <c r="K109" s="153"/>
      <c r="L109" s="154"/>
      <c r="M109" s="154"/>
      <c r="N109" s="154"/>
      <c r="O109" s="154"/>
      <c r="P109" s="154"/>
      <c r="Q109" s="154"/>
      <c r="R109" s="154"/>
      <c r="S109" s="134"/>
    </row>
    <row r="110" spans="1:19" x14ac:dyDescent="0.25">
      <c r="A110" s="134"/>
      <c r="B110" s="135"/>
      <c r="C110" s="136"/>
      <c r="D110" s="136"/>
      <c r="E110" s="137"/>
      <c r="F110" s="706"/>
      <c r="G110" s="707"/>
      <c r="H110" s="170"/>
      <c r="I110" s="154"/>
      <c r="J110" s="154"/>
      <c r="K110" s="153"/>
      <c r="L110" s="154"/>
      <c r="M110" s="154"/>
      <c r="N110" s="154"/>
      <c r="O110" s="154"/>
      <c r="P110" s="154"/>
      <c r="Q110" s="154"/>
      <c r="R110" s="154"/>
      <c r="S110" s="134"/>
    </row>
    <row r="111" spans="1:19" x14ac:dyDescent="0.25">
      <c r="A111" s="134"/>
      <c r="B111" s="135"/>
      <c r="C111" s="136"/>
      <c r="D111" s="136"/>
      <c r="E111" s="137"/>
      <c r="F111" s="706"/>
      <c r="G111" s="707"/>
      <c r="H111" s="170"/>
      <c r="I111" s="154"/>
      <c r="J111" s="154"/>
      <c r="K111" s="153"/>
      <c r="L111" s="154"/>
      <c r="M111" s="154"/>
      <c r="N111" s="154"/>
      <c r="O111" s="154"/>
      <c r="P111" s="154"/>
      <c r="Q111" s="154"/>
      <c r="R111" s="154"/>
      <c r="S111" s="134"/>
    </row>
    <row r="112" spans="1:19" x14ac:dyDescent="0.25">
      <c r="A112" s="134"/>
      <c r="B112" s="135"/>
      <c r="C112" s="136"/>
      <c r="D112" s="136"/>
      <c r="E112" s="137"/>
      <c r="F112" s="706"/>
      <c r="G112" s="707"/>
      <c r="H112" s="170"/>
      <c r="I112" s="154"/>
      <c r="J112" s="154"/>
      <c r="K112" s="153"/>
      <c r="L112" s="154"/>
      <c r="M112" s="154"/>
      <c r="N112" s="154"/>
      <c r="O112" s="154"/>
      <c r="P112" s="154"/>
      <c r="Q112" s="154"/>
      <c r="R112" s="154"/>
      <c r="S112" s="134"/>
    </row>
    <row r="113" spans="1:19" x14ac:dyDescent="0.25">
      <c r="A113" s="134"/>
      <c r="B113" s="135"/>
      <c r="C113" s="136"/>
      <c r="D113" s="136"/>
      <c r="E113" s="137"/>
      <c r="F113" s="706"/>
      <c r="G113" s="707"/>
      <c r="H113" s="170"/>
      <c r="I113" s="154"/>
      <c r="J113" s="154"/>
      <c r="K113" s="153"/>
      <c r="L113" s="154"/>
      <c r="M113" s="154"/>
      <c r="N113" s="154"/>
      <c r="O113" s="154"/>
      <c r="P113" s="154"/>
      <c r="Q113" s="154"/>
      <c r="R113" s="154"/>
      <c r="S113" s="134"/>
    </row>
    <row r="114" spans="1:19" x14ac:dyDescent="0.25">
      <c r="A114" s="134"/>
      <c r="B114" s="135"/>
      <c r="C114" s="136"/>
      <c r="D114" s="136"/>
      <c r="E114" s="137"/>
      <c r="F114" s="706"/>
      <c r="G114" s="707"/>
      <c r="H114" s="170"/>
      <c r="I114" s="154"/>
      <c r="J114" s="154"/>
      <c r="K114" s="153"/>
      <c r="L114" s="154"/>
      <c r="M114" s="154"/>
      <c r="N114" s="154"/>
      <c r="O114" s="154"/>
      <c r="P114" s="154"/>
      <c r="Q114" s="154"/>
      <c r="R114" s="154"/>
      <c r="S114" s="134"/>
    </row>
    <row r="115" spans="1:19" x14ac:dyDescent="0.25">
      <c r="A115" s="134"/>
      <c r="B115" s="135"/>
      <c r="C115" s="136"/>
      <c r="D115" s="136"/>
      <c r="E115" s="137"/>
      <c r="F115" s="706"/>
      <c r="G115" s="707"/>
      <c r="H115" s="170"/>
      <c r="I115" s="154"/>
      <c r="J115" s="154"/>
      <c r="K115" s="153"/>
      <c r="L115" s="154"/>
      <c r="M115" s="154"/>
      <c r="N115" s="154"/>
      <c r="O115" s="154"/>
      <c r="P115" s="154"/>
      <c r="Q115" s="154"/>
      <c r="R115" s="154"/>
      <c r="S115" s="134"/>
    </row>
    <row r="116" spans="1:19" x14ac:dyDescent="0.25">
      <c r="A116" s="134"/>
      <c r="B116" s="135"/>
      <c r="C116" s="136"/>
      <c r="D116" s="136"/>
      <c r="E116" s="137"/>
      <c r="F116" s="706"/>
      <c r="G116" s="707"/>
      <c r="H116" s="170"/>
      <c r="I116" s="154"/>
      <c r="J116" s="154"/>
      <c r="K116" s="153"/>
      <c r="L116" s="154"/>
      <c r="M116" s="154"/>
      <c r="N116" s="154"/>
      <c r="O116" s="154"/>
      <c r="P116" s="154"/>
      <c r="Q116" s="154"/>
      <c r="R116" s="154"/>
    </row>
    <row r="117" spans="1:19" x14ac:dyDescent="0.25">
      <c r="A117" s="171" t="s">
        <v>773</v>
      </c>
      <c r="B117" s="129"/>
      <c r="C117" s="129"/>
      <c r="D117" s="129"/>
      <c r="E117" s="129"/>
      <c r="F117" s="692"/>
      <c r="G117" s="693"/>
      <c r="H117" s="131"/>
      <c r="I117" s="129"/>
      <c r="J117" s="132"/>
      <c r="K117" s="130"/>
      <c r="L117" s="154"/>
      <c r="M117" s="154"/>
      <c r="N117" s="154"/>
      <c r="O117" s="154"/>
      <c r="P117" s="154"/>
      <c r="Q117" s="154"/>
      <c r="R117" s="154"/>
    </row>
    <row r="118" spans="1:19" ht="48" x14ac:dyDescent="0.25">
      <c r="A118" s="134"/>
      <c r="B118" s="135" t="s">
        <v>774</v>
      </c>
      <c r="C118" s="136" t="s">
        <v>773</v>
      </c>
      <c r="D118" s="136"/>
      <c r="E118" s="137" t="s">
        <v>775</v>
      </c>
      <c r="F118" s="164" t="s">
        <v>517</v>
      </c>
      <c r="G118" s="170"/>
      <c r="H118" s="170"/>
      <c r="I118" s="154"/>
      <c r="J118" s="154"/>
      <c r="K118" s="153"/>
      <c r="L118" s="154"/>
      <c r="M118" s="154"/>
      <c r="N118" s="154"/>
      <c r="O118" s="154"/>
      <c r="P118" s="154"/>
      <c r="Q118" s="154"/>
      <c r="R118" s="154"/>
    </row>
    <row r="119" spans="1:19" ht="84" x14ac:dyDescent="0.25">
      <c r="A119" s="134"/>
      <c r="B119" s="135" t="s">
        <v>776</v>
      </c>
      <c r="C119" s="136" t="s">
        <v>773</v>
      </c>
      <c r="D119" s="136"/>
      <c r="E119" s="137" t="s">
        <v>777</v>
      </c>
      <c r="F119" s="164" t="s">
        <v>517</v>
      </c>
      <c r="G119" s="170"/>
      <c r="H119" s="170"/>
      <c r="I119" s="154"/>
      <c r="J119" s="154"/>
      <c r="K119" s="153"/>
      <c r="L119" s="154"/>
      <c r="M119" s="154"/>
      <c r="N119" s="154"/>
      <c r="O119" s="154"/>
      <c r="P119" s="154"/>
      <c r="Q119" s="154"/>
      <c r="R119" s="154"/>
    </row>
    <row r="120" spans="1:19" x14ac:dyDescent="0.25">
      <c r="A120" s="171" t="s">
        <v>778</v>
      </c>
      <c r="B120" s="172"/>
      <c r="C120" s="172"/>
      <c r="D120" s="172"/>
      <c r="E120" s="173"/>
      <c r="F120" s="174"/>
      <c r="G120" s="175"/>
      <c r="H120" s="175"/>
      <c r="I120" s="176"/>
      <c r="J120" s="176"/>
      <c r="K120" s="177"/>
      <c r="L120" s="154"/>
      <c r="M120" s="154"/>
      <c r="N120" s="154"/>
      <c r="O120" s="154"/>
      <c r="P120" s="154"/>
      <c r="Q120" s="154"/>
      <c r="R120" s="154"/>
    </row>
    <row r="121" spans="1:19" ht="36" x14ac:dyDescent="0.25">
      <c r="A121" s="134"/>
      <c r="B121" s="135" t="s">
        <v>779</v>
      </c>
      <c r="C121" s="136" t="s">
        <v>778</v>
      </c>
      <c r="D121" s="136"/>
      <c r="E121" s="137" t="s">
        <v>780</v>
      </c>
      <c r="F121" s="164" t="s">
        <v>517</v>
      </c>
      <c r="G121" s="170"/>
      <c r="H121" s="170"/>
      <c r="I121" s="154"/>
      <c r="J121" s="154"/>
      <c r="K121" s="153"/>
      <c r="L121" s="154"/>
      <c r="M121" s="154"/>
      <c r="N121" s="154"/>
      <c r="O121" s="154"/>
      <c r="P121" s="154"/>
      <c r="Q121" s="154"/>
      <c r="R121" s="154"/>
    </row>
    <row r="122" spans="1:19" ht="36" x14ac:dyDescent="0.25">
      <c r="A122" s="134"/>
      <c r="B122" s="135" t="s">
        <v>781</v>
      </c>
      <c r="C122" s="136" t="s">
        <v>778</v>
      </c>
      <c r="D122" s="136"/>
      <c r="E122" s="137" t="s">
        <v>782</v>
      </c>
      <c r="F122" s="164" t="s">
        <v>517</v>
      </c>
      <c r="G122" s="170"/>
      <c r="H122" s="170"/>
      <c r="I122" s="154"/>
      <c r="J122" s="154"/>
      <c r="K122" s="153"/>
      <c r="L122" s="154"/>
      <c r="M122" s="154"/>
      <c r="N122" s="154"/>
      <c r="O122" s="154"/>
      <c r="P122" s="154"/>
      <c r="Q122" s="154"/>
      <c r="R122" s="154"/>
    </row>
    <row r="124" spans="1:19" x14ac:dyDescent="0.25">
      <c r="C124" s="178"/>
    </row>
  </sheetData>
  <mergeCells count="82">
    <mergeCell ref="F114:G114"/>
    <mergeCell ref="F115:G115"/>
    <mergeCell ref="F116:G116"/>
    <mergeCell ref="F117:G117"/>
    <mergeCell ref="F108:G108"/>
    <mergeCell ref="F109:G109"/>
    <mergeCell ref="F110:G110"/>
    <mergeCell ref="F111:G111"/>
    <mergeCell ref="F112:G112"/>
    <mergeCell ref="F113:G113"/>
    <mergeCell ref="F107:G107"/>
    <mergeCell ref="F95:G95"/>
    <mergeCell ref="F96:G96"/>
    <mergeCell ref="F97:G97"/>
    <mergeCell ref="F98:G98"/>
    <mergeCell ref="F99:G99"/>
    <mergeCell ref="F100:G100"/>
    <mergeCell ref="F101:G101"/>
    <mergeCell ref="F102:G102"/>
    <mergeCell ref="F104:G104"/>
    <mergeCell ref="F105:G105"/>
    <mergeCell ref="F106:G106"/>
    <mergeCell ref="F94:G94"/>
    <mergeCell ref="F83:G83"/>
    <mergeCell ref="F84:G84"/>
    <mergeCell ref="F85:G85"/>
    <mergeCell ref="F86:G86"/>
    <mergeCell ref="F87:G87"/>
    <mergeCell ref="F88:G88"/>
    <mergeCell ref="F89:G89"/>
    <mergeCell ref="F90:G90"/>
    <mergeCell ref="F91:G91"/>
    <mergeCell ref="F92:G92"/>
    <mergeCell ref="F93:G93"/>
    <mergeCell ref="F82:G82"/>
    <mergeCell ref="F71:G71"/>
    <mergeCell ref="F72:G72"/>
    <mergeCell ref="F73:G73"/>
    <mergeCell ref="F74:G74"/>
    <mergeCell ref="F75:G75"/>
    <mergeCell ref="F76:G76"/>
    <mergeCell ref="F77:G77"/>
    <mergeCell ref="F78:G78"/>
    <mergeCell ref="F79:G79"/>
    <mergeCell ref="F80:G80"/>
    <mergeCell ref="F81:G81"/>
    <mergeCell ref="F70:G70"/>
    <mergeCell ref="F58:G58"/>
    <mergeCell ref="F60:G60"/>
    <mergeCell ref="F61:G61"/>
    <mergeCell ref="F62:G62"/>
    <mergeCell ref="F63:G63"/>
    <mergeCell ref="F64:G64"/>
    <mergeCell ref="F65:G65"/>
    <mergeCell ref="F66:G66"/>
    <mergeCell ref="F67:G67"/>
    <mergeCell ref="F68:G68"/>
    <mergeCell ref="F69:G69"/>
    <mergeCell ref="L25:L28"/>
    <mergeCell ref="F46:G46"/>
    <mergeCell ref="F47:G47"/>
    <mergeCell ref="F48:G48"/>
    <mergeCell ref="C49:D56"/>
    <mergeCell ref="F57:G57"/>
    <mergeCell ref="F18:G18"/>
    <mergeCell ref="F19:G19"/>
    <mergeCell ref="F20:G20"/>
    <mergeCell ref="F21:G21"/>
    <mergeCell ref="F22:G22"/>
    <mergeCell ref="F23:G23"/>
    <mergeCell ref="F17:G17"/>
    <mergeCell ref="A6:J6"/>
    <mergeCell ref="F7:G7"/>
    <mergeCell ref="F8:G8"/>
    <mergeCell ref="F9:G9"/>
    <mergeCell ref="F10:G10"/>
    <mergeCell ref="F11:G11"/>
    <mergeCell ref="F12:G12"/>
    <mergeCell ref="F13:G13"/>
    <mergeCell ref="F14:G14"/>
    <mergeCell ref="F15:G15"/>
    <mergeCell ref="F16:G16"/>
  </mergeCells>
  <pageMargins left="0.7" right="0.7" top="0.75" bottom="0.75" header="0.3" footer="0.3"/>
  <pageSetup orientation="portrait" r:id="rId1"/>
  <headerFooter>
    <oddFooter>&amp;L&amp;"Calibri Light,Regular"&amp;09&amp;K00C000Public</oddFooter>
    <evenFooter>&amp;L&amp;"Calibri Light,Regular"&amp;09&amp;K00C000Public</evenFooter>
    <firstFooter>&amp;L&amp;"Calibri Light,Regular"&amp;09&amp;K00C000Public</first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8584C-6105-47B4-8C04-C379CB1CE5AA}">
  <sheetPr>
    <pageSetUpPr autoPageBreaks="0"/>
  </sheetPr>
  <dimension ref="A1:BA165"/>
  <sheetViews>
    <sheetView topLeftCell="A7" zoomScaleNormal="100" workbookViewId="0">
      <selection activeCell="A127" sqref="A127"/>
    </sheetView>
  </sheetViews>
  <sheetFormatPr defaultRowHeight="15" x14ac:dyDescent="0.25"/>
  <cols>
    <col min="1" max="1" width="14.28515625" bestFit="1" customWidth="1"/>
    <col min="5" max="5" width="9.85546875" bestFit="1" customWidth="1"/>
    <col min="6" max="6" width="12.140625" hidden="1" customWidth="1"/>
    <col min="7" max="7" width="11.85546875" customWidth="1"/>
    <col min="10" max="10" width="14.7109375" customWidth="1"/>
    <col min="11" max="11" width="11.28515625" bestFit="1" customWidth="1"/>
    <col min="12" max="12" width="16.28515625" bestFit="1" customWidth="1"/>
    <col min="17" max="17" width="9.7109375" bestFit="1" customWidth="1"/>
  </cols>
  <sheetData>
    <row r="1" spans="1:18" ht="21.75" thickBot="1" x14ac:dyDescent="0.4">
      <c r="A1" s="685" t="s">
        <v>805</v>
      </c>
      <c r="B1" s="686"/>
      <c r="C1" s="686"/>
      <c r="D1" s="686"/>
      <c r="E1" s="686"/>
      <c r="F1" s="686"/>
      <c r="G1" s="686"/>
      <c r="H1" s="686"/>
      <c r="I1" s="687"/>
    </row>
    <row r="4" spans="1:18" x14ac:dyDescent="0.25">
      <c r="A4" s="107" t="s">
        <v>102</v>
      </c>
      <c r="B4" s="107"/>
      <c r="C4" s="107"/>
      <c r="D4" s="107"/>
      <c r="E4" s="107"/>
      <c r="F4" s="107"/>
      <c r="G4" s="107"/>
      <c r="H4" s="107"/>
      <c r="I4" s="107"/>
      <c r="J4" s="107"/>
      <c r="K4" s="107"/>
      <c r="L4" s="107"/>
    </row>
    <row r="5" spans="1:18" x14ac:dyDescent="0.25">
      <c r="A5" s="179" t="s">
        <v>104</v>
      </c>
      <c r="B5" s="179" t="s">
        <v>105</v>
      </c>
      <c r="C5" s="179" t="s">
        <v>106</v>
      </c>
      <c r="D5" s="179" t="s">
        <v>107</v>
      </c>
      <c r="E5" s="179" t="s">
        <v>108</v>
      </c>
      <c r="F5" s="179" t="s">
        <v>109</v>
      </c>
      <c r="G5" s="179" t="s">
        <v>110</v>
      </c>
      <c r="H5" s="179" t="s">
        <v>111</v>
      </c>
      <c r="I5" s="179" t="s">
        <v>112</v>
      </c>
      <c r="J5" s="179" t="s">
        <v>113</v>
      </c>
      <c r="K5" s="179" t="s">
        <v>114</v>
      </c>
      <c r="L5" s="179" t="s">
        <v>115</v>
      </c>
    </row>
    <row r="6" spans="1:18" x14ac:dyDescent="0.25">
      <c r="A6" s="180">
        <v>44944</v>
      </c>
      <c r="B6" s="13"/>
      <c r="C6" s="181">
        <v>2000</v>
      </c>
      <c r="D6" s="13">
        <v>0</v>
      </c>
      <c r="E6" s="181">
        <v>200000</v>
      </c>
      <c r="F6" s="13"/>
      <c r="G6" s="13"/>
      <c r="H6" s="181">
        <v>2000</v>
      </c>
      <c r="I6" s="13"/>
      <c r="J6" s="181">
        <v>200000</v>
      </c>
      <c r="K6" s="181">
        <v>-200000</v>
      </c>
      <c r="L6" s="181">
        <v>-235967.12</v>
      </c>
    </row>
    <row r="7" spans="1:18" x14ac:dyDescent="0.25">
      <c r="A7" s="180">
        <v>44975</v>
      </c>
      <c r="B7" s="13"/>
      <c r="C7" s="181">
        <v>13109.28</v>
      </c>
      <c r="D7" s="13">
        <v>0</v>
      </c>
      <c r="E7" s="181">
        <v>9427.43</v>
      </c>
      <c r="F7" s="13"/>
      <c r="G7" s="181">
        <v>3681.85</v>
      </c>
      <c r="H7" s="13"/>
      <c r="I7" s="13"/>
      <c r="J7" s="13"/>
      <c r="K7" s="181">
        <v>-190572.57</v>
      </c>
      <c r="L7" s="181">
        <v>-222857.84</v>
      </c>
    </row>
    <row r="8" spans="1:18" x14ac:dyDescent="0.25">
      <c r="A8" s="180">
        <v>45003</v>
      </c>
      <c r="B8" s="13"/>
      <c r="C8" s="181">
        <v>13109.28</v>
      </c>
      <c r="D8" s="13">
        <v>0</v>
      </c>
      <c r="E8" s="181">
        <v>9940.5</v>
      </c>
      <c r="F8" s="13"/>
      <c r="G8" s="181">
        <v>3168.78</v>
      </c>
      <c r="H8" s="13"/>
      <c r="I8" s="13"/>
      <c r="J8" s="13"/>
      <c r="K8" s="181">
        <v>-180632.07</v>
      </c>
      <c r="L8" s="181">
        <v>-209748.56</v>
      </c>
    </row>
    <row r="9" spans="1:18" x14ac:dyDescent="0.25">
      <c r="A9" s="182">
        <v>45034</v>
      </c>
      <c r="B9" s="183"/>
      <c r="C9" s="184">
        <v>13109.28</v>
      </c>
      <c r="D9" s="183">
        <v>0</v>
      </c>
      <c r="E9" s="184">
        <v>9783.98</v>
      </c>
      <c r="F9" s="183"/>
      <c r="G9" s="184">
        <v>3325.3</v>
      </c>
      <c r="H9" s="183"/>
      <c r="I9" s="183"/>
      <c r="J9" s="183"/>
      <c r="K9" s="184">
        <v>-170848.09</v>
      </c>
      <c r="L9" s="184">
        <v>-196639.28</v>
      </c>
      <c r="M9" t="s">
        <v>361</v>
      </c>
    </row>
    <row r="10" spans="1:18" x14ac:dyDescent="0.25">
      <c r="A10" s="180">
        <v>45064</v>
      </c>
      <c r="B10" s="13"/>
      <c r="C10" s="181">
        <v>13109.28</v>
      </c>
      <c r="D10" s="13">
        <v>0</v>
      </c>
      <c r="E10" s="181">
        <v>10065.56</v>
      </c>
      <c r="F10" s="13"/>
      <c r="G10" s="181">
        <v>3043.72</v>
      </c>
      <c r="H10" s="13"/>
      <c r="I10" s="13"/>
      <c r="J10" s="13"/>
      <c r="K10" s="181">
        <v>-160782.53</v>
      </c>
      <c r="L10" s="181">
        <v>-183530</v>
      </c>
      <c r="O10" s="185" t="s">
        <v>783</v>
      </c>
      <c r="P10" s="185"/>
      <c r="Q10" s="186">
        <f>SUM(C10:C14)</f>
        <v>65546.400000000009</v>
      </c>
    </row>
    <row r="11" spans="1:18" x14ac:dyDescent="0.25">
      <c r="A11" s="180">
        <v>45095</v>
      </c>
      <c r="B11" s="13"/>
      <c r="C11" s="187">
        <v>13109.28</v>
      </c>
      <c r="D11" s="13">
        <v>0</v>
      </c>
      <c r="E11" s="187">
        <v>10149.4</v>
      </c>
      <c r="F11" s="13"/>
      <c r="G11" s="187">
        <v>2959.88</v>
      </c>
      <c r="H11" s="13"/>
      <c r="I11" s="13"/>
      <c r="J11" s="13"/>
      <c r="K11" s="181">
        <v>-150633.13</v>
      </c>
      <c r="L11" s="181">
        <v>-170420.72</v>
      </c>
      <c r="O11" s="185" t="s">
        <v>784</v>
      </c>
      <c r="P11" s="185"/>
      <c r="Q11" s="186">
        <f>SUM(G11:G15)</f>
        <v>12731.130000000001</v>
      </c>
      <c r="R11" s="186">
        <f>SUM(G10:G14)</f>
        <v>13655.580000000002</v>
      </c>
    </row>
    <row r="12" spans="1:18" x14ac:dyDescent="0.25">
      <c r="A12" s="180">
        <v>45125</v>
      </c>
      <c r="B12" s="13"/>
      <c r="C12" s="187">
        <v>13109.28</v>
      </c>
      <c r="D12" s="13">
        <v>0</v>
      </c>
      <c r="E12" s="187">
        <v>10425.700000000001</v>
      </c>
      <c r="F12" s="13"/>
      <c r="G12" s="187">
        <v>2683.58</v>
      </c>
      <c r="H12" s="13"/>
      <c r="I12" s="13"/>
      <c r="J12" s="13"/>
      <c r="K12" s="181">
        <v>-140207.43</v>
      </c>
      <c r="L12" s="181">
        <v>-157311.44</v>
      </c>
      <c r="O12" s="185" t="s">
        <v>785</v>
      </c>
      <c r="P12" s="185"/>
      <c r="Q12" s="186">
        <f>Q10-Q11</f>
        <v>52815.270000000004</v>
      </c>
      <c r="R12" s="186">
        <f>+Q10-R11</f>
        <v>51890.820000000007</v>
      </c>
    </row>
    <row r="13" spans="1:18" x14ac:dyDescent="0.25">
      <c r="A13" s="180">
        <v>45156</v>
      </c>
      <c r="B13" s="13"/>
      <c r="C13" s="187">
        <v>13109.28</v>
      </c>
      <c r="D13" s="13">
        <v>0</v>
      </c>
      <c r="E13" s="187">
        <v>10528.17</v>
      </c>
      <c r="F13" s="13"/>
      <c r="G13" s="187">
        <v>2581.11</v>
      </c>
      <c r="H13" s="13"/>
      <c r="I13" s="13"/>
      <c r="J13" s="13"/>
      <c r="K13" s="181">
        <v>-129679.26</v>
      </c>
      <c r="L13" s="181">
        <v>-144202.16</v>
      </c>
    </row>
    <row r="14" spans="1:18" x14ac:dyDescent="0.25">
      <c r="A14" s="180">
        <v>45187</v>
      </c>
      <c r="B14" s="13"/>
      <c r="C14" s="187">
        <v>13109.28</v>
      </c>
      <c r="D14" s="13">
        <v>0</v>
      </c>
      <c r="E14" s="187">
        <v>10721.99</v>
      </c>
      <c r="F14" s="13"/>
      <c r="G14" s="187">
        <v>2387.29</v>
      </c>
      <c r="H14" s="13"/>
      <c r="I14" s="13"/>
      <c r="J14" s="13"/>
      <c r="K14" s="181">
        <v>-118957.27</v>
      </c>
      <c r="L14" s="181">
        <v>-131092.88</v>
      </c>
    </row>
    <row r="15" spans="1:18" x14ac:dyDescent="0.25">
      <c r="A15" s="180">
        <v>45217</v>
      </c>
      <c r="B15" s="13"/>
      <c r="C15" s="187">
        <v>13109.28</v>
      </c>
      <c r="D15" s="13">
        <v>0</v>
      </c>
      <c r="E15" s="187">
        <v>10990.01</v>
      </c>
      <c r="F15" s="13"/>
      <c r="G15" s="187">
        <v>2119.27</v>
      </c>
      <c r="H15" s="13"/>
      <c r="I15" s="13"/>
      <c r="J15" s="13"/>
      <c r="K15" s="181">
        <v>-107967.26</v>
      </c>
      <c r="L15" s="181">
        <v>-117983.6</v>
      </c>
      <c r="O15" t="s">
        <v>785</v>
      </c>
      <c r="Q15" s="125">
        <v>52815.27</v>
      </c>
      <c r="R15" s="103">
        <f>SUM(E11:E15)</f>
        <v>52815.27</v>
      </c>
    </row>
    <row r="16" spans="1:18" x14ac:dyDescent="0.25">
      <c r="A16" s="180">
        <v>45248</v>
      </c>
      <c r="B16" s="13"/>
      <c r="C16" s="181">
        <v>13109.28</v>
      </c>
      <c r="D16" s="13">
        <v>0</v>
      </c>
      <c r="E16" s="181">
        <v>11121.69</v>
      </c>
      <c r="F16" s="13"/>
      <c r="G16" s="181">
        <v>1987.59</v>
      </c>
      <c r="H16" s="13"/>
      <c r="I16" s="13"/>
      <c r="J16" s="13"/>
      <c r="K16" s="181">
        <v>-96845.57</v>
      </c>
      <c r="L16" s="181">
        <v>-104874.32</v>
      </c>
      <c r="O16" t="s">
        <v>784</v>
      </c>
      <c r="Q16" s="125">
        <v>12731.13</v>
      </c>
      <c r="R16" s="103">
        <f>SUM(G11:G15)</f>
        <v>12731.130000000001</v>
      </c>
    </row>
    <row r="17" spans="1:27" x14ac:dyDescent="0.25">
      <c r="A17" s="180">
        <v>45278</v>
      </c>
      <c r="B17" s="13"/>
      <c r="C17" s="181">
        <v>13109.28</v>
      </c>
      <c r="D17" s="13">
        <v>0</v>
      </c>
      <c r="E17" s="181">
        <v>11383.94</v>
      </c>
      <c r="F17" s="13"/>
      <c r="G17" s="181">
        <v>1725.34</v>
      </c>
      <c r="H17" s="13"/>
      <c r="I17" s="13"/>
      <c r="J17" s="13"/>
      <c r="K17" s="181">
        <v>-85461.63</v>
      </c>
      <c r="L17" s="181">
        <v>-91765.04</v>
      </c>
      <c r="O17" t="s">
        <v>783</v>
      </c>
      <c r="Q17" s="125">
        <f>SUM(Q15:Q16)</f>
        <v>65546.399999999994</v>
      </c>
      <c r="R17" s="103">
        <f>SUM(C11:C15)</f>
        <v>65546.400000000009</v>
      </c>
      <c r="S17" t="s">
        <v>786</v>
      </c>
    </row>
    <row r="18" spans="1:27" x14ac:dyDescent="0.25">
      <c r="A18" s="180">
        <v>45309</v>
      </c>
      <c r="B18" s="13"/>
      <c r="C18" s="181">
        <v>13109.28</v>
      </c>
      <c r="D18" s="13">
        <v>0</v>
      </c>
      <c r="E18" s="181">
        <v>11536</v>
      </c>
      <c r="F18" s="13"/>
      <c r="G18" s="181">
        <v>1573.28</v>
      </c>
      <c r="H18" s="13"/>
      <c r="I18" s="13"/>
      <c r="J18" s="13"/>
      <c r="K18" s="181">
        <v>-73925.63</v>
      </c>
      <c r="L18" s="181">
        <v>-78655.759999999995</v>
      </c>
    </row>
    <row r="19" spans="1:27" x14ac:dyDescent="0.25">
      <c r="A19" s="180">
        <v>45340</v>
      </c>
      <c r="B19" s="13"/>
      <c r="C19" s="181">
        <v>13109.28</v>
      </c>
      <c r="D19" s="13">
        <v>0</v>
      </c>
      <c r="E19" s="181">
        <v>11748.37</v>
      </c>
      <c r="F19" s="13"/>
      <c r="G19" s="181">
        <v>1360.91</v>
      </c>
      <c r="H19" s="13"/>
      <c r="I19" s="13"/>
      <c r="J19" s="13"/>
      <c r="K19" s="181">
        <v>-62177.26</v>
      </c>
      <c r="L19" s="181">
        <v>-65546.48</v>
      </c>
    </row>
    <row r="20" spans="1:27" x14ac:dyDescent="0.25">
      <c r="A20" s="180">
        <v>45369</v>
      </c>
      <c r="B20" s="13"/>
      <c r="C20" s="181">
        <v>13109.28</v>
      </c>
      <c r="D20" s="13">
        <v>0</v>
      </c>
      <c r="E20" s="181">
        <v>12038.49</v>
      </c>
      <c r="F20" s="13"/>
      <c r="G20" s="181">
        <v>1070.79</v>
      </c>
      <c r="H20" s="13"/>
      <c r="I20" s="13"/>
      <c r="J20" s="13"/>
      <c r="K20" s="181">
        <v>-50138.77</v>
      </c>
      <c r="L20" s="181">
        <v>-52437.2</v>
      </c>
    </row>
    <row r="21" spans="1:27" x14ac:dyDescent="0.25">
      <c r="A21" s="180">
        <v>45400</v>
      </c>
      <c r="B21" s="13"/>
      <c r="C21" s="181">
        <v>13109.28</v>
      </c>
      <c r="D21" s="13">
        <v>0</v>
      </c>
      <c r="E21" s="181">
        <v>12186.26</v>
      </c>
      <c r="F21" s="13"/>
      <c r="G21" s="13">
        <v>923.02</v>
      </c>
      <c r="H21" s="13"/>
      <c r="I21" s="13"/>
      <c r="J21" s="13"/>
      <c r="K21" s="181">
        <v>-37952.51</v>
      </c>
      <c r="L21" s="181">
        <v>-39327.919999999998</v>
      </c>
    </row>
    <row r="22" spans="1:27" x14ac:dyDescent="0.25">
      <c r="A22" s="180">
        <v>45430</v>
      </c>
      <c r="B22" s="13"/>
      <c r="C22" s="181">
        <v>13109.28</v>
      </c>
      <c r="D22" s="13">
        <v>0</v>
      </c>
      <c r="E22" s="181">
        <v>12433.14</v>
      </c>
      <c r="F22" s="13"/>
      <c r="G22" s="13">
        <v>676.14</v>
      </c>
      <c r="H22" s="13"/>
      <c r="I22" s="13"/>
      <c r="J22" s="13"/>
      <c r="K22" s="181">
        <v>-25519.37</v>
      </c>
      <c r="L22" s="181">
        <v>-26218.639999999999</v>
      </c>
    </row>
    <row r="23" spans="1:27" ht="15.75" thickBot="1" x14ac:dyDescent="0.3">
      <c r="A23" s="189">
        <v>45461</v>
      </c>
      <c r="B23" s="31"/>
      <c r="C23" s="190">
        <v>13109.28</v>
      </c>
      <c r="D23" s="31">
        <v>0</v>
      </c>
      <c r="E23" s="190">
        <v>12639.49</v>
      </c>
      <c r="F23" s="31"/>
      <c r="G23" s="31">
        <v>469.79</v>
      </c>
      <c r="H23" s="31"/>
      <c r="I23" s="31"/>
      <c r="J23" s="31"/>
      <c r="K23" s="190">
        <v>-12879.88</v>
      </c>
      <c r="L23" s="190">
        <v>-13109.36</v>
      </c>
    </row>
    <row r="24" spans="1:27" x14ac:dyDescent="0.25">
      <c r="A24" s="191">
        <v>45491</v>
      </c>
      <c r="B24" s="7"/>
      <c r="C24" s="192">
        <v>13109.36</v>
      </c>
      <c r="D24" s="7">
        <v>0</v>
      </c>
      <c r="E24" s="192">
        <v>12879.88</v>
      </c>
      <c r="F24" s="7"/>
      <c r="G24" s="7">
        <v>229.48</v>
      </c>
      <c r="H24" s="7"/>
      <c r="I24" s="7"/>
      <c r="J24" s="7"/>
      <c r="K24" s="7">
        <v>0</v>
      </c>
      <c r="L24" s="7">
        <v>0</v>
      </c>
      <c r="M24" s="193"/>
      <c r="N24" s="193"/>
      <c r="O24" s="193"/>
      <c r="P24" s="193"/>
      <c r="Q24" s="193"/>
      <c r="R24" s="193"/>
      <c r="S24" s="193"/>
      <c r="T24" s="193"/>
      <c r="U24" s="193"/>
      <c r="V24" s="193"/>
      <c r="W24" s="193"/>
      <c r="X24" s="193"/>
      <c r="Y24" s="193"/>
      <c r="Z24" s="193"/>
      <c r="AA24" s="194"/>
    </row>
    <row r="25" spans="1:27" x14ac:dyDescent="0.25">
      <c r="A25" s="12"/>
      <c r="B25" s="13"/>
      <c r="C25" s="13"/>
      <c r="D25" s="13"/>
      <c r="E25" s="188">
        <f>SUM(E7:E24)</f>
        <v>200000</v>
      </c>
      <c r="F25" s="13"/>
      <c r="G25" s="188">
        <f>SUM(G7:G24)</f>
        <v>35967.120000000003</v>
      </c>
      <c r="H25" s="13"/>
      <c r="I25" s="13"/>
      <c r="J25" s="13"/>
      <c r="K25" s="13"/>
      <c r="L25" s="13"/>
      <c r="AA25" s="195"/>
    </row>
    <row r="26" spans="1:27" x14ac:dyDescent="0.25">
      <c r="A26" s="196"/>
      <c r="AA26" s="195"/>
    </row>
    <row r="27" spans="1:27" x14ac:dyDescent="0.25">
      <c r="A27" s="196"/>
      <c r="AA27" s="195"/>
    </row>
    <row r="28" spans="1:27" x14ac:dyDescent="0.25">
      <c r="A28" s="196"/>
      <c r="AA28" s="195"/>
    </row>
    <row r="29" spans="1:27" x14ac:dyDescent="0.25">
      <c r="A29" s="196"/>
      <c r="AA29" s="195"/>
    </row>
    <row r="30" spans="1:27" x14ac:dyDescent="0.25">
      <c r="A30" s="196"/>
      <c r="AA30" s="195"/>
    </row>
    <row r="31" spans="1:27" x14ac:dyDescent="0.25">
      <c r="A31" s="196"/>
      <c r="AA31" s="195"/>
    </row>
    <row r="32" spans="1:27" x14ac:dyDescent="0.25">
      <c r="A32" s="196"/>
      <c r="AA32" s="195"/>
    </row>
    <row r="33" spans="1:27" x14ac:dyDescent="0.25">
      <c r="A33" s="196"/>
      <c r="AA33" s="195"/>
    </row>
    <row r="34" spans="1:27" x14ac:dyDescent="0.25">
      <c r="A34" s="196"/>
      <c r="AA34" s="195"/>
    </row>
    <row r="35" spans="1:27" x14ac:dyDescent="0.25">
      <c r="A35" s="196"/>
      <c r="AA35" s="195"/>
    </row>
    <row r="36" spans="1:27" x14ac:dyDescent="0.25">
      <c r="A36" s="196"/>
      <c r="AA36" s="195"/>
    </row>
    <row r="37" spans="1:27" x14ac:dyDescent="0.25">
      <c r="A37" s="196"/>
      <c r="AA37" s="195"/>
    </row>
    <row r="38" spans="1:27" x14ac:dyDescent="0.25">
      <c r="A38" s="196"/>
      <c r="AA38" s="195"/>
    </row>
    <row r="39" spans="1:27" x14ac:dyDescent="0.25">
      <c r="A39" s="196"/>
      <c r="AA39" s="195"/>
    </row>
    <row r="40" spans="1:27" x14ac:dyDescent="0.25">
      <c r="A40" s="196"/>
      <c r="AA40" s="195"/>
    </row>
    <row r="41" spans="1:27" x14ac:dyDescent="0.25">
      <c r="A41" s="196"/>
      <c r="AA41" s="195"/>
    </row>
    <row r="42" spans="1:27" x14ac:dyDescent="0.25">
      <c r="A42" s="196"/>
      <c r="AA42" s="195"/>
    </row>
    <row r="43" spans="1:27" x14ac:dyDescent="0.25">
      <c r="A43" s="196"/>
      <c r="AA43" s="195"/>
    </row>
    <row r="44" spans="1:27" x14ac:dyDescent="0.25">
      <c r="A44" s="196"/>
      <c r="AA44" s="195"/>
    </row>
    <row r="45" spans="1:27" x14ac:dyDescent="0.25">
      <c r="A45" s="196"/>
      <c r="AA45" s="195"/>
    </row>
    <row r="46" spans="1:27" x14ac:dyDescent="0.25">
      <c r="A46" s="196"/>
      <c r="AA46" s="195"/>
    </row>
    <row r="47" spans="1:27" x14ac:dyDescent="0.25">
      <c r="A47" s="196"/>
      <c r="AA47" s="195"/>
    </row>
    <row r="48" spans="1:27" x14ac:dyDescent="0.25">
      <c r="A48" s="196"/>
      <c r="AA48" s="195"/>
    </row>
    <row r="49" spans="1:27" x14ac:dyDescent="0.25">
      <c r="A49" s="196"/>
      <c r="AA49" s="195"/>
    </row>
    <row r="50" spans="1:27" x14ac:dyDescent="0.25">
      <c r="A50" s="196"/>
      <c r="AA50" s="195"/>
    </row>
    <row r="51" spans="1:27" x14ac:dyDescent="0.25">
      <c r="A51" s="196"/>
      <c r="AA51" s="195"/>
    </row>
    <row r="52" spans="1:27" x14ac:dyDescent="0.25">
      <c r="A52" s="196"/>
      <c r="AA52" s="195"/>
    </row>
    <row r="53" spans="1:27" x14ac:dyDescent="0.25">
      <c r="A53" s="196"/>
      <c r="AA53" s="195"/>
    </row>
    <row r="54" spans="1:27" x14ac:dyDescent="0.25">
      <c r="A54" s="196"/>
      <c r="AA54" s="195"/>
    </row>
    <row r="55" spans="1:27" x14ac:dyDescent="0.25">
      <c r="A55" s="196"/>
      <c r="AA55" s="195"/>
    </row>
    <row r="56" spans="1:27" x14ac:dyDescent="0.25">
      <c r="A56" s="196"/>
      <c r="AA56" s="195"/>
    </row>
    <row r="57" spans="1:27" x14ac:dyDescent="0.25">
      <c r="A57" s="196"/>
      <c r="AA57" s="195"/>
    </row>
    <row r="58" spans="1:27" x14ac:dyDescent="0.25">
      <c r="A58" s="196"/>
      <c r="AA58" s="195"/>
    </row>
    <row r="59" spans="1:27" x14ac:dyDescent="0.25">
      <c r="A59" s="196"/>
      <c r="AA59" s="195"/>
    </row>
    <row r="60" spans="1:27" x14ac:dyDescent="0.25">
      <c r="A60" s="196"/>
      <c r="AA60" s="195"/>
    </row>
    <row r="61" spans="1:27" x14ac:dyDescent="0.25">
      <c r="A61" s="196"/>
      <c r="AA61" s="195"/>
    </row>
    <row r="62" spans="1:27" x14ac:dyDescent="0.25">
      <c r="A62" s="196"/>
      <c r="AA62" s="195"/>
    </row>
    <row r="63" spans="1:27" x14ac:dyDescent="0.25">
      <c r="A63" s="196"/>
      <c r="AA63" s="195"/>
    </row>
    <row r="64" spans="1:27" x14ac:dyDescent="0.25">
      <c r="A64" s="196"/>
      <c r="AA64" s="195"/>
    </row>
    <row r="65" spans="1:53" x14ac:dyDescent="0.25">
      <c r="A65" s="196"/>
      <c r="AA65" s="195"/>
    </row>
    <row r="66" spans="1:53" x14ac:dyDescent="0.25">
      <c r="A66" s="196"/>
      <c r="AA66" s="195"/>
    </row>
    <row r="67" spans="1:53" x14ac:dyDescent="0.25">
      <c r="A67" s="196"/>
      <c r="AA67" s="195"/>
    </row>
    <row r="68" spans="1:53" x14ac:dyDescent="0.25">
      <c r="A68" s="196"/>
      <c r="AA68" s="195"/>
    </row>
    <row r="69" spans="1:53" x14ac:dyDescent="0.25">
      <c r="A69" s="196"/>
      <c r="AA69" s="195"/>
    </row>
    <row r="70" spans="1:53" x14ac:dyDescent="0.25">
      <c r="A70" s="196"/>
      <c r="AA70" s="195"/>
    </row>
    <row r="71" spans="1:53" x14ac:dyDescent="0.25">
      <c r="A71" s="196"/>
      <c r="AA71" s="195"/>
    </row>
    <row r="72" spans="1:53" x14ac:dyDescent="0.25">
      <c r="A72" s="196"/>
      <c r="AA72" s="195"/>
    </row>
    <row r="73" spans="1:53" ht="15.75" thickBot="1" x14ac:dyDescent="0.3">
      <c r="A73" s="197"/>
      <c r="B73" s="198"/>
      <c r="C73" s="198"/>
      <c r="D73" s="198"/>
      <c r="E73" s="198"/>
      <c r="F73" s="198"/>
      <c r="G73" s="198"/>
      <c r="H73" s="198"/>
      <c r="I73" s="198"/>
      <c r="J73" s="198"/>
      <c r="K73" s="198"/>
      <c r="L73" s="198"/>
      <c r="M73" s="198"/>
      <c r="N73" s="198"/>
      <c r="O73" s="198"/>
      <c r="P73" s="198"/>
      <c r="Q73" s="198"/>
      <c r="R73" s="198"/>
      <c r="S73" s="198"/>
      <c r="T73" s="198"/>
      <c r="U73" s="198"/>
      <c r="V73" s="198"/>
      <c r="W73" s="198"/>
      <c r="X73" s="198"/>
      <c r="Y73" s="198"/>
      <c r="Z73" s="198"/>
      <c r="AA73" s="199"/>
    </row>
    <row r="74" spans="1:53" ht="15.75" thickBot="1" x14ac:dyDescent="0.3"/>
    <row r="75" spans="1:53" ht="21.75" thickBot="1" x14ac:dyDescent="0.4">
      <c r="A75" s="685" t="s">
        <v>806</v>
      </c>
      <c r="B75" s="686"/>
      <c r="C75" s="686"/>
      <c r="D75" s="686"/>
      <c r="E75" s="686"/>
      <c r="F75" s="686"/>
      <c r="G75" s="686"/>
      <c r="H75" s="686"/>
      <c r="I75" s="686"/>
      <c r="J75" s="687"/>
      <c r="K75" s="193"/>
      <c r="L75" s="193"/>
      <c r="M75" s="193"/>
      <c r="N75" s="193"/>
      <c r="O75" s="193"/>
      <c r="P75" s="193"/>
      <c r="Q75" s="193"/>
      <c r="R75" s="193"/>
      <c r="S75" s="193"/>
      <c r="T75" s="193"/>
      <c r="U75" s="193"/>
      <c r="V75" s="193"/>
      <c r="W75" s="193"/>
      <c r="X75" s="193"/>
      <c r="Y75" s="193"/>
      <c r="Z75" s="193"/>
      <c r="AA75" s="193"/>
      <c r="AB75" s="193"/>
      <c r="AC75" s="193"/>
      <c r="AD75" s="193"/>
      <c r="AE75" s="193"/>
      <c r="AF75" s="193"/>
      <c r="AG75" s="193"/>
      <c r="AH75" s="193"/>
      <c r="AI75" s="193"/>
      <c r="AJ75" s="193"/>
      <c r="AK75" s="193"/>
      <c r="AL75" s="193"/>
      <c r="AM75" s="193"/>
      <c r="AN75" s="193"/>
      <c r="AO75" s="193"/>
      <c r="AP75" s="193"/>
      <c r="AQ75" s="193"/>
      <c r="AR75" s="193"/>
      <c r="AS75" s="193"/>
      <c r="AT75" s="193"/>
      <c r="AU75" s="193"/>
      <c r="AV75" s="193"/>
      <c r="AW75" s="193"/>
      <c r="AX75" s="193"/>
      <c r="AY75" s="193"/>
      <c r="AZ75" s="193"/>
      <c r="BA75" s="194"/>
    </row>
    <row r="76" spans="1:53" x14ac:dyDescent="0.25">
      <c r="A76" s="196"/>
      <c r="BA76" s="195"/>
    </row>
    <row r="77" spans="1:53" x14ac:dyDescent="0.25">
      <c r="A77" s="196"/>
      <c r="BA77" s="195"/>
    </row>
    <row r="78" spans="1:53" x14ac:dyDescent="0.25">
      <c r="A78" s="196" t="s">
        <v>102</v>
      </c>
      <c r="BA78" s="195"/>
    </row>
    <row r="79" spans="1:53" x14ac:dyDescent="0.25">
      <c r="A79" s="196" t="s">
        <v>104</v>
      </c>
      <c r="B79" t="s">
        <v>105</v>
      </c>
      <c r="C79" t="s">
        <v>106</v>
      </c>
      <c r="D79" t="s">
        <v>107</v>
      </c>
      <c r="E79" t="s">
        <v>108</v>
      </c>
      <c r="F79" t="s">
        <v>109</v>
      </c>
      <c r="G79" t="s">
        <v>110</v>
      </c>
      <c r="H79" t="s">
        <v>111</v>
      </c>
      <c r="I79" t="s">
        <v>112</v>
      </c>
      <c r="J79" t="s">
        <v>113</v>
      </c>
      <c r="K79" t="s">
        <v>114</v>
      </c>
      <c r="L79" t="s">
        <v>115</v>
      </c>
      <c r="BA79" s="195"/>
    </row>
    <row r="80" spans="1:53" x14ac:dyDescent="0.25">
      <c r="A80" s="200">
        <v>44944</v>
      </c>
      <c r="C80" s="103">
        <v>2000</v>
      </c>
      <c r="D80">
        <v>0</v>
      </c>
      <c r="E80" s="103">
        <v>200000</v>
      </c>
      <c r="H80" s="103">
        <v>2000</v>
      </c>
      <c r="J80" s="103">
        <v>200000</v>
      </c>
      <c r="K80" s="103">
        <v>-200000</v>
      </c>
      <c r="L80" s="103">
        <v>-235967.12</v>
      </c>
      <c r="BA80" s="195"/>
    </row>
    <row r="81" spans="1:53" x14ac:dyDescent="0.25">
      <c r="A81" s="200">
        <v>44975</v>
      </c>
      <c r="C81" s="103">
        <v>13109.28</v>
      </c>
      <c r="D81">
        <v>0</v>
      </c>
      <c r="E81" s="103">
        <v>9427.43</v>
      </c>
      <c r="G81" s="103">
        <v>3681.85</v>
      </c>
      <c r="K81" s="103">
        <v>-190572.57</v>
      </c>
      <c r="L81" s="103">
        <v>-222857.84</v>
      </c>
      <c r="BA81" s="195"/>
    </row>
    <row r="82" spans="1:53" x14ac:dyDescent="0.25">
      <c r="A82" s="200">
        <v>45003</v>
      </c>
      <c r="C82" s="103">
        <v>13109.28</v>
      </c>
      <c r="D82">
        <v>0</v>
      </c>
      <c r="E82" s="103">
        <v>9940.5</v>
      </c>
      <c r="G82" s="103">
        <v>3168.78</v>
      </c>
      <c r="K82" s="103">
        <v>-180632.07</v>
      </c>
      <c r="L82" s="103">
        <v>-209748.56</v>
      </c>
      <c r="BA82" s="195"/>
    </row>
    <row r="83" spans="1:53" x14ac:dyDescent="0.25">
      <c r="A83" s="200">
        <v>45034</v>
      </c>
      <c r="C83" s="103">
        <v>13109.28</v>
      </c>
      <c r="D83">
        <v>0</v>
      </c>
      <c r="E83" s="103">
        <v>9783.98</v>
      </c>
      <c r="G83" s="103">
        <v>3325.3</v>
      </c>
      <c r="K83" s="103">
        <v>-118032.82</v>
      </c>
      <c r="L83" s="103">
        <v>-131092.88</v>
      </c>
      <c r="BA83" s="195"/>
    </row>
    <row r="84" spans="1:53" x14ac:dyDescent="0.25">
      <c r="A84" s="200">
        <v>45064</v>
      </c>
      <c r="C84" s="103">
        <v>8739.5300000000007</v>
      </c>
      <c r="D84">
        <v>0</v>
      </c>
      <c r="E84" s="103">
        <v>7182.17</v>
      </c>
      <c r="G84" s="103">
        <v>1557.36</v>
      </c>
      <c r="K84" s="103">
        <v>-110850.65</v>
      </c>
      <c r="L84" s="103">
        <v>-122353.35</v>
      </c>
      <c r="BA84" s="195"/>
    </row>
    <row r="85" spans="1:53" x14ac:dyDescent="0.25">
      <c r="A85" s="200">
        <v>45095</v>
      </c>
      <c r="C85" s="103">
        <v>8739.5300000000007</v>
      </c>
      <c r="D85">
        <v>0</v>
      </c>
      <c r="E85" s="103">
        <v>7228.18</v>
      </c>
      <c r="G85" s="103">
        <v>1511.35</v>
      </c>
      <c r="K85" s="103">
        <v>-103622.47</v>
      </c>
      <c r="L85" s="103">
        <v>-113613.82</v>
      </c>
      <c r="BA85" s="195"/>
    </row>
    <row r="86" spans="1:53" x14ac:dyDescent="0.25">
      <c r="A86" s="200">
        <v>45125</v>
      </c>
      <c r="C86" s="103">
        <v>8739.5300000000007</v>
      </c>
      <c r="D86">
        <v>0</v>
      </c>
      <c r="E86" s="103">
        <v>7372.31</v>
      </c>
      <c r="G86" s="103">
        <v>1367.22</v>
      </c>
      <c r="K86" s="103">
        <v>-96250.16</v>
      </c>
      <c r="L86" s="103">
        <v>-104874.29</v>
      </c>
      <c r="BA86" s="195"/>
    </row>
    <row r="87" spans="1:53" x14ac:dyDescent="0.25">
      <c r="A87" s="200">
        <v>45156</v>
      </c>
      <c r="C87" s="103">
        <v>8739.5300000000007</v>
      </c>
      <c r="D87">
        <v>0</v>
      </c>
      <c r="E87" s="103">
        <v>7427.25</v>
      </c>
      <c r="G87" s="103">
        <v>1312.28</v>
      </c>
      <c r="K87" s="103">
        <v>-88822.91</v>
      </c>
      <c r="L87" s="103">
        <v>-96134.76</v>
      </c>
      <c r="BA87" s="195"/>
    </row>
    <row r="88" spans="1:53" x14ac:dyDescent="0.25">
      <c r="A88" s="200">
        <v>45187</v>
      </c>
      <c r="C88" s="103">
        <v>8739.5300000000007</v>
      </c>
      <c r="D88">
        <v>0</v>
      </c>
      <c r="E88" s="103">
        <v>7528.51</v>
      </c>
      <c r="G88" s="103">
        <v>1211.02</v>
      </c>
      <c r="K88" s="103">
        <v>-81294.399999999994</v>
      </c>
      <c r="L88" s="103">
        <v>-87395.23</v>
      </c>
      <c r="BA88" s="195"/>
    </row>
    <row r="89" spans="1:53" x14ac:dyDescent="0.25">
      <c r="A89" s="200">
        <v>45217</v>
      </c>
      <c r="C89" s="103">
        <v>8739.5300000000007</v>
      </c>
      <c r="D89">
        <v>0</v>
      </c>
      <c r="E89" s="103">
        <v>7666.91</v>
      </c>
      <c r="G89" s="103">
        <v>1072.6199999999999</v>
      </c>
      <c r="K89" s="103">
        <v>-73627.490000000005</v>
      </c>
      <c r="L89" s="103">
        <v>-78655.7</v>
      </c>
      <c r="BA89" s="195"/>
    </row>
    <row r="90" spans="1:53" x14ac:dyDescent="0.25">
      <c r="A90" s="200">
        <v>45248</v>
      </c>
      <c r="C90" s="103">
        <v>8739.5300000000007</v>
      </c>
      <c r="D90">
        <v>0</v>
      </c>
      <c r="E90" s="103">
        <v>7735.69</v>
      </c>
      <c r="G90" s="103">
        <v>1003.84</v>
      </c>
      <c r="K90" s="103">
        <v>-65891.8</v>
      </c>
      <c r="L90" s="103">
        <v>-69916.17</v>
      </c>
      <c r="BA90" s="195"/>
    </row>
    <row r="91" spans="1:53" x14ac:dyDescent="0.25">
      <c r="A91" s="200">
        <v>45278</v>
      </c>
      <c r="C91" s="103">
        <v>8739.5300000000007</v>
      </c>
      <c r="D91">
        <v>0</v>
      </c>
      <c r="E91" s="103">
        <v>7870.13</v>
      </c>
      <c r="G91">
        <v>869.4</v>
      </c>
      <c r="K91" s="103">
        <v>-58021.67</v>
      </c>
      <c r="L91" s="103">
        <v>-61176.639999999999</v>
      </c>
      <c r="BA91" s="195"/>
    </row>
    <row r="92" spans="1:53" x14ac:dyDescent="0.25">
      <c r="A92" s="200">
        <v>45309</v>
      </c>
      <c r="C92" s="103">
        <v>8739.5300000000007</v>
      </c>
      <c r="D92">
        <v>0</v>
      </c>
      <c r="E92" s="103">
        <v>7948.46</v>
      </c>
      <c r="G92">
        <v>791.07</v>
      </c>
      <c r="K92" s="103">
        <v>-50073.21</v>
      </c>
      <c r="L92" s="103">
        <v>-52437.11</v>
      </c>
      <c r="BA92" s="195"/>
    </row>
    <row r="93" spans="1:53" x14ac:dyDescent="0.25">
      <c r="A93" s="200">
        <v>45340</v>
      </c>
      <c r="C93" s="103">
        <v>8739.5300000000007</v>
      </c>
      <c r="D93">
        <v>0</v>
      </c>
      <c r="E93" s="103">
        <v>8056.83</v>
      </c>
      <c r="G93">
        <v>682.7</v>
      </c>
      <c r="K93" s="103">
        <v>-42016.38</v>
      </c>
      <c r="L93" s="103">
        <v>-43697.58</v>
      </c>
      <c r="BA93" s="195"/>
    </row>
    <row r="94" spans="1:53" x14ac:dyDescent="0.25">
      <c r="A94" s="200">
        <v>45369</v>
      </c>
      <c r="C94" s="103">
        <v>8739.5300000000007</v>
      </c>
      <c r="D94">
        <v>0</v>
      </c>
      <c r="E94" s="103">
        <v>8203.6299999999992</v>
      </c>
      <c r="G94">
        <v>535.9</v>
      </c>
      <c r="K94" s="103">
        <v>-33812.75</v>
      </c>
      <c r="L94" s="103">
        <v>-34958.050000000003</v>
      </c>
      <c r="BA94" s="195"/>
    </row>
    <row r="95" spans="1:53" x14ac:dyDescent="0.25">
      <c r="A95" s="200">
        <v>45400</v>
      </c>
      <c r="C95" s="103">
        <v>8739.5300000000007</v>
      </c>
      <c r="D95">
        <v>0</v>
      </c>
      <c r="E95" s="103">
        <v>8278.52</v>
      </c>
      <c r="G95">
        <v>461.01</v>
      </c>
      <c r="K95" s="103">
        <v>-25534.23</v>
      </c>
      <c r="L95" s="103">
        <v>-26218.52</v>
      </c>
      <c r="BA95" s="195"/>
    </row>
    <row r="96" spans="1:53" x14ac:dyDescent="0.25">
      <c r="A96" s="200">
        <v>45430</v>
      </c>
      <c r="C96" s="103">
        <v>8739.5300000000007</v>
      </c>
      <c r="D96">
        <v>0</v>
      </c>
      <c r="E96" s="103">
        <v>8402.6200000000008</v>
      </c>
      <c r="G96">
        <v>336.91</v>
      </c>
      <c r="K96" s="103">
        <v>-17131.61</v>
      </c>
      <c r="L96" s="103">
        <v>-17478.990000000002</v>
      </c>
      <c r="BA96" s="195"/>
    </row>
    <row r="97" spans="1:53" x14ac:dyDescent="0.25">
      <c r="A97" s="200">
        <v>45461</v>
      </c>
      <c r="C97" s="103">
        <v>8739.5300000000007</v>
      </c>
      <c r="D97">
        <v>0</v>
      </c>
      <c r="E97" s="103">
        <v>8505.9599999999991</v>
      </c>
      <c r="G97">
        <v>233.57</v>
      </c>
      <c r="K97" s="103">
        <v>-8625.65</v>
      </c>
      <c r="L97" s="103">
        <v>-8739.4599999999991</v>
      </c>
      <c r="BA97" s="195"/>
    </row>
    <row r="98" spans="1:53" x14ac:dyDescent="0.25">
      <c r="A98" s="200">
        <v>45491</v>
      </c>
      <c r="C98" s="103">
        <v>8739.4599999999991</v>
      </c>
      <c r="D98">
        <v>0</v>
      </c>
      <c r="E98" s="103">
        <v>8625.65</v>
      </c>
      <c r="G98">
        <v>113.81</v>
      </c>
      <c r="K98">
        <v>0</v>
      </c>
      <c r="L98">
        <v>0</v>
      </c>
      <c r="BA98" s="195"/>
    </row>
    <row r="99" spans="1:53" x14ac:dyDescent="0.25">
      <c r="A99" s="196"/>
      <c r="G99" s="103">
        <f>SUM(G81:G98)</f>
        <v>23235.99</v>
      </c>
      <c r="I99">
        <v>25791.19</v>
      </c>
      <c r="BA99" s="195"/>
    </row>
    <row r="100" spans="1:53" x14ac:dyDescent="0.25">
      <c r="A100" s="196"/>
      <c r="G100" s="103">
        <f>'[2]Prior to Compression'!G99</f>
        <v>0</v>
      </c>
      <c r="I100">
        <v>13060.06</v>
      </c>
      <c r="BA100" s="195"/>
    </row>
    <row r="101" spans="1:53" x14ac:dyDescent="0.25">
      <c r="A101" s="196"/>
      <c r="G101" s="103">
        <f>G100-G99</f>
        <v>-23235.99</v>
      </c>
      <c r="I101" s="103">
        <f>I100-I99</f>
        <v>-12731.13</v>
      </c>
      <c r="BA101" s="195"/>
    </row>
    <row r="102" spans="1:53" x14ac:dyDescent="0.25">
      <c r="A102" s="196"/>
      <c r="BA102" s="195"/>
    </row>
    <row r="103" spans="1:53" x14ac:dyDescent="0.25">
      <c r="A103" s="196"/>
      <c r="BA103" s="195"/>
    </row>
    <row r="104" spans="1:53" x14ac:dyDescent="0.25">
      <c r="A104" s="196"/>
      <c r="BA104" s="195"/>
    </row>
    <row r="105" spans="1:53" x14ac:dyDescent="0.25">
      <c r="A105" s="196"/>
      <c r="BA105" s="195"/>
    </row>
    <row r="106" spans="1:53" x14ac:dyDescent="0.25">
      <c r="A106" s="196"/>
      <c r="BA106" s="195"/>
    </row>
    <row r="107" spans="1:53" x14ac:dyDescent="0.25">
      <c r="A107" s="196"/>
      <c r="BA107" s="195"/>
    </row>
    <row r="108" spans="1:53" x14ac:dyDescent="0.25">
      <c r="A108" s="196"/>
      <c r="BA108" s="195"/>
    </row>
    <row r="109" spans="1:53" x14ac:dyDescent="0.25">
      <c r="A109" s="196"/>
      <c r="BA109" s="195"/>
    </row>
    <row r="110" spans="1:53" x14ac:dyDescent="0.25">
      <c r="A110" s="196"/>
      <c r="F110" s="107" t="s">
        <v>787</v>
      </c>
      <c r="G110" s="107" t="s">
        <v>788</v>
      </c>
      <c r="J110" s="107" t="s">
        <v>789</v>
      </c>
      <c r="BA110" s="195"/>
    </row>
    <row r="111" spans="1:53" x14ac:dyDescent="0.25">
      <c r="A111" s="196" t="s">
        <v>86</v>
      </c>
      <c r="C111" t="s">
        <v>790</v>
      </c>
      <c r="F111" s="201">
        <v>12731.13</v>
      </c>
      <c r="J111" t="s">
        <v>791</v>
      </c>
      <c r="BA111" s="195"/>
    </row>
    <row r="112" spans="1:53" x14ac:dyDescent="0.25">
      <c r="A112" s="196" t="s">
        <v>237</v>
      </c>
      <c r="C112" t="s">
        <v>792</v>
      </c>
      <c r="G112" s="201">
        <f>+F111</f>
        <v>12731.13</v>
      </c>
      <c r="J112" s="68" t="s">
        <v>793</v>
      </c>
      <c r="K112" s="68"/>
      <c r="L112" s="68"/>
      <c r="M112" s="68"/>
      <c r="N112" s="68"/>
      <c r="BA112" s="195"/>
    </row>
    <row r="113" spans="1:53" x14ac:dyDescent="0.25">
      <c r="A113" s="196"/>
      <c r="J113" s="68" t="s">
        <v>794</v>
      </c>
      <c r="K113" s="202"/>
      <c r="L113" s="202"/>
      <c r="M113" s="202"/>
      <c r="N113" s="202"/>
      <c r="BA113" s="195"/>
    </row>
    <row r="114" spans="1:53" x14ac:dyDescent="0.25">
      <c r="A114" s="196" t="s">
        <v>795</v>
      </c>
      <c r="C114" t="s">
        <v>796</v>
      </c>
      <c r="F114" s="201">
        <f>+F111</f>
        <v>12731.13</v>
      </c>
      <c r="J114" t="s">
        <v>797</v>
      </c>
      <c r="BA114" s="195"/>
    </row>
    <row r="115" spans="1:53" x14ac:dyDescent="0.25">
      <c r="A115" s="196" t="s">
        <v>798</v>
      </c>
      <c r="C115" t="s">
        <v>799</v>
      </c>
      <c r="G115" s="201">
        <f>+F114</f>
        <v>12731.13</v>
      </c>
      <c r="BA115" s="195"/>
    </row>
    <row r="116" spans="1:53" x14ac:dyDescent="0.25">
      <c r="A116" s="196"/>
      <c r="J116" s="107" t="s">
        <v>800</v>
      </c>
      <c r="BA116" s="195"/>
    </row>
    <row r="117" spans="1:53" x14ac:dyDescent="0.25">
      <c r="A117" s="196" t="s">
        <v>84</v>
      </c>
      <c r="C117" t="s">
        <v>801</v>
      </c>
      <c r="F117" s="201">
        <f>+F114</f>
        <v>12731.13</v>
      </c>
      <c r="J117" t="s">
        <v>802</v>
      </c>
      <c r="BA117" s="195"/>
    </row>
    <row r="118" spans="1:53" x14ac:dyDescent="0.25">
      <c r="A118" s="196" t="s">
        <v>795</v>
      </c>
      <c r="C118" t="s">
        <v>796</v>
      </c>
      <c r="G118" s="201">
        <f>+F117</f>
        <v>12731.13</v>
      </c>
      <c r="J118" t="s">
        <v>803</v>
      </c>
      <c r="BA118" s="195"/>
    </row>
    <row r="119" spans="1:53" x14ac:dyDescent="0.25">
      <c r="A119" s="196"/>
      <c r="BA119" s="195"/>
    </row>
    <row r="120" spans="1:53" x14ac:dyDescent="0.25">
      <c r="A120" s="196" t="s">
        <v>795</v>
      </c>
      <c r="C120" t="s">
        <v>796</v>
      </c>
      <c r="F120" s="201">
        <v>52815.27</v>
      </c>
      <c r="G120" s="201"/>
      <c r="BA120" s="195"/>
    </row>
    <row r="121" spans="1:53" x14ac:dyDescent="0.25">
      <c r="A121" s="196" t="s">
        <v>804</v>
      </c>
      <c r="C121" t="s">
        <v>28</v>
      </c>
      <c r="F121" s="201"/>
      <c r="G121" s="201">
        <f>+F120</f>
        <v>52815.27</v>
      </c>
      <c r="BA121" s="195"/>
    </row>
    <row r="122" spans="1:53" x14ac:dyDescent="0.25">
      <c r="A122" s="196"/>
      <c r="F122" s="201"/>
      <c r="G122" s="201"/>
      <c r="BA122" s="195"/>
    </row>
    <row r="123" spans="1:53" x14ac:dyDescent="0.25">
      <c r="A123" s="196" t="s">
        <v>84</v>
      </c>
      <c r="C123" t="s">
        <v>801</v>
      </c>
      <c r="F123" s="201">
        <f>+F120</f>
        <v>52815.27</v>
      </c>
      <c r="BA123" s="195"/>
    </row>
    <row r="124" spans="1:53" x14ac:dyDescent="0.25">
      <c r="A124" s="196" t="s">
        <v>795</v>
      </c>
      <c r="C124" t="s">
        <v>796</v>
      </c>
      <c r="G124" s="201">
        <f>+F123</f>
        <v>52815.27</v>
      </c>
      <c r="BA124" s="195"/>
    </row>
    <row r="125" spans="1:53" x14ac:dyDescent="0.25">
      <c r="A125" s="196"/>
      <c r="BA125" s="195"/>
    </row>
    <row r="126" spans="1:53" x14ac:dyDescent="0.25">
      <c r="A126" s="203" t="s">
        <v>808</v>
      </c>
      <c r="BA126" s="195"/>
    </row>
    <row r="127" spans="1:53" x14ac:dyDescent="0.25">
      <c r="A127" s="196"/>
      <c r="F127" s="107" t="s">
        <v>787</v>
      </c>
      <c r="G127" s="107" t="s">
        <v>788</v>
      </c>
      <c r="BA127" s="195"/>
    </row>
    <row r="128" spans="1:53" x14ac:dyDescent="0.25">
      <c r="A128" s="196" t="s">
        <v>86</v>
      </c>
      <c r="C128" t="s">
        <v>790</v>
      </c>
      <c r="F128" s="201">
        <v>12731.13</v>
      </c>
      <c r="BA128" s="195"/>
    </row>
    <row r="129" spans="1:53" x14ac:dyDescent="0.25">
      <c r="A129" s="196" t="s">
        <v>237</v>
      </c>
      <c r="C129" t="s">
        <v>792</v>
      </c>
      <c r="G129" s="201">
        <f>+F128</f>
        <v>12731.13</v>
      </c>
      <c r="BA129" s="195"/>
    </row>
    <row r="130" spans="1:53" x14ac:dyDescent="0.25">
      <c r="A130" s="196"/>
      <c r="BA130" s="195"/>
    </row>
    <row r="131" spans="1:53" x14ac:dyDescent="0.25">
      <c r="A131" s="196" t="s">
        <v>795</v>
      </c>
      <c r="C131" t="s">
        <v>796</v>
      </c>
      <c r="F131" s="201">
        <f>+F128</f>
        <v>12731.13</v>
      </c>
      <c r="BA131" s="195"/>
    </row>
    <row r="132" spans="1:53" x14ac:dyDescent="0.25">
      <c r="A132" s="196" t="s">
        <v>798</v>
      </c>
      <c r="C132" t="s">
        <v>799</v>
      </c>
      <c r="G132" s="201">
        <f>+F131</f>
        <v>12731.13</v>
      </c>
      <c r="BA132" s="195"/>
    </row>
    <row r="133" spans="1:53" x14ac:dyDescent="0.25">
      <c r="A133" s="196"/>
      <c r="BA133" s="195"/>
    </row>
    <row r="134" spans="1:53" x14ac:dyDescent="0.25">
      <c r="A134" s="196" t="s">
        <v>84</v>
      </c>
      <c r="C134" t="s">
        <v>801</v>
      </c>
      <c r="F134" s="201">
        <f>+F131</f>
        <v>12731.13</v>
      </c>
      <c r="BA134" s="195"/>
    </row>
    <row r="135" spans="1:53" x14ac:dyDescent="0.25">
      <c r="A135" s="196" t="s">
        <v>795</v>
      </c>
      <c r="C135" t="s">
        <v>796</v>
      </c>
      <c r="G135" s="201">
        <f>+F134</f>
        <v>12731.13</v>
      </c>
      <c r="BA135" s="195"/>
    </row>
    <row r="136" spans="1:53" x14ac:dyDescent="0.25">
      <c r="A136" s="196"/>
      <c r="BA136" s="195"/>
    </row>
    <row r="137" spans="1:53" x14ac:dyDescent="0.25">
      <c r="A137" s="196" t="s">
        <v>795</v>
      </c>
      <c r="C137" t="s">
        <v>796</v>
      </c>
      <c r="F137" s="201">
        <v>52815.27</v>
      </c>
      <c r="G137" s="201"/>
      <c r="BA137" s="195"/>
    </row>
    <row r="138" spans="1:53" x14ac:dyDescent="0.25">
      <c r="A138" s="196" t="s">
        <v>804</v>
      </c>
      <c r="C138" t="s">
        <v>28</v>
      </c>
      <c r="F138" s="201"/>
      <c r="G138" s="201">
        <f>+F137</f>
        <v>52815.27</v>
      </c>
      <c r="BA138" s="195"/>
    </row>
    <row r="139" spans="1:53" x14ac:dyDescent="0.25">
      <c r="A139" s="196"/>
      <c r="F139" s="201"/>
      <c r="G139" s="201"/>
      <c r="BA139" s="195"/>
    </row>
    <row r="140" spans="1:53" x14ac:dyDescent="0.25">
      <c r="A140" s="196" t="s">
        <v>84</v>
      </c>
      <c r="C140" t="s">
        <v>801</v>
      </c>
      <c r="F140" s="201">
        <f>+F137</f>
        <v>52815.27</v>
      </c>
      <c r="BA140" s="195"/>
    </row>
    <row r="141" spans="1:53" x14ac:dyDescent="0.25">
      <c r="A141" s="196" t="s">
        <v>795</v>
      </c>
      <c r="C141" t="s">
        <v>796</v>
      </c>
      <c r="G141" s="201">
        <f>+F140</f>
        <v>52815.27</v>
      </c>
      <c r="BA141" s="195"/>
    </row>
    <row r="142" spans="1:53" x14ac:dyDescent="0.25">
      <c r="A142" s="196"/>
      <c r="BA142" s="195"/>
    </row>
    <row r="143" spans="1:53" ht="15.75" thickBot="1" x14ac:dyDescent="0.3">
      <c r="A143" s="197"/>
      <c r="B143" s="198"/>
      <c r="C143" s="198"/>
      <c r="D143" s="198"/>
      <c r="E143" s="198"/>
      <c r="F143" s="198"/>
      <c r="G143" s="198"/>
      <c r="H143" s="198"/>
      <c r="I143" s="198"/>
      <c r="J143" s="198"/>
      <c r="K143" s="198"/>
      <c r="L143" s="198"/>
      <c r="M143" s="198"/>
      <c r="N143" s="198"/>
      <c r="O143" s="198"/>
      <c r="P143" s="198"/>
      <c r="Q143" s="198"/>
      <c r="R143" s="198"/>
      <c r="S143" s="198"/>
      <c r="T143" s="198"/>
      <c r="U143" s="198"/>
      <c r="V143" s="198"/>
      <c r="W143" s="198"/>
      <c r="X143" s="198"/>
      <c r="Y143" s="198"/>
      <c r="Z143" s="198"/>
      <c r="AA143" s="198"/>
      <c r="AB143" s="198"/>
      <c r="AC143" s="198"/>
      <c r="AD143" s="198"/>
      <c r="AE143" s="198"/>
      <c r="AF143" s="198"/>
      <c r="AG143" s="198"/>
      <c r="AH143" s="198"/>
      <c r="AI143" s="198"/>
      <c r="AJ143" s="198"/>
      <c r="AK143" s="198"/>
      <c r="AL143" s="198"/>
      <c r="AM143" s="198"/>
      <c r="AN143" s="198"/>
      <c r="AO143" s="198"/>
      <c r="AP143" s="198"/>
      <c r="AQ143" s="198"/>
      <c r="AR143" s="198"/>
      <c r="AS143" s="198"/>
      <c r="AT143" s="198"/>
      <c r="AU143" s="198"/>
      <c r="AV143" s="198"/>
      <c r="AW143" s="198"/>
      <c r="AX143" s="198"/>
      <c r="AY143" s="198"/>
      <c r="AZ143" s="198"/>
      <c r="BA143" s="199"/>
    </row>
    <row r="145" spans="1:14" ht="15.75" thickBot="1" x14ac:dyDescent="0.3"/>
    <row r="146" spans="1:14" ht="21.75" thickBot="1" x14ac:dyDescent="0.4">
      <c r="A146" s="685" t="s">
        <v>807</v>
      </c>
      <c r="B146" s="686"/>
      <c r="C146" s="686"/>
      <c r="D146" s="686"/>
      <c r="E146" s="686"/>
      <c r="F146" s="686"/>
      <c r="G146" s="686"/>
      <c r="H146" s="686"/>
      <c r="I146" s="686"/>
      <c r="J146" s="687"/>
      <c r="K146" s="193"/>
      <c r="L146" s="193"/>
      <c r="M146" s="193"/>
      <c r="N146" s="194"/>
    </row>
    <row r="147" spans="1:14" x14ac:dyDescent="0.25">
      <c r="A147" s="196"/>
      <c r="N147" s="195"/>
    </row>
    <row r="148" spans="1:14" x14ac:dyDescent="0.25">
      <c r="A148" s="196" t="s">
        <v>102</v>
      </c>
      <c r="N148" s="195"/>
    </row>
    <row r="149" spans="1:14" x14ac:dyDescent="0.25">
      <c r="A149" s="196" t="s">
        <v>104</v>
      </c>
      <c r="B149" t="s">
        <v>105</v>
      </c>
      <c r="C149" t="s">
        <v>106</v>
      </c>
      <c r="D149" t="s">
        <v>107</v>
      </c>
      <c r="E149" t="s">
        <v>108</v>
      </c>
      <c r="F149" t="s">
        <v>109</v>
      </c>
      <c r="G149" t="s">
        <v>110</v>
      </c>
      <c r="H149" t="s">
        <v>111</v>
      </c>
      <c r="I149" t="s">
        <v>112</v>
      </c>
      <c r="J149" t="s">
        <v>113</v>
      </c>
      <c r="K149" t="s">
        <v>114</v>
      </c>
      <c r="L149" t="s">
        <v>115</v>
      </c>
      <c r="N149" s="195"/>
    </row>
    <row r="150" spans="1:14" x14ac:dyDescent="0.25">
      <c r="A150" s="200">
        <v>44944</v>
      </c>
      <c r="C150" s="103">
        <v>2000</v>
      </c>
      <c r="D150">
        <v>0</v>
      </c>
      <c r="E150" s="103">
        <v>200000</v>
      </c>
      <c r="H150" s="103">
        <v>2000</v>
      </c>
      <c r="J150" s="103">
        <v>200000</v>
      </c>
      <c r="K150" s="103">
        <v>-200000</v>
      </c>
      <c r="L150" s="103">
        <v>-235967.12</v>
      </c>
      <c r="N150" s="195"/>
    </row>
    <row r="151" spans="1:14" x14ac:dyDescent="0.25">
      <c r="A151" s="200">
        <v>44975</v>
      </c>
      <c r="C151" s="103">
        <v>13109.28</v>
      </c>
      <c r="D151">
        <v>0</v>
      </c>
      <c r="E151" s="103">
        <v>9427.43</v>
      </c>
      <c r="G151" s="103">
        <v>3681.85</v>
      </c>
      <c r="K151" s="103">
        <v>-190572.57</v>
      </c>
      <c r="L151" s="103">
        <v>-222857.84</v>
      </c>
      <c r="N151" s="195"/>
    </row>
    <row r="152" spans="1:14" x14ac:dyDescent="0.25">
      <c r="A152" s="200">
        <v>45003</v>
      </c>
      <c r="C152" s="103">
        <v>13109.28</v>
      </c>
      <c r="D152">
        <v>0</v>
      </c>
      <c r="E152" s="103">
        <v>9940.5</v>
      </c>
      <c r="G152" s="103">
        <v>3168.78</v>
      </c>
      <c r="K152" s="103">
        <v>-180632.07</v>
      </c>
      <c r="L152" s="103">
        <v>-209748.56</v>
      </c>
      <c r="N152" s="195"/>
    </row>
    <row r="153" spans="1:14" x14ac:dyDescent="0.25">
      <c r="A153" s="200">
        <v>45034</v>
      </c>
      <c r="C153" s="103">
        <v>13109.28</v>
      </c>
      <c r="D153">
        <v>0</v>
      </c>
      <c r="E153" s="103">
        <v>9783.98</v>
      </c>
      <c r="G153" s="103">
        <v>3325.3</v>
      </c>
      <c r="K153" s="103">
        <v>-118032.82</v>
      </c>
      <c r="L153" s="103">
        <v>-131092.88</v>
      </c>
      <c r="N153" s="195"/>
    </row>
    <row r="154" spans="1:14" x14ac:dyDescent="0.25">
      <c r="A154" s="200">
        <v>45064</v>
      </c>
      <c r="C154" s="103">
        <v>13109.29</v>
      </c>
      <c r="D154">
        <v>0</v>
      </c>
      <c r="E154" s="103">
        <v>10841.35</v>
      </c>
      <c r="G154" s="103">
        <v>2267.94</v>
      </c>
      <c r="K154" s="103">
        <v>-107191.47</v>
      </c>
      <c r="L154" s="103">
        <v>-117983.59</v>
      </c>
      <c r="N154" s="195"/>
    </row>
    <row r="155" spans="1:14" x14ac:dyDescent="0.25">
      <c r="A155" s="200">
        <v>45095</v>
      </c>
      <c r="C155" s="103">
        <v>13109.29</v>
      </c>
      <c r="D155">
        <v>0</v>
      </c>
      <c r="E155" s="103">
        <v>10981</v>
      </c>
      <c r="G155" s="103">
        <v>2128.29</v>
      </c>
      <c r="K155" s="103">
        <v>-96210.47</v>
      </c>
      <c r="L155" s="103">
        <v>-104874.3</v>
      </c>
      <c r="N155" s="195"/>
    </row>
    <row r="156" spans="1:14" x14ac:dyDescent="0.25">
      <c r="A156" s="200">
        <v>45125</v>
      </c>
      <c r="C156" s="103">
        <v>13109.29</v>
      </c>
      <c r="D156">
        <v>0</v>
      </c>
      <c r="E156" s="103">
        <v>11260.65</v>
      </c>
      <c r="G156" s="103">
        <v>1848.64</v>
      </c>
      <c r="K156" s="103">
        <v>-84949.82</v>
      </c>
      <c r="L156" s="103">
        <v>-91765.01</v>
      </c>
      <c r="N156" s="195"/>
    </row>
    <row r="157" spans="1:14" x14ac:dyDescent="0.25">
      <c r="A157" s="200">
        <v>45156</v>
      </c>
      <c r="C157" s="103">
        <v>13109.29</v>
      </c>
      <c r="D157">
        <v>0</v>
      </c>
      <c r="E157" s="103">
        <v>11422.61</v>
      </c>
      <c r="G157" s="103">
        <v>1686.68</v>
      </c>
      <c r="K157" s="103">
        <v>-73527.210000000006</v>
      </c>
      <c r="L157" s="103">
        <v>-78655.72</v>
      </c>
      <c r="N157" s="195"/>
    </row>
    <row r="158" spans="1:14" x14ac:dyDescent="0.25">
      <c r="A158" s="200">
        <v>45187</v>
      </c>
      <c r="C158" s="103">
        <v>13109.29</v>
      </c>
      <c r="D158">
        <v>0</v>
      </c>
      <c r="E158" s="103">
        <v>11649.41</v>
      </c>
      <c r="G158" s="103">
        <v>1459.88</v>
      </c>
      <c r="K158" s="103">
        <v>-61877.8</v>
      </c>
      <c r="L158" s="103">
        <v>-65546.429999999993</v>
      </c>
      <c r="N158" s="195"/>
    </row>
    <row r="159" spans="1:14" x14ac:dyDescent="0.25">
      <c r="A159" s="200">
        <v>45217</v>
      </c>
      <c r="C159" s="103">
        <v>13109.29</v>
      </c>
      <c r="D159">
        <v>0</v>
      </c>
      <c r="E159" s="103">
        <v>11920.34</v>
      </c>
      <c r="G159" s="103">
        <v>1188.95</v>
      </c>
      <c r="K159" s="103">
        <v>-49957.46</v>
      </c>
      <c r="L159" s="103">
        <v>-52437.14</v>
      </c>
      <c r="N159" s="195"/>
    </row>
    <row r="160" spans="1:14" x14ac:dyDescent="0.25">
      <c r="A160" s="200">
        <v>45248</v>
      </c>
      <c r="C160" s="103">
        <v>13109.29</v>
      </c>
      <c r="D160">
        <v>0</v>
      </c>
      <c r="E160" s="103">
        <v>12117.38</v>
      </c>
      <c r="G160">
        <v>991.91</v>
      </c>
      <c r="K160" s="103">
        <v>-37840.080000000002</v>
      </c>
      <c r="L160" s="103">
        <v>-39327.85</v>
      </c>
      <c r="N160" s="195"/>
    </row>
    <row r="161" spans="1:14" x14ac:dyDescent="0.25">
      <c r="A161" s="200">
        <v>45278</v>
      </c>
      <c r="C161" s="103">
        <v>13109.29</v>
      </c>
      <c r="D161">
        <v>0</v>
      </c>
      <c r="E161" s="103">
        <v>12382.21</v>
      </c>
      <c r="G161">
        <v>727.08</v>
      </c>
      <c r="K161" s="103">
        <v>-25457.87</v>
      </c>
      <c r="L161" s="103">
        <v>-26218.560000000001</v>
      </c>
      <c r="N161" s="195"/>
    </row>
    <row r="162" spans="1:14" x14ac:dyDescent="0.25">
      <c r="A162" s="200">
        <v>45309</v>
      </c>
      <c r="C162" s="103">
        <v>13109.29</v>
      </c>
      <c r="D162">
        <v>0</v>
      </c>
      <c r="E162" s="103">
        <v>12603.82</v>
      </c>
      <c r="G162">
        <v>505.47</v>
      </c>
      <c r="K162" s="103">
        <v>-12854.05</v>
      </c>
      <c r="L162" s="103">
        <v>-13109.27</v>
      </c>
      <c r="N162" s="195"/>
    </row>
    <row r="163" spans="1:14" x14ac:dyDescent="0.25">
      <c r="A163" s="200">
        <v>45340</v>
      </c>
      <c r="C163" s="103">
        <v>13109.27</v>
      </c>
      <c r="D163">
        <v>0</v>
      </c>
      <c r="E163" s="103">
        <v>12854.05</v>
      </c>
      <c r="G163">
        <v>255.22</v>
      </c>
      <c r="K163">
        <v>0</v>
      </c>
      <c r="L163">
        <v>0</v>
      </c>
      <c r="N163" s="195"/>
    </row>
    <row r="164" spans="1:14" x14ac:dyDescent="0.25">
      <c r="A164" s="196"/>
      <c r="G164" s="103">
        <f>SUM(G151:G163)</f>
        <v>23235.990000000005</v>
      </c>
      <c r="N164" s="195"/>
    </row>
    <row r="165" spans="1:14" ht="15.75" thickBot="1" x14ac:dyDescent="0.3">
      <c r="A165" s="197"/>
      <c r="B165" s="198"/>
      <c r="C165" s="198"/>
      <c r="D165" s="198"/>
      <c r="E165" s="198"/>
      <c r="F165" s="198"/>
      <c r="G165" s="198"/>
      <c r="H165" s="198"/>
      <c r="I165" s="198"/>
      <c r="J165" s="198"/>
      <c r="K165" s="198"/>
      <c r="L165" s="198"/>
      <c r="M165" s="198"/>
      <c r="N165" s="199"/>
    </row>
  </sheetData>
  <mergeCells count="3">
    <mergeCell ref="A1:I1"/>
    <mergeCell ref="A75:J75"/>
    <mergeCell ref="A146:J146"/>
  </mergeCells>
  <pageMargins left="0.7" right="0.7" top="0.75" bottom="0.75" header="0.3" footer="0.3"/>
  <pageSetup paperSize="9" orientation="portrait" r:id="rId1"/>
  <headerFooter>
    <oddFooter>&amp;L&amp;"Calibri Light,Regular"&amp;09&amp;K00C000Public</oddFooter>
    <evenFooter>&amp;L&amp;"Calibri Light,Regular"&amp;09&amp;K00C000Public</evenFooter>
    <firstFooter>&amp;L&amp;"Calibri Light,Regular"&amp;09&amp;K00C000Public</first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88F19-76AD-4AF3-A6C0-A62B9A8FC166}">
  <sheetPr>
    <pageSetUpPr autoPageBreaks="0"/>
  </sheetPr>
  <dimension ref="A1:P134"/>
  <sheetViews>
    <sheetView topLeftCell="A22" workbookViewId="0">
      <selection activeCell="E12" sqref="E12"/>
    </sheetView>
  </sheetViews>
  <sheetFormatPr defaultRowHeight="15" x14ac:dyDescent="0.25"/>
  <cols>
    <col min="1" max="1" width="15.85546875" bestFit="1" customWidth="1"/>
    <col min="5" max="5" width="10.140625" bestFit="1" customWidth="1"/>
    <col min="7" max="7" width="10.140625" bestFit="1" customWidth="1"/>
    <col min="11" max="11" width="10.7109375" bestFit="1" customWidth="1"/>
    <col min="12" max="12" width="17.7109375" bestFit="1" customWidth="1"/>
    <col min="16" max="16" width="9.140625" bestFit="1" customWidth="1"/>
  </cols>
  <sheetData>
    <row r="1" spans="1:16" x14ac:dyDescent="0.25">
      <c r="A1" t="s">
        <v>812</v>
      </c>
    </row>
    <row r="3" spans="1:16" ht="21" x14ac:dyDescent="0.35">
      <c r="A3" s="106" t="s">
        <v>813</v>
      </c>
    </row>
    <row r="5" spans="1:16" x14ac:dyDescent="0.25">
      <c r="A5" t="s">
        <v>102</v>
      </c>
    </row>
    <row r="6" spans="1:16" x14ac:dyDescent="0.25">
      <c r="A6" t="s">
        <v>104</v>
      </c>
      <c r="B6" t="s">
        <v>105</v>
      </c>
      <c r="C6" t="s">
        <v>106</v>
      </c>
      <c r="D6" t="s">
        <v>107</v>
      </c>
      <c r="E6" t="s">
        <v>108</v>
      </c>
      <c r="F6" t="s">
        <v>109</v>
      </c>
      <c r="G6" t="s">
        <v>110</v>
      </c>
      <c r="H6" t="s">
        <v>111</v>
      </c>
      <c r="I6" t="s">
        <v>112</v>
      </c>
      <c r="J6" t="s">
        <v>113</v>
      </c>
      <c r="K6" t="s">
        <v>114</v>
      </c>
      <c r="L6" t="s">
        <v>115</v>
      </c>
    </row>
    <row r="7" spans="1:16" x14ac:dyDescent="0.25">
      <c r="A7" s="102">
        <v>45323</v>
      </c>
      <c r="C7" s="103">
        <v>5750</v>
      </c>
      <c r="D7">
        <v>0</v>
      </c>
      <c r="E7" s="103">
        <v>500000</v>
      </c>
      <c r="H7" s="103">
        <v>5000</v>
      </c>
      <c r="I7">
        <v>750</v>
      </c>
      <c r="J7" s="103">
        <v>500000</v>
      </c>
      <c r="K7" s="103">
        <v>-500000</v>
      </c>
      <c r="L7" s="103">
        <v>-658990.35</v>
      </c>
    </row>
    <row r="8" spans="1:16" x14ac:dyDescent="0.25">
      <c r="A8" s="102">
        <v>45350</v>
      </c>
      <c r="C8" s="103">
        <v>10983.17</v>
      </c>
      <c r="D8">
        <v>0</v>
      </c>
      <c r="E8" s="103">
        <v>6730.49</v>
      </c>
      <c r="G8" s="103">
        <v>4252.68</v>
      </c>
      <c r="H8">
        <v>0</v>
      </c>
      <c r="K8" s="103">
        <v>-493269.51</v>
      </c>
      <c r="L8" s="103">
        <v>-648007.18000000005</v>
      </c>
    </row>
    <row r="9" spans="1:16" x14ac:dyDescent="0.25">
      <c r="A9" s="102">
        <v>45379</v>
      </c>
      <c r="C9" s="103">
        <v>10983.17</v>
      </c>
      <c r="D9">
        <v>0</v>
      </c>
      <c r="E9" s="103">
        <v>6476.96</v>
      </c>
      <c r="G9" s="103">
        <v>4506.21</v>
      </c>
      <c r="H9">
        <v>0</v>
      </c>
      <c r="K9" s="103">
        <v>-486792.55</v>
      </c>
      <c r="L9" s="103">
        <v>-637024.01</v>
      </c>
      <c r="N9" t="s">
        <v>809</v>
      </c>
      <c r="P9" s="103">
        <f>SUM(C8:C10)</f>
        <v>32949.51</v>
      </c>
    </row>
    <row r="10" spans="1:16" x14ac:dyDescent="0.25">
      <c r="A10" s="102">
        <v>45410</v>
      </c>
      <c r="C10" s="103">
        <v>10983.17</v>
      </c>
      <c r="D10">
        <v>0</v>
      </c>
      <c r="E10" s="103">
        <v>6229.44</v>
      </c>
      <c r="G10" s="103">
        <v>4753.7299999999996</v>
      </c>
      <c r="H10">
        <v>0</v>
      </c>
      <c r="K10" s="103">
        <v>-480563.11</v>
      </c>
      <c r="L10" s="103">
        <v>-626040.84</v>
      </c>
      <c r="N10" t="s">
        <v>810</v>
      </c>
      <c r="P10" s="103">
        <f>SUM(E8:E10)</f>
        <v>19436.89</v>
      </c>
    </row>
    <row r="11" spans="1:16" x14ac:dyDescent="0.25">
      <c r="A11" s="102">
        <v>45440</v>
      </c>
      <c r="C11" s="103">
        <v>10983.17</v>
      </c>
      <c r="D11">
        <v>0</v>
      </c>
      <c r="E11" s="103">
        <v>6441.65</v>
      </c>
      <c r="G11" s="103">
        <v>4541.5200000000004</v>
      </c>
      <c r="H11">
        <v>0</v>
      </c>
      <c r="K11" s="103">
        <v>-474121.46</v>
      </c>
      <c r="L11" s="103">
        <v>-615057.67000000004</v>
      </c>
      <c r="N11" t="s">
        <v>811</v>
      </c>
      <c r="P11" s="103">
        <f>SUM(G8:G10)</f>
        <v>13512.619999999999</v>
      </c>
    </row>
    <row r="12" spans="1:16" x14ac:dyDescent="0.25">
      <c r="A12" s="102">
        <v>45471</v>
      </c>
      <c r="C12" s="103">
        <v>10983.17</v>
      </c>
      <c r="D12">
        <v>0</v>
      </c>
      <c r="E12" s="103">
        <v>6353.18</v>
      </c>
      <c r="G12" s="103">
        <v>4629.99</v>
      </c>
      <c r="H12">
        <v>0</v>
      </c>
      <c r="K12" s="103">
        <v>-467768.28</v>
      </c>
      <c r="L12" s="103">
        <v>-604074.5</v>
      </c>
    </row>
    <row r="13" spans="1:16" x14ac:dyDescent="0.25">
      <c r="A13" s="102">
        <v>45501</v>
      </c>
      <c r="C13" s="103">
        <v>10983.17</v>
      </c>
      <c r="D13">
        <v>0</v>
      </c>
      <c r="E13" s="103">
        <v>6562.57</v>
      </c>
      <c r="G13" s="103">
        <v>4420.6000000000004</v>
      </c>
      <c r="H13">
        <v>0</v>
      </c>
      <c r="K13" s="103">
        <v>-461205.71</v>
      </c>
      <c r="L13" s="103">
        <v>-593091.32999999996</v>
      </c>
    </row>
    <row r="14" spans="1:16" x14ac:dyDescent="0.25">
      <c r="A14" s="102">
        <v>45532</v>
      </c>
      <c r="C14" s="103">
        <v>10983.17</v>
      </c>
      <c r="D14">
        <v>0</v>
      </c>
      <c r="E14" s="103">
        <v>6479.3</v>
      </c>
      <c r="G14" s="103">
        <v>4503.87</v>
      </c>
      <c r="H14">
        <v>0</v>
      </c>
      <c r="K14" s="103">
        <v>-454726.41</v>
      </c>
      <c r="L14" s="103">
        <v>-582108.16000000003</v>
      </c>
    </row>
    <row r="15" spans="1:16" x14ac:dyDescent="0.25">
      <c r="A15" s="102">
        <v>45563</v>
      </c>
      <c r="C15" s="103">
        <v>10983.17</v>
      </c>
      <c r="D15">
        <v>0</v>
      </c>
      <c r="E15" s="103">
        <v>6542.58</v>
      </c>
      <c r="G15" s="103">
        <v>4440.59</v>
      </c>
      <c r="H15">
        <v>0</v>
      </c>
      <c r="K15" s="103">
        <v>-448183.83</v>
      </c>
      <c r="L15" s="103">
        <v>-571124.99</v>
      </c>
    </row>
    <row r="16" spans="1:16" x14ac:dyDescent="0.25">
      <c r="A16" s="102">
        <v>45593</v>
      </c>
      <c r="C16" s="103">
        <v>10983.17</v>
      </c>
      <c r="D16">
        <v>0</v>
      </c>
      <c r="E16" s="103">
        <v>6747.65</v>
      </c>
      <c r="G16" s="103">
        <v>4235.5200000000004</v>
      </c>
      <c r="H16">
        <v>0</v>
      </c>
      <c r="K16" s="103">
        <v>-441436.18</v>
      </c>
      <c r="L16" s="103">
        <v>-560141.81999999995</v>
      </c>
    </row>
    <row r="17" spans="1:12" x14ac:dyDescent="0.25">
      <c r="A17" s="102">
        <v>45624</v>
      </c>
      <c r="C17" s="103">
        <v>10983.17</v>
      </c>
      <c r="D17">
        <v>0</v>
      </c>
      <c r="E17" s="103">
        <v>6672.36</v>
      </c>
      <c r="G17" s="103">
        <v>4310.8100000000004</v>
      </c>
      <c r="H17">
        <v>0</v>
      </c>
      <c r="K17" s="103">
        <v>-434763.82</v>
      </c>
      <c r="L17" s="103">
        <v>-549158.65</v>
      </c>
    </row>
    <row r="18" spans="1:12" x14ac:dyDescent="0.25">
      <c r="A18" s="102">
        <v>45654</v>
      </c>
      <c r="C18" s="103">
        <v>10983.17</v>
      </c>
      <c r="D18">
        <v>0</v>
      </c>
      <c r="E18" s="103">
        <v>6874.48</v>
      </c>
      <c r="G18" s="103">
        <v>4108.6899999999996</v>
      </c>
      <c r="H18">
        <v>0</v>
      </c>
      <c r="K18" s="103">
        <v>-427889.34</v>
      </c>
      <c r="L18" s="103">
        <v>-538175.48</v>
      </c>
    </row>
    <row r="19" spans="1:12" x14ac:dyDescent="0.25">
      <c r="A19" s="102">
        <v>45685</v>
      </c>
      <c r="C19" s="103">
        <v>10983.17</v>
      </c>
      <c r="D19">
        <v>0</v>
      </c>
      <c r="E19" s="103">
        <v>6804.65</v>
      </c>
      <c r="G19" s="103">
        <v>4178.5200000000004</v>
      </c>
      <c r="H19">
        <v>0</v>
      </c>
      <c r="K19" s="103">
        <v>-421084.69</v>
      </c>
      <c r="L19" s="103">
        <v>-527192.31000000006</v>
      </c>
    </row>
    <row r="20" spans="1:12" x14ac:dyDescent="0.25">
      <c r="A20" s="102">
        <v>45716</v>
      </c>
      <c r="C20" s="103">
        <v>10983.17</v>
      </c>
      <c r="D20">
        <v>0</v>
      </c>
      <c r="E20" s="103">
        <v>6871.1</v>
      </c>
      <c r="G20" s="103">
        <v>4112.07</v>
      </c>
      <c r="H20">
        <v>0</v>
      </c>
      <c r="K20" s="103">
        <v>-414213.59</v>
      </c>
      <c r="L20" s="103">
        <v>-516209.14</v>
      </c>
    </row>
    <row r="21" spans="1:12" x14ac:dyDescent="0.25">
      <c r="A21" s="102">
        <v>45744</v>
      </c>
      <c r="C21" s="103">
        <v>10983.17</v>
      </c>
      <c r="D21">
        <v>0</v>
      </c>
      <c r="E21" s="103">
        <v>7329.65</v>
      </c>
      <c r="G21" s="103">
        <v>3653.52</v>
      </c>
      <c r="H21">
        <v>0</v>
      </c>
      <c r="K21" s="103">
        <v>-406883.94</v>
      </c>
      <c r="L21" s="103">
        <v>-505225.97</v>
      </c>
    </row>
    <row r="22" spans="1:12" x14ac:dyDescent="0.25">
      <c r="A22" s="102">
        <v>45775</v>
      </c>
      <c r="C22" s="103">
        <v>10983.17</v>
      </c>
      <c r="D22">
        <v>0</v>
      </c>
      <c r="E22" s="103">
        <v>7009.78</v>
      </c>
      <c r="G22" s="103">
        <v>3973.39</v>
      </c>
      <c r="H22">
        <v>0</v>
      </c>
      <c r="K22" s="103">
        <v>-399874.16</v>
      </c>
      <c r="L22" s="103">
        <v>-494242.8</v>
      </c>
    </row>
    <row r="23" spans="1:12" x14ac:dyDescent="0.25">
      <c r="A23" s="102">
        <v>45805</v>
      </c>
      <c r="C23" s="103">
        <v>10983.17</v>
      </c>
      <c r="D23">
        <v>0</v>
      </c>
      <c r="E23" s="103">
        <v>7204.2</v>
      </c>
      <c r="G23" s="103">
        <v>3778.97</v>
      </c>
      <c r="H23">
        <v>0</v>
      </c>
      <c r="K23" s="103">
        <v>-392669.96</v>
      </c>
      <c r="L23" s="103">
        <v>-483259.63</v>
      </c>
    </row>
    <row r="24" spans="1:12" x14ac:dyDescent="0.25">
      <c r="A24" s="102">
        <v>45836</v>
      </c>
      <c r="C24" s="103">
        <v>10983.17</v>
      </c>
      <c r="D24">
        <v>0</v>
      </c>
      <c r="E24" s="103">
        <v>7148.58</v>
      </c>
      <c r="G24" s="103">
        <v>3834.59</v>
      </c>
      <c r="H24">
        <v>0</v>
      </c>
      <c r="K24" s="103">
        <v>-385521.38</v>
      </c>
      <c r="L24" s="103">
        <v>-472276.46</v>
      </c>
    </row>
    <row r="25" spans="1:12" x14ac:dyDescent="0.25">
      <c r="A25" s="102">
        <v>45866</v>
      </c>
      <c r="C25" s="103">
        <v>10983.17</v>
      </c>
      <c r="D25">
        <v>0</v>
      </c>
      <c r="E25" s="103">
        <v>7339.84</v>
      </c>
      <c r="G25" s="103">
        <v>3643.33</v>
      </c>
      <c r="H25">
        <v>0</v>
      </c>
      <c r="K25" s="103">
        <v>-378181.54</v>
      </c>
      <c r="L25" s="103">
        <v>-461293.29</v>
      </c>
    </row>
    <row r="26" spans="1:12" x14ac:dyDescent="0.25">
      <c r="A26" s="102">
        <v>45897</v>
      </c>
      <c r="C26" s="103">
        <v>10983.17</v>
      </c>
      <c r="D26">
        <v>0</v>
      </c>
      <c r="E26" s="103">
        <v>7290.07</v>
      </c>
      <c r="G26" s="103">
        <v>3693.1</v>
      </c>
      <c r="H26">
        <v>0</v>
      </c>
      <c r="K26" s="103">
        <v>-370891.47</v>
      </c>
      <c r="L26" s="103">
        <v>-450310.12</v>
      </c>
    </row>
    <row r="27" spans="1:12" x14ac:dyDescent="0.25">
      <c r="A27" s="102">
        <v>45928</v>
      </c>
      <c r="C27" s="103">
        <v>10983.17</v>
      </c>
      <c r="D27">
        <v>0</v>
      </c>
      <c r="E27" s="103">
        <v>7361.26</v>
      </c>
      <c r="G27" s="103">
        <v>3621.91</v>
      </c>
      <c r="H27">
        <v>0</v>
      </c>
      <c r="K27" s="103">
        <v>-363530.21</v>
      </c>
      <c r="L27" s="103">
        <v>-439326.95</v>
      </c>
    </row>
    <row r="28" spans="1:12" x14ac:dyDescent="0.25">
      <c r="A28" s="102">
        <v>45958</v>
      </c>
      <c r="C28" s="103">
        <v>10983.17</v>
      </c>
      <c r="D28">
        <v>0</v>
      </c>
      <c r="E28" s="103">
        <v>7547.66</v>
      </c>
      <c r="G28" s="103">
        <v>3435.51</v>
      </c>
      <c r="H28">
        <v>0</v>
      </c>
      <c r="K28" s="103">
        <v>-355982.55</v>
      </c>
      <c r="L28" s="103">
        <v>-428343.78</v>
      </c>
    </row>
    <row r="29" spans="1:12" x14ac:dyDescent="0.25">
      <c r="A29" s="102">
        <v>45989</v>
      </c>
      <c r="C29" s="103">
        <v>10983.17</v>
      </c>
      <c r="D29">
        <v>0</v>
      </c>
      <c r="E29" s="103">
        <v>7506.85</v>
      </c>
      <c r="G29" s="103">
        <v>3476.32</v>
      </c>
      <c r="H29">
        <v>0</v>
      </c>
      <c r="K29" s="103">
        <v>-348475.7</v>
      </c>
      <c r="L29" s="103">
        <v>-417360.61</v>
      </c>
    </row>
    <row r="30" spans="1:12" x14ac:dyDescent="0.25">
      <c r="A30" s="102">
        <v>46019</v>
      </c>
      <c r="C30" s="103">
        <v>10983.17</v>
      </c>
      <c r="D30">
        <v>0</v>
      </c>
      <c r="E30" s="103">
        <v>7689.93</v>
      </c>
      <c r="G30" s="103">
        <v>3293.24</v>
      </c>
      <c r="H30">
        <v>0</v>
      </c>
      <c r="K30" s="103">
        <v>-340785.77</v>
      </c>
      <c r="L30" s="103">
        <v>-406377.44</v>
      </c>
    </row>
    <row r="31" spans="1:12" x14ac:dyDescent="0.25">
      <c r="A31" s="102">
        <v>46050</v>
      </c>
      <c r="C31" s="103">
        <v>10983.17</v>
      </c>
      <c r="D31">
        <v>0</v>
      </c>
      <c r="E31" s="103">
        <v>7655.25</v>
      </c>
      <c r="G31" s="103">
        <v>3327.92</v>
      </c>
      <c r="H31">
        <v>0</v>
      </c>
      <c r="K31" s="103">
        <v>-333130.52</v>
      </c>
      <c r="L31" s="103">
        <v>-395394.27</v>
      </c>
    </row>
    <row r="32" spans="1:12" x14ac:dyDescent="0.25">
      <c r="A32" s="102">
        <v>46081</v>
      </c>
      <c r="C32" s="103">
        <v>10983.17</v>
      </c>
      <c r="D32">
        <v>0</v>
      </c>
      <c r="E32" s="103">
        <v>7730.01</v>
      </c>
      <c r="G32" s="103">
        <v>3253.16</v>
      </c>
      <c r="H32">
        <v>0</v>
      </c>
      <c r="K32" s="103">
        <v>-325400.51</v>
      </c>
      <c r="L32" s="103">
        <v>-384411.1</v>
      </c>
    </row>
    <row r="33" spans="1:12" x14ac:dyDescent="0.25">
      <c r="A33" s="102">
        <v>46109</v>
      </c>
      <c r="C33" s="103">
        <v>10983.17</v>
      </c>
      <c r="D33">
        <v>0</v>
      </c>
      <c r="E33" s="103">
        <v>8113.01</v>
      </c>
      <c r="G33" s="103">
        <v>2870.16</v>
      </c>
      <c r="H33">
        <v>0</v>
      </c>
      <c r="K33" s="103">
        <v>-317287.5</v>
      </c>
      <c r="L33" s="103">
        <v>-373427.93</v>
      </c>
    </row>
    <row r="34" spans="1:12" x14ac:dyDescent="0.25">
      <c r="A34" s="102">
        <v>46140</v>
      </c>
      <c r="C34" s="103">
        <v>10983.17</v>
      </c>
      <c r="D34">
        <v>0</v>
      </c>
      <c r="E34" s="103">
        <v>7884.73</v>
      </c>
      <c r="G34" s="103">
        <v>3098.44</v>
      </c>
      <c r="H34">
        <v>0</v>
      </c>
      <c r="K34" s="103">
        <v>-309402.77</v>
      </c>
      <c r="L34" s="103">
        <v>-362444.76</v>
      </c>
    </row>
    <row r="35" spans="1:12" x14ac:dyDescent="0.25">
      <c r="A35" s="102">
        <v>46170</v>
      </c>
      <c r="C35" s="103">
        <v>10983.17</v>
      </c>
      <c r="D35">
        <v>0</v>
      </c>
      <c r="E35" s="103">
        <v>8059.19</v>
      </c>
      <c r="G35" s="103">
        <v>2923.98</v>
      </c>
      <c r="H35">
        <v>0</v>
      </c>
      <c r="K35" s="103">
        <v>-301343.58</v>
      </c>
      <c r="L35" s="103">
        <v>-351461.59</v>
      </c>
    </row>
    <row r="36" spans="1:12" x14ac:dyDescent="0.25">
      <c r="A36" s="102">
        <v>46201</v>
      </c>
      <c r="C36" s="103">
        <v>10983.17</v>
      </c>
      <c r="D36">
        <v>0</v>
      </c>
      <c r="E36" s="103">
        <v>8040.42</v>
      </c>
      <c r="G36" s="103">
        <v>2942.75</v>
      </c>
      <c r="H36">
        <v>0</v>
      </c>
      <c r="K36" s="103">
        <v>-293303.15999999997</v>
      </c>
      <c r="L36" s="103">
        <v>-340478.42</v>
      </c>
    </row>
    <row r="37" spans="1:12" x14ac:dyDescent="0.25">
      <c r="A37" s="102">
        <v>46231</v>
      </c>
      <c r="C37" s="103">
        <v>10983.17</v>
      </c>
      <c r="D37">
        <v>0</v>
      </c>
      <c r="E37" s="103">
        <v>8211.34</v>
      </c>
      <c r="G37" s="103">
        <v>2771.83</v>
      </c>
      <c r="H37">
        <v>0</v>
      </c>
      <c r="K37" s="103">
        <v>-285091.82</v>
      </c>
      <c r="L37" s="103">
        <v>-329495.25</v>
      </c>
    </row>
    <row r="38" spans="1:12" x14ac:dyDescent="0.25">
      <c r="A38" s="102">
        <v>46262</v>
      </c>
      <c r="C38" s="103">
        <v>10983.17</v>
      </c>
      <c r="D38">
        <v>0</v>
      </c>
      <c r="E38" s="103">
        <v>8199.1299999999992</v>
      </c>
      <c r="G38" s="103">
        <v>2784.04</v>
      </c>
      <c r="H38">
        <v>0</v>
      </c>
      <c r="K38" s="103">
        <v>-276892.69</v>
      </c>
      <c r="L38" s="103">
        <v>-318512.08</v>
      </c>
    </row>
    <row r="39" spans="1:12" x14ac:dyDescent="0.25">
      <c r="A39" s="102">
        <v>46293</v>
      </c>
      <c r="C39" s="103">
        <v>10983.17</v>
      </c>
      <c r="D39">
        <v>0</v>
      </c>
      <c r="E39" s="103">
        <v>8279.2000000000007</v>
      </c>
      <c r="G39" s="103">
        <v>2703.97</v>
      </c>
      <c r="H39">
        <v>0</v>
      </c>
      <c r="K39" s="103">
        <v>-268613.49</v>
      </c>
      <c r="L39" s="103">
        <v>-307528.90999999997</v>
      </c>
    </row>
    <row r="40" spans="1:12" x14ac:dyDescent="0.25">
      <c r="A40" s="102">
        <v>46323</v>
      </c>
      <c r="C40" s="103">
        <v>10983.17</v>
      </c>
      <c r="D40">
        <v>0</v>
      </c>
      <c r="E40" s="103">
        <v>8444.66</v>
      </c>
      <c r="G40" s="103">
        <v>2538.5100000000002</v>
      </c>
      <c r="H40">
        <v>0</v>
      </c>
      <c r="K40" s="103">
        <v>-260168.83</v>
      </c>
      <c r="L40" s="103">
        <v>-296545.74</v>
      </c>
    </row>
    <row r="41" spans="1:12" x14ac:dyDescent="0.25">
      <c r="A41" s="102">
        <v>46354</v>
      </c>
      <c r="C41" s="103">
        <v>10983.17</v>
      </c>
      <c r="D41">
        <v>0</v>
      </c>
      <c r="E41" s="103">
        <v>8442.51</v>
      </c>
      <c r="G41" s="103">
        <v>2540.66</v>
      </c>
      <c r="H41">
        <v>0</v>
      </c>
      <c r="K41" s="103">
        <v>-251726.32</v>
      </c>
      <c r="L41" s="103">
        <v>-285562.57</v>
      </c>
    </row>
    <row r="42" spans="1:12" x14ac:dyDescent="0.25">
      <c r="A42" s="102">
        <v>46384</v>
      </c>
      <c r="C42" s="103">
        <v>10983.17</v>
      </c>
      <c r="D42">
        <v>0</v>
      </c>
      <c r="E42" s="103">
        <v>8604.25</v>
      </c>
      <c r="G42" s="103">
        <v>2378.92</v>
      </c>
      <c r="H42">
        <v>0</v>
      </c>
      <c r="K42" s="103">
        <v>-243122.07</v>
      </c>
      <c r="L42" s="103">
        <v>-274579.40000000002</v>
      </c>
    </row>
    <row r="43" spans="1:12" x14ac:dyDescent="0.25">
      <c r="A43" s="102">
        <v>46415</v>
      </c>
      <c r="C43" s="103">
        <v>10983.17</v>
      </c>
      <c r="D43">
        <v>0</v>
      </c>
      <c r="E43" s="103">
        <v>8608.98</v>
      </c>
      <c r="G43" s="103">
        <v>2374.19</v>
      </c>
      <c r="H43">
        <v>0</v>
      </c>
      <c r="K43" s="103">
        <v>-234513.09</v>
      </c>
      <c r="L43" s="103">
        <v>-263596.23</v>
      </c>
    </row>
    <row r="44" spans="1:12" x14ac:dyDescent="0.25">
      <c r="A44" s="102">
        <v>46446</v>
      </c>
      <c r="C44" s="103">
        <v>10983.17</v>
      </c>
      <c r="D44">
        <v>0</v>
      </c>
      <c r="E44" s="103">
        <v>8693.0499999999993</v>
      </c>
      <c r="G44" s="103">
        <v>2290.12</v>
      </c>
      <c r="H44">
        <v>0</v>
      </c>
      <c r="K44" s="103">
        <v>-225820.04</v>
      </c>
      <c r="L44" s="103">
        <v>-252613.06</v>
      </c>
    </row>
    <row r="45" spans="1:12" x14ac:dyDescent="0.25">
      <c r="A45" s="102">
        <v>46474</v>
      </c>
      <c r="C45" s="103">
        <v>10983.17</v>
      </c>
      <c r="D45">
        <v>0</v>
      </c>
      <c r="E45" s="103">
        <v>8991.35</v>
      </c>
      <c r="G45" s="103">
        <v>1991.82</v>
      </c>
      <c r="H45">
        <v>0</v>
      </c>
      <c r="K45" s="103">
        <v>-216828.69</v>
      </c>
      <c r="L45" s="103">
        <v>-241629.89</v>
      </c>
    </row>
    <row r="46" spans="1:12" x14ac:dyDescent="0.25">
      <c r="A46" s="102">
        <v>46505</v>
      </c>
      <c r="C46" s="103">
        <v>10983.17</v>
      </c>
      <c r="D46">
        <v>0</v>
      </c>
      <c r="E46" s="103">
        <v>8865.75</v>
      </c>
      <c r="G46" s="103">
        <v>2117.42</v>
      </c>
      <c r="H46">
        <v>0</v>
      </c>
      <c r="K46" s="103">
        <v>-207962.94</v>
      </c>
      <c r="L46" s="103">
        <v>-230646.72</v>
      </c>
    </row>
    <row r="47" spans="1:12" x14ac:dyDescent="0.25">
      <c r="A47" s="102">
        <v>46535</v>
      </c>
      <c r="C47" s="103">
        <v>10983.17</v>
      </c>
      <c r="D47">
        <v>0</v>
      </c>
      <c r="E47" s="103">
        <v>9017.84</v>
      </c>
      <c r="G47" s="103">
        <v>1965.33</v>
      </c>
      <c r="H47">
        <v>0</v>
      </c>
      <c r="K47" s="103">
        <v>-198945.1</v>
      </c>
      <c r="L47" s="103">
        <v>-219663.55</v>
      </c>
    </row>
    <row r="48" spans="1:12" x14ac:dyDescent="0.25">
      <c r="A48" s="102">
        <v>46566</v>
      </c>
      <c r="C48" s="103">
        <v>10983.17</v>
      </c>
      <c r="D48">
        <v>0</v>
      </c>
      <c r="E48" s="103">
        <v>9040.39</v>
      </c>
      <c r="G48" s="103">
        <v>1942.78</v>
      </c>
      <c r="H48">
        <v>0</v>
      </c>
      <c r="K48" s="103">
        <v>-189904.71</v>
      </c>
      <c r="L48" s="103">
        <v>-208680.38</v>
      </c>
    </row>
    <row r="49" spans="1:12" x14ac:dyDescent="0.25">
      <c r="A49" s="102">
        <v>46596</v>
      </c>
      <c r="C49" s="103">
        <v>10983.17</v>
      </c>
      <c r="D49">
        <v>0</v>
      </c>
      <c r="E49" s="103">
        <v>9188.49</v>
      </c>
      <c r="G49" s="103">
        <v>1794.68</v>
      </c>
      <c r="H49">
        <v>0</v>
      </c>
      <c r="K49" s="103">
        <v>-180716.22</v>
      </c>
      <c r="L49" s="103">
        <v>-197697.21</v>
      </c>
    </row>
    <row r="50" spans="1:12" x14ac:dyDescent="0.25">
      <c r="A50" s="102">
        <v>46627</v>
      </c>
      <c r="C50" s="103">
        <v>10983.17</v>
      </c>
      <c r="D50">
        <v>0</v>
      </c>
      <c r="E50" s="103">
        <v>9218.4</v>
      </c>
      <c r="G50" s="103">
        <v>1764.77</v>
      </c>
      <c r="H50">
        <v>0</v>
      </c>
      <c r="K50" s="103">
        <v>-171497.82</v>
      </c>
      <c r="L50" s="103">
        <v>-186714.04</v>
      </c>
    </row>
    <row r="51" spans="1:12" x14ac:dyDescent="0.25">
      <c r="A51" s="102">
        <v>46658</v>
      </c>
      <c r="C51" s="103">
        <v>10983.17</v>
      </c>
      <c r="D51">
        <v>0</v>
      </c>
      <c r="E51" s="103">
        <v>9308.42</v>
      </c>
      <c r="G51" s="103">
        <v>1674.75</v>
      </c>
      <c r="H51">
        <v>0</v>
      </c>
      <c r="K51" s="103">
        <v>-162189.4</v>
      </c>
      <c r="L51" s="103">
        <v>-175730.87</v>
      </c>
    </row>
    <row r="52" spans="1:12" x14ac:dyDescent="0.25">
      <c r="A52" s="102">
        <v>46688</v>
      </c>
      <c r="C52" s="103">
        <v>10983.17</v>
      </c>
      <c r="D52">
        <v>0</v>
      </c>
      <c r="E52" s="103">
        <v>9450.41</v>
      </c>
      <c r="G52" s="103">
        <v>1532.76</v>
      </c>
      <c r="H52">
        <v>0</v>
      </c>
      <c r="K52" s="103">
        <v>-152738.99</v>
      </c>
      <c r="L52" s="103">
        <v>-164747.70000000001</v>
      </c>
    </row>
    <row r="53" spans="1:12" x14ac:dyDescent="0.25">
      <c r="A53" s="102">
        <v>46719</v>
      </c>
      <c r="C53" s="103">
        <v>10983.17</v>
      </c>
      <c r="D53">
        <v>0</v>
      </c>
      <c r="E53" s="103">
        <v>9491.61</v>
      </c>
      <c r="G53" s="103">
        <v>1491.56</v>
      </c>
      <c r="H53">
        <v>0</v>
      </c>
      <c r="K53" s="103">
        <v>-143247.38</v>
      </c>
      <c r="L53" s="103">
        <v>-153764.53</v>
      </c>
    </row>
    <row r="54" spans="1:12" x14ac:dyDescent="0.25">
      <c r="A54" s="102">
        <v>46749</v>
      </c>
      <c r="C54" s="103">
        <v>10983.17</v>
      </c>
      <c r="D54">
        <v>0</v>
      </c>
      <c r="E54" s="103">
        <v>9629.42</v>
      </c>
      <c r="G54" s="103">
        <v>1353.75</v>
      </c>
      <c r="H54">
        <v>0</v>
      </c>
      <c r="K54" s="103">
        <v>-133617.96</v>
      </c>
      <c r="L54" s="103">
        <v>-142781.35999999999</v>
      </c>
    </row>
    <row r="55" spans="1:12" x14ac:dyDescent="0.25">
      <c r="A55" s="102">
        <v>46780</v>
      </c>
      <c r="C55" s="103">
        <v>10983.17</v>
      </c>
      <c r="D55">
        <v>0</v>
      </c>
      <c r="E55" s="103">
        <v>9678.33</v>
      </c>
      <c r="G55" s="103">
        <v>1304.8399999999999</v>
      </c>
      <c r="H55">
        <v>0</v>
      </c>
      <c r="K55" s="103">
        <v>-123939.63</v>
      </c>
      <c r="L55" s="103">
        <v>-131798.19</v>
      </c>
    </row>
    <row r="56" spans="1:12" x14ac:dyDescent="0.25">
      <c r="A56" s="102">
        <v>46811</v>
      </c>
      <c r="C56" s="103">
        <v>10983.17</v>
      </c>
      <c r="D56">
        <v>0</v>
      </c>
      <c r="E56" s="103">
        <v>9772.85</v>
      </c>
      <c r="G56" s="103">
        <v>1210.32</v>
      </c>
      <c r="H56">
        <v>0</v>
      </c>
      <c r="K56" s="103">
        <v>-114166.78</v>
      </c>
      <c r="L56" s="103">
        <v>-120815.02</v>
      </c>
    </row>
    <row r="57" spans="1:12" x14ac:dyDescent="0.25">
      <c r="A57" s="102">
        <v>46840</v>
      </c>
      <c r="C57" s="103">
        <v>10983.17</v>
      </c>
      <c r="D57">
        <v>0</v>
      </c>
      <c r="E57" s="103">
        <v>9940.2099999999991</v>
      </c>
      <c r="G57" s="103">
        <v>1042.96</v>
      </c>
      <c r="H57">
        <v>0</v>
      </c>
      <c r="K57" s="103">
        <v>-104226.57</v>
      </c>
      <c r="L57" s="103">
        <v>-109831.85</v>
      </c>
    </row>
    <row r="58" spans="1:12" x14ac:dyDescent="0.25">
      <c r="A58" s="102">
        <v>46871</v>
      </c>
      <c r="C58" s="103">
        <v>10983.17</v>
      </c>
      <c r="D58">
        <v>0</v>
      </c>
      <c r="E58" s="103">
        <v>9965.35</v>
      </c>
      <c r="G58" s="103">
        <v>1017.82</v>
      </c>
      <c r="H58">
        <v>0</v>
      </c>
      <c r="K58" s="103">
        <v>-94261.22</v>
      </c>
      <c r="L58" s="103">
        <v>-98848.68</v>
      </c>
    </row>
    <row r="59" spans="1:12" x14ac:dyDescent="0.25">
      <c r="A59" s="102">
        <v>46901</v>
      </c>
      <c r="C59" s="103">
        <v>10983.17</v>
      </c>
      <c r="D59">
        <v>0</v>
      </c>
      <c r="E59" s="103">
        <v>10092.36</v>
      </c>
      <c r="G59">
        <v>890.81</v>
      </c>
      <c r="H59">
        <v>0</v>
      </c>
      <c r="K59" s="103">
        <v>-84168.86</v>
      </c>
      <c r="L59" s="103">
        <v>-87865.51</v>
      </c>
    </row>
    <row r="60" spans="1:12" x14ac:dyDescent="0.25">
      <c r="A60" s="102">
        <v>46932</v>
      </c>
      <c r="C60" s="103">
        <v>10983.17</v>
      </c>
      <c r="D60">
        <v>0</v>
      </c>
      <c r="E60" s="103">
        <v>10161.23</v>
      </c>
      <c r="G60">
        <v>821.94</v>
      </c>
      <c r="H60">
        <v>0</v>
      </c>
      <c r="K60" s="103">
        <v>-74007.63</v>
      </c>
      <c r="L60" s="103">
        <v>-76882.34</v>
      </c>
    </row>
    <row r="61" spans="1:12" x14ac:dyDescent="0.25">
      <c r="A61" s="102">
        <v>46962</v>
      </c>
      <c r="C61" s="103">
        <v>10983.17</v>
      </c>
      <c r="D61">
        <v>0</v>
      </c>
      <c r="E61" s="103">
        <v>10283.77</v>
      </c>
      <c r="G61">
        <v>699.4</v>
      </c>
      <c r="H61">
        <v>0</v>
      </c>
      <c r="K61" s="103">
        <v>-63723.86</v>
      </c>
      <c r="L61" s="103">
        <v>-65899.17</v>
      </c>
    </row>
    <row r="62" spans="1:12" x14ac:dyDescent="0.25">
      <c r="A62" s="102">
        <v>46993</v>
      </c>
      <c r="C62" s="103">
        <v>10983.17</v>
      </c>
      <c r="D62">
        <v>0</v>
      </c>
      <c r="E62" s="103">
        <v>10360.879999999999</v>
      </c>
      <c r="G62">
        <v>622.29</v>
      </c>
      <c r="H62">
        <v>0</v>
      </c>
      <c r="K62" s="103">
        <v>-53362.98</v>
      </c>
      <c r="L62" s="103">
        <v>-54916</v>
      </c>
    </row>
    <row r="63" spans="1:12" x14ac:dyDescent="0.25">
      <c r="A63" s="102">
        <v>47024</v>
      </c>
      <c r="C63" s="103">
        <v>10983.17</v>
      </c>
      <c r="D63">
        <v>0</v>
      </c>
      <c r="E63" s="103">
        <v>10462.06</v>
      </c>
      <c r="G63">
        <v>521.11</v>
      </c>
      <c r="H63">
        <v>0</v>
      </c>
      <c r="K63" s="103">
        <v>-42900.92</v>
      </c>
      <c r="L63" s="103">
        <v>-43932.83</v>
      </c>
    </row>
    <row r="64" spans="1:12" x14ac:dyDescent="0.25">
      <c r="A64" s="102">
        <v>47054</v>
      </c>
      <c r="C64" s="103">
        <v>10983.17</v>
      </c>
      <c r="D64">
        <v>0</v>
      </c>
      <c r="E64" s="103">
        <v>10577.74</v>
      </c>
      <c r="G64">
        <v>405.43</v>
      </c>
      <c r="H64">
        <v>0</v>
      </c>
      <c r="K64" s="103">
        <v>-32323.18</v>
      </c>
      <c r="L64" s="103">
        <v>-32949.660000000003</v>
      </c>
    </row>
    <row r="65" spans="1:12" x14ac:dyDescent="0.25">
      <c r="A65" s="102">
        <v>47085</v>
      </c>
      <c r="C65" s="103">
        <v>10983.17</v>
      </c>
      <c r="D65">
        <v>0</v>
      </c>
      <c r="E65" s="103">
        <v>10667.52</v>
      </c>
      <c r="G65">
        <v>315.64999999999998</v>
      </c>
      <c r="H65">
        <v>0</v>
      </c>
      <c r="K65" s="103">
        <v>-21655.66</v>
      </c>
      <c r="L65" s="103">
        <v>-21966.49</v>
      </c>
    </row>
    <row r="66" spans="1:12" x14ac:dyDescent="0.25">
      <c r="A66" s="102">
        <v>47115</v>
      </c>
      <c r="C66" s="103">
        <v>10983.17</v>
      </c>
      <c r="D66">
        <v>0</v>
      </c>
      <c r="E66" s="103">
        <v>10778.52</v>
      </c>
      <c r="G66">
        <v>204.65</v>
      </c>
      <c r="H66">
        <v>0</v>
      </c>
      <c r="K66" s="103">
        <v>-10877.14</v>
      </c>
      <c r="L66" s="103">
        <v>-10983.32</v>
      </c>
    </row>
    <row r="67" spans="1:12" x14ac:dyDescent="0.25">
      <c r="A67" s="102">
        <v>47146</v>
      </c>
      <c r="C67" s="103">
        <v>10983.32</v>
      </c>
      <c r="D67">
        <v>0</v>
      </c>
      <c r="E67" s="103">
        <v>10877.14</v>
      </c>
      <c r="G67">
        <v>106.18</v>
      </c>
      <c r="H67">
        <v>0</v>
      </c>
      <c r="K67">
        <v>0</v>
      </c>
      <c r="L67">
        <v>0</v>
      </c>
    </row>
    <row r="68" spans="1:12" x14ac:dyDescent="0.25">
      <c r="E68" s="204">
        <f>SUM(E8:E67)</f>
        <v>500000.00000000006</v>
      </c>
      <c r="G68" s="204">
        <f>SUM(G8:G67)</f>
        <v>158990.34999999998</v>
      </c>
    </row>
    <row r="69" spans="1:12" ht="15.75" thickBot="1" x14ac:dyDescent="0.3"/>
    <row r="70" spans="1:12" ht="21.75" thickBot="1" x14ac:dyDescent="0.4">
      <c r="A70" s="205" t="s">
        <v>814</v>
      </c>
    </row>
    <row r="72" spans="1:12" x14ac:dyDescent="0.25">
      <c r="A72" t="s">
        <v>102</v>
      </c>
    </row>
    <row r="73" spans="1:12" x14ac:dyDescent="0.25">
      <c r="A73" t="s">
        <v>104</v>
      </c>
      <c r="B73" t="s">
        <v>105</v>
      </c>
      <c r="C73" t="s">
        <v>106</v>
      </c>
      <c r="D73" t="s">
        <v>107</v>
      </c>
      <c r="E73" t="s">
        <v>108</v>
      </c>
      <c r="F73" t="s">
        <v>109</v>
      </c>
      <c r="G73" t="s">
        <v>110</v>
      </c>
      <c r="H73" t="s">
        <v>111</v>
      </c>
      <c r="I73" t="s">
        <v>112</v>
      </c>
      <c r="J73" t="s">
        <v>113</v>
      </c>
      <c r="K73" t="s">
        <v>114</v>
      </c>
      <c r="L73" t="s">
        <v>115</v>
      </c>
    </row>
    <row r="74" spans="1:12" x14ac:dyDescent="0.25">
      <c r="A74" s="102">
        <v>45323</v>
      </c>
      <c r="C74" s="103">
        <v>5750</v>
      </c>
      <c r="D74">
        <v>0</v>
      </c>
      <c r="E74" s="103">
        <v>500000</v>
      </c>
      <c r="H74" s="103">
        <v>5000</v>
      </c>
      <c r="I74">
        <v>750</v>
      </c>
      <c r="J74" s="103">
        <v>500000</v>
      </c>
      <c r="K74" s="103">
        <v>-500000</v>
      </c>
      <c r="L74" s="103">
        <v>-658990.35</v>
      </c>
    </row>
    <row r="75" spans="1:12" x14ac:dyDescent="0.25">
      <c r="A75" s="102">
        <v>45350</v>
      </c>
      <c r="C75" s="103">
        <v>10983.17</v>
      </c>
      <c r="D75">
        <v>0</v>
      </c>
      <c r="E75" s="103">
        <v>7316.46</v>
      </c>
      <c r="G75" s="103">
        <v>3666.71</v>
      </c>
      <c r="H75">
        <v>0</v>
      </c>
      <c r="K75" s="103">
        <v>-473246.65</v>
      </c>
      <c r="L75" s="103">
        <v>-615057.67000000004</v>
      </c>
    </row>
    <row r="76" spans="1:12" x14ac:dyDescent="0.25">
      <c r="A76" s="102">
        <v>45379</v>
      </c>
      <c r="C76" s="103">
        <v>10983.17</v>
      </c>
      <c r="D76">
        <v>0</v>
      </c>
      <c r="E76" s="103">
        <v>6620.02</v>
      </c>
      <c r="G76" s="103">
        <v>4363.1499999999996</v>
      </c>
      <c r="H76">
        <v>0</v>
      </c>
      <c r="K76" s="103">
        <v>-466626.63</v>
      </c>
      <c r="L76" s="103">
        <v>-604074.5</v>
      </c>
    </row>
    <row r="77" spans="1:12" x14ac:dyDescent="0.25">
      <c r="A77" s="102">
        <v>45410</v>
      </c>
      <c r="C77" s="103">
        <v>10983.17</v>
      </c>
      <c r="D77">
        <v>0</v>
      </c>
      <c r="E77" s="103">
        <v>6384.36</v>
      </c>
      <c r="G77" s="103">
        <v>4598.8100000000004</v>
      </c>
      <c r="H77">
        <v>0</v>
      </c>
      <c r="K77" s="103">
        <v>-460242.27</v>
      </c>
      <c r="L77" s="103">
        <v>-593091.32999999996</v>
      </c>
    </row>
    <row r="78" spans="1:12" x14ac:dyDescent="0.25">
      <c r="A78" s="102">
        <v>45440</v>
      </c>
      <c r="C78" s="103">
        <v>10983.17</v>
      </c>
      <c r="D78">
        <v>0</v>
      </c>
      <c r="E78" s="103">
        <v>6593.6</v>
      </c>
      <c r="G78" s="103">
        <v>4389.57</v>
      </c>
      <c r="H78">
        <v>0</v>
      </c>
      <c r="K78" s="103">
        <v>-453648.67</v>
      </c>
      <c r="L78" s="103">
        <v>-582108.16000000003</v>
      </c>
    </row>
    <row r="79" spans="1:12" x14ac:dyDescent="0.25">
      <c r="A79" s="102">
        <v>45471</v>
      </c>
      <c r="C79" s="103">
        <v>10983.17</v>
      </c>
      <c r="D79">
        <v>0</v>
      </c>
      <c r="E79" s="103">
        <v>6512.26</v>
      </c>
      <c r="G79" s="103">
        <v>4470.91</v>
      </c>
      <c r="H79">
        <v>0</v>
      </c>
      <c r="K79" s="103">
        <v>-447136.41</v>
      </c>
      <c r="L79" s="103">
        <v>-571124.99</v>
      </c>
    </row>
    <row r="80" spans="1:12" x14ac:dyDescent="0.25">
      <c r="A80" s="102">
        <v>45501</v>
      </c>
      <c r="C80" s="103">
        <v>10983.17</v>
      </c>
      <c r="D80">
        <v>0</v>
      </c>
      <c r="E80" s="103">
        <v>6718.6</v>
      </c>
      <c r="G80" s="103">
        <v>4264.57</v>
      </c>
      <c r="H80">
        <v>0</v>
      </c>
      <c r="K80" s="103">
        <v>-440417.81</v>
      </c>
      <c r="L80" s="103">
        <v>-560141.81999999995</v>
      </c>
    </row>
    <row r="81" spans="1:12" x14ac:dyDescent="0.25">
      <c r="A81" s="102">
        <v>45532</v>
      </c>
      <c r="C81" s="103">
        <v>10983.17</v>
      </c>
      <c r="D81">
        <v>0</v>
      </c>
      <c r="E81" s="103">
        <v>6642.66</v>
      </c>
      <c r="G81" s="103">
        <v>4340.51</v>
      </c>
      <c r="H81">
        <v>0</v>
      </c>
      <c r="K81" s="103">
        <v>-433775.15</v>
      </c>
      <c r="L81" s="103">
        <v>-549158.65</v>
      </c>
    </row>
    <row r="82" spans="1:12" x14ac:dyDescent="0.25">
      <c r="A82" s="102">
        <v>45563</v>
      </c>
      <c r="C82" s="103">
        <v>10983.17</v>
      </c>
      <c r="D82">
        <v>0</v>
      </c>
      <c r="E82" s="103">
        <v>6708.12</v>
      </c>
      <c r="G82" s="103">
        <v>4275.05</v>
      </c>
      <c r="H82">
        <v>0</v>
      </c>
      <c r="K82" s="103">
        <v>-427067.03</v>
      </c>
      <c r="L82" s="103">
        <v>-538175.48</v>
      </c>
    </row>
    <row r="83" spans="1:12" x14ac:dyDescent="0.25">
      <c r="A83" s="102">
        <v>45593</v>
      </c>
      <c r="C83" s="103">
        <v>10983.17</v>
      </c>
      <c r="D83">
        <v>0</v>
      </c>
      <c r="E83" s="103">
        <v>6910.01</v>
      </c>
      <c r="G83" s="103">
        <v>4073.16</v>
      </c>
      <c r="H83">
        <v>0</v>
      </c>
      <c r="K83" s="103">
        <v>-420157.02</v>
      </c>
      <c r="L83" s="103">
        <v>-527192.31000000006</v>
      </c>
    </row>
    <row r="84" spans="1:12" x14ac:dyDescent="0.25">
      <c r="A84" s="102">
        <v>45624</v>
      </c>
      <c r="C84" s="103">
        <v>10983.17</v>
      </c>
      <c r="D84">
        <v>0</v>
      </c>
      <c r="E84" s="103">
        <v>6842.34</v>
      </c>
      <c r="G84" s="103">
        <v>4140.83</v>
      </c>
      <c r="H84">
        <v>0</v>
      </c>
      <c r="K84" s="103">
        <v>-413314.68</v>
      </c>
      <c r="L84" s="103">
        <v>-516209.14</v>
      </c>
    </row>
    <row r="85" spans="1:12" x14ac:dyDescent="0.25">
      <c r="A85" s="102">
        <v>45654</v>
      </c>
      <c r="C85" s="103">
        <v>10983.17</v>
      </c>
      <c r="D85">
        <v>0</v>
      </c>
      <c r="E85" s="103">
        <v>7041.17</v>
      </c>
      <c r="G85" s="103">
        <v>3942</v>
      </c>
      <c r="H85">
        <v>0</v>
      </c>
      <c r="K85" s="103">
        <v>-406273.51</v>
      </c>
      <c r="L85" s="103">
        <v>-505225.97</v>
      </c>
    </row>
    <row r="86" spans="1:12" x14ac:dyDescent="0.25">
      <c r="A86" s="102">
        <v>45685</v>
      </c>
      <c r="C86" s="103">
        <v>10983.17</v>
      </c>
      <c r="D86">
        <v>0</v>
      </c>
      <c r="E86" s="103">
        <v>6979.17</v>
      </c>
      <c r="G86" s="103">
        <v>4004</v>
      </c>
      <c r="H86">
        <v>0</v>
      </c>
      <c r="K86" s="103">
        <v>-399294.34</v>
      </c>
      <c r="L86" s="103">
        <v>-494242.8</v>
      </c>
    </row>
    <row r="87" spans="1:12" x14ac:dyDescent="0.25">
      <c r="A87" s="102">
        <v>45716</v>
      </c>
      <c r="C87" s="103">
        <v>10983.17</v>
      </c>
      <c r="D87">
        <v>0</v>
      </c>
      <c r="E87" s="103">
        <v>7047.95</v>
      </c>
      <c r="G87" s="103">
        <v>3935.22</v>
      </c>
      <c r="H87">
        <v>0</v>
      </c>
      <c r="K87" s="103">
        <v>-392246.39</v>
      </c>
      <c r="L87" s="103">
        <v>-483259.63</v>
      </c>
    </row>
    <row r="88" spans="1:12" x14ac:dyDescent="0.25">
      <c r="A88" s="102">
        <v>45744</v>
      </c>
      <c r="C88" s="103">
        <v>10983.17</v>
      </c>
      <c r="D88">
        <v>0</v>
      </c>
      <c r="E88" s="103">
        <v>7491.51</v>
      </c>
      <c r="G88" s="103">
        <v>3491.66</v>
      </c>
      <c r="H88">
        <v>0</v>
      </c>
      <c r="K88" s="103">
        <v>-384754.88</v>
      </c>
      <c r="L88" s="103">
        <v>-472276.46</v>
      </c>
    </row>
    <row r="89" spans="1:12" x14ac:dyDescent="0.25">
      <c r="A89" s="102">
        <v>45775</v>
      </c>
      <c r="C89" s="103">
        <v>10983.17</v>
      </c>
      <c r="D89">
        <v>0</v>
      </c>
      <c r="E89" s="103">
        <v>7191.24</v>
      </c>
      <c r="G89" s="103">
        <v>3791.93</v>
      </c>
      <c r="H89">
        <v>0</v>
      </c>
      <c r="K89" s="103">
        <v>-377563.64</v>
      </c>
      <c r="L89" s="103">
        <v>-461293.29</v>
      </c>
    </row>
    <row r="90" spans="1:12" x14ac:dyDescent="0.25">
      <c r="A90" s="102">
        <v>45805</v>
      </c>
      <c r="C90" s="103">
        <v>10983.17</v>
      </c>
      <c r="D90">
        <v>0</v>
      </c>
      <c r="E90" s="103">
        <v>7382.15</v>
      </c>
      <c r="G90" s="103">
        <v>3601.02</v>
      </c>
      <c r="H90">
        <v>0</v>
      </c>
      <c r="K90" s="103">
        <v>-370181.49</v>
      </c>
      <c r="L90" s="103">
        <v>-450310.12</v>
      </c>
    </row>
    <row r="91" spans="1:12" x14ac:dyDescent="0.25">
      <c r="A91" s="102">
        <v>45836</v>
      </c>
      <c r="C91" s="103">
        <v>10983.17</v>
      </c>
      <c r="D91">
        <v>0</v>
      </c>
      <c r="E91" s="103">
        <v>7334.87</v>
      </c>
      <c r="G91" s="103">
        <v>3648.3</v>
      </c>
      <c r="H91">
        <v>0</v>
      </c>
      <c r="K91" s="103">
        <v>-362846.62</v>
      </c>
      <c r="L91" s="103">
        <v>-439326.95</v>
      </c>
    </row>
    <row r="92" spans="1:12" x14ac:dyDescent="0.25">
      <c r="A92" s="102">
        <v>45866</v>
      </c>
      <c r="C92" s="103">
        <v>10983.17</v>
      </c>
      <c r="D92">
        <v>0</v>
      </c>
      <c r="E92" s="103">
        <v>7522.51</v>
      </c>
      <c r="G92" s="103">
        <v>3460.66</v>
      </c>
      <c r="H92">
        <v>0</v>
      </c>
      <c r="K92" s="103">
        <v>-355324.11</v>
      </c>
      <c r="L92" s="103">
        <v>-428343.78</v>
      </c>
    </row>
    <row r="93" spans="1:12" x14ac:dyDescent="0.25">
      <c r="A93" s="102">
        <v>45897</v>
      </c>
      <c r="C93" s="103">
        <v>10983.17</v>
      </c>
      <c r="D93">
        <v>0</v>
      </c>
      <c r="E93" s="103">
        <v>7481.29</v>
      </c>
      <c r="G93" s="103">
        <v>3501.88</v>
      </c>
      <c r="H93">
        <v>0</v>
      </c>
      <c r="K93" s="103">
        <v>-347842.82</v>
      </c>
      <c r="L93" s="103">
        <v>-417360.61</v>
      </c>
    </row>
    <row r="94" spans="1:12" x14ac:dyDescent="0.25">
      <c r="A94" s="102">
        <v>45928</v>
      </c>
      <c r="C94" s="103">
        <v>10983.17</v>
      </c>
      <c r="D94">
        <v>0</v>
      </c>
      <c r="E94" s="103">
        <v>7555.03</v>
      </c>
      <c r="G94" s="103">
        <v>3428.14</v>
      </c>
      <c r="H94">
        <v>0</v>
      </c>
      <c r="K94" s="103">
        <v>-340287.79</v>
      </c>
      <c r="L94" s="103">
        <v>-406377.44</v>
      </c>
    </row>
    <row r="95" spans="1:12" x14ac:dyDescent="0.25">
      <c r="A95" s="102">
        <v>45958</v>
      </c>
      <c r="C95" s="103">
        <v>10983.17</v>
      </c>
      <c r="D95">
        <v>0</v>
      </c>
      <c r="E95" s="103">
        <v>7737.67</v>
      </c>
      <c r="G95" s="103">
        <v>3245.5</v>
      </c>
      <c r="H95">
        <v>0</v>
      </c>
      <c r="K95" s="103">
        <v>-332550.12</v>
      </c>
      <c r="L95" s="103">
        <v>-395394.27</v>
      </c>
    </row>
    <row r="96" spans="1:12" x14ac:dyDescent="0.25">
      <c r="A96" s="102">
        <v>45989</v>
      </c>
      <c r="C96" s="103">
        <v>10983.17</v>
      </c>
      <c r="D96">
        <v>0</v>
      </c>
      <c r="E96" s="103">
        <v>7705.74</v>
      </c>
      <c r="G96" s="103">
        <v>3277.43</v>
      </c>
      <c r="H96">
        <v>0</v>
      </c>
      <c r="K96" s="103">
        <v>-324844.38</v>
      </c>
      <c r="L96" s="103">
        <v>-384411.1</v>
      </c>
    </row>
    <row r="97" spans="1:12" x14ac:dyDescent="0.25">
      <c r="A97" s="102">
        <v>46019</v>
      </c>
      <c r="C97" s="103">
        <v>10983.17</v>
      </c>
      <c r="D97">
        <v>0</v>
      </c>
      <c r="E97" s="103">
        <v>7884.96</v>
      </c>
      <c r="G97" s="103">
        <v>3098.21</v>
      </c>
      <c r="H97">
        <v>0</v>
      </c>
      <c r="K97" s="103">
        <v>-316959.42</v>
      </c>
      <c r="L97" s="103">
        <v>-373427.93</v>
      </c>
    </row>
    <row r="98" spans="1:12" x14ac:dyDescent="0.25">
      <c r="A98" s="102">
        <v>46050</v>
      </c>
      <c r="C98" s="103">
        <v>10983.17</v>
      </c>
      <c r="D98">
        <v>0</v>
      </c>
      <c r="E98" s="103">
        <v>7859.39</v>
      </c>
      <c r="G98" s="103">
        <v>3123.78</v>
      </c>
      <c r="H98">
        <v>0</v>
      </c>
      <c r="K98" s="103">
        <v>-309100.03000000003</v>
      </c>
      <c r="L98" s="103">
        <v>-362444.76</v>
      </c>
    </row>
    <row r="99" spans="1:12" x14ac:dyDescent="0.25">
      <c r="A99" s="102">
        <v>46081</v>
      </c>
      <c r="C99" s="103">
        <v>10983.17</v>
      </c>
      <c r="D99">
        <v>0</v>
      </c>
      <c r="E99" s="103">
        <v>7936.85</v>
      </c>
      <c r="G99" s="103">
        <v>3046.32</v>
      </c>
      <c r="H99">
        <v>0</v>
      </c>
      <c r="K99" s="103">
        <v>-301163.18</v>
      </c>
      <c r="L99" s="103">
        <v>-351461.59</v>
      </c>
    </row>
    <row r="100" spans="1:12" x14ac:dyDescent="0.25">
      <c r="A100" s="102">
        <v>46109</v>
      </c>
      <c r="C100" s="103">
        <v>10983.17</v>
      </c>
      <c r="D100">
        <v>0</v>
      </c>
      <c r="E100" s="103">
        <v>8302.31</v>
      </c>
      <c r="G100" s="103">
        <v>2680.86</v>
      </c>
      <c r="H100">
        <v>0</v>
      </c>
      <c r="K100" s="103">
        <v>-292860.87</v>
      </c>
      <c r="L100" s="103">
        <v>-340478.42</v>
      </c>
    </row>
    <row r="101" spans="1:12" x14ac:dyDescent="0.25">
      <c r="A101" s="102">
        <v>46140</v>
      </c>
      <c r="C101" s="103">
        <v>10983.17</v>
      </c>
      <c r="D101">
        <v>0</v>
      </c>
      <c r="E101" s="103">
        <v>8096.9</v>
      </c>
      <c r="G101" s="103">
        <v>2886.27</v>
      </c>
      <c r="H101">
        <v>0</v>
      </c>
      <c r="K101" s="103">
        <v>-284763.96999999997</v>
      </c>
      <c r="L101" s="103">
        <v>-329495.25</v>
      </c>
    </row>
    <row r="102" spans="1:12" x14ac:dyDescent="0.25">
      <c r="A102" s="102">
        <v>46170</v>
      </c>
      <c r="C102" s="103">
        <v>10983.17</v>
      </c>
      <c r="D102">
        <v>0</v>
      </c>
      <c r="E102" s="103">
        <v>8267.23</v>
      </c>
      <c r="G102" s="103">
        <v>2715.94</v>
      </c>
      <c r="H102">
        <v>0</v>
      </c>
      <c r="K102" s="103">
        <v>-276496.74</v>
      </c>
      <c r="L102" s="103">
        <v>-318512.08</v>
      </c>
    </row>
    <row r="103" spans="1:12" x14ac:dyDescent="0.25">
      <c r="A103" s="102">
        <v>46201</v>
      </c>
      <c r="C103" s="103">
        <v>10983.17</v>
      </c>
      <c r="D103">
        <v>0</v>
      </c>
      <c r="E103" s="103">
        <v>8258.17</v>
      </c>
      <c r="G103" s="103">
        <v>2725</v>
      </c>
      <c r="H103">
        <v>0</v>
      </c>
      <c r="K103" s="103">
        <v>-268238.57</v>
      </c>
      <c r="L103" s="103">
        <v>-307528.90999999997</v>
      </c>
    </row>
    <row r="104" spans="1:12" x14ac:dyDescent="0.25">
      <c r="A104" s="102">
        <v>46231</v>
      </c>
      <c r="C104" s="103">
        <v>10983.17</v>
      </c>
      <c r="D104">
        <v>0</v>
      </c>
      <c r="E104" s="103">
        <v>8424.84</v>
      </c>
      <c r="G104" s="103">
        <v>2558.33</v>
      </c>
      <c r="H104">
        <v>0</v>
      </c>
      <c r="K104" s="103">
        <v>-259813.73</v>
      </c>
      <c r="L104" s="103">
        <v>-296545.74</v>
      </c>
    </row>
    <row r="105" spans="1:12" x14ac:dyDescent="0.25">
      <c r="A105" s="102">
        <v>46262</v>
      </c>
      <c r="C105" s="103">
        <v>10983.17</v>
      </c>
      <c r="D105">
        <v>0</v>
      </c>
      <c r="E105" s="103">
        <v>8422.59</v>
      </c>
      <c r="G105" s="103">
        <v>2560.58</v>
      </c>
      <c r="H105">
        <v>0</v>
      </c>
      <c r="K105" s="103">
        <v>-251391.14</v>
      </c>
      <c r="L105" s="103">
        <v>-285562.57</v>
      </c>
    </row>
    <row r="106" spans="1:12" x14ac:dyDescent="0.25">
      <c r="A106" s="102">
        <v>46293</v>
      </c>
      <c r="C106" s="103">
        <v>10983.17</v>
      </c>
      <c r="D106">
        <v>0</v>
      </c>
      <c r="E106" s="103">
        <v>8505.6</v>
      </c>
      <c r="G106" s="103">
        <v>2477.5700000000002</v>
      </c>
      <c r="H106">
        <v>0</v>
      </c>
      <c r="K106" s="103">
        <v>-242885.54</v>
      </c>
      <c r="L106" s="103">
        <v>-274579.40000000002</v>
      </c>
    </row>
    <row r="107" spans="1:12" x14ac:dyDescent="0.25">
      <c r="A107" s="102">
        <v>46323</v>
      </c>
      <c r="C107" s="103">
        <v>10983.17</v>
      </c>
      <c r="D107">
        <v>0</v>
      </c>
      <c r="E107" s="103">
        <v>8666.64</v>
      </c>
      <c r="G107" s="103">
        <v>2316.5300000000002</v>
      </c>
      <c r="H107">
        <v>0</v>
      </c>
      <c r="K107" s="103">
        <v>-234218.9</v>
      </c>
      <c r="L107" s="103">
        <v>-263596.23</v>
      </c>
    </row>
    <row r="108" spans="1:12" x14ac:dyDescent="0.25">
      <c r="A108" s="102">
        <v>46354</v>
      </c>
      <c r="C108" s="103">
        <v>10983.17</v>
      </c>
      <c r="D108">
        <v>0</v>
      </c>
      <c r="E108" s="103">
        <v>8674.84</v>
      </c>
      <c r="G108" s="103">
        <v>2308.33</v>
      </c>
      <c r="H108">
        <v>0</v>
      </c>
      <c r="K108" s="103">
        <v>-225544.06</v>
      </c>
      <c r="L108" s="103">
        <v>-252613.06</v>
      </c>
    </row>
    <row r="109" spans="1:12" x14ac:dyDescent="0.25">
      <c r="A109" s="102">
        <v>46384</v>
      </c>
      <c r="C109" s="103">
        <v>10983.17</v>
      </c>
      <c r="D109">
        <v>0</v>
      </c>
      <c r="E109" s="103">
        <v>8832.0400000000009</v>
      </c>
      <c r="G109" s="103">
        <v>2151.13</v>
      </c>
      <c r="H109">
        <v>0</v>
      </c>
      <c r="K109" s="103">
        <v>-216712.02</v>
      </c>
      <c r="L109" s="103">
        <v>-241629.89</v>
      </c>
    </row>
    <row r="110" spans="1:12" x14ac:dyDescent="0.25">
      <c r="A110" s="102">
        <v>46415</v>
      </c>
      <c r="C110" s="103">
        <v>10983.17</v>
      </c>
      <c r="D110">
        <v>0</v>
      </c>
      <c r="E110" s="103">
        <v>8847.3799999999992</v>
      </c>
      <c r="G110" s="103">
        <v>2135.79</v>
      </c>
      <c r="H110">
        <v>0</v>
      </c>
      <c r="K110" s="103">
        <v>-207864.64</v>
      </c>
      <c r="L110" s="103">
        <v>-230646.72</v>
      </c>
    </row>
    <row r="111" spans="1:12" x14ac:dyDescent="0.25">
      <c r="A111" s="102">
        <v>46446</v>
      </c>
      <c r="C111" s="103">
        <v>10983.17</v>
      </c>
      <c r="D111">
        <v>0</v>
      </c>
      <c r="E111" s="103">
        <v>8934.57</v>
      </c>
      <c r="G111" s="103">
        <v>2048.6</v>
      </c>
      <c r="H111">
        <v>0</v>
      </c>
      <c r="K111" s="103">
        <v>-198930.07</v>
      </c>
      <c r="L111" s="103">
        <v>-219663.55</v>
      </c>
    </row>
    <row r="112" spans="1:12" x14ac:dyDescent="0.25">
      <c r="A112" s="102">
        <v>46474</v>
      </c>
      <c r="C112" s="103">
        <v>10983.17</v>
      </c>
      <c r="D112">
        <v>0</v>
      </c>
      <c r="E112" s="103">
        <v>9212.36</v>
      </c>
      <c r="G112" s="103">
        <v>1770.81</v>
      </c>
      <c r="H112">
        <v>0</v>
      </c>
      <c r="K112" s="103">
        <v>-189717.71</v>
      </c>
      <c r="L112" s="103">
        <v>-208680.38</v>
      </c>
    </row>
    <row r="113" spans="1:12" x14ac:dyDescent="0.25">
      <c r="A113" s="102">
        <v>46505</v>
      </c>
      <c r="C113" s="103">
        <v>10983.17</v>
      </c>
      <c r="D113">
        <v>0</v>
      </c>
      <c r="E113" s="103">
        <v>9113.42</v>
      </c>
      <c r="G113" s="103">
        <v>1869.75</v>
      </c>
      <c r="H113">
        <v>0</v>
      </c>
      <c r="K113" s="103">
        <v>-180604.29</v>
      </c>
      <c r="L113" s="103">
        <v>-197697.21</v>
      </c>
    </row>
    <row r="114" spans="1:12" x14ac:dyDescent="0.25">
      <c r="A114" s="102">
        <v>46535</v>
      </c>
      <c r="C114" s="103">
        <v>10983.17</v>
      </c>
      <c r="D114">
        <v>0</v>
      </c>
      <c r="E114" s="103">
        <v>9260.65</v>
      </c>
      <c r="G114" s="103">
        <v>1722.52</v>
      </c>
      <c r="H114">
        <v>0</v>
      </c>
      <c r="K114" s="103">
        <v>-171343.64</v>
      </c>
      <c r="L114" s="103">
        <v>-186714.04</v>
      </c>
    </row>
    <row r="115" spans="1:12" x14ac:dyDescent="0.25">
      <c r="A115" s="102">
        <v>46566</v>
      </c>
      <c r="C115" s="103">
        <v>10983.17</v>
      </c>
      <c r="D115">
        <v>0</v>
      </c>
      <c r="E115" s="103">
        <v>9294.5</v>
      </c>
      <c r="G115" s="103">
        <v>1688.67</v>
      </c>
      <c r="H115">
        <v>0</v>
      </c>
      <c r="K115" s="103">
        <v>-162049.14000000001</v>
      </c>
      <c r="L115" s="103">
        <v>-175730.87</v>
      </c>
    </row>
    <row r="116" spans="1:12" x14ac:dyDescent="0.25">
      <c r="A116" s="102">
        <v>46596</v>
      </c>
      <c r="C116" s="103">
        <v>10983.17</v>
      </c>
      <c r="D116">
        <v>0</v>
      </c>
      <c r="E116" s="103">
        <v>9437.6200000000008</v>
      </c>
      <c r="G116" s="103">
        <v>1545.55</v>
      </c>
      <c r="H116">
        <v>0</v>
      </c>
      <c r="K116" s="103">
        <v>-152611.51999999999</v>
      </c>
      <c r="L116" s="103">
        <v>-164747.70000000001</v>
      </c>
    </row>
    <row r="117" spans="1:12" x14ac:dyDescent="0.25">
      <c r="A117" s="102">
        <v>46627</v>
      </c>
      <c r="C117" s="103">
        <v>10983.17</v>
      </c>
      <c r="D117">
        <v>0</v>
      </c>
      <c r="E117" s="103">
        <v>9479.1200000000008</v>
      </c>
      <c r="G117" s="103">
        <v>1504.05</v>
      </c>
      <c r="H117">
        <v>0</v>
      </c>
      <c r="K117" s="103">
        <v>-143132.4</v>
      </c>
      <c r="L117" s="103">
        <v>-153764.53</v>
      </c>
    </row>
    <row r="118" spans="1:12" x14ac:dyDescent="0.25">
      <c r="A118" s="102">
        <v>46658</v>
      </c>
      <c r="C118" s="103">
        <v>10983.17</v>
      </c>
      <c r="D118">
        <v>0</v>
      </c>
      <c r="E118" s="103">
        <v>9572.5400000000009</v>
      </c>
      <c r="G118" s="103">
        <v>1410.63</v>
      </c>
      <c r="H118">
        <v>0</v>
      </c>
      <c r="K118" s="103">
        <v>-133559.85999999999</v>
      </c>
      <c r="L118" s="103">
        <v>-142781.35999999999</v>
      </c>
    </row>
    <row r="119" spans="1:12" x14ac:dyDescent="0.25">
      <c r="A119" s="102">
        <v>46688</v>
      </c>
      <c r="C119" s="103">
        <v>10983.17</v>
      </c>
      <c r="D119">
        <v>0</v>
      </c>
      <c r="E119" s="103">
        <v>9709.34</v>
      </c>
      <c r="G119" s="103">
        <v>1273.83</v>
      </c>
      <c r="H119">
        <v>0</v>
      </c>
      <c r="K119" s="103">
        <v>-123850.52</v>
      </c>
      <c r="L119" s="103">
        <v>-131798.19</v>
      </c>
    </row>
    <row r="120" spans="1:12" x14ac:dyDescent="0.25">
      <c r="A120" s="102">
        <v>46719</v>
      </c>
      <c r="C120" s="103">
        <v>10983.17</v>
      </c>
      <c r="D120">
        <v>0</v>
      </c>
      <c r="E120" s="103">
        <v>9762.57</v>
      </c>
      <c r="G120" s="103">
        <v>1220.5999999999999</v>
      </c>
      <c r="H120">
        <v>0</v>
      </c>
      <c r="K120" s="103">
        <v>-114087.95</v>
      </c>
      <c r="L120" s="103">
        <v>-120815.02</v>
      </c>
    </row>
    <row r="121" spans="1:12" x14ac:dyDescent="0.25">
      <c r="A121" s="102">
        <v>46749</v>
      </c>
      <c r="C121" s="103">
        <v>10983.17</v>
      </c>
      <c r="D121">
        <v>0</v>
      </c>
      <c r="E121" s="103">
        <v>9895.0499999999993</v>
      </c>
      <c r="G121" s="103">
        <v>1088.1199999999999</v>
      </c>
      <c r="H121">
        <v>0</v>
      </c>
      <c r="K121" s="103">
        <v>-104192.9</v>
      </c>
      <c r="L121" s="103">
        <v>-109831.85</v>
      </c>
    </row>
    <row r="122" spans="1:12" x14ac:dyDescent="0.25">
      <c r="A122" s="102">
        <v>46780</v>
      </c>
      <c r="C122" s="103">
        <v>10983.17</v>
      </c>
      <c r="D122">
        <v>0</v>
      </c>
      <c r="E122" s="103">
        <v>9956.2999999999993</v>
      </c>
      <c r="G122" s="103">
        <v>1026.8699999999999</v>
      </c>
      <c r="H122">
        <v>0</v>
      </c>
      <c r="K122" s="103">
        <v>-94236.6</v>
      </c>
      <c r="L122" s="103">
        <v>-98848.68</v>
      </c>
    </row>
    <row r="123" spans="1:12" x14ac:dyDescent="0.25">
      <c r="A123" s="102">
        <v>46811</v>
      </c>
      <c r="C123" s="103">
        <v>10983.17</v>
      </c>
      <c r="D123">
        <v>0</v>
      </c>
      <c r="E123" s="103">
        <v>10054.43</v>
      </c>
      <c r="G123">
        <v>928.74</v>
      </c>
      <c r="H123">
        <v>0</v>
      </c>
      <c r="K123" s="103">
        <v>-84182.17</v>
      </c>
      <c r="L123" s="103">
        <v>-87865.51</v>
      </c>
    </row>
    <row r="124" spans="1:12" x14ac:dyDescent="0.25">
      <c r="A124" s="102">
        <v>46840</v>
      </c>
      <c r="C124" s="103">
        <v>10983.17</v>
      </c>
      <c r="D124">
        <v>0</v>
      </c>
      <c r="E124" s="103">
        <v>10207.040000000001</v>
      </c>
      <c r="G124">
        <v>776.13</v>
      </c>
      <c r="H124">
        <v>0</v>
      </c>
      <c r="K124" s="103">
        <v>-73975.13</v>
      </c>
      <c r="L124" s="103">
        <v>-76882.34</v>
      </c>
    </row>
    <row r="125" spans="1:12" x14ac:dyDescent="0.25">
      <c r="A125" s="102">
        <v>46871</v>
      </c>
      <c r="C125" s="103">
        <v>10983.17</v>
      </c>
      <c r="D125">
        <v>0</v>
      </c>
      <c r="E125" s="103">
        <v>10254.11</v>
      </c>
      <c r="G125">
        <v>729.06</v>
      </c>
      <c r="H125">
        <v>0</v>
      </c>
      <c r="K125" s="103">
        <v>-63721.02</v>
      </c>
      <c r="L125" s="103">
        <v>-65899.17</v>
      </c>
    </row>
    <row r="126" spans="1:12" x14ac:dyDescent="0.25">
      <c r="A126" s="102">
        <v>46901</v>
      </c>
      <c r="C126" s="103">
        <v>10983.17</v>
      </c>
      <c r="D126">
        <v>0</v>
      </c>
      <c r="E126" s="103">
        <v>10375.43</v>
      </c>
      <c r="G126">
        <v>607.74</v>
      </c>
      <c r="H126">
        <v>0</v>
      </c>
      <c r="K126" s="103">
        <v>-53345.59</v>
      </c>
      <c r="L126" s="103">
        <v>-54916</v>
      </c>
    </row>
    <row r="127" spans="1:12" x14ac:dyDescent="0.25">
      <c r="A127" s="102">
        <v>46932</v>
      </c>
      <c r="C127" s="103">
        <v>10983.17</v>
      </c>
      <c r="D127">
        <v>0</v>
      </c>
      <c r="E127" s="103">
        <v>10457.43</v>
      </c>
      <c r="G127">
        <v>525.74</v>
      </c>
      <c r="H127">
        <v>0</v>
      </c>
      <c r="K127" s="103">
        <v>-42888.160000000003</v>
      </c>
      <c r="L127" s="103">
        <v>-43932.83</v>
      </c>
    </row>
    <row r="128" spans="1:12" x14ac:dyDescent="0.25">
      <c r="A128" s="102">
        <v>46962</v>
      </c>
      <c r="C128" s="103">
        <v>10983.17</v>
      </c>
      <c r="D128">
        <v>0</v>
      </c>
      <c r="E128" s="103">
        <v>10574.12</v>
      </c>
      <c r="G128">
        <v>409.05</v>
      </c>
      <c r="H128">
        <v>0</v>
      </c>
      <c r="K128" s="103">
        <v>-32314.04</v>
      </c>
      <c r="L128" s="103">
        <v>-32949.660000000003</v>
      </c>
    </row>
    <row r="129" spans="1:12" x14ac:dyDescent="0.25">
      <c r="A129" s="102">
        <v>46993</v>
      </c>
      <c r="C129" s="103">
        <v>10983.17</v>
      </c>
      <c r="D129">
        <v>0</v>
      </c>
      <c r="E129" s="103">
        <v>10664.7</v>
      </c>
      <c r="G129">
        <v>318.47000000000003</v>
      </c>
      <c r="H129">
        <v>0</v>
      </c>
      <c r="K129" s="103">
        <v>-21649.34</v>
      </c>
      <c r="L129" s="103">
        <v>-21966.49</v>
      </c>
    </row>
    <row r="130" spans="1:12" x14ac:dyDescent="0.25">
      <c r="A130" s="102">
        <v>47024</v>
      </c>
      <c r="C130" s="103">
        <v>10983.17</v>
      </c>
      <c r="D130">
        <v>0</v>
      </c>
      <c r="E130" s="103">
        <v>10769.81</v>
      </c>
      <c r="G130">
        <v>213.36</v>
      </c>
      <c r="H130">
        <v>0</v>
      </c>
      <c r="K130" s="103">
        <v>-10879.53</v>
      </c>
      <c r="L130" s="103">
        <v>-10983.32</v>
      </c>
    </row>
    <row r="131" spans="1:12" x14ac:dyDescent="0.25">
      <c r="A131" s="102">
        <v>47054</v>
      </c>
      <c r="C131" s="103">
        <v>10983.32</v>
      </c>
      <c r="D131">
        <v>0</v>
      </c>
      <c r="E131" s="103">
        <v>10879.53</v>
      </c>
      <c r="G131">
        <v>103.79</v>
      </c>
      <c r="H131">
        <v>0</v>
      </c>
      <c r="K131">
        <v>0</v>
      </c>
      <c r="L131">
        <v>0</v>
      </c>
    </row>
    <row r="132" spans="1:12" x14ac:dyDescent="0.25">
      <c r="E132" s="204">
        <f>SUM(E75:E131)</f>
        <v>480563.11</v>
      </c>
      <c r="G132" s="204">
        <f>SUM(G75:G131)</f>
        <v>145477.72999999998</v>
      </c>
    </row>
    <row r="133" spans="1:12" x14ac:dyDescent="0.25">
      <c r="E133" s="103">
        <f>+[3]Original!P77</f>
        <v>0</v>
      </c>
      <c r="G133" s="103">
        <f>+[3]Original!P78</f>
        <v>0</v>
      </c>
    </row>
    <row r="134" spans="1:12" x14ac:dyDescent="0.25">
      <c r="E134" s="103">
        <f>SUM(E132:E133)</f>
        <v>480563.11</v>
      </c>
      <c r="G134" s="103">
        <f>SUM(G132:G133)</f>
        <v>145477.72999999998</v>
      </c>
    </row>
  </sheetData>
  <pageMargins left="0.7" right="0.7" top="0.75" bottom="0.75" header="0.3" footer="0.3"/>
  <pageSetup paperSize="9" orientation="portrait" r:id="rId1"/>
  <headerFooter>
    <oddFooter>&amp;L&amp;"Calibri Light,Regular"&amp;09&amp;K00C000Public</oddFooter>
    <evenFooter>&amp;L&amp;"Calibri Light,Regular"&amp;09&amp;K00C000Public</evenFooter>
    <firstFooter>&amp;L&amp;"Calibri Light,Regular"&amp;09&amp;K00C000Public</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81C0C-9D47-468D-977F-2E75D3BC9619}">
  <sheetPr>
    <pageSetUpPr autoPageBreaks="0"/>
  </sheetPr>
  <dimension ref="A1:O135"/>
  <sheetViews>
    <sheetView topLeftCell="A52" workbookViewId="0">
      <selection activeCell="A69" sqref="A69"/>
    </sheetView>
  </sheetViews>
  <sheetFormatPr defaultRowHeight="15" x14ac:dyDescent="0.25"/>
  <cols>
    <col min="1" max="1" width="15.85546875" bestFit="1" customWidth="1"/>
    <col min="10" max="10" width="10.140625" bestFit="1" customWidth="1"/>
    <col min="11" max="11" width="11.28515625" bestFit="1" customWidth="1"/>
    <col min="12" max="12" width="17.7109375" bestFit="1" customWidth="1"/>
    <col min="14" max="14" width="13.7109375" bestFit="1" customWidth="1"/>
    <col min="15" max="15" width="9.140625" bestFit="1" customWidth="1"/>
  </cols>
  <sheetData>
    <row r="1" spans="1:15" ht="21" x14ac:dyDescent="0.35">
      <c r="A1" s="106" t="s">
        <v>813</v>
      </c>
    </row>
    <row r="3" spans="1:15" x14ac:dyDescent="0.25">
      <c r="A3" t="s">
        <v>102</v>
      </c>
      <c r="M3" t="s">
        <v>815</v>
      </c>
    </row>
    <row r="5" spans="1:15" x14ac:dyDescent="0.25">
      <c r="A5" t="s">
        <v>104</v>
      </c>
      <c r="B5" t="s">
        <v>105</v>
      </c>
      <c r="C5" t="s">
        <v>106</v>
      </c>
      <c r="D5" t="s">
        <v>107</v>
      </c>
      <c r="E5" t="s">
        <v>108</v>
      </c>
      <c r="F5" t="s">
        <v>109</v>
      </c>
      <c r="G5" t="s">
        <v>110</v>
      </c>
      <c r="H5" t="s">
        <v>111</v>
      </c>
      <c r="I5" t="s">
        <v>112</v>
      </c>
      <c r="J5" t="s">
        <v>113</v>
      </c>
      <c r="K5" t="s">
        <v>114</v>
      </c>
      <c r="L5" t="s">
        <v>115</v>
      </c>
    </row>
    <row r="6" spans="1:15" x14ac:dyDescent="0.25">
      <c r="A6" s="102">
        <v>45321</v>
      </c>
      <c r="C6" s="103">
        <v>5750</v>
      </c>
      <c r="D6">
        <v>0</v>
      </c>
      <c r="E6" s="103">
        <v>500000</v>
      </c>
      <c r="H6" s="103">
        <v>5000</v>
      </c>
      <c r="I6">
        <v>750</v>
      </c>
      <c r="J6" s="103">
        <v>500000</v>
      </c>
      <c r="K6" t="s">
        <v>816</v>
      </c>
      <c r="L6" t="s">
        <v>817</v>
      </c>
    </row>
    <row r="7" spans="1:15" x14ac:dyDescent="0.25">
      <c r="A7" s="102">
        <v>45350</v>
      </c>
      <c r="C7" s="103">
        <v>9542.5499999999993</v>
      </c>
      <c r="D7">
        <v>0</v>
      </c>
      <c r="E7" s="103">
        <v>7367.4</v>
      </c>
      <c r="G7" s="103">
        <v>2175.15</v>
      </c>
      <c r="K7" t="s">
        <v>818</v>
      </c>
      <c r="L7" t="s">
        <v>819</v>
      </c>
    </row>
    <row r="8" spans="1:15" x14ac:dyDescent="0.25">
      <c r="A8" s="102">
        <v>45379</v>
      </c>
      <c r="C8" s="103">
        <v>9542.5499999999993</v>
      </c>
      <c r="D8">
        <v>0</v>
      </c>
      <c r="E8" s="103">
        <v>7399.45</v>
      </c>
      <c r="G8" s="103">
        <v>2143.1</v>
      </c>
      <c r="K8" t="s">
        <v>820</v>
      </c>
      <c r="L8" t="s">
        <v>821</v>
      </c>
    </row>
    <row r="9" spans="1:15" x14ac:dyDescent="0.25">
      <c r="A9" s="102">
        <v>45410</v>
      </c>
      <c r="C9" s="103">
        <v>9542.5499999999993</v>
      </c>
      <c r="D9">
        <v>0</v>
      </c>
      <c r="E9" s="103">
        <v>7286.06</v>
      </c>
      <c r="G9" s="103">
        <v>2256.4899999999998</v>
      </c>
      <c r="K9" t="s">
        <v>822</v>
      </c>
      <c r="L9" t="s">
        <v>823</v>
      </c>
    </row>
    <row r="10" spans="1:15" x14ac:dyDescent="0.25">
      <c r="A10" s="102">
        <v>45440</v>
      </c>
      <c r="C10" s="103">
        <v>9542.5499999999993</v>
      </c>
      <c r="D10">
        <v>0</v>
      </c>
      <c r="E10" s="103">
        <v>7391.64</v>
      </c>
      <c r="G10" s="103">
        <v>2150.91</v>
      </c>
      <c r="K10" t="s">
        <v>824</v>
      </c>
      <c r="L10" t="s">
        <v>825</v>
      </c>
    </row>
    <row r="11" spans="1:15" x14ac:dyDescent="0.25">
      <c r="A11" s="102">
        <v>45471</v>
      </c>
      <c r="C11" s="103">
        <v>9542.5499999999993</v>
      </c>
      <c r="D11">
        <v>0</v>
      </c>
      <c r="E11" s="103">
        <v>7354.31</v>
      </c>
      <c r="G11" s="103">
        <v>2188.2399999999998</v>
      </c>
      <c r="K11" t="s">
        <v>826</v>
      </c>
      <c r="L11" t="s">
        <v>827</v>
      </c>
    </row>
    <row r="12" spans="1:15" x14ac:dyDescent="0.25">
      <c r="A12" s="102">
        <v>45501</v>
      </c>
      <c r="C12" s="103">
        <v>9542.5499999999993</v>
      </c>
      <c r="D12">
        <v>0</v>
      </c>
      <c r="E12" s="103">
        <v>7458</v>
      </c>
      <c r="G12" s="103">
        <v>2084.5500000000002</v>
      </c>
      <c r="K12" t="s">
        <v>828</v>
      </c>
      <c r="L12" t="s">
        <v>829</v>
      </c>
    </row>
    <row r="13" spans="1:15" x14ac:dyDescent="0.25">
      <c r="A13" s="102">
        <v>45532</v>
      </c>
      <c r="C13" s="206">
        <v>9542.5499999999993</v>
      </c>
      <c r="D13">
        <v>0</v>
      </c>
      <c r="E13" s="103">
        <v>7423.2</v>
      </c>
      <c r="G13" s="103">
        <v>2119.35</v>
      </c>
      <c r="H13">
        <v>0</v>
      </c>
      <c r="K13" t="s">
        <v>830</v>
      </c>
      <c r="L13" t="s">
        <v>831</v>
      </c>
      <c r="N13" t="s">
        <v>832</v>
      </c>
      <c r="O13" s="206">
        <f>SUM(C13:C18)</f>
        <v>57255.3</v>
      </c>
    </row>
    <row r="14" spans="1:15" x14ac:dyDescent="0.25">
      <c r="A14" s="102">
        <v>45563</v>
      </c>
      <c r="C14" s="206">
        <v>9542.5499999999993</v>
      </c>
      <c r="D14">
        <v>0</v>
      </c>
      <c r="E14" s="103">
        <v>7457.72</v>
      </c>
      <c r="G14" s="207">
        <v>2084.83</v>
      </c>
      <c r="H14">
        <v>0</v>
      </c>
      <c r="K14" t="s">
        <v>833</v>
      </c>
      <c r="L14" t="s">
        <v>834</v>
      </c>
      <c r="N14" t="s">
        <v>835</v>
      </c>
      <c r="O14" s="207">
        <f>SUM(G14:G16)</f>
        <v>6083.85</v>
      </c>
    </row>
    <row r="15" spans="1:15" x14ac:dyDescent="0.25">
      <c r="A15" s="102">
        <v>45593</v>
      </c>
      <c r="C15" s="206">
        <v>9542.5499999999993</v>
      </c>
      <c r="D15">
        <v>0</v>
      </c>
      <c r="E15" s="103">
        <v>7558.53</v>
      </c>
      <c r="G15" s="207">
        <v>1984.02</v>
      </c>
      <c r="H15">
        <v>0</v>
      </c>
      <c r="K15" t="s">
        <v>836</v>
      </c>
      <c r="L15" t="s">
        <v>837</v>
      </c>
      <c r="N15" t="s">
        <v>838</v>
      </c>
      <c r="O15" s="103">
        <f>O13-O14</f>
        <v>51171.450000000004</v>
      </c>
    </row>
    <row r="16" spans="1:15" x14ac:dyDescent="0.25">
      <c r="A16" s="102">
        <v>45624</v>
      </c>
      <c r="C16" s="206">
        <v>9542.5499999999993</v>
      </c>
      <c r="D16">
        <v>0</v>
      </c>
      <c r="E16" s="103">
        <v>7527.55</v>
      </c>
      <c r="G16" s="207">
        <v>2015</v>
      </c>
      <c r="H16">
        <v>0</v>
      </c>
      <c r="K16" t="s">
        <v>839</v>
      </c>
      <c r="L16" t="s">
        <v>840</v>
      </c>
    </row>
    <row r="17" spans="1:12" x14ac:dyDescent="0.25">
      <c r="A17" s="102">
        <v>45654</v>
      </c>
      <c r="C17" s="206">
        <v>9542.5499999999993</v>
      </c>
      <c r="D17">
        <v>0</v>
      </c>
      <c r="E17" s="103">
        <v>7626.42</v>
      </c>
      <c r="G17" s="103">
        <v>1916.13</v>
      </c>
      <c r="H17">
        <v>0</v>
      </c>
      <c r="K17" t="s">
        <v>841</v>
      </c>
      <c r="L17" t="s">
        <v>842</v>
      </c>
    </row>
    <row r="18" spans="1:12" x14ac:dyDescent="0.25">
      <c r="A18" s="102">
        <v>45685</v>
      </c>
      <c r="C18" s="206">
        <v>9542.5499999999993</v>
      </c>
      <c r="D18">
        <v>0</v>
      </c>
      <c r="E18" s="103">
        <v>7598.02</v>
      </c>
      <c r="G18" s="103">
        <v>1944.53</v>
      </c>
      <c r="H18">
        <v>0</v>
      </c>
      <c r="K18" t="s">
        <v>843</v>
      </c>
      <c r="L18" t="s">
        <v>844</v>
      </c>
    </row>
    <row r="19" spans="1:12" x14ac:dyDescent="0.25">
      <c r="A19" s="102">
        <v>45716</v>
      </c>
      <c r="C19" s="103">
        <v>9542.5499999999993</v>
      </c>
      <c r="D19">
        <v>0</v>
      </c>
      <c r="E19" s="103">
        <v>7633.35</v>
      </c>
      <c r="G19" s="103">
        <v>1909.2</v>
      </c>
      <c r="H19">
        <v>0</v>
      </c>
      <c r="K19" t="s">
        <v>845</v>
      </c>
      <c r="L19" t="s">
        <v>846</v>
      </c>
    </row>
    <row r="20" spans="1:12" x14ac:dyDescent="0.25">
      <c r="A20" s="102">
        <v>45744</v>
      </c>
      <c r="C20" s="103">
        <v>9542.5499999999993</v>
      </c>
      <c r="D20">
        <v>0</v>
      </c>
      <c r="E20" s="103">
        <v>7850.17</v>
      </c>
      <c r="G20" s="103">
        <v>1692.38</v>
      </c>
      <c r="H20">
        <v>0</v>
      </c>
      <c r="K20" t="s">
        <v>847</v>
      </c>
      <c r="L20" t="s">
        <v>848</v>
      </c>
    </row>
    <row r="21" spans="1:12" x14ac:dyDescent="0.25">
      <c r="A21" s="102">
        <v>45775</v>
      </c>
      <c r="C21" s="103">
        <v>9542.5499999999993</v>
      </c>
      <c r="D21">
        <v>0</v>
      </c>
      <c r="E21" s="103">
        <v>7705.35</v>
      </c>
      <c r="G21" s="103">
        <v>1837.2</v>
      </c>
      <c r="H21">
        <v>0</v>
      </c>
      <c r="K21" t="s">
        <v>849</v>
      </c>
      <c r="L21" t="s">
        <v>850</v>
      </c>
    </row>
    <row r="22" spans="1:12" x14ac:dyDescent="0.25">
      <c r="A22" s="102">
        <v>45805</v>
      </c>
      <c r="C22" s="103">
        <v>9542.5499999999993</v>
      </c>
      <c r="D22">
        <v>0</v>
      </c>
      <c r="E22" s="103">
        <v>7799.29</v>
      </c>
      <c r="G22" s="103">
        <v>1743.26</v>
      </c>
      <c r="H22">
        <v>0</v>
      </c>
      <c r="K22" t="s">
        <v>851</v>
      </c>
      <c r="L22" t="s">
        <v>852</v>
      </c>
    </row>
    <row r="23" spans="1:12" x14ac:dyDescent="0.25">
      <c r="A23" s="102">
        <v>45836</v>
      </c>
      <c r="C23" s="103">
        <v>9542.5499999999993</v>
      </c>
      <c r="D23">
        <v>0</v>
      </c>
      <c r="E23" s="103">
        <v>7777.46</v>
      </c>
      <c r="G23" s="103">
        <v>1765.09</v>
      </c>
      <c r="H23">
        <v>0</v>
      </c>
      <c r="K23" t="s">
        <v>853</v>
      </c>
      <c r="L23" t="s">
        <v>854</v>
      </c>
    </row>
    <row r="24" spans="1:12" x14ac:dyDescent="0.25">
      <c r="A24" s="102">
        <v>45866</v>
      </c>
      <c r="C24" s="103">
        <v>9542.5499999999993</v>
      </c>
      <c r="D24">
        <v>0</v>
      </c>
      <c r="E24" s="103">
        <v>7869.39</v>
      </c>
      <c r="G24" s="103">
        <v>1673.16</v>
      </c>
      <c r="H24">
        <v>0</v>
      </c>
      <c r="K24" t="s">
        <v>855</v>
      </c>
      <c r="L24" t="s">
        <v>856</v>
      </c>
    </row>
    <row r="25" spans="1:12" x14ac:dyDescent="0.25">
      <c r="A25" s="102">
        <v>45897</v>
      </c>
      <c r="C25" s="103">
        <v>9542.5499999999993</v>
      </c>
      <c r="D25">
        <v>0</v>
      </c>
      <c r="E25" s="103">
        <v>7850.22</v>
      </c>
      <c r="G25" s="103">
        <v>1692.33</v>
      </c>
      <c r="H25">
        <v>0</v>
      </c>
      <c r="K25" t="s">
        <v>857</v>
      </c>
      <c r="L25" t="s">
        <v>858</v>
      </c>
    </row>
    <row r="26" spans="1:12" x14ac:dyDescent="0.25">
      <c r="A26" s="102">
        <v>45928</v>
      </c>
      <c r="C26" s="103">
        <v>9542.5499999999993</v>
      </c>
      <c r="D26">
        <v>0</v>
      </c>
      <c r="E26" s="103">
        <v>7886.72</v>
      </c>
      <c r="G26" s="103">
        <v>1655.83</v>
      </c>
      <c r="H26">
        <v>0</v>
      </c>
      <c r="K26" t="s">
        <v>859</v>
      </c>
      <c r="L26" t="s">
        <v>860</v>
      </c>
    </row>
    <row r="27" spans="1:12" x14ac:dyDescent="0.25">
      <c r="A27" s="102">
        <v>45958</v>
      </c>
      <c r="C27" s="103">
        <v>9542.5499999999993</v>
      </c>
      <c r="D27">
        <v>0</v>
      </c>
      <c r="E27" s="103">
        <v>7975.63</v>
      </c>
      <c r="G27" s="103">
        <v>1566.92</v>
      </c>
      <c r="H27">
        <v>0</v>
      </c>
      <c r="K27" t="s">
        <v>861</v>
      </c>
      <c r="L27" t="s">
        <v>862</v>
      </c>
    </row>
    <row r="28" spans="1:12" x14ac:dyDescent="0.25">
      <c r="A28" s="102">
        <v>45989</v>
      </c>
      <c r="C28" s="103">
        <v>9542.5499999999993</v>
      </c>
      <c r="D28">
        <v>0</v>
      </c>
      <c r="E28" s="103">
        <v>7960.49</v>
      </c>
      <c r="G28" s="103">
        <v>1582.06</v>
      </c>
      <c r="H28">
        <v>0</v>
      </c>
      <c r="K28" t="s">
        <v>863</v>
      </c>
      <c r="L28" t="s">
        <v>864</v>
      </c>
    </row>
    <row r="29" spans="1:12" x14ac:dyDescent="0.25">
      <c r="A29" s="102">
        <v>46019</v>
      </c>
      <c r="C29" s="103">
        <v>9542.5499999999993</v>
      </c>
      <c r="D29">
        <v>0</v>
      </c>
      <c r="E29" s="103">
        <v>8047.35</v>
      </c>
      <c r="G29" s="103">
        <v>1495.2</v>
      </c>
      <c r="H29">
        <v>0</v>
      </c>
      <c r="K29" t="s">
        <v>865</v>
      </c>
      <c r="L29" t="s">
        <v>866</v>
      </c>
    </row>
    <row r="30" spans="1:12" x14ac:dyDescent="0.25">
      <c r="A30" s="102">
        <v>46050</v>
      </c>
      <c r="C30" s="103">
        <v>9542.5499999999993</v>
      </c>
      <c r="D30">
        <v>0</v>
      </c>
      <c r="E30" s="103">
        <v>8034.93</v>
      </c>
      <c r="G30" s="103">
        <v>1507.62</v>
      </c>
      <c r="H30">
        <v>0</v>
      </c>
      <c r="K30" t="s">
        <v>867</v>
      </c>
      <c r="L30" t="s">
        <v>868</v>
      </c>
    </row>
    <row r="31" spans="1:12" x14ac:dyDescent="0.25">
      <c r="A31" s="102">
        <v>46081</v>
      </c>
      <c r="C31" s="103">
        <v>9542.5499999999993</v>
      </c>
      <c r="D31">
        <v>0</v>
      </c>
      <c r="E31" s="103">
        <v>8072.3</v>
      </c>
      <c r="G31" s="103">
        <v>1470.25</v>
      </c>
      <c r="H31">
        <v>0</v>
      </c>
      <c r="K31" t="s">
        <v>869</v>
      </c>
      <c r="L31" t="s">
        <v>870</v>
      </c>
    </row>
    <row r="32" spans="1:12" x14ac:dyDescent="0.25">
      <c r="A32" s="102">
        <v>46109</v>
      </c>
      <c r="C32" s="103">
        <v>9542.5499999999993</v>
      </c>
      <c r="D32">
        <v>0</v>
      </c>
      <c r="E32" s="103">
        <v>8248.48</v>
      </c>
      <c r="G32" s="103">
        <v>1294.07</v>
      </c>
      <c r="H32">
        <v>0</v>
      </c>
      <c r="K32" t="s">
        <v>871</v>
      </c>
      <c r="L32" t="s">
        <v>872</v>
      </c>
    </row>
    <row r="33" spans="1:12" x14ac:dyDescent="0.25">
      <c r="A33" s="102">
        <v>46140</v>
      </c>
      <c r="C33" s="103">
        <v>9542.5499999999993</v>
      </c>
      <c r="D33">
        <v>0</v>
      </c>
      <c r="E33" s="103">
        <v>8148.19</v>
      </c>
      <c r="G33" s="103">
        <v>1394.36</v>
      </c>
      <c r="H33">
        <v>0</v>
      </c>
      <c r="K33" t="s">
        <v>873</v>
      </c>
      <c r="L33" t="s">
        <v>874</v>
      </c>
    </row>
    <row r="34" spans="1:12" x14ac:dyDescent="0.25">
      <c r="A34" s="102">
        <v>46170</v>
      </c>
      <c r="C34" s="103">
        <v>9542.5499999999993</v>
      </c>
      <c r="D34">
        <v>0</v>
      </c>
      <c r="E34" s="103">
        <v>8229.84</v>
      </c>
      <c r="G34" s="103">
        <v>1312.71</v>
      </c>
      <c r="H34">
        <v>0</v>
      </c>
      <c r="K34" t="s">
        <v>875</v>
      </c>
      <c r="L34" t="s">
        <v>876</v>
      </c>
    </row>
    <row r="35" spans="1:12" x14ac:dyDescent="0.25">
      <c r="A35" s="102">
        <v>46201</v>
      </c>
      <c r="C35" s="103">
        <v>9542.5499999999993</v>
      </c>
      <c r="D35">
        <v>0</v>
      </c>
      <c r="E35" s="103">
        <v>8224.36</v>
      </c>
      <c r="G35" s="103">
        <v>1318.19</v>
      </c>
      <c r="H35">
        <v>0</v>
      </c>
      <c r="K35" t="s">
        <v>877</v>
      </c>
      <c r="L35" t="s">
        <v>878</v>
      </c>
    </row>
    <row r="36" spans="1:12" x14ac:dyDescent="0.25">
      <c r="A36" s="102">
        <v>46231</v>
      </c>
      <c r="C36" s="103">
        <v>9542.5499999999993</v>
      </c>
      <c r="D36">
        <v>0</v>
      </c>
      <c r="E36" s="103">
        <v>8303.89</v>
      </c>
      <c r="G36" s="103">
        <v>1238.6600000000001</v>
      </c>
      <c r="H36">
        <v>0</v>
      </c>
      <c r="K36" t="s">
        <v>879</v>
      </c>
      <c r="L36" t="s">
        <v>880</v>
      </c>
    </row>
    <row r="37" spans="1:12" x14ac:dyDescent="0.25">
      <c r="A37" s="102">
        <v>46262</v>
      </c>
      <c r="C37" s="103">
        <v>9542.5499999999993</v>
      </c>
      <c r="D37">
        <v>0</v>
      </c>
      <c r="E37" s="103">
        <v>8301.2199999999993</v>
      </c>
      <c r="G37" s="103">
        <v>1241.33</v>
      </c>
      <c r="H37">
        <v>0</v>
      </c>
      <c r="K37" t="s">
        <v>881</v>
      </c>
      <c r="L37" t="s">
        <v>882</v>
      </c>
    </row>
    <row r="38" spans="1:12" x14ac:dyDescent="0.25">
      <c r="A38" s="102">
        <v>46293</v>
      </c>
      <c r="C38" s="103">
        <v>9542.5499999999993</v>
      </c>
      <c r="D38">
        <v>0</v>
      </c>
      <c r="E38" s="103">
        <v>8339.82</v>
      </c>
      <c r="G38" s="103">
        <v>1202.73</v>
      </c>
      <c r="H38">
        <v>0</v>
      </c>
      <c r="K38" t="s">
        <v>883</v>
      </c>
      <c r="L38" t="s">
        <v>884</v>
      </c>
    </row>
    <row r="39" spans="1:12" x14ac:dyDescent="0.25">
      <c r="A39" s="102">
        <v>46323</v>
      </c>
      <c r="C39" s="103">
        <v>9542.5499999999993</v>
      </c>
      <c r="D39">
        <v>0</v>
      </c>
      <c r="E39" s="103">
        <v>8416.15</v>
      </c>
      <c r="G39" s="103">
        <v>1126.4000000000001</v>
      </c>
      <c r="H39">
        <v>0</v>
      </c>
      <c r="K39" t="s">
        <v>885</v>
      </c>
      <c r="L39" t="s">
        <v>886</v>
      </c>
    </row>
    <row r="40" spans="1:12" x14ac:dyDescent="0.25">
      <c r="A40" s="102">
        <v>46354</v>
      </c>
      <c r="C40" s="103">
        <v>9542.5499999999993</v>
      </c>
      <c r="D40">
        <v>0</v>
      </c>
      <c r="E40" s="103">
        <v>8417.74</v>
      </c>
      <c r="G40" s="103">
        <v>1124.81</v>
      </c>
      <c r="H40">
        <v>0</v>
      </c>
      <c r="K40" t="s">
        <v>887</v>
      </c>
      <c r="L40" t="s">
        <v>888</v>
      </c>
    </row>
    <row r="41" spans="1:12" x14ac:dyDescent="0.25">
      <c r="A41" s="102">
        <v>46384</v>
      </c>
      <c r="C41" s="103">
        <v>9542.5499999999993</v>
      </c>
      <c r="D41">
        <v>0</v>
      </c>
      <c r="E41" s="103">
        <v>8491.91</v>
      </c>
      <c r="G41" s="103">
        <v>1050.6400000000001</v>
      </c>
      <c r="H41">
        <v>0</v>
      </c>
      <c r="K41" t="s">
        <v>889</v>
      </c>
      <c r="L41" t="s">
        <v>890</v>
      </c>
    </row>
    <row r="42" spans="1:12" x14ac:dyDescent="0.25">
      <c r="A42" s="102">
        <v>46415</v>
      </c>
      <c r="C42" s="103">
        <v>9542.5499999999993</v>
      </c>
      <c r="D42">
        <v>0</v>
      </c>
      <c r="E42" s="103">
        <v>8496.3799999999992</v>
      </c>
      <c r="G42" s="103">
        <v>1046.17</v>
      </c>
      <c r="H42">
        <v>0</v>
      </c>
      <c r="K42" t="s">
        <v>891</v>
      </c>
      <c r="L42" t="s">
        <v>892</v>
      </c>
    </row>
    <row r="43" spans="1:12" x14ac:dyDescent="0.25">
      <c r="A43" s="102">
        <v>46446</v>
      </c>
      <c r="C43" s="103">
        <v>9542.5499999999993</v>
      </c>
      <c r="D43">
        <v>0</v>
      </c>
      <c r="E43" s="103">
        <v>8535.89</v>
      </c>
      <c r="G43" s="103">
        <v>1006.66</v>
      </c>
      <c r="H43">
        <v>0</v>
      </c>
      <c r="K43" t="s">
        <v>893</v>
      </c>
      <c r="L43" t="s">
        <v>894</v>
      </c>
    </row>
    <row r="44" spans="1:12" x14ac:dyDescent="0.25">
      <c r="A44" s="102">
        <v>46474</v>
      </c>
      <c r="C44" s="103">
        <v>9542.5499999999993</v>
      </c>
      <c r="D44">
        <v>0</v>
      </c>
      <c r="E44" s="103">
        <v>8669.16</v>
      </c>
      <c r="G44">
        <v>873.39</v>
      </c>
      <c r="H44">
        <v>0</v>
      </c>
      <c r="K44" t="s">
        <v>895</v>
      </c>
      <c r="L44" t="s">
        <v>896</v>
      </c>
    </row>
    <row r="45" spans="1:12" x14ac:dyDescent="0.25">
      <c r="A45" s="102">
        <v>46505</v>
      </c>
      <c r="C45" s="103">
        <v>9542.5499999999993</v>
      </c>
      <c r="D45">
        <v>0</v>
      </c>
      <c r="E45" s="103">
        <v>8615.9</v>
      </c>
      <c r="G45">
        <v>926.65</v>
      </c>
      <c r="H45">
        <v>0</v>
      </c>
      <c r="K45" t="s">
        <v>897</v>
      </c>
      <c r="L45" t="s">
        <v>898</v>
      </c>
    </row>
    <row r="46" spans="1:12" x14ac:dyDescent="0.25">
      <c r="A46" s="102">
        <v>46535</v>
      </c>
      <c r="C46" s="103">
        <v>9542.5499999999993</v>
      </c>
      <c r="D46">
        <v>0</v>
      </c>
      <c r="E46" s="103">
        <v>8684.56</v>
      </c>
      <c r="G46">
        <v>857.99</v>
      </c>
      <c r="H46">
        <v>0</v>
      </c>
      <c r="K46" t="s">
        <v>899</v>
      </c>
      <c r="L46" t="s">
        <v>900</v>
      </c>
    </row>
    <row r="47" spans="1:12" x14ac:dyDescent="0.25">
      <c r="A47" s="102">
        <v>46566</v>
      </c>
      <c r="C47" s="103">
        <v>9542.5499999999993</v>
      </c>
      <c r="D47">
        <v>0</v>
      </c>
      <c r="E47" s="103">
        <v>8696.35</v>
      </c>
      <c r="G47">
        <v>846.2</v>
      </c>
      <c r="H47">
        <v>0</v>
      </c>
      <c r="K47" t="s">
        <v>901</v>
      </c>
      <c r="L47" t="s">
        <v>902</v>
      </c>
    </row>
    <row r="48" spans="1:12" x14ac:dyDescent="0.25">
      <c r="A48" s="102">
        <v>46596</v>
      </c>
      <c r="C48" s="103">
        <v>9542.5499999999993</v>
      </c>
      <c r="D48">
        <v>0</v>
      </c>
      <c r="E48" s="103">
        <v>8762.7800000000007</v>
      </c>
      <c r="G48">
        <v>779.77</v>
      </c>
      <c r="H48">
        <v>0</v>
      </c>
      <c r="K48" t="s">
        <v>903</v>
      </c>
      <c r="L48" t="s">
        <v>904</v>
      </c>
    </row>
    <row r="49" spans="1:12" x14ac:dyDescent="0.25">
      <c r="A49" s="102">
        <v>46627</v>
      </c>
      <c r="C49" s="103">
        <v>9542.5499999999993</v>
      </c>
      <c r="D49">
        <v>0</v>
      </c>
      <c r="E49" s="103">
        <v>8777.5400000000009</v>
      </c>
      <c r="G49">
        <v>765.01</v>
      </c>
      <c r="H49">
        <v>0</v>
      </c>
      <c r="K49" t="s">
        <v>905</v>
      </c>
      <c r="L49" t="s">
        <v>906</v>
      </c>
    </row>
    <row r="50" spans="1:12" x14ac:dyDescent="0.25">
      <c r="A50" s="102">
        <v>46658</v>
      </c>
      <c r="C50" s="103">
        <v>9542.5499999999993</v>
      </c>
      <c r="D50">
        <v>0</v>
      </c>
      <c r="E50" s="103">
        <v>8818.36</v>
      </c>
      <c r="G50">
        <v>724.19</v>
      </c>
      <c r="H50">
        <v>0</v>
      </c>
      <c r="K50" t="s">
        <v>907</v>
      </c>
      <c r="L50" t="s">
        <v>908</v>
      </c>
    </row>
    <row r="51" spans="1:12" x14ac:dyDescent="0.25">
      <c r="A51" s="102">
        <v>46688</v>
      </c>
      <c r="C51" s="103">
        <v>9542.5499999999993</v>
      </c>
      <c r="D51">
        <v>0</v>
      </c>
      <c r="E51" s="103">
        <v>8881.41</v>
      </c>
      <c r="G51">
        <v>661.14</v>
      </c>
      <c r="H51">
        <v>0</v>
      </c>
      <c r="K51" t="s">
        <v>909</v>
      </c>
      <c r="L51" t="s">
        <v>910</v>
      </c>
    </row>
    <row r="52" spans="1:12" x14ac:dyDescent="0.25">
      <c r="A52" s="102">
        <v>46719</v>
      </c>
      <c r="C52" s="103">
        <v>9542.5499999999993</v>
      </c>
      <c r="D52">
        <v>0</v>
      </c>
      <c r="E52" s="103">
        <v>8900.67</v>
      </c>
      <c r="G52">
        <v>641.88</v>
      </c>
      <c r="H52">
        <v>0</v>
      </c>
      <c r="K52" t="s">
        <v>911</v>
      </c>
      <c r="L52" t="s">
        <v>912</v>
      </c>
    </row>
    <row r="53" spans="1:12" x14ac:dyDescent="0.25">
      <c r="A53" s="102">
        <v>46749</v>
      </c>
      <c r="C53" s="103">
        <v>9542.5499999999993</v>
      </c>
      <c r="D53">
        <v>0</v>
      </c>
      <c r="E53" s="103">
        <v>8961.43</v>
      </c>
      <c r="G53">
        <v>581.12</v>
      </c>
      <c r="H53">
        <v>0</v>
      </c>
      <c r="K53" t="s">
        <v>913</v>
      </c>
      <c r="L53" t="s">
        <v>914</v>
      </c>
    </row>
    <row r="54" spans="1:12" x14ac:dyDescent="0.25">
      <c r="A54" s="102">
        <v>46780</v>
      </c>
      <c r="C54" s="103">
        <v>9542.5499999999993</v>
      </c>
      <c r="D54">
        <v>0</v>
      </c>
      <c r="E54" s="103">
        <v>8983.73</v>
      </c>
      <c r="G54">
        <v>558.82000000000005</v>
      </c>
      <c r="H54">
        <v>0</v>
      </c>
      <c r="K54" t="s">
        <v>915</v>
      </c>
      <c r="L54" t="s">
        <v>916</v>
      </c>
    </row>
    <row r="55" spans="1:12" x14ac:dyDescent="0.25">
      <c r="A55" s="102">
        <v>46811</v>
      </c>
      <c r="C55" s="103">
        <v>9542.5499999999993</v>
      </c>
      <c r="D55">
        <v>0</v>
      </c>
      <c r="E55" s="103">
        <v>9025.51</v>
      </c>
      <c r="G55">
        <v>517.04</v>
      </c>
      <c r="H55">
        <v>0</v>
      </c>
      <c r="K55" t="s">
        <v>917</v>
      </c>
      <c r="L55" t="s">
        <v>918</v>
      </c>
    </row>
    <row r="56" spans="1:12" x14ac:dyDescent="0.25">
      <c r="A56" s="102">
        <v>46840</v>
      </c>
      <c r="C56" s="103">
        <v>9542.5499999999993</v>
      </c>
      <c r="D56">
        <v>0</v>
      </c>
      <c r="E56" s="103">
        <v>9098.1299999999992</v>
      </c>
      <c r="G56">
        <v>444.42</v>
      </c>
      <c r="H56">
        <v>0</v>
      </c>
      <c r="K56" t="s">
        <v>919</v>
      </c>
      <c r="L56" t="s">
        <v>920</v>
      </c>
    </row>
    <row r="57" spans="1:12" x14ac:dyDescent="0.25">
      <c r="A57" s="102">
        <v>46871</v>
      </c>
      <c r="C57" s="103">
        <v>9542.5499999999993</v>
      </c>
      <c r="D57">
        <v>0</v>
      </c>
      <c r="E57" s="103">
        <v>9109.7900000000009</v>
      </c>
      <c r="G57">
        <v>432.76</v>
      </c>
      <c r="H57">
        <v>0</v>
      </c>
      <c r="K57" t="s">
        <v>921</v>
      </c>
      <c r="L57" t="s">
        <v>922</v>
      </c>
    </row>
    <row r="58" spans="1:12" x14ac:dyDescent="0.25">
      <c r="A58" s="102">
        <v>46901</v>
      </c>
      <c r="C58" s="103">
        <v>9542.5499999999993</v>
      </c>
      <c r="D58">
        <v>0</v>
      </c>
      <c r="E58" s="103">
        <v>9164.75</v>
      </c>
      <c r="G58">
        <v>377.8</v>
      </c>
      <c r="H58">
        <v>0</v>
      </c>
      <c r="K58" t="s">
        <v>923</v>
      </c>
      <c r="L58" t="s">
        <v>924</v>
      </c>
    </row>
    <row r="59" spans="1:12" x14ac:dyDescent="0.25">
      <c r="A59" s="102">
        <v>46932</v>
      </c>
      <c r="C59" s="103">
        <v>9542.5499999999993</v>
      </c>
      <c r="D59">
        <v>0</v>
      </c>
      <c r="E59" s="103">
        <v>9194.77</v>
      </c>
      <c r="G59">
        <v>347.78</v>
      </c>
      <c r="H59">
        <v>0</v>
      </c>
      <c r="K59" t="s">
        <v>925</v>
      </c>
      <c r="L59" t="s">
        <v>926</v>
      </c>
    </row>
    <row r="60" spans="1:12" x14ac:dyDescent="0.25">
      <c r="A60" s="102">
        <v>46962</v>
      </c>
      <c r="C60" s="103">
        <v>9542.5499999999993</v>
      </c>
      <c r="D60">
        <v>0</v>
      </c>
      <c r="E60" s="103">
        <v>9247.3700000000008</v>
      </c>
      <c r="G60">
        <v>295.18</v>
      </c>
      <c r="H60">
        <v>0</v>
      </c>
      <c r="K60" t="s">
        <v>927</v>
      </c>
      <c r="L60" t="s">
        <v>928</v>
      </c>
    </row>
    <row r="61" spans="1:12" x14ac:dyDescent="0.25">
      <c r="A61" s="102">
        <v>46993</v>
      </c>
      <c r="C61" s="103">
        <v>9542.5499999999993</v>
      </c>
      <c r="D61">
        <v>0</v>
      </c>
      <c r="E61" s="103">
        <v>9280.5400000000009</v>
      </c>
      <c r="G61">
        <v>262.01</v>
      </c>
      <c r="H61">
        <v>0</v>
      </c>
      <c r="K61" t="s">
        <v>929</v>
      </c>
      <c r="L61" t="s">
        <v>930</v>
      </c>
    </row>
    <row r="62" spans="1:12" x14ac:dyDescent="0.25">
      <c r="A62" s="102">
        <v>47024</v>
      </c>
      <c r="C62" s="103">
        <v>9542.5499999999993</v>
      </c>
      <c r="D62">
        <v>0</v>
      </c>
      <c r="E62" s="103">
        <v>9323.69</v>
      </c>
      <c r="G62">
        <v>218.86</v>
      </c>
      <c r="H62">
        <v>0</v>
      </c>
      <c r="K62" t="s">
        <v>931</v>
      </c>
      <c r="L62" t="s">
        <v>932</v>
      </c>
    </row>
    <row r="63" spans="1:12" x14ac:dyDescent="0.25">
      <c r="A63" s="102">
        <v>47054</v>
      </c>
      <c r="C63" s="103">
        <v>9542.5499999999993</v>
      </c>
      <c r="D63">
        <v>0</v>
      </c>
      <c r="E63" s="103">
        <v>9372.7099999999991</v>
      </c>
      <c r="G63">
        <v>169.84</v>
      </c>
      <c r="H63">
        <v>0</v>
      </c>
      <c r="K63" t="s">
        <v>933</v>
      </c>
      <c r="L63" t="s">
        <v>934</v>
      </c>
    </row>
    <row r="64" spans="1:12" x14ac:dyDescent="0.25">
      <c r="A64" s="102">
        <v>47085</v>
      </c>
      <c r="C64" s="103">
        <v>9542.5499999999993</v>
      </c>
      <c r="D64">
        <v>0</v>
      </c>
      <c r="E64" s="103">
        <v>9410.64</v>
      </c>
      <c r="G64">
        <v>131.91</v>
      </c>
      <c r="H64">
        <v>0</v>
      </c>
      <c r="K64" t="s">
        <v>935</v>
      </c>
      <c r="L64" t="s">
        <v>936</v>
      </c>
    </row>
    <row r="65" spans="1:13" x14ac:dyDescent="0.25">
      <c r="A65" s="102">
        <v>47115</v>
      </c>
      <c r="C65" s="103">
        <v>9542.5499999999993</v>
      </c>
      <c r="D65">
        <v>0</v>
      </c>
      <c r="E65" s="103">
        <v>9457.24</v>
      </c>
      <c r="G65">
        <v>85.31</v>
      </c>
      <c r="H65">
        <v>0</v>
      </c>
      <c r="K65" t="s">
        <v>937</v>
      </c>
      <c r="L65" t="s">
        <v>938</v>
      </c>
    </row>
    <row r="66" spans="1:13" x14ac:dyDescent="0.25">
      <c r="A66" s="102">
        <v>47146</v>
      </c>
      <c r="C66" s="103">
        <v>9542.31</v>
      </c>
      <c r="D66">
        <v>0</v>
      </c>
      <c r="E66" s="103">
        <v>9498.15</v>
      </c>
      <c r="G66">
        <v>44.16</v>
      </c>
      <c r="H66">
        <v>0</v>
      </c>
      <c r="K66">
        <v>0</v>
      </c>
      <c r="L66">
        <v>0</v>
      </c>
    </row>
    <row r="69" spans="1:13" ht="21" x14ac:dyDescent="0.35">
      <c r="A69" s="106" t="s">
        <v>1048</v>
      </c>
    </row>
    <row r="71" spans="1:13" x14ac:dyDescent="0.25">
      <c r="A71" t="s">
        <v>102</v>
      </c>
      <c r="M71" t="s">
        <v>939</v>
      </c>
    </row>
    <row r="73" spans="1:13" x14ac:dyDescent="0.25">
      <c r="A73" t="s">
        <v>104</v>
      </c>
      <c r="B73" t="s">
        <v>105</v>
      </c>
      <c r="C73" t="s">
        <v>106</v>
      </c>
      <c r="D73" t="s">
        <v>107</v>
      </c>
      <c r="E73" t="s">
        <v>108</v>
      </c>
      <c r="F73" t="s">
        <v>109</v>
      </c>
      <c r="G73" t="s">
        <v>110</v>
      </c>
      <c r="H73" t="s">
        <v>111</v>
      </c>
      <c r="I73" t="s">
        <v>112</v>
      </c>
      <c r="J73" t="s">
        <v>113</v>
      </c>
      <c r="K73" t="s">
        <v>114</v>
      </c>
      <c r="L73" t="s">
        <v>115</v>
      </c>
    </row>
    <row r="74" spans="1:13" x14ac:dyDescent="0.25">
      <c r="A74" s="102">
        <v>45321</v>
      </c>
      <c r="C74" s="103">
        <v>5750</v>
      </c>
      <c r="D74">
        <v>0</v>
      </c>
      <c r="E74" s="103">
        <v>500000</v>
      </c>
      <c r="H74" s="103">
        <v>5000</v>
      </c>
      <c r="I74">
        <v>750</v>
      </c>
      <c r="J74" s="103">
        <v>500000</v>
      </c>
      <c r="K74" t="s">
        <v>816</v>
      </c>
      <c r="L74" t="s">
        <v>817</v>
      </c>
    </row>
    <row r="75" spans="1:13" x14ac:dyDescent="0.25">
      <c r="A75" s="102">
        <v>45350</v>
      </c>
      <c r="C75" s="103">
        <v>9542.5499999999993</v>
      </c>
      <c r="D75">
        <v>0</v>
      </c>
      <c r="E75" s="103">
        <v>7367.4</v>
      </c>
      <c r="G75" s="103">
        <v>2175.15</v>
      </c>
      <c r="K75" t="s">
        <v>818</v>
      </c>
      <c r="L75" t="s">
        <v>819</v>
      </c>
    </row>
    <row r="76" spans="1:13" x14ac:dyDescent="0.25">
      <c r="A76" s="102">
        <v>45379</v>
      </c>
      <c r="C76" s="103">
        <v>9542.5499999999993</v>
      </c>
      <c r="D76">
        <v>0</v>
      </c>
      <c r="E76" s="103">
        <v>7399.45</v>
      </c>
      <c r="G76" s="103">
        <v>2143.1</v>
      </c>
      <c r="K76" t="s">
        <v>820</v>
      </c>
      <c r="L76" t="s">
        <v>821</v>
      </c>
    </row>
    <row r="77" spans="1:13" x14ac:dyDescent="0.25">
      <c r="A77" s="102">
        <v>45410</v>
      </c>
      <c r="C77" s="103">
        <v>9542.5499999999993</v>
      </c>
      <c r="D77">
        <v>0</v>
      </c>
      <c r="E77" s="103">
        <v>7286.06</v>
      </c>
      <c r="G77" s="103">
        <v>2256.4899999999998</v>
      </c>
      <c r="K77" t="s">
        <v>822</v>
      </c>
      <c r="L77" t="s">
        <v>823</v>
      </c>
    </row>
    <row r="78" spans="1:13" x14ac:dyDescent="0.25">
      <c r="A78" s="102">
        <v>45440</v>
      </c>
      <c r="C78" s="103">
        <v>9542.5499999999993</v>
      </c>
      <c r="D78">
        <v>0</v>
      </c>
      <c r="E78" s="103">
        <v>7391.64</v>
      </c>
      <c r="G78" s="103">
        <v>2150.91</v>
      </c>
      <c r="K78" t="s">
        <v>824</v>
      </c>
      <c r="L78" t="s">
        <v>825</v>
      </c>
    </row>
    <row r="79" spans="1:13" x14ac:dyDescent="0.25">
      <c r="A79" s="102">
        <v>45471</v>
      </c>
      <c r="C79" s="103">
        <v>9542.5499999999993</v>
      </c>
      <c r="D79">
        <v>0</v>
      </c>
      <c r="E79" s="103">
        <v>7354.31</v>
      </c>
      <c r="G79" s="103">
        <v>2188.2399999999998</v>
      </c>
      <c r="K79" t="s">
        <v>826</v>
      </c>
      <c r="L79" t="s">
        <v>827</v>
      </c>
    </row>
    <row r="80" spans="1:13" x14ac:dyDescent="0.25">
      <c r="A80" s="102">
        <v>45501</v>
      </c>
      <c r="C80" s="103">
        <v>9542.5499999999993</v>
      </c>
      <c r="D80">
        <v>0</v>
      </c>
      <c r="E80" s="103">
        <v>7458</v>
      </c>
      <c r="G80" s="103">
        <v>2084.5500000000002</v>
      </c>
      <c r="K80" t="s">
        <v>828</v>
      </c>
      <c r="L80" t="s">
        <v>829</v>
      </c>
    </row>
    <row r="81" spans="1:12" x14ac:dyDescent="0.25">
      <c r="A81" s="102">
        <v>45522</v>
      </c>
      <c r="C81" s="103">
        <v>6083.85</v>
      </c>
      <c r="D81">
        <v>0</v>
      </c>
      <c r="H81" s="103">
        <v>6083.85</v>
      </c>
      <c r="K81" t="s">
        <v>940</v>
      </c>
      <c r="L81" t="s">
        <v>941</v>
      </c>
    </row>
    <row r="82" spans="1:12" x14ac:dyDescent="0.25">
      <c r="A82" s="102">
        <v>45532</v>
      </c>
      <c r="C82" s="103">
        <v>8594.93</v>
      </c>
      <c r="D82">
        <v>0</v>
      </c>
      <c r="E82" s="103">
        <v>6478.84</v>
      </c>
      <c r="G82" s="103">
        <v>2116.09</v>
      </c>
      <c r="H82">
        <v>0</v>
      </c>
      <c r="K82" t="s">
        <v>942</v>
      </c>
      <c r="L82" t="s">
        <v>943</v>
      </c>
    </row>
    <row r="83" spans="1:12" x14ac:dyDescent="0.25">
      <c r="A83" s="102">
        <v>45563</v>
      </c>
      <c r="C83" s="103">
        <v>8594.93</v>
      </c>
      <c r="D83">
        <v>0</v>
      </c>
      <c r="E83" s="103">
        <v>6519.47</v>
      </c>
      <c r="G83" s="103">
        <v>2075.46</v>
      </c>
      <c r="H83">
        <v>0</v>
      </c>
      <c r="K83" t="s">
        <v>944</v>
      </c>
      <c r="L83" t="s">
        <v>945</v>
      </c>
    </row>
    <row r="84" spans="1:12" x14ac:dyDescent="0.25">
      <c r="A84" s="102">
        <v>45593</v>
      </c>
      <c r="C84" s="103">
        <v>8594.93</v>
      </c>
      <c r="D84">
        <v>0</v>
      </c>
      <c r="E84" s="103">
        <v>6619.31</v>
      </c>
      <c r="G84" s="103">
        <v>1975.62</v>
      </c>
      <c r="H84">
        <v>0</v>
      </c>
      <c r="K84" t="s">
        <v>946</v>
      </c>
      <c r="L84" t="s">
        <v>947</v>
      </c>
    </row>
    <row r="85" spans="1:12" x14ac:dyDescent="0.25">
      <c r="A85" s="102">
        <v>45624</v>
      </c>
      <c r="C85" s="103">
        <v>8594.93</v>
      </c>
      <c r="D85">
        <v>0</v>
      </c>
      <c r="E85" s="103">
        <v>6587.96</v>
      </c>
      <c r="G85" s="103">
        <v>2006.97</v>
      </c>
      <c r="H85">
        <v>0</v>
      </c>
      <c r="K85" t="s">
        <v>948</v>
      </c>
      <c r="L85" t="s">
        <v>949</v>
      </c>
    </row>
    <row r="86" spans="1:12" x14ac:dyDescent="0.25">
      <c r="A86" s="102">
        <v>45654</v>
      </c>
      <c r="C86" s="103">
        <v>8594.93</v>
      </c>
      <c r="D86">
        <v>0</v>
      </c>
      <c r="E86" s="103">
        <v>6685.94</v>
      </c>
      <c r="G86" s="103">
        <v>1908.99</v>
      </c>
      <c r="H86">
        <v>0</v>
      </c>
      <c r="K86" t="s">
        <v>950</v>
      </c>
      <c r="L86" t="s">
        <v>951</v>
      </c>
    </row>
    <row r="87" spans="1:12" x14ac:dyDescent="0.25">
      <c r="A87" s="102">
        <v>45685</v>
      </c>
      <c r="C87" s="103">
        <v>8594.93</v>
      </c>
      <c r="D87">
        <v>0</v>
      </c>
      <c r="E87" s="103">
        <v>6657.17</v>
      </c>
      <c r="G87" s="103">
        <v>1937.76</v>
      </c>
      <c r="H87">
        <v>0</v>
      </c>
      <c r="K87" t="s">
        <v>952</v>
      </c>
      <c r="L87" t="s">
        <v>953</v>
      </c>
    </row>
    <row r="88" spans="1:12" x14ac:dyDescent="0.25">
      <c r="A88" s="102">
        <v>45716</v>
      </c>
      <c r="C88" s="103">
        <v>8594.93</v>
      </c>
      <c r="D88">
        <v>0</v>
      </c>
      <c r="E88" s="103">
        <v>6691.88</v>
      </c>
      <c r="G88" s="103">
        <v>1903.05</v>
      </c>
      <c r="H88">
        <v>0</v>
      </c>
      <c r="K88" t="s">
        <v>954</v>
      </c>
      <c r="L88" t="s">
        <v>955</v>
      </c>
    </row>
    <row r="89" spans="1:12" x14ac:dyDescent="0.25">
      <c r="A89" s="102">
        <v>45744</v>
      </c>
      <c r="C89" s="103">
        <v>8594.93</v>
      </c>
      <c r="D89">
        <v>0</v>
      </c>
      <c r="E89" s="103">
        <v>6907.55</v>
      </c>
      <c r="G89" s="103">
        <v>1687.38</v>
      </c>
      <c r="H89">
        <v>0</v>
      </c>
      <c r="K89" t="s">
        <v>956</v>
      </c>
      <c r="L89" t="s">
        <v>957</v>
      </c>
    </row>
    <row r="90" spans="1:12" x14ac:dyDescent="0.25">
      <c r="A90" s="102">
        <v>45775</v>
      </c>
      <c r="C90" s="103">
        <v>8594.93</v>
      </c>
      <c r="D90">
        <v>0</v>
      </c>
      <c r="E90" s="103">
        <v>6762.78</v>
      </c>
      <c r="G90" s="103">
        <v>1832.15</v>
      </c>
      <c r="H90">
        <v>0</v>
      </c>
      <c r="K90" t="s">
        <v>958</v>
      </c>
      <c r="L90" t="s">
        <v>959</v>
      </c>
    </row>
    <row r="91" spans="1:12" x14ac:dyDescent="0.25">
      <c r="A91" s="102">
        <v>45805</v>
      </c>
      <c r="C91" s="103">
        <v>8594.93</v>
      </c>
      <c r="D91">
        <v>0</v>
      </c>
      <c r="E91" s="103">
        <v>6856</v>
      </c>
      <c r="G91" s="103">
        <v>1738.93</v>
      </c>
      <c r="H91">
        <v>0</v>
      </c>
      <c r="K91" t="s">
        <v>960</v>
      </c>
      <c r="L91" t="s">
        <v>961</v>
      </c>
    </row>
    <row r="92" spans="1:12" x14ac:dyDescent="0.25">
      <c r="A92" s="102">
        <v>45836</v>
      </c>
      <c r="C92" s="103">
        <v>8594.93</v>
      </c>
      <c r="D92">
        <v>0</v>
      </c>
      <c r="E92" s="103">
        <v>6833.78</v>
      </c>
      <c r="G92" s="103">
        <v>1761.15</v>
      </c>
      <c r="H92">
        <v>0</v>
      </c>
      <c r="K92" t="s">
        <v>962</v>
      </c>
      <c r="L92" t="s">
        <v>963</v>
      </c>
    </row>
    <row r="93" spans="1:12" x14ac:dyDescent="0.25">
      <c r="A93" s="102">
        <v>45866</v>
      </c>
      <c r="C93" s="103">
        <v>8594.93</v>
      </c>
      <c r="D93">
        <v>0</v>
      </c>
      <c r="E93" s="103">
        <v>6925.07</v>
      </c>
      <c r="G93" s="103">
        <v>1669.86</v>
      </c>
      <c r="H93">
        <v>0</v>
      </c>
      <c r="K93" t="s">
        <v>964</v>
      </c>
      <c r="L93" t="s">
        <v>965</v>
      </c>
    </row>
    <row r="94" spans="1:12" x14ac:dyDescent="0.25">
      <c r="A94" s="102">
        <v>45897</v>
      </c>
      <c r="C94" s="103">
        <v>8594.93</v>
      </c>
      <c r="D94">
        <v>0</v>
      </c>
      <c r="E94" s="103">
        <v>6905.51</v>
      </c>
      <c r="G94" s="103">
        <v>1689.42</v>
      </c>
      <c r="H94">
        <v>0</v>
      </c>
      <c r="K94" t="s">
        <v>966</v>
      </c>
      <c r="L94" t="s">
        <v>967</v>
      </c>
    </row>
    <row r="95" spans="1:12" x14ac:dyDescent="0.25">
      <c r="A95" s="102">
        <v>45928</v>
      </c>
      <c r="C95" s="103">
        <v>8594.93</v>
      </c>
      <c r="D95">
        <v>0</v>
      </c>
      <c r="E95" s="103">
        <v>6941.51</v>
      </c>
      <c r="G95" s="103">
        <v>1653.42</v>
      </c>
      <c r="H95">
        <v>0</v>
      </c>
      <c r="K95" t="s">
        <v>968</v>
      </c>
      <c r="L95" t="s">
        <v>969</v>
      </c>
    </row>
    <row r="96" spans="1:12" x14ac:dyDescent="0.25">
      <c r="A96" s="102">
        <v>45958</v>
      </c>
      <c r="C96" s="103">
        <v>8594.93</v>
      </c>
      <c r="D96">
        <v>0</v>
      </c>
      <c r="E96" s="103">
        <v>7029.87</v>
      </c>
      <c r="G96" s="103">
        <v>1565.06</v>
      </c>
      <c r="H96">
        <v>0</v>
      </c>
      <c r="K96" t="s">
        <v>970</v>
      </c>
      <c r="L96" t="s">
        <v>971</v>
      </c>
    </row>
    <row r="97" spans="1:12" x14ac:dyDescent="0.25">
      <c r="A97" s="102">
        <v>45989</v>
      </c>
      <c r="C97" s="103">
        <v>8594.93</v>
      </c>
      <c r="D97">
        <v>0</v>
      </c>
      <c r="E97" s="103">
        <v>7014.35</v>
      </c>
      <c r="G97" s="103">
        <v>1580.58</v>
      </c>
      <c r="H97">
        <v>0</v>
      </c>
      <c r="K97" t="s">
        <v>972</v>
      </c>
      <c r="L97" t="s">
        <v>973</v>
      </c>
    </row>
    <row r="98" spans="1:12" x14ac:dyDescent="0.25">
      <c r="A98" s="102">
        <v>46019</v>
      </c>
      <c r="C98" s="103">
        <v>8594.93</v>
      </c>
      <c r="D98">
        <v>0</v>
      </c>
      <c r="E98" s="103">
        <v>7100.73</v>
      </c>
      <c r="G98" s="103">
        <v>1494.2</v>
      </c>
      <c r="H98">
        <v>0</v>
      </c>
      <c r="K98" t="s">
        <v>974</v>
      </c>
      <c r="L98" t="s">
        <v>975</v>
      </c>
    </row>
    <row r="99" spans="1:12" x14ac:dyDescent="0.25">
      <c r="A99" s="102">
        <v>46050</v>
      </c>
      <c r="C99" s="103">
        <v>8594.93</v>
      </c>
      <c r="D99">
        <v>0</v>
      </c>
      <c r="E99" s="103">
        <v>7087.94</v>
      </c>
      <c r="G99" s="103">
        <v>1506.99</v>
      </c>
      <c r="H99">
        <v>0</v>
      </c>
      <c r="K99" t="s">
        <v>976</v>
      </c>
      <c r="L99" t="s">
        <v>977</v>
      </c>
    </row>
    <row r="100" spans="1:12" x14ac:dyDescent="0.25">
      <c r="A100" s="102">
        <v>46081</v>
      </c>
      <c r="C100" s="103">
        <v>8594.93</v>
      </c>
      <c r="D100">
        <v>0</v>
      </c>
      <c r="E100" s="103">
        <v>7124.89</v>
      </c>
      <c r="G100" s="103">
        <v>1470.04</v>
      </c>
      <c r="H100">
        <v>0</v>
      </c>
      <c r="K100" t="s">
        <v>978</v>
      </c>
      <c r="L100" t="s">
        <v>979</v>
      </c>
    </row>
    <row r="101" spans="1:12" x14ac:dyDescent="0.25">
      <c r="A101" s="102">
        <v>46109</v>
      </c>
      <c r="C101" s="103">
        <v>8594.93</v>
      </c>
      <c r="D101">
        <v>0</v>
      </c>
      <c r="E101" s="103">
        <v>7300.71</v>
      </c>
      <c r="G101" s="103">
        <v>1294.22</v>
      </c>
      <c r="H101">
        <v>0</v>
      </c>
      <c r="K101" t="s">
        <v>980</v>
      </c>
      <c r="L101" t="s">
        <v>981</v>
      </c>
    </row>
    <row r="102" spans="1:12" x14ac:dyDescent="0.25">
      <c r="A102" s="102">
        <v>46140</v>
      </c>
      <c r="C102" s="103">
        <v>8594.93</v>
      </c>
      <c r="D102">
        <v>0</v>
      </c>
      <c r="E102" s="103">
        <v>7200.1</v>
      </c>
      <c r="G102" s="103">
        <v>1394.83</v>
      </c>
      <c r="H102">
        <v>0</v>
      </c>
      <c r="K102" t="s">
        <v>982</v>
      </c>
      <c r="L102" t="s">
        <v>983</v>
      </c>
    </row>
    <row r="103" spans="1:12" x14ac:dyDescent="0.25">
      <c r="A103" s="102">
        <v>46170</v>
      </c>
      <c r="C103" s="103">
        <v>8594.93</v>
      </c>
      <c r="D103">
        <v>0</v>
      </c>
      <c r="E103" s="103">
        <v>7281.42</v>
      </c>
      <c r="G103" s="103">
        <v>1313.51</v>
      </c>
      <c r="H103">
        <v>0</v>
      </c>
      <c r="K103" t="s">
        <v>984</v>
      </c>
      <c r="L103" t="s">
        <v>985</v>
      </c>
    </row>
    <row r="104" spans="1:12" x14ac:dyDescent="0.25">
      <c r="A104" s="102">
        <v>46201</v>
      </c>
      <c r="C104" s="103">
        <v>8594.93</v>
      </c>
      <c r="D104">
        <v>0</v>
      </c>
      <c r="E104" s="103">
        <v>7275.6</v>
      </c>
      <c r="G104" s="103">
        <v>1319.33</v>
      </c>
      <c r="H104">
        <v>0</v>
      </c>
      <c r="K104" t="s">
        <v>986</v>
      </c>
      <c r="L104" t="s">
        <v>987</v>
      </c>
    </row>
    <row r="105" spans="1:12" x14ac:dyDescent="0.25">
      <c r="A105" s="102">
        <v>46231</v>
      </c>
      <c r="C105" s="103">
        <v>8594.93</v>
      </c>
      <c r="D105">
        <v>0</v>
      </c>
      <c r="E105" s="103">
        <v>7354.87</v>
      </c>
      <c r="G105" s="103">
        <v>1240.06</v>
      </c>
      <c r="H105">
        <v>0</v>
      </c>
      <c r="K105" t="s">
        <v>988</v>
      </c>
      <c r="L105" t="s">
        <v>989</v>
      </c>
    </row>
    <row r="106" spans="1:12" x14ac:dyDescent="0.25">
      <c r="A106" s="102">
        <v>46262</v>
      </c>
      <c r="C106" s="103">
        <v>8594.93</v>
      </c>
      <c r="D106">
        <v>0</v>
      </c>
      <c r="E106" s="103">
        <v>7351.88</v>
      </c>
      <c r="G106" s="103">
        <v>1243.05</v>
      </c>
      <c r="H106">
        <v>0</v>
      </c>
      <c r="K106" t="s">
        <v>990</v>
      </c>
      <c r="L106" t="s">
        <v>991</v>
      </c>
    </row>
    <row r="107" spans="1:12" x14ac:dyDescent="0.25">
      <c r="A107" s="102">
        <v>46293</v>
      </c>
      <c r="C107" s="103">
        <v>8594.93</v>
      </c>
      <c r="D107">
        <v>0</v>
      </c>
      <c r="E107" s="103">
        <v>7390.21</v>
      </c>
      <c r="G107" s="103">
        <v>1204.72</v>
      </c>
      <c r="H107">
        <v>0</v>
      </c>
      <c r="K107" t="s">
        <v>992</v>
      </c>
      <c r="L107" t="s">
        <v>993</v>
      </c>
    </row>
    <row r="108" spans="1:12" x14ac:dyDescent="0.25">
      <c r="A108" s="102">
        <v>46323</v>
      </c>
      <c r="C108" s="103">
        <v>8594.93</v>
      </c>
      <c r="D108">
        <v>0</v>
      </c>
      <c r="E108" s="103">
        <v>7466.36</v>
      </c>
      <c r="G108" s="103">
        <v>1128.57</v>
      </c>
      <c r="H108">
        <v>0</v>
      </c>
      <c r="K108" t="s">
        <v>994</v>
      </c>
      <c r="L108" t="s">
        <v>995</v>
      </c>
    </row>
    <row r="109" spans="1:12" x14ac:dyDescent="0.25">
      <c r="A109" s="102">
        <v>46354</v>
      </c>
      <c r="C109" s="103">
        <v>8594.93</v>
      </c>
      <c r="D109">
        <v>0</v>
      </c>
      <c r="E109" s="103">
        <v>7467.66</v>
      </c>
      <c r="G109" s="103">
        <v>1127.27</v>
      </c>
      <c r="H109">
        <v>0</v>
      </c>
      <c r="K109" t="s">
        <v>996</v>
      </c>
      <c r="L109" t="s">
        <v>997</v>
      </c>
    </row>
    <row r="110" spans="1:12" x14ac:dyDescent="0.25">
      <c r="A110" s="102">
        <v>46384</v>
      </c>
      <c r="C110" s="103">
        <v>8594.93</v>
      </c>
      <c r="D110">
        <v>0</v>
      </c>
      <c r="E110" s="103">
        <v>7541.7</v>
      </c>
      <c r="G110" s="103">
        <v>1053.23</v>
      </c>
      <c r="H110">
        <v>0</v>
      </c>
      <c r="K110" t="s">
        <v>998</v>
      </c>
      <c r="L110" t="s">
        <v>999</v>
      </c>
    </row>
    <row r="111" spans="1:12" x14ac:dyDescent="0.25">
      <c r="A111" s="102">
        <v>46415</v>
      </c>
      <c r="C111" s="103">
        <v>8594.93</v>
      </c>
      <c r="D111">
        <v>0</v>
      </c>
      <c r="E111" s="103">
        <v>7545.91</v>
      </c>
      <c r="G111" s="103">
        <v>1049.02</v>
      </c>
      <c r="H111">
        <v>0</v>
      </c>
      <c r="K111" t="s">
        <v>1000</v>
      </c>
      <c r="L111" t="s">
        <v>1001</v>
      </c>
    </row>
    <row r="112" spans="1:12" x14ac:dyDescent="0.25">
      <c r="A112" s="102">
        <v>46446</v>
      </c>
      <c r="C112" s="103">
        <v>8594.93</v>
      </c>
      <c r="D112">
        <v>0</v>
      </c>
      <c r="E112" s="103">
        <v>7585.26</v>
      </c>
      <c r="G112" s="103">
        <v>1009.67</v>
      </c>
      <c r="H112">
        <v>0</v>
      </c>
      <c r="K112" t="s">
        <v>1002</v>
      </c>
      <c r="L112" t="s">
        <v>1003</v>
      </c>
    </row>
    <row r="113" spans="1:12" x14ac:dyDescent="0.25">
      <c r="A113" s="102">
        <v>46474</v>
      </c>
      <c r="C113" s="103">
        <v>8594.93</v>
      </c>
      <c r="D113">
        <v>0</v>
      </c>
      <c r="E113" s="103">
        <v>7718.68</v>
      </c>
      <c r="G113">
        <v>876.25</v>
      </c>
      <c r="H113">
        <v>0</v>
      </c>
      <c r="K113" t="s">
        <v>1004</v>
      </c>
      <c r="L113" t="s">
        <v>1005</v>
      </c>
    </row>
    <row r="114" spans="1:12" x14ac:dyDescent="0.25">
      <c r="A114" s="102">
        <v>46505</v>
      </c>
      <c r="C114" s="103">
        <v>8594.93</v>
      </c>
      <c r="D114">
        <v>0</v>
      </c>
      <c r="E114" s="103">
        <v>7665.04</v>
      </c>
      <c r="G114">
        <v>929.89</v>
      </c>
      <c r="H114">
        <v>0</v>
      </c>
      <c r="K114" t="s">
        <v>1006</v>
      </c>
      <c r="L114" t="s">
        <v>1007</v>
      </c>
    </row>
    <row r="115" spans="1:12" x14ac:dyDescent="0.25">
      <c r="A115" s="102">
        <v>46535</v>
      </c>
      <c r="C115" s="103">
        <v>8594.93</v>
      </c>
      <c r="D115">
        <v>0</v>
      </c>
      <c r="E115" s="103">
        <v>7733.71</v>
      </c>
      <c r="G115">
        <v>861.22</v>
      </c>
      <c r="H115">
        <v>0</v>
      </c>
      <c r="K115" t="s">
        <v>1008</v>
      </c>
      <c r="L115" t="s">
        <v>1009</v>
      </c>
    </row>
    <row r="116" spans="1:12" x14ac:dyDescent="0.25">
      <c r="A116" s="102">
        <v>46566</v>
      </c>
      <c r="C116" s="103">
        <v>8594.93</v>
      </c>
      <c r="D116">
        <v>0</v>
      </c>
      <c r="E116" s="103">
        <v>7745.32</v>
      </c>
      <c r="G116">
        <v>849.61</v>
      </c>
      <c r="H116">
        <v>0</v>
      </c>
      <c r="K116" t="s">
        <v>1010</v>
      </c>
      <c r="L116" t="s">
        <v>1011</v>
      </c>
    </row>
    <row r="117" spans="1:12" x14ac:dyDescent="0.25">
      <c r="A117" s="102">
        <v>46596</v>
      </c>
      <c r="C117" s="103">
        <v>8594.93</v>
      </c>
      <c r="D117">
        <v>0</v>
      </c>
      <c r="E117" s="103">
        <v>7811.81</v>
      </c>
      <c r="G117">
        <v>783.12</v>
      </c>
      <c r="H117">
        <v>0</v>
      </c>
      <c r="K117" t="s">
        <v>1012</v>
      </c>
      <c r="L117" t="s">
        <v>1013</v>
      </c>
    </row>
    <row r="118" spans="1:12" x14ac:dyDescent="0.25">
      <c r="A118" s="102">
        <v>46627</v>
      </c>
      <c r="C118" s="103">
        <v>8594.93</v>
      </c>
      <c r="D118">
        <v>0</v>
      </c>
      <c r="E118" s="103">
        <v>7826.43</v>
      </c>
      <c r="G118">
        <v>768.5</v>
      </c>
      <c r="H118">
        <v>0</v>
      </c>
      <c r="K118" t="s">
        <v>1014</v>
      </c>
      <c r="L118" t="s">
        <v>1015</v>
      </c>
    </row>
    <row r="119" spans="1:12" x14ac:dyDescent="0.25">
      <c r="A119" s="102">
        <v>46658</v>
      </c>
      <c r="C119" s="103">
        <v>8594.93</v>
      </c>
      <c r="D119">
        <v>0</v>
      </c>
      <c r="E119" s="103">
        <v>7867.24</v>
      </c>
      <c r="G119">
        <v>727.69</v>
      </c>
      <c r="H119">
        <v>0</v>
      </c>
      <c r="K119" t="s">
        <v>1016</v>
      </c>
      <c r="L119" t="s">
        <v>1017</v>
      </c>
    </row>
    <row r="120" spans="1:12" x14ac:dyDescent="0.25">
      <c r="A120" s="102">
        <v>46688</v>
      </c>
      <c r="C120" s="103">
        <v>8594.93</v>
      </c>
      <c r="D120">
        <v>0</v>
      </c>
      <c r="E120" s="103">
        <v>7930.4</v>
      </c>
      <c r="G120">
        <v>664.53</v>
      </c>
      <c r="H120">
        <v>0</v>
      </c>
      <c r="K120" t="s">
        <v>1018</v>
      </c>
      <c r="L120" t="s">
        <v>1019</v>
      </c>
    </row>
    <row r="121" spans="1:12" x14ac:dyDescent="0.25">
      <c r="A121" s="102">
        <v>46719</v>
      </c>
      <c r="C121" s="103">
        <v>8594.93</v>
      </c>
      <c r="D121">
        <v>0</v>
      </c>
      <c r="E121" s="103">
        <v>7949.6</v>
      </c>
      <c r="G121">
        <v>645.33000000000004</v>
      </c>
      <c r="H121">
        <v>0</v>
      </c>
      <c r="K121" t="s">
        <v>1020</v>
      </c>
      <c r="L121" t="s">
        <v>1021</v>
      </c>
    </row>
    <row r="122" spans="1:12" x14ac:dyDescent="0.25">
      <c r="A122" s="102">
        <v>46749</v>
      </c>
      <c r="C122" s="103">
        <v>8594.93</v>
      </c>
      <c r="D122">
        <v>0</v>
      </c>
      <c r="E122" s="103">
        <v>8010.52</v>
      </c>
      <c r="G122">
        <v>584.41</v>
      </c>
      <c r="H122">
        <v>0</v>
      </c>
      <c r="K122" t="s">
        <v>1022</v>
      </c>
      <c r="L122" t="s">
        <v>1023</v>
      </c>
    </row>
    <row r="123" spans="1:12" x14ac:dyDescent="0.25">
      <c r="A123" s="102">
        <v>46780</v>
      </c>
      <c r="C123" s="103">
        <v>8594.93</v>
      </c>
      <c r="D123">
        <v>0</v>
      </c>
      <c r="E123" s="103">
        <v>8032.8</v>
      </c>
      <c r="G123">
        <v>562.13</v>
      </c>
      <c r="H123">
        <v>0</v>
      </c>
      <c r="K123" t="s">
        <v>1024</v>
      </c>
      <c r="L123" t="s">
        <v>1025</v>
      </c>
    </row>
    <row r="124" spans="1:12" x14ac:dyDescent="0.25">
      <c r="A124" s="102">
        <v>46811</v>
      </c>
      <c r="C124" s="103">
        <v>8594.93</v>
      </c>
      <c r="D124">
        <v>0</v>
      </c>
      <c r="E124" s="103">
        <v>8074.68</v>
      </c>
      <c r="G124">
        <v>520.25</v>
      </c>
      <c r="H124">
        <v>0</v>
      </c>
      <c r="K124" t="s">
        <v>1026</v>
      </c>
      <c r="L124" t="s">
        <v>1027</v>
      </c>
    </row>
    <row r="125" spans="1:12" x14ac:dyDescent="0.25">
      <c r="A125" s="102">
        <v>46840</v>
      </c>
      <c r="C125" s="103">
        <v>8594.93</v>
      </c>
      <c r="D125">
        <v>0</v>
      </c>
      <c r="E125" s="103">
        <v>8147.63</v>
      </c>
      <c r="G125">
        <v>447.3</v>
      </c>
      <c r="H125">
        <v>0</v>
      </c>
      <c r="K125" t="s">
        <v>1028</v>
      </c>
      <c r="L125" t="s">
        <v>1029</v>
      </c>
    </row>
    <row r="126" spans="1:12" x14ac:dyDescent="0.25">
      <c r="A126" s="102">
        <v>46871</v>
      </c>
      <c r="C126" s="103">
        <v>8594.93</v>
      </c>
      <c r="D126">
        <v>0</v>
      </c>
      <c r="E126" s="103">
        <v>8159.26</v>
      </c>
      <c r="G126">
        <v>435.67</v>
      </c>
      <c r="H126">
        <v>0</v>
      </c>
      <c r="K126" t="s">
        <v>1030</v>
      </c>
      <c r="L126" t="s">
        <v>1031</v>
      </c>
    </row>
    <row r="127" spans="1:12" x14ac:dyDescent="0.25">
      <c r="A127" s="102">
        <v>46901</v>
      </c>
      <c r="C127" s="103">
        <v>8594.93</v>
      </c>
      <c r="D127">
        <v>0</v>
      </c>
      <c r="E127" s="103">
        <v>8214.48</v>
      </c>
      <c r="G127">
        <v>380.45</v>
      </c>
      <c r="H127">
        <v>0</v>
      </c>
      <c r="K127" t="s">
        <v>1032</v>
      </c>
      <c r="L127" t="s">
        <v>1033</v>
      </c>
    </row>
    <row r="128" spans="1:12" x14ac:dyDescent="0.25">
      <c r="A128" s="102">
        <v>46932</v>
      </c>
      <c r="C128" s="103">
        <v>8594.93</v>
      </c>
      <c r="D128">
        <v>0</v>
      </c>
      <c r="E128" s="103">
        <v>8244.6200000000008</v>
      </c>
      <c r="G128">
        <v>350.31</v>
      </c>
      <c r="H128">
        <v>0</v>
      </c>
      <c r="K128" t="s">
        <v>1034</v>
      </c>
      <c r="L128" t="s">
        <v>1035</v>
      </c>
    </row>
    <row r="129" spans="1:12" x14ac:dyDescent="0.25">
      <c r="A129" s="102">
        <v>46962</v>
      </c>
      <c r="C129" s="103">
        <v>8594.93</v>
      </c>
      <c r="D129">
        <v>0</v>
      </c>
      <c r="E129" s="103">
        <v>8297.52</v>
      </c>
      <c r="G129">
        <v>297.41000000000003</v>
      </c>
      <c r="H129">
        <v>0</v>
      </c>
      <c r="K129" t="s">
        <v>1036</v>
      </c>
      <c r="L129" t="s">
        <v>1037</v>
      </c>
    </row>
    <row r="130" spans="1:12" x14ac:dyDescent="0.25">
      <c r="A130" s="102">
        <v>46993</v>
      </c>
      <c r="C130" s="103">
        <v>8594.93</v>
      </c>
      <c r="D130">
        <v>0</v>
      </c>
      <c r="E130" s="103">
        <v>8330.8700000000008</v>
      </c>
      <c r="G130">
        <v>264.06</v>
      </c>
      <c r="H130">
        <v>0</v>
      </c>
      <c r="K130" t="s">
        <v>1038</v>
      </c>
      <c r="L130" t="s">
        <v>1039</v>
      </c>
    </row>
    <row r="131" spans="1:12" x14ac:dyDescent="0.25">
      <c r="A131" s="102">
        <v>47024</v>
      </c>
      <c r="C131" s="103">
        <v>8594.93</v>
      </c>
      <c r="D131">
        <v>0</v>
      </c>
      <c r="E131" s="103">
        <v>8374.2999999999993</v>
      </c>
      <c r="G131">
        <v>220.63</v>
      </c>
      <c r="H131">
        <v>0</v>
      </c>
      <c r="K131" t="s">
        <v>1040</v>
      </c>
      <c r="L131" t="s">
        <v>1041</v>
      </c>
    </row>
    <row r="132" spans="1:12" x14ac:dyDescent="0.25">
      <c r="A132" s="102">
        <v>47054</v>
      </c>
      <c r="C132" s="103">
        <v>8594.93</v>
      </c>
      <c r="D132">
        <v>0</v>
      </c>
      <c r="E132" s="103">
        <v>8423.67</v>
      </c>
      <c r="G132">
        <v>171.26</v>
      </c>
      <c r="H132">
        <v>0</v>
      </c>
      <c r="K132" t="s">
        <v>1042</v>
      </c>
      <c r="L132" t="s">
        <v>1043</v>
      </c>
    </row>
    <row r="133" spans="1:12" x14ac:dyDescent="0.25">
      <c r="A133" s="102">
        <v>47085</v>
      </c>
      <c r="C133" s="103">
        <v>8594.93</v>
      </c>
      <c r="D133">
        <v>0</v>
      </c>
      <c r="E133" s="103">
        <v>8461.8799999999992</v>
      </c>
      <c r="G133">
        <v>133.05000000000001</v>
      </c>
      <c r="H133">
        <v>0</v>
      </c>
      <c r="K133" t="s">
        <v>1044</v>
      </c>
      <c r="L133" t="s">
        <v>1045</v>
      </c>
    </row>
    <row r="134" spans="1:12" x14ac:dyDescent="0.25">
      <c r="A134" s="102">
        <v>47115</v>
      </c>
      <c r="C134" s="103">
        <v>8594.93</v>
      </c>
      <c r="D134">
        <v>0</v>
      </c>
      <c r="E134" s="103">
        <v>8508.86</v>
      </c>
      <c r="G134">
        <v>86.07</v>
      </c>
      <c r="H134">
        <v>0</v>
      </c>
      <c r="K134" t="s">
        <v>1046</v>
      </c>
      <c r="L134" t="s">
        <v>1047</v>
      </c>
    </row>
    <row r="135" spans="1:12" x14ac:dyDescent="0.25">
      <c r="A135" s="102">
        <v>47146</v>
      </c>
      <c r="C135" s="103">
        <v>8594.7199999999993</v>
      </c>
      <c r="D135">
        <v>0</v>
      </c>
      <c r="E135" s="103">
        <v>8550.14</v>
      </c>
      <c r="G135">
        <v>44.58</v>
      </c>
      <c r="H135">
        <v>0</v>
      </c>
      <c r="K135">
        <v>0</v>
      </c>
      <c r="L135">
        <v>0</v>
      </c>
    </row>
  </sheetData>
  <pageMargins left="0.7" right="0.7" top="0.75" bottom="0.75" header="0.3" footer="0.3"/>
  <pageSetup paperSize="9" orientation="portrait" r:id="rId1"/>
  <headerFooter>
    <oddFooter>&amp;L&amp;"Calibri Light,Regular"&amp;09&amp;K00C000Public</oddFooter>
    <evenFooter>&amp;L&amp;"Calibri Light,Regular"&amp;09&amp;K00C000Public</evenFooter>
    <firstFooter>&amp;L&amp;"Calibri Light,Regular"&amp;09&amp;K00C000Public</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A9416-F9E3-4B0E-9938-988231DB4CC9}">
  <sheetPr>
    <pageSetUpPr autoPageBreaks="0"/>
  </sheetPr>
  <dimension ref="A2:O89"/>
  <sheetViews>
    <sheetView topLeftCell="A40" workbookViewId="0">
      <selection activeCell="C53" sqref="C53"/>
    </sheetView>
  </sheetViews>
  <sheetFormatPr defaultRowHeight="15" x14ac:dyDescent="0.25"/>
  <cols>
    <col min="1" max="1" width="16" bestFit="1" customWidth="1"/>
    <col min="3" max="3" width="9.140625" bestFit="1" customWidth="1"/>
    <col min="4" max="4" width="9" bestFit="1" customWidth="1"/>
    <col min="5" max="5" width="10.28515625" bestFit="1" customWidth="1"/>
    <col min="7" max="7" width="9" bestFit="1" customWidth="1"/>
    <col min="10" max="10" width="10.140625" bestFit="1" customWidth="1"/>
    <col min="11" max="11" width="11.7109375" bestFit="1" customWidth="1"/>
    <col min="12" max="12" width="17.7109375" bestFit="1" customWidth="1"/>
    <col min="14" max="14" width="11.28515625" bestFit="1" customWidth="1"/>
    <col min="15" max="15" width="9.140625" bestFit="1" customWidth="1"/>
  </cols>
  <sheetData>
    <row r="2" spans="1:15" ht="21" x14ac:dyDescent="0.35">
      <c r="A2" s="106" t="s">
        <v>813</v>
      </c>
    </row>
    <row r="4" spans="1:15" x14ac:dyDescent="0.25">
      <c r="A4" t="s">
        <v>102</v>
      </c>
      <c r="M4" t="s">
        <v>1049</v>
      </c>
    </row>
    <row r="6" spans="1:15" x14ac:dyDescent="0.25">
      <c r="A6" t="s">
        <v>104</v>
      </c>
      <c r="B6" t="s">
        <v>105</v>
      </c>
      <c r="C6" t="s">
        <v>106</v>
      </c>
      <c r="D6" t="s">
        <v>107</v>
      </c>
      <c r="E6" t="s">
        <v>108</v>
      </c>
      <c r="F6" t="s">
        <v>109</v>
      </c>
      <c r="G6" t="s">
        <v>110</v>
      </c>
      <c r="H6" t="s">
        <v>111</v>
      </c>
      <c r="I6" t="s">
        <v>112</v>
      </c>
      <c r="J6" t="s">
        <v>113</v>
      </c>
      <c r="K6" t="s">
        <v>114</v>
      </c>
      <c r="L6" t="s">
        <v>115</v>
      </c>
    </row>
    <row r="7" spans="1:15" x14ac:dyDescent="0.25">
      <c r="A7" s="102">
        <v>45320</v>
      </c>
      <c r="C7" s="103">
        <v>4600</v>
      </c>
      <c r="D7">
        <v>0</v>
      </c>
      <c r="E7" s="103">
        <v>400000</v>
      </c>
      <c r="H7" s="103">
        <v>4000</v>
      </c>
      <c r="I7">
        <v>600</v>
      </c>
      <c r="J7" s="103">
        <v>400000</v>
      </c>
      <c r="K7" s="103">
        <v>-400000</v>
      </c>
      <c r="L7" s="103">
        <v>-400000</v>
      </c>
    </row>
    <row r="8" spans="1:15" x14ac:dyDescent="0.25">
      <c r="A8" s="102">
        <v>45350</v>
      </c>
      <c r="C8" s="103">
        <v>12250.33</v>
      </c>
      <c r="D8">
        <v>0</v>
      </c>
      <c r="E8" s="103">
        <v>8962.66</v>
      </c>
      <c r="G8" s="103">
        <v>3287.67</v>
      </c>
      <c r="K8" s="103">
        <v>-391037.34</v>
      </c>
      <c r="L8" s="103">
        <v>-394325.01</v>
      </c>
    </row>
    <row r="9" spans="1:15" x14ac:dyDescent="0.25">
      <c r="A9" s="102">
        <v>45379</v>
      </c>
      <c r="C9" s="103">
        <v>12250.33</v>
      </c>
      <c r="D9">
        <v>0</v>
      </c>
      <c r="E9" s="103">
        <v>8366.74</v>
      </c>
      <c r="G9" s="103">
        <v>3883.59</v>
      </c>
      <c r="K9" s="103">
        <v>-382670.6</v>
      </c>
      <c r="L9" s="103">
        <v>-389841.86</v>
      </c>
    </row>
    <row r="10" spans="1:15" x14ac:dyDescent="0.25">
      <c r="A10" s="102">
        <v>45410</v>
      </c>
      <c r="C10" s="103">
        <v>12250.33</v>
      </c>
      <c r="D10">
        <v>0</v>
      </c>
      <c r="E10" s="103">
        <v>8187.73</v>
      </c>
      <c r="G10" s="103">
        <v>4062.6</v>
      </c>
      <c r="K10" s="103">
        <v>-374482.87</v>
      </c>
      <c r="L10" s="103">
        <v>-385716.73</v>
      </c>
    </row>
    <row r="11" spans="1:15" x14ac:dyDescent="0.25">
      <c r="A11" s="102">
        <v>45440</v>
      </c>
      <c r="C11" s="103">
        <v>12250.33</v>
      </c>
      <c r="D11">
        <v>0</v>
      </c>
      <c r="E11" s="103">
        <v>8402.9</v>
      </c>
      <c r="G11" s="103">
        <v>3847.43</v>
      </c>
      <c r="K11" s="103">
        <v>-366079.97</v>
      </c>
      <c r="L11" s="103">
        <v>-381161.26</v>
      </c>
    </row>
    <row r="12" spans="1:15" x14ac:dyDescent="0.25">
      <c r="A12" s="102">
        <v>45471</v>
      </c>
      <c r="C12" s="103">
        <v>12250.33</v>
      </c>
      <c r="D12">
        <v>0</v>
      </c>
      <c r="E12" s="103">
        <v>8363.86</v>
      </c>
      <c r="G12" s="103">
        <v>3886.47</v>
      </c>
      <c r="K12" s="103">
        <v>-357716.11</v>
      </c>
      <c r="L12" s="103">
        <v>-376683.87</v>
      </c>
    </row>
    <row r="13" spans="1:15" x14ac:dyDescent="0.25">
      <c r="A13" s="102">
        <v>45501</v>
      </c>
      <c r="C13" s="103">
        <v>12250.33</v>
      </c>
      <c r="D13">
        <v>0</v>
      </c>
      <c r="E13" s="103">
        <v>8575.16</v>
      </c>
      <c r="G13" s="103">
        <v>3675.17</v>
      </c>
      <c r="K13" s="103">
        <v>-349140.95</v>
      </c>
      <c r="L13" s="103">
        <v>-371783.88</v>
      </c>
      <c r="N13" s="208">
        <v>45522</v>
      </c>
    </row>
    <row r="14" spans="1:15" x14ac:dyDescent="0.25">
      <c r="A14" s="102">
        <v>45532</v>
      </c>
      <c r="C14" s="209">
        <v>12250.33</v>
      </c>
      <c r="D14">
        <v>0</v>
      </c>
      <c r="E14" s="103">
        <v>8543.7000000000007</v>
      </c>
      <c r="G14" s="103">
        <v>3706.63</v>
      </c>
      <c r="H14">
        <v>0</v>
      </c>
      <c r="K14" s="103">
        <v>-340597.25</v>
      </c>
      <c r="L14" s="103">
        <v>-359533.55</v>
      </c>
    </row>
    <row r="15" spans="1:15" x14ac:dyDescent="0.25">
      <c r="A15" s="102">
        <v>45563</v>
      </c>
      <c r="C15" s="209">
        <v>12250.33</v>
      </c>
      <c r="D15">
        <v>0</v>
      </c>
      <c r="E15" s="103">
        <v>8634.4</v>
      </c>
      <c r="G15" s="210">
        <v>3615.93</v>
      </c>
      <c r="H15">
        <v>0</v>
      </c>
      <c r="K15" s="103">
        <v>-331962.84999999998</v>
      </c>
      <c r="L15" s="103">
        <v>-347283.22</v>
      </c>
      <c r="N15" t="s">
        <v>1050</v>
      </c>
      <c r="O15" s="210">
        <f>SUM(G15:G17)</f>
        <v>10456.93</v>
      </c>
    </row>
    <row r="16" spans="1:15" x14ac:dyDescent="0.25">
      <c r="A16" s="102">
        <v>45593</v>
      </c>
      <c r="C16" s="209">
        <v>12250.33</v>
      </c>
      <c r="D16">
        <v>0</v>
      </c>
      <c r="E16" s="103">
        <v>8839.75</v>
      </c>
      <c r="G16" s="210">
        <v>3410.58</v>
      </c>
      <c r="H16">
        <v>0</v>
      </c>
      <c r="K16" s="103">
        <v>-323123.09999999998</v>
      </c>
      <c r="L16" s="103">
        <v>-335032.89</v>
      </c>
      <c r="N16" t="s">
        <v>108</v>
      </c>
      <c r="O16" s="103">
        <f>O17-O15</f>
        <v>63045.049999999996</v>
      </c>
    </row>
    <row r="17" spans="1:15" x14ac:dyDescent="0.25">
      <c r="A17" s="102">
        <v>45624</v>
      </c>
      <c r="C17" s="209">
        <v>12250.33</v>
      </c>
      <c r="D17">
        <v>0</v>
      </c>
      <c r="E17" s="103">
        <v>8819.91</v>
      </c>
      <c r="G17" s="210">
        <v>3430.42</v>
      </c>
      <c r="H17">
        <v>0</v>
      </c>
      <c r="K17" s="103">
        <v>-314303.19</v>
      </c>
      <c r="L17" s="103">
        <v>-322782.56</v>
      </c>
      <c r="N17" t="s">
        <v>1051</v>
      </c>
      <c r="O17" s="206">
        <f>SUM(C14:C19)</f>
        <v>73501.98</v>
      </c>
    </row>
    <row r="18" spans="1:15" x14ac:dyDescent="0.25">
      <c r="A18" s="102">
        <v>45654</v>
      </c>
      <c r="C18" s="209">
        <v>12250.33</v>
      </c>
      <c r="D18">
        <v>0</v>
      </c>
      <c r="E18" s="103">
        <v>9021.19</v>
      </c>
      <c r="G18" s="103">
        <v>3229.14</v>
      </c>
      <c r="H18">
        <v>0</v>
      </c>
      <c r="K18" s="103">
        <v>-305282</v>
      </c>
      <c r="L18" s="103">
        <v>-310532.23</v>
      </c>
      <c r="O18" s="103"/>
    </row>
    <row r="19" spans="1:15" x14ac:dyDescent="0.25">
      <c r="A19" s="102">
        <v>45685</v>
      </c>
      <c r="C19" s="209">
        <v>12250.33</v>
      </c>
      <c r="D19">
        <v>0</v>
      </c>
      <c r="E19" s="103">
        <v>9009.32</v>
      </c>
      <c r="G19" s="103">
        <v>3241.01</v>
      </c>
      <c r="H19">
        <v>0</v>
      </c>
      <c r="K19" s="103">
        <v>-296272.68</v>
      </c>
      <c r="L19" s="103">
        <v>-298281.90000000002</v>
      </c>
    </row>
    <row r="20" spans="1:15" x14ac:dyDescent="0.25">
      <c r="A20" s="102">
        <v>45716</v>
      </c>
      <c r="C20" s="103">
        <v>12250.33</v>
      </c>
      <c r="D20">
        <v>0</v>
      </c>
      <c r="E20" s="103">
        <v>9104.9699999999993</v>
      </c>
      <c r="G20" s="103">
        <v>3145.36</v>
      </c>
      <c r="H20">
        <v>0</v>
      </c>
      <c r="K20" s="103">
        <v>-287167.71000000002</v>
      </c>
      <c r="L20" s="103">
        <v>-286031.57</v>
      </c>
    </row>
    <row r="21" spans="1:15" x14ac:dyDescent="0.25">
      <c r="A21" s="102">
        <v>45744</v>
      </c>
      <c r="C21" s="103">
        <v>12250.33</v>
      </c>
      <c r="D21">
        <v>0</v>
      </c>
      <c r="E21" s="103">
        <v>9496.67</v>
      </c>
      <c r="G21" s="103">
        <v>2753.66</v>
      </c>
      <c r="H21">
        <v>0</v>
      </c>
      <c r="K21" s="103">
        <v>-277671.03999999998</v>
      </c>
      <c r="L21" s="103">
        <v>-273781.24</v>
      </c>
    </row>
    <row r="22" spans="1:15" x14ac:dyDescent="0.25">
      <c r="A22" s="102">
        <v>45775</v>
      </c>
      <c r="C22" s="103">
        <v>12250.33</v>
      </c>
      <c r="D22">
        <v>0</v>
      </c>
      <c r="E22" s="103">
        <v>9302.4500000000007</v>
      </c>
      <c r="G22" s="103">
        <v>2947.88</v>
      </c>
      <c r="H22">
        <v>0</v>
      </c>
      <c r="K22" s="103">
        <v>-268368.59000000003</v>
      </c>
      <c r="L22" s="103">
        <v>-261530.91</v>
      </c>
    </row>
    <row r="23" spans="1:15" x14ac:dyDescent="0.25">
      <c r="A23" s="102">
        <v>45805</v>
      </c>
      <c r="C23" s="103">
        <v>12250.33</v>
      </c>
      <c r="D23">
        <v>0</v>
      </c>
      <c r="E23" s="103">
        <v>9493.1200000000008</v>
      </c>
      <c r="G23" s="103">
        <v>2757.21</v>
      </c>
      <c r="H23">
        <v>0</v>
      </c>
      <c r="K23" s="103">
        <v>-258875.47</v>
      </c>
      <c r="L23" s="103">
        <v>-249280.58</v>
      </c>
    </row>
    <row r="24" spans="1:15" x14ac:dyDescent="0.25">
      <c r="A24" s="102">
        <v>45836</v>
      </c>
      <c r="C24" s="103">
        <v>12250.33</v>
      </c>
      <c r="D24">
        <v>0</v>
      </c>
      <c r="E24" s="103">
        <v>9501.99</v>
      </c>
      <c r="G24" s="103">
        <v>2748.34</v>
      </c>
      <c r="H24">
        <v>0</v>
      </c>
      <c r="K24" s="103">
        <v>-249373.48</v>
      </c>
      <c r="L24" s="103">
        <v>-237030.25</v>
      </c>
    </row>
    <row r="25" spans="1:15" x14ac:dyDescent="0.25">
      <c r="A25" s="102">
        <v>45866</v>
      </c>
      <c r="C25" s="103">
        <v>12250.33</v>
      </c>
      <c r="D25">
        <v>0</v>
      </c>
      <c r="E25" s="103">
        <v>9688.27</v>
      </c>
      <c r="G25" s="103">
        <v>2562.06</v>
      </c>
      <c r="H25">
        <v>0</v>
      </c>
      <c r="K25" s="103">
        <v>-239685.21</v>
      </c>
      <c r="L25" s="103">
        <v>-224779.92</v>
      </c>
    </row>
    <row r="26" spans="1:15" x14ac:dyDescent="0.25">
      <c r="A26" s="102">
        <v>45897</v>
      </c>
      <c r="C26" s="103">
        <v>12250.33</v>
      </c>
      <c r="D26">
        <v>0</v>
      </c>
      <c r="E26" s="103">
        <v>9705.73</v>
      </c>
      <c r="G26" s="103">
        <v>2544.6</v>
      </c>
      <c r="H26">
        <v>0</v>
      </c>
      <c r="K26" s="103">
        <v>-229979.48</v>
      </c>
      <c r="L26" s="103">
        <v>-212529.59</v>
      </c>
    </row>
    <row r="27" spans="1:15" x14ac:dyDescent="0.25">
      <c r="A27" s="102">
        <v>45928</v>
      </c>
      <c r="C27" s="103">
        <v>12250.33</v>
      </c>
      <c r="D27">
        <v>0</v>
      </c>
      <c r="E27" s="103">
        <v>9808.77</v>
      </c>
      <c r="G27" s="103">
        <v>2441.56</v>
      </c>
      <c r="H27">
        <v>0</v>
      </c>
      <c r="K27" s="103">
        <v>-220170.71</v>
      </c>
      <c r="L27" s="103">
        <v>-200279.26</v>
      </c>
    </row>
    <row r="28" spans="1:15" x14ac:dyDescent="0.25">
      <c r="A28" s="102">
        <v>45958</v>
      </c>
      <c r="C28" s="103">
        <v>12250.33</v>
      </c>
      <c r="D28">
        <v>0</v>
      </c>
      <c r="E28" s="103">
        <v>9988.2999999999993</v>
      </c>
      <c r="G28" s="103">
        <v>2262.0300000000002</v>
      </c>
      <c r="H28">
        <v>0</v>
      </c>
      <c r="K28" s="103">
        <v>-210182.41</v>
      </c>
      <c r="L28" s="103">
        <v>-188028.93</v>
      </c>
    </row>
    <row r="29" spans="1:15" x14ac:dyDescent="0.25">
      <c r="A29" s="102">
        <v>45989</v>
      </c>
      <c r="C29" s="103">
        <v>12250.33</v>
      </c>
      <c r="D29">
        <v>0</v>
      </c>
      <c r="E29" s="103">
        <v>10018.94</v>
      </c>
      <c r="G29" s="103">
        <v>2231.39</v>
      </c>
      <c r="H29">
        <v>0</v>
      </c>
      <c r="K29" s="103">
        <v>-200163.47</v>
      </c>
      <c r="L29" s="103">
        <v>-175778.6</v>
      </c>
    </row>
    <row r="30" spans="1:15" x14ac:dyDescent="0.25">
      <c r="A30" s="102">
        <v>46019</v>
      </c>
      <c r="C30" s="103">
        <v>12250.33</v>
      </c>
      <c r="D30">
        <v>0</v>
      </c>
      <c r="E30" s="103">
        <v>10193.86</v>
      </c>
      <c r="G30" s="103">
        <v>2056.4699999999998</v>
      </c>
      <c r="H30">
        <v>0</v>
      </c>
      <c r="K30" s="103">
        <v>-189969.61</v>
      </c>
      <c r="L30" s="103">
        <v>-163528.26999999999</v>
      </c>
    </row>
    <row r="31" spans="1:15" x14ac:dyDescent="0.25">
      <c r="A31" s="102">
        <v>46050</v>
      </c>
      <c r="C31" s="103">
        <v>12250.33</v>
      </c>
      <c r="D31">
        <v>0</v>
      </c>
      <c r="E31" s="103">
        <v>10233.530000000001</v>
      </c>
      <c r="G31" s="103">
        <v>2016.8</v>
      </c>
      <c r="H31">
        <v>0</v>
      </c>
      <c r="K31" s="103">
        <v>-179736.08</v>
      </c>
      <c r="L31" s="103">
        <v>-151277.94</v>
      </c>
    </row>
    <row r="32" spans="1:15" x14ac:dyDescent="0.25">
      <c r="A32" s="102">
        <v>46081</v>
      </c>
      <c r="C32" s="103">
        <v>12250.33</v>
      </c>
      <c r="D32">
        <v>0</v>
      </c>
      <c r="E32" s="103">
        <v>10342.17</v>
      </c>
      <c r="G32" s="103">
        <v>1908.16</v>
      </c>
      <c r="H32">
        <v>0</v>
      </c>
      <c r="K32" s="103">
        <v>-169393.91</v>
      </c>
      <c r="L32" s="103">
        <v>-139027.60999999999</v>
      </c>
    </row>
    <row r="33" spans="1:12" x14ac:dyDescent="0.25">
      <c r="A33" s="102">
        <v>46109</v>
      </c>
      <c r="C33" s="103">
        <v>12250.33</v>
      </c>
      <c r="D33">
        <v>0</v>
      </c>
      <c r="E33" s="103">
        <v>10626</v>
      </c>
      <c r="G33" s="103">
        <v>1624.33</v>
      </c>
      <c r="H33">
        <v>0</v>
      </c>
      <c r="K33" s="103">
        <v>-158767.91</v>
      </c>
      <c r="L33" s="103">
        <v>-126777.28</v>
      </c>
    </row>
    <row r="34" spans="1:12" x14ac:dyDescent="0.25">
      <c r="A34" s="102">
        <v>46140</v>
      </c>
      <c r="C34" s="103">
        <v>12250.33</v>
      </c>
      <c r="D34">
        <v>0</v>
      </c>
      <c r="E34" s="103">
        <v>10564.78</v>
      </c>
      <c r="G34" s="103">
        <v>1685.55</v>
      </c>
      <c r="H34">
        <v>0</v>
      </c>
      <c r="K34" s="103">
        <v>-148203.13</v>
      </c>
      <c r="L34" s="103">
        <v>-114526.95</v>
      </c>
    </row>
    <row r="35" spans="1:12" x14ac:dyDescent="0.25">
      <c r="A35" s="102">
        <v>46170</v>
      </c>
      <c r="C35" s="103">
        <v>12250.33</v>
      </c>
      <c r="D35">
        <v>0</v>
      </c>
      <c r="E35" s="103">
        <v>10727.69</v>
      </c>
      <c r="G35" s="103">
        <v>1522.64</v>
      </c>
      <c r="H35">
        <v>0</v>
      </c>
      <c r="K35" s="103">
        <v>-137475.44</v>
      </c>
      <c r="L35" s="103">
        <v>-102276.62</v>
      </c>
    </row>
    <row r="36" spans="1:12" x14ac:dyDescent="0.25">
      <c r="A36" s="102">
        <v>46201</v>
      </c>
      <c r="C36" s="103">
        <v>12250.33</v>
      </c>
      <c r="D36">
        <v>0</v>
      </c>
      <c r="E36" s="103">
        <v>10790.83</v>
      </c>
      <c r="G36" s="103">
        <v>1459.5</v>
      </c>
      <c r="H36">
        <v>0</v>
      </c>
      <c r="K36" s="103">
        <v>-126684.61</v>
      </c>
      <c r="L36" s="103">
        <v>-90026.29</v>
      </c>
    </row>
    <row r="37" spans="1:12" x14ac:dyDescent="0.25">
      <c r="A37" s="102">
        <v>46231</v>
      </c>
      <c r="C37" s="103">
        <v>12250.33</v>
      </c>
      <c r="D37">
        <v>0</v>
      </c>
      <c r="E37" s="103">
        <v>10948.78</v>
      </c>
      <c r="G37" s="103">
        <v>1301.55</v>
      </c>
      <c r="H37">
        <v>0</v>
      </c>
      <c r="K37" s="103">
        <v>-115735.83</v>
      </c>
      <c r="L37" s="103">
        <v>-77775.960000000006</v>
      </c>
    </row>
    <row r="38" spans="1:12" x14ac:dyDescent="0.25">
      <c r="A38" s="102">
        <v>46262</v>
      </c>
      <c r="C38" s="103">
        <v>12250.33</v>
      </c>
      <c r="D38">
        <v>0</v>
      </c>
      <c r="E38" s="103">
        <v>11021.63</v>
      </c>
      <c r="G38" s="103">
        <v>1228.7</v>
      </c>
      <c r="H38">
        <v>0</v>
      </c>
      <c r="K38" s="103">
        <v>-104714.2</v>
      </c>
      <c r="L38" s="103">
        <v>-65525.63</v>
      </c>
    </row>
    <row r="39" spans="1:12" x14ac:dyDescent="0.25">
      <c r="A39" s="102">
        <v>46293</v>
      </c>
      <c r="C39" s="103">
        <v>12250.33</v>
      </c>
      <c r="D39">
        <v>0</v>
      </c>
      <c r="E39" s="103">
        <v>11138.64</v>
      </c>
      <c r="G39" s="103">
        <v>1111.69</v>
      </c>
      <c r="H39">
        <v>0</v>
      </c>
      <c r="K39" s="103">
        <v>-93575.56</v>
      </c>
      <c r="L39" s="103">
        <v>-53275.3</v>
      </c>
    </row>
    <row r="40" spans="1:12" x14ac:dyDescent="0.25">
      <c r="A40" s="102">
        <v>46323</v>
      </c>
      <c r="C40" s="103">
        <v>12250.33</v>
      </c>
      <c r="D40">
        <v>0</v>
      </c>
      <c r="E40" s="103">
        <v>11288.94</v>
      </c>
      <c r="G40">
        <v>961.39</v>
      </c>
      <c r="H40">
        <v>0</v>
      </c>
      <c r="K40" s="103">
        <v>-82286.62</v>
      </c>
      <c r="L40" s="103">
        <v>-41024.97</v>
      </c>
    </row>
    <row r="41" spans="1:12" x14ac:dyDescent="0.25">
      <c r="A41" s="102">
        <v>46354</v>
      </c>
      <c r="C41" s="103">
        <v>12250.33</v>
      </c>
      <c r="D41">
        <v>0</v>
      </c>
      <c r="E41" s="103">
        <v>11376.74</v>
      </c>
      <c r="G41">
        <v>873.59</v>
      </c>
      <c r="H41">
        <v>0</v>
      </c>
      <c r="K41" s="103">
        <v>-70909.88</v>
      </c>
      <c r="L41" s="103">
        <v>-28774.639999999999</v>
      </c>
    </row>
    <row r="42" spans="1:12" x14ac:dyDescent="0.25">
      <c r="A42" s="102">
        <v>46384</v>
      </c>
      <c r="C42" s="103">
        <v>12250.33</v>
      </c>
      <c r="D42">
        <v>0</v>
      </c>
      <c r="E42" s="103">
        <v>11521.8</v>
      </c>
      <c r="G42">
        <v>728.53</v>
      </c>
      <c r="H42">
        <v>0</v>
      </c>
      <c r="K42" s="103">
        <v>-59388.08</v>
      </c>
      <c r="L42" s="103">
        <v>-16524.310000000001</v>
      </c>
    </row>
    <row r="43" spans="1:12" x14ac:dyDescent="0.25">
      <c r="A43" s="102">
        <v>46415</v>
      </c>
      <c r="C43" s="103">
        <v>12250.33</v>
      </c>
      <c r="D43">
        <v>0</v>
      </c>
      <c r="E43" s="103">
        <v>11619.84</v>
      </c>
      <c r="G43">
        <v>630.49</v>
      </c>
      <c r="H43">
        <v>0</v>
      </c>
      <c r="K43" s="103">
        <v>-47768.24</v>
      </c>
      <c r="L43" s="103">
        <v>-4273.9799999999996</v>
      </c>
    </row>
    <row r="44" spans="1:12" x14ac:dyDescent="0.25">
      <c r="A44" s="102">
        <v>46446</v>
      </c>
      <c r="C44" s="103">
        <v>12250.33</v>
      </c>
      <c r="D44">
        <v>0</v>
      </c>
      <c r="E44" s="103">
        <v>11743.2</v>
      </c>
      <c r="G44">
        <v>507.13</v>
      </c>
      <c r="H44">
        <v>0</v>
      </c>
      <c r="K44" s="103">
        <v>-36025.040000000001</v>
      </c>
      <c r="L44" s="103">
        <v>7976.35</v>
      </c>
    </row>
    <row r="45" spans="1:12" x14ac:dyDescent="0.25">
      <c r="A45" s="102">
        <v>46474</v>
      </c>
      <c r="C45" s="103">
        <v>12250.33</v>
      </c>
      <c r="D45">
        <v>0</v>
      </c>
      <c r="E45" s="103">
        <v>11904.88</v>
      </c>
      <c r="G45">
        <v>345.45</v>
      </c>
      <c r="H45">
        <v>0</v>
      </c>
      <c r="K45" s="103">
        <v>-24120.16</v>
      </c>
      <c r="L45" s="103">
        <v>20226.68</v>
      </c>
    </row>
    <row r="46" spans="1:12" x14ac:dyDescent="0.25">
      <c r="A46" s="102">
        <v>46505</v>
      </c>
      <c r="C46" s="103">
        <v>12250.33</v>
      </c>
      <c r="D46">
        <v>0</v>
      </c>
      <c r="E46" s="103">
        <v>11994.26</v>
      </c>
      <c r="G46">
        <v>256.07</v>
      </c>
      <c r="H46">
        <v>0</v>
      </c>
      <c r="K46" s="103">
        <v>-12125.9</v>
      </c>
      <c r="L46" s="103">
        <v>32477.01</v>
      </c>
    </row>
    <row r="47" spans="1:12" x14ac:dyDescent="0.25">
      <c r="A47" s="102">
        <v>46535</v>
      </c>
      <c r="C47" s="103">
        <v>12250.47</v>
      </c>
      <c r="D47">
        <v>0</v>
      </c>
      <c r="E47" s="103">
        <v>12125.9</v>
      </c>
      <c r="G47">
        <v>124.57</v>
      </c>
      <c r="H47">
        <v>0</v>
      </c>
      <c r="K47">
        <v>0</v>
      </c>
      <c r="L47" s="103">
        <v>44727.48</v>
      </c>
    </row>
    <row r="50" spans="1:13" ht="21" x14ac:dyDescent="0.35">
      <c r="A50" s="106" t="s">
        <v>1119</v>
      </c>
    </row>
    <row r="52" spans="1:13" x14ac:dyDescent="0.25">
      <c r="A52" t="s">
        <v>102</v>
      </c>
      <c r="M52" t="s">
        <v>1052</v>
      </c>
    </row>
    <row r="54" spans="1:13" x14ac:dyDescent="0.25">
      <c r="A54" t="s">
        <v>104</v>
      </c>
      <c r="B54" t="s">
        <v>105</v>
      </c>
      <c r="C54" t="s">
        <v>106</v>
      </c>
      <c r="D54" t="s">
        <v>107</v>
      </c>
      <c r="E54" t="s">
        <v>108</v>
      </c>
      <c r="F54" t="s">
        <v>109</v>
      </c>
      <c r="G54" t="s">
        <v>110</v>
      </c>
      <c r="H54" t="s">
        <v>111</v>
      </c>
      <c r="I54" t="s">
        <v>112</v>
      </c>
      <c r="J54" t="s">
        <v>113</v>
      </c>
      <c r="K54" t="s">
        <v>114</v>
      </c>
      <c r="L54" t="s">
        <v>115</v>
      </c>
    </row>
    <row r="55" spans="1:13" x14ac:dyDescent="0.25">
      <c r="A55" s="102">
        <v>45320</v>
      </c>
      <c r="C55" s="103">
        <v>4600</v>
      </c>
      <c r="D55">
        <v>0</v>
      </c>
      <c r="E55" s="103">
        <v>400000</v>
      </c>
      <c r="H55" s="103">
        <v>4000</v>
      </c>
      <c r="I55">
        <v>600</v>
      </c>
      <c r="J55" s="103">
        <v>400000</v>
      </c>
      <c r="K55" t="s">
        <v>1053</v>
      </c>
      <c r="L55" t="s">
        <v>1053</v>
      </c>
    </row>
    <row r="56" spans="1:13" x14ac:dyDescent="0.25">
      <c r="A56" s="102">
        <v>45350</v>
      </c>
      <c r="C56" s="103">
        <v>12250.33</v>
      </c>
      <c r="D56">
        <v>0</v>
      </c>
      <c r="E56" s="103">
        <v>8962.66</v>
      </c>
      <c r="G56" s="103">
        <v>3287.67</v>
      </c>
      <c r="K56" t="s">
        <v>1054</v>
      </c>
      <c r="L56" t="s">
        <v>1055</v>
      </c>
    </row>
    <row r="57" spans="1:13" x14ac:dyDescent="0.25">
      <c r="A57" s="102">
        <v>45379</v>
      </c>
      <c r="C57" s="103">
        <v>12250.33</v>
      </c>
      <c r="D57">
        <v>0</v>
      </c>
      <c r="E57" s="103">
        <v>8366.74</v>
      </c>
      <c r="G57" s="103">
        <v>3883.59</v>
      </c>
      <c r="K57" t="s">
        <v>1056</v>
      </c>
      <c r="L57" t="s">
        <v>1057</v>
      </c>
    </row>
    <row r="58" spans="1:13" x14ac:dyDescent="0.25">
      <c r="A58" s="102">
        <v>45410</v>
      </c>
      <c r="C58" s="103">
        <v>12250.33</v>
      </c>
      <c r="D58">
        <v>0</v>
      </c>
      <c r="E58" s="103">
        <v>8187.73</v>
      </c>
      <c r="G58" s="103">
        <v>4062.6</v>
      </c>
      <c r="K58" t="s">
        <v>1058</v>
      </c>
      <c r="L58" t="s">
        <v>1059</v>
      </c>
    </row>
    <row r="59" spans="1:13" x14ac:dyDescent="0.25">
      <c r="A59" s="102">
        <v>45440</v>
      </c>
      <c r="C59" s="103">
        <v>12250.33</v>
      </c>
      <c r="D59">
        <v>0</v>
      </c>
      <c r="E59" s="103">
        <v>8402.9</v>
      </c>
      <c r="G59" s="103">
        <v>3847.43</v>
      </c>
      <c r="K59" t="s">
        <v>1060</v>
      </c>
      <c r="L59" t="s">
        <v>1061</v>
      </c>
    </row>
    <row r="60" spans="1:13" x14ac:dyDescent="0.25">
      <c r="A60" s="102">
        <v>45471</v>
      </c>
      <c r="C60" s="103">
        <v>12250.33</v>
      </c>
      <c r="D60">
        <v>0</v>
      </c>
      <c r="E60" s="103">
        <v>8363.86</v>
      </c>
      <c r="G60" s="103">
        <v>3886.47</v>
      </c>
      <c r="K60" t="s">
        <v>1062</v>
      </c>
      <c r="L60" t="s">
        <v>1063</v>
      </c>
    </row>
    <row r="61" spans="1:13" x14ac:dyDescent="0.25">
      <c r="A61" s="102">
        <v>45501</v>
      </c>
      <c r="C61" s="103">
        <v>12250.33</v>
      </c>
      <c r="D61">
        <v>0</v>
      </c>
      <c r="E61" s="103">
        <v>8575.16</v>
      </c>
      <c r="G61" s="103">
        <v>3675.17</v>
      </c>
      <c r="K61" t="s">
        <v>1064</v>
      </c>
      <c r="L61" t="s">
        <v>1065</v>
      </c>
    </row>
    <row r="62" spans="1:13" x14ac:dyDescent="0.25">
      <c r="A62" s="102">
        <v>45522</v>
      </c>
      <c r="C62" s="103">
        <v>10456.93</v>
      </c>
      <c r="D62">
        <v>0</v>
      </c>
      <c r="H62" s="103">
        <v>10456.93</v>
      </c>
      <c r="K62" t="s">
        <v>1066</v>
      </c>
      <c r="L62" t="s">
        <v>1067</v>
      </c>
    </row>
    <row r="63" spans="1:13" x14ac:dyDescent="0.25">
      <c r="A63" s="102">
        <v>45532</v>
      </c>
      <c r="C63" s="103">
        <v>12250.33</v>
      </c>
      <c r="D63">
        <v>0</v>
      </c>
      <c r="E63" s="103">
        <v>8334.24</v>
      </c>
      <c r="G63" s="103">
        <v>3916.09</v>
      </c>
      <c r="H63">
        <v>0</v>
      </c>
      <c r="K63" t="s">
        <v>1068</v>
      </c>
      <c r="L63" t="s">
        <v>1069</v>
      </c>
    </row>
    <row r="64" spans="1:13" x14ac:dyDescent="0.25">
      <c r="A64" s="102">
        <v>45563</v>
      </c>
      <c r="C64" s="103">
        <v>12250.33</v>
      </c>
      <c r="D64">
        <v>0</v>
      </c>
      <c r="E64" s="103">
        <v>8021.27</v>
      </c>
      <c r="G64" s="103">
        <v>4229.0600000000004</v>
      </c>
      <c r="H64">
        <v>0</v>
      </c>
      <c r="K64" t="s">
        <v>1070</v>
      </c>
      <c r="L64" t="s">
        <v>1071</v>
      </c>
    </row>
    <row r="65" spans="1:12" x14ac:dyDescent="0.25">
      <c r="A65" s="102">
        <v>45593</v>
      </c>
      <c r="C65" s="103">
        <v>12250.33</v>
      </c>
      <c r="D65">
        <v>0</v>
      </c>
      <c r="E65" s="103">
        <v>8275.8799999999992</v>
      </c>
      <c r="G65" s="103">
        <v>3974.45</v>
      </c>
      <c r="H65">
        <v>0</v>
      </c>
      <c r="K65" t="s">
        <v>1072</v>
      </c>
      <c r="L65" t="s">
        <v>1073</v>
      </c>
    </row>
    <row r="66" spans="1:12" x14ac:dyDescent="0.25">
      <c r="A66" s="102">
        <v>45624</v>
      </c>
      <c r="C66" s="103">
        <v>12250.33</v>
      </c>
      <c r="D66">
        <v>0</v>
      </c>
      <c r="E66" s="103">
        <v>8269.41</v>
      </c>
      <c r="G66" s="103">
        <v>3980.92</v>
      </c>
      <c r="H66">
        <v>0</v>
      </c>
      <c r="K66" t="s">
        <v>1074</v>
      </c>
      <c r="L66" t="s">
        <v>1075</v>
      </c>
    </row>
    <row r="67" spans="1:12" x14ac:dyDescent="0.25">
      <c r="A67" s="102">
        <v>45654</v>
      </c>
      <c r="C67" s="103">
        <v>12250.33</v>
      </c>
      <c r="D67">
        <v>0</v>
      </c>
      <c r="E67" s="103">
        <v>8519.67</v>
      </c>
      <c r="G67" s="103">
        <v>3730.66</v>
      </c>
      <c r="H67">
        <v>0</v>
      </c>
      <c r="K67" t="s">
        <v>1076</v>
      </c>
      <c r="L67" t="s">
        <v>1077</v>
      </c>
    </row>
    <row r="68" spans="1:12" x14ac:dyDescent="0.25">
      <c r="A68" s="102">
        <v>45685</v>
      </c>
      <c r="C68" s="103">
        <v>12250.33</v>
      </c>
      <c r="D68">
        <v>0</v>
      </c>
      <c r="E68" s="103">
        <v>8525.0300000000007</v>
      </c>
      <c r="G68" s="103">
        <v>3725.3</v>
      </c>
      <c r="H68">
        <v>0</v>
      </c>
      <c r="K68" t="s">
        <v>1078</v>
      </c>
      <c r="L68" t="s">
        <v>1079</v>
      </c>
    </row>
    <row r="69" spans="1:12" x14ac:dyDescent="0.25">
      <c r="A69" s="102">
        <v>45716</v>
      </c>
      <c r="C69" s="103">
        <v>12250.33</v>
      </c>
      <c r="D69">
        <v>0</v>
      </c>
      <c r="E69" s="103">
        <v>8654.82</v>
      </c>
      <c r="G69" s="103">
        <v>3595.51</v>
      </c>
      <c r="H69">
        <v>0</v>
      </c>
      <c r="K69" t="s">
        <v>1080</v>
      </c>
      <c r="L69" t="s">
        <v>1081</v>
      </c>
    </row>
    <row r="70" spans="1:12" x14ac:dyDescent="0.25">
      <c r="A70" s="102">
        <v>45744</v>
      </c>
      <c r="C70" s="103">
        <v>12250.33</v>
      </c>
      <c r="D70">
        <v>0</v>
      </c>
      <c r="E70" s="103">
        <v>9121.7999999999993</v>
      </c>
      <c r="G70" s="103">
        <v>3128.53</v>
      </c>
      <c r="H70">
        <v>0</v>
      </c>
      <c r="K70" t="s">
        <v>1082</v>
      </c>
      <c r="L70" t="s">
        <v>1083</v>
      </c>
    </row>
    <row r="71" spans="1:12" x14ac:dyDescent="0.25">
      <c r="A71" s="102">
        <v>45775</v>
      </c>
      <c r="C71" s="103">
        <v>12250.33</v>
      </c>
      <c r="D71">
        <v>0</v>
      </c>
      <c r="E71" s="103">
        <v>8925.48</v>
      </c>
      <c r="G71" s="103">
        <v>3324.85</v>
      </c>
      <c r="H71">
        <v>0</v>
      </c>
      <c r="K71" t="s">
        <v>1084</v>
      </c>
      <c r="L71" t="s">
        <v>1085</v>
      </c>
    </row>
    <row r="72" spans="1:12" x14ac:dyDescent="0.25">
      <c r="A72" s="102">
        <v>45805</v>
      </c>
      <c r="C72" s="103">
        <v>12250.33</v>
      </c>
      <c r="D72">
        <v>0</v>
      </c>
      <c r="E72" s="103">
        <v>9164.25</v>
      </c>
      <c r="G72" s="103">
        <v>3086.08</v>
      </c>
      <c r="H72">
        <v>0</v>
      </c>
      <c r="K72" t="s">
        <v>1086</v>
      </c>
      <c r="L72" t="s">
        <v>1087</v>
      </c>
    </row>
    <row r="73" spans="1:12" x14ac:dyDescent="0.25">
      <c r="A73" s="102">
        <v>45836</v>
      </c>
      <c r="C73" s="103">
        <v>12250.33</v>
      </c>
      <c r="D73">
        <v>0</v>
      </c>
      <c r="E73" s="103">
        <v>9200.91</v>
      </c>
      <c r="G73" s="103">
        <v>3049.42</v>
      </c>
      <c r="H73">
        <v>0</v>
      </c>
      <c r="K73" t="s">
        <v>1088</v>
      </c>
      <c r="L73" t="s">
        <v>1089</v>
      </c>
    </row>
    <row r="74" spans="1:12" x14ac:dyDescent="0.25">
      <c r="A74" s="102">
        <v>45866</v>
      </c>
      <c r="C74" s="103">
        <v>12250.33</v>
      </c>
      <c r="D74">
        <v>0</v>
      </c>
      <c r="E74" s="103">
        <v>9434.85</v>
      </c>
      <c r="G74" s="103">
        <v>2815.48</v>
      </c>
      <c r="H74">
        <v>0</v>
      </c>
      <c r="K74" t="s">
        <v>1090</v>
      </c>
      <c r="L74" t="s">
        <v>1091</v>
      </c>
    </row>
    <row r="75" spans="1:12" x14ac:dyDescent="0.25">
      <c r="A75" s="102">
        <v>45897</v>
      </c>
      <c r="C75" s="103">
        <v>12250.33</v>
      </c>
      <c r="D75">
        <v>0</v>
      </c>
      <c r="E75" s="103">
        <v>9484.65</v>
      </c>
      <c r="G75" s="103">
        <v>2765.68</v>
      </c>
      <c r="H75">
        <v>0</v>
      </c>
      <c r="K75" t="s">
        <v>1092</v>
      </c>
      <c r="L75" t="s">
        <v>1093</v>
      </c>
    </row>
    <row r="76" spans="1:12" x14ac:dyDescent="0.25">
      <c r="A76" s="102">
        <v>45928</v>
      </c>
      <c r="C76" s="103">
        <v>12250.33</v>
      </c>
      <c r="D76">
        <v>0</v>
      </c>
      <c r="E76" s="103">
        <v>9629.0499999999993</v>
      </c>
      <c r="G76" s="103">
        <v>2621.2800000000002</v>
      </c>
      <c r="H76">
        <v>0</v>
      </c>
      <c r="K76" t="s">
        <v>1094</v>
      </c>
      <c r="L76" t="s">
        <v>1095</v>
      </c>
    </row>
    <row r="77" spans="1:12" x14ac:dyDescent="0.25">
      <c r="A77" s="102">
        <v>45958</v>
      </c>
      <c r="C77" s="103">
        <v>12250.33</v>
      </c>
      <c r="D77">
        <v>0</v>
      </c>
      <c r="E77" s="103">
        <v>9855.49</v>
      </c>
      <c r="G77" s="103">
        <v>2394.84</v>
      </c>
      <c r="H77">
        <v>0</v>
      </c>
      <c r="K77" t="s">
        <v>1096</v>
      </c>
      <c r="L77" t="s">
        <v>1097</v>
      </c>
    </row>
    <row r="78" spans="1:12" x14ac:dyDescent="0.25">
      <c r="A78" s="102">
        <v>45989</v>
      </c>
      <c r="C78" s="103">
        <v>12250.33</v>
      </c>
      <c r="D78">
        <v>0</v>
      </c>
      <c r="E78" s="103">
        <v>9925.7199999999993</v>
      </c>
      <c r="G78" s="103">
        <v>2324.61</v>
      </c>
      <c r="H78">
        <v>0</v>
      </c>
      <c r="K78" t="s">
        <v>1098</v>
      </c>
      <c r="L78" t="s">
        <v>1099</v>
      </c>
    </row>
    <row r="79" spans="1:12" x14ac:dyDescent="0.25">
      <c r="A79" s="102">
        <v>46019</v>
      </c>
      <c r="C79" s="103">
        <v>12250.33</v>
      </c>
      <c r="D79">
        <v>0</v>
      </c>
      <c r="E79" s="103">
        <v>10146.950000000001</v>
      </c>
      <c r="G79" s="103">
        <v>2103.38</v>
      </c>
      <c r="H79">
        <v>0</v>
      </c>
      <c r="K79" t="s">
        <v>1100</v>
      </c>
      <c r="L79" t="s">
        <v>1101</v>
      </c>
    </row>
    <row r="80" spans="1:12" x14ac:dyDescent="0.25">
      <c r="A80" s="102">
        <v>46050</v>
      </c>
      <c r="C80" s="103">
        <v>12250.33</v>
      </c>
      <c r="D80">
        <v>0</v>
      </c>
      <c r="E80" s="103">
        <v>10231.33</v>
      </c>
      <c r="G80" s="103">
        <v>2019</v>
      </c>
      <c r="H80">
        <v>0</v>
      </c>
      <c r="K80" t="s">
        <v>1102</v>
      </c>
      <c r="L80" t="s">
        <v>1103</v>
      </c>
    </row>
    <row r="81" spans="1:12" x14ac:dyDescent="0.25">
      <c r="A81" s="102">
        <v>46081</v>
      </c>
      <c r="C81" s="103">
        <v>12250.33</v>
      </c>
      <c r="D81">
        <v>0</v>
      </c>
      <c r="E81" s="103">
        <v>10387.11</v>
      </c>
      <c r="G81" s="103">
        <v>1863.22</v>
      </c>
      <c r="H81">
        <v>0</v>
      </c>
      <c r="K81" t="s">
        <v>1104</v>
      </c>
      <c r="L81" t="s">
        <v>1105</v>
      </c>
    </row>
    <row r="82" spans="1:12" x14ac:dyDescent="0.25">
      <c r="A82" s="102">
        <v>46109</v>
      </c>
      <c r="C82" s="103">
        <v>12250.33</v>
      </c>
      <c r="D82">
        <v>0</v>
      </c>
      <c r="E82" s="103">
        <v>10710.27</v>
      </c>
      <c r="G82" s="103">
        <v>1540.06</v>
      </c>
      <c r="H82">
        <v>0</v>
      </c>
      <c r="K82" t="s">
        <v>1106</v>
      </c>
      <c r="L82" t="s">
        <v>1107</v>
      </c>
    </row>
    <row r="83" spans="1:12" x14ac:dyDescent="0.25">
      <c r="A83" s="102">
        <v>46140</v>
      </c>
      <c r="C83" s="103">
        <v>12250.33</v>
      </c>
      <c r="D83">
        <v>0</v>
      </c>
      <c r="E83" s="103">
        <v>10708.33</v>
      </c>
      <c r="G83" s="103">
        <v>1542</v>
      </c>
      <c r="H83">
        <v>0</v>
      </c>
      <c r="K83" t="s">
        <v>1108</v>
      </c>
      <c r="L83" t="s">
        <v>1109</v>
      </c>
    </row>
    <row r="84" spans="1:12" x14ac:dyDescent="0.25">
      <c r="A84" s="102">
        <v>46170</v>
      </c>
      <c r="C84" s="103">
        <v>12250.33</v>
      </c>
      <c r="D84">
        <v>0</v>
      </c>
      <c r="E84" s="103">
        <v>10915.85</v>
      </c>
      <c r="G84" s="103">
        <v>1334.48</v>
      </c>
      <c r="H84">
        <v>0</v>
      </c>
      <c r="K84" t="s">
        <v>1110</v>
      </c>
      <c r="L84" t="s">
        <v>1111</v>
      </c>
    </row>
    <row r="85" spans="1:12" x14ac:dyDescent="0.25">
      <c r="A85" s="102">
        <v>46201</v>
      </c>
      <c r="C85" s="103">
        <v>12250.33</v>
      </c>
      <c r="D85">
        <v>0</v>
      </c>
      <c r="E85" s="103">
        <v>11037.57</v>
      </c>
      <c r="G85" s="103">
        <v>1212.76</v>
      </c>
      <c r="H85">
        <v>0</v>
      </c>
      <c r="K85" t="s">
        <v>1112</v>
      </c>
      <c r="L85" t="s">
        <v>1113</v>
      </c>
    </row>
    <row r="86" spans="1:12" x14ac:dyDescent="0.25">
      <c r="A86" s="102">
        <v>46231</v>
      </c>
      <c r="C86" s="103">
        <v>12250.33</v>
      </c>
      <c r="D86">
        <v>0</v>
      </c>
      <c r="E86" s="103">
        <v>11239.32</v>
      </c>
      <c r="G86" s="103">
        <v>1011.01</v>
      </c>
      <c r="H86">
        <v>0</v>
      </c>
      <c r="K86" t="s">
        <v>1114</v>
      </c>
      <c r="L86" t="s">
        <v>1115</v>
      </c>
    </row>
    <row r="87" spans="1:12" x14ac:dyDescent="0.25">
      <c r="A87" s="102">
        <v>46262</v>
      </c>
      <c r="C87" s="103">
        <v>12250.33</v>
      </c>
      <c r="D87">
        <v>0</v>
      </c>
      <c r="E87" s="103">
        <v>11376.74</v>
      </c>
      <c r="G87">
        <v>873.59</v>
      </c>
      <c r="H87">
        <v>0</v>
      </c>
      <c r="K87" t="s">
        <v>1116</v>
      </c>
      <c r="L87" t="s">
        <v>1117</v>
      </c>
    </row>
    <row r="88" spans="1:12" x14ac:dyDescent="0.25">
      <c r="A88" s="102">
        <v>46293</v>
      </c>
      <c r="C88" s="103">
        <v>12250.33</v>
      </c>
      <c r="D88">
        <v>0</v>
      </c>
      <c r="E88" s="103">
        <v>11549.96</v>
      </c>
      <c r="G88">
        <v>700.37</v>
      </c>
      <c r="H88">
        <v>0</v>
      </c>
      <c r="K88" t="s">
        <v>1118</v>
      </c>
      <c r="L88" s="103">
        <v>9769.75</v>
      </c>
    </row>
    <row r="89" spans="1:12" x14ac:dyDescent="0.25">
      <c r="A89" s="102">
        <v>46323</v>
      </c>
      <c r="C89" s="103">
        <v>34957.730000000003</v>
      </c>
      <c r="D89">
        <v>0</v>
      </c>
      <c r="E89" s="103">
        <v>34449.949999999997</v>
      </c>
      <c r="G89">
        <v>507.78</v>
      </c>
      <c r="H89">
        <v>0</v>
      </c>
      <c r="K89">
        <v>0</v>
      </c>
      <c r="L89" s="103">
        <v>44727.48</v>
      </c>
    </row>
  </sheetData>
  <pageMargins left="0.7" right="0.7" top="0.75" bottom="0.75" header="0.3" footer="0.3"/>
  <pageSetup paperSize="9" orientation="portrait" r:id="rId1"/>
  <headerFooter>
    <oddFooter>&amp;L&amp;"Calibri Light,Regular"&amp;09&amp;K00C000Public</oddFooter>
    <evenFooter>&amp;L&amp;"Calibri Light,Regular"&amp;09&amp;K00C000Public</evenFooter>
    <firstFooter>&amp;L&amp;"Calibri Light,Regular"&amp;09&amp;K00C000Public</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B8F31-3BC3-460D-B525-107221D3CB55}">
  <sheetPr>
    <pageSetUpPr autoPageBreaks="0"/>
  </sheetPr>
  <dimension ref="A1:M57"/>
  <sheetViews>
    <sheetView workbookViewId="0">
      <selection activeCell="D7" sqref="D7"/>
    </sheetView>
  </sheetViews>
  <sheetFormatPr defaultRowHeight="15" x14ac:dyDescent="0.25"/>
  <cols>
    <col min="1" max="1" width="22" bestFit="1" customWidth="1"/>
    <col min="2" max="2" width="22.28515625" customWidth="1"/>
    <col min="3" max="3" width="16.7109375" bestFit="1" customWidth="1"/>
    <col min="4" max="4" width="14.140625" bestFit="1" customWidth="1"/>
    <col min="5" max="5" width="10" bestFit="1" customWidth="1"/>
    <col min="6" max="6" width="13.7109375" bestFit="1" customWidth="1"/>
    <col min="10" max="10" width="10" bestFit="1" customWidth="1"/>
    <col min="11" max="12" width="10.7109375" bestFit="1" customWidth="1"/>
    <col min="13" max="13" width="10" bestFit="1" customWidth="1"/>
  </cols>
  <sheetData>
    <row r="1" spans="1:13" ht="15.75" x14ac:dyDescent="0.25">
      <c r="A1" s="111" t="s">
        <v>403</v>
      </c>
    </row>
    <row r="2" spans="1:13" ht="15.75" x14ac:dyDescent="0.25">
      <c r="A2" s="112" t="s">
        <v>361</v>
      </c>
      <c r="B2" s="113">
        <v>45323</v>
      </c>
    </row>
    <row r="3" spans="1:13" ht="15.75" x14ac:dyDescent="0.25">
      <c r="A3" s="112" t="s">
        <v>404</v>
      </c>
      <c r="B3" s="114">
        <v>200000</v>
      </c>
      <c r="C3" t="s">
        <v>405</v>
      </c>
      <c r="D3" s="115">
        <v>45325</v>
      </c>
    </row>
    <row r="4" spans="1:13" ht="15.75" x14ac:dyDescent="0.25">
      <c r="A4" s="112" t="s">
        <v>414</v>
      </c>
      <c r="B4" s="116">
        <v>0.12</v>
      </c>
      <c r="C4" t="s">
        <v>407</v>
      </c>
      <c r="D4" s="117">
        <f>SUM(F13:F24)</f>
        <v>23671.23</v>
      </c>
    </row>
    <row r="5" spans="1:13" ht="15.75" x14ac:dyDescent="0.25">
      <c r="A5" s="112" t="s">
        <v>408</v>
      </c>
      <c r="B5" t="s">
        <v>409</v>
      </c>
      <c r="C5" t="s">
        <v>410</v>
      </c>
      <c r="D5" s="103">
        <f>C13</f>
        <v>18639.27</v>
      </c>
    </row>
    <row r="6" spans="1:13" ht="15.75" x14ac:dyDescent="0.25">
      <c r="A6" s="112" t="s">
        <v>411</v>
      </c>
      <c r="B6" s="113">
        <v>45350</v>
      </c>
      <c r="C6" t="s">
        <v>412</v>
      </c>
      <c r="D6" s="118">
        <v>0.27046500000000001</v>
      </c>
    </row>
    <row r="7" spans="1:13" ht="15.75" x14ac:dyDescent="0.25">
      <c r="A7" s="112" t="s">
        <v>413</v>
      </c>
      <c r="B7" s="113">
        <v>45685</v>
      </c>
      <c r="C7" t="s">
        <v>422</v>
      </c>
      <c r="D7" s="119">
        <f>G13</f>
        <v>0.21846563999999999</v>
      </c>
    </row>
    <row r="8" spans="1:13" ht="16.5" x14ac:dyDescent="0.35">
      <c r="A8" s="112" t="s">
        <v>415</v>
      </c>
      <c r="B8" t="s">
        <v>1467</v>
      </c>
      <c r="C8" t="s">
        <v>417</v>
      </c>
      <c r="D8" s="114">
        <f>+B7-A12</f>
        <v>360</v>
      </c>
      <c r="E8" t="s">
        <v>418</v>
      </c>
      <c r="F8" s="265"/>
    </row>
    <row r="11" spans="1:13" x14ac:dyDescent="0.25">
      <c r="A11" t="s">
        <v>104</v>
      </c>
      <c r="B11" t="s">
        <v>105</v>
      </c>
      <c r="C11" t="s">
        <v>106</v>
      </c>
      <c r="D11" t="s">
        <v>107</v>
      </c>
      <c r="E11" t="s">
        <v>108</v>
      </c>
      <c r="F11" t="s">
        <v>109</v>
      </c>
      <c r="G11" t="s">
        <v>110</v>
      </c>
      <c r="H11" t="s">
        <v>111</v>
      </c>
      <c r="I11" t="s">
        <v>112</v>
      </c>
      <c r="J11" t="s">
        <v>113</v>
      </c>
      <c r="K11" t="s">
        <v>114</v>
      </c>
      <c r="M11" s="263"/>
    </row>
    <row r="12" spans="1:13" x14ac:dyDescent="0.25">
      <c r="A12" s="102">
        <v>45325</v>
      </c>
      <c r="C12" s="103">
        <v>2300</v>
      </c>
      <c r="D12">
        <v>0</v>
      </c>
      <c r="E12" s="103">
        <v>200000</v>
      </c>
      <c r="H12" s="103">
        <v>2000</v>
      </c>
      <c r="I12">
        <v>300</v>
      </c>
      <c r="J12" s="103">
        <v>200000</v>
      </c>
      <c r="K12" s="103">
        <v>-200000</v>
      </c>
      <c r="L12" s="103"/>
    </row>
    <row r="13" spans="1:13" x14ac:dyDescent="0.25">
      <c r="A13" s="102">
        <v>45350</v>
      </c>
      <c r="B13">
        <f>A13-A12</f>
        <v>25</v>
      </c>
      <c r="C13" s="103">
        <v>18639.27</v>
      </c>
      <c r="D13">
        <v>0</v>
      </c>
      <c r="E13" s="103">
        <v>15646.59</v>
      </c>
      <c r="F13" s="103">
        <v>2992.68</v>
      </c>
      <c r="G13" s="119">
        <f>(F13/B13*365)/-K12</f>
        <v>0.21846563999999999</v>
      </c>
      <c r="H13">
        <v>0</v>
      </c>
      <c r="K13" s="103">
        <v>-184353.41</v>
      </c>
      <c r="L13" s="103"/>
    </row>
    <row r="14" spans="1:13" x14ac:dyDescent="0.25">
      <c r="A14" s="102">
        <v>45379</v>
      </c>
      <c r="B14">
        <f t="shared" ref="B14:B24" si="0">A14-A13</f>
        <v>29</v>
      </c>
      <c r="C14" s="103">
        <v>18639.27</v>
      </c>
      <c r="D14">
        <v>0</v>
      </c>
      <c r="E14" s="103">
        <v>15439.35</v>
      </c>
      <c r="F14" s="103">
        <v>3199.92</v>
      </c>
      <c r="G14" s="119">
        <f t="shared" ref="G14:G24" si="1">(F14/B14*365)/-K13</f>
        <v>0.21846547439732084</v>
      </c>
      <c r="H14">
        <v>0</v>
      </c>
      <c r="K14" s="103">
        <v>-168914.06</v>
      </c>
      <c r="L14" s="103"/>
    </row>
    <row r="15" spans="1:13" x14ac:dyDescent="0.25">
      <c r="A15" s="102">
        <v>45410</v>
      </c>
      <c r="B15">
        <f t="shared" si="0"/>
        <v>31</v>
      </c>
      <c r="C15" s="103">
        <v>18639.27</v>
      </c>
      <c r="D15">
        <v>0</v>
      </c>
      <c r="E15" s="103">
        <v>15505.14</v>
      </c>
      <c r="F15" s="103">
        <v>3134.13</v>
      </c>
      <c r="G15" s="119">
        <f t="shared" si="1"/>
        <v>0.21846525520614715</v>
      </c>
      <c r="H15">
        <v>0</v>
      </c>
      <c r="K15" s="103">
        <v>-153408.92000000001</v>
      </c>
      <c r="L15" s="103"/>
    </row>
    <row r="16" spans="1:13" x14ac:dyDescent="0.25">
      <c r="A16" s="102">
        <v>45440</v>
      </c>
      <c r="B16">
        <f t="shared" si="0"/>
        <v>30</v>
      </c>
      <c r="C16" s="103">
        <v>18639.27</v>
      </c>
      <c r="D16">
        <v>0</v>
      </c>
      <c r="E16" s="103">
        <v>15884.65</v>
      </c>
      <c r="F16" s="103">
        <v>2754.62</v>
      </c>
      <c r="G16" s="119">
        <f t="shared" si="1"/>
        <v>0.21846541474467934</v>
      </c>
      <c r="H16">
        <v>0</v>
      </c>
      <c r="K16" s="103">
        <v>-137524.26999999999</v>
      </c>
      <c r="L16" s="103"/>
    </row>
    <row r="17" spans="1:12" x14ac:dyDescent="0.25">
      <c r="A17" s="102">
        <v>45471</v>
      </c>
      <c r="B17">
        <f t="shared" si="0"/>
        <v>31</v>
      </c>
      <c r="C17" s="103">
        <v>18639.27</v>
      </c>
      <c r="D17">
        <v>0</v>
      </c>
      <c r="E17" s="103">
        <v>16087.56</v>
      </c>
      <c r="F17" s="103">
        <v>2551.71</v>
      </c>
      <c r="G17" s="119">
        <f t="shared" si="1"/>
        <v>0.21846563824228873</v>
      </c>
      <c r="H17">
        <v>0</v>
      </c>
      <c r="K17" s="103">
        <v>-121436.71</v>
      </c>
      <c r="L17" s="103"/>
    </row>
    <row r="18" spans="1:12" x14ac:dyDescent="0.25">
      <c r="A18" s="102">
        <v>45501</v>
      </c>
      <c r="B18">
        <f t="shared" si="0"/>
        <v>30</v>
      </c>
      <c r="C18" s="103">
        <v>18639.27</v>
      </c>
      <c r="D18">
        <v>0</v>
      </c>
      <c r="E18" s="103">
        <v>16458.740000000002</v>
      </c>
      <c r="F18" s="103">
        <v>2180.5300000000002</v>
      </c>
      <c r="G18" s="119">
        <f t="shared" si="1"/>
        <v>0.21846591254544584</v>
      </c>
      <c r="H18">
        <v>0</v>
      </c>
      <c r="K18" s="103">
        <v>-104977.97</v>
      </c>
      <c r="L18" s="103"/>
    </row>
    <row r="19" spans="1:12" x14ac:dyDescent="0.25">
      <c r="A19" s="102">
        <v>45532</v>
      </c>
      <c r="B19">
        <f t="shared" si="0"/>
        <v>31</v>
      </c>
      <c r="C19" s="103">
        <v>18639.27</v>
      </c>
      <c r="D19">
        <v>0</v>
      </c>
      <c r="E19" s="103">
        <v>16691.45</v>
      </c>
      <c r="F19" s="103">
        <v>1947.82</v>
      </c>
      <c r="G19" s="119">
        <f t="shared" si="1"/>
        <v>0.21846497581749152</v>
      </c>
      <c r="H19">
        <v>0</v>
      </c>
      <c r="K19" s="103">
        <v>-88286.52</v>
      </c>
      <c r="L19" s="103"/>
    </row>
    <row r="20" spans="1:12" x14ac:dyDescent="0.25">
      <c r="A20" s="102">
        <v>45563</v>
      </c>
      <c r="B20">
        <f t="shared" si="0"/>
        <v>31</v>
      </c>
      <c r="C20" s="103">
        <v>18639.27</v>
      </c>
      <c r="D20">
        <v>0</v>
      </c>
      <c r="E20" s="103">
        <v>17001.150000000001</v>
      </c>
      <c r="F20" s="103">
        <v>1638.12</v>
      </c>
      <c r="G20" s="119">
        <f t="shared" si="1"/>
        <v>0.21846530971527556</v>
      </c>
      <c r="H20">
        <v>0</v>
      </c>
      <c r="K20" s="103">
        <v>-71285.37</v>
      </c>
      <c r="L20" s="103"/>
    </row>
    <row r="21" spans="1:12" x14ac:dyDescent="0.25">
      <c r="A21" s="102">
        <v>45593</v>
      </c>
      <c r="B21">
        <f t="shared" si="0"/>
        <v>30</v>
      </c>
      <c r="C21" s="103">
        <v>18639.27</v>
      </c>
      <c r="D21">
        <v>0</v>
      </c>
      <c r="E21" s="103">
        <v>17359.27</v>
      </c>
      <c r="F21" s="103">
        <v>1280</v>
      </c>
      <c r="G21" s="119">
        <f t="shared" si="1"/>
        <v>0.21846464896420309</v>
      </c>
      <c r="H21">
        <v>0</v>
      </c>
      <c r="K21" s="103">
        <v>-53926.1</v>
      </c>
      <c r="L21" s="103"/>
    </row>
    <row r="22" spans="1:12" x14ac:dyDescent="0.25">
      <c r="A22" s="102">
        <v>45624</v>
      </c>
      <c r="B22">
        <f t="shared" si="0"/>
        <v>31</v>
      </c>
      <c r="C22" s="103">
        <v>18639.27</v>
      </c>
      <c r="D22">
        <v>0</v>
      </c>
      <c r="E22" s="103">
        <v>17638.689999999999</v>
      </c>
      <c r="F22" s="103">
        <v>1000.58</v>
      </c>
      <c r="G22" s="119">
        <f t="shared" si="1"/>
        <v>0.21846605967509544</v>
      </c>
      <c r="H22">
        <v>0</v>
      </c>
      <c r="K22" s="103">
        <v>-36287.410000000003</v>
      </c>
      <c r="L22" s="103"/>
    </row>
    <row r="23" spans="1:12" x14ac:dyDescent="0.25">
      <c r="A23" s="102">
        <v>45654</v>
      </c>
      <c r="B23">
        <f t="shared" si="0"/>
        <v>30</v>
      </c>
      <c r="C23" s="103">
        <v>18639.27</v>
      </c>
      <c r="D23">
        <v>0</v>
      </c>
      <c r="E23" s="103">
        <v>17987.689999999999</v>
      </c>
      <c r="F23">
        <v>651.58000000000004</v>
      </c>
      <c r="G23" s="119">
        <f t="shared" si="1"/>
        <v>0.21846576172470469</v>
      </c>
      <c r="H23">
        <v>0</v>
      </c>
      <c r="K23" s="103">
        <v>-18299.72</v>
      </c>
      <c r="L23" s="103"/>
    </row>
    <row r="24" spans="1:12" x14ac:dyDescent="0.25">
      <c r="A24" s="102">
        <v>45685</v>
      </c>
      <c r="B24">
        <f t="shared" si="0"/>
        <v>31</v>
      </c>
      <c r="C24" s="103">
        <v>18639.259999999998</v>
      </c>
      <c r="D24">
        <v>0</v>
      </c>
      <c r="E24" s="103">
        <v>18299.72</v>
      </c>
      <c r="F24">
        <v>339.54</v>
      </c>
      <c r="G24" s="119">
        <f t="shared" si="1"/>
        <v>0.21846288781573459</v>
      </c>
      <c r="H24">
        <v>0</v>
      </c>
      <c r="K24">
        <v>0</v>
      </c>
      <c r="L24" s="103"/>
    </row>
    <row r="25" spans="1:12" x14ac:dyDescent="0.25">
      <c r="E25" s="204">
        <f>SUM(E13:E24)</f>
        <v>200000</v>
      </c>
      <c r="F25" s="204">
        <f>SUM(F13:F24)</f>
        <v>23671.23</v>
      </c>
      <c r="H25" s="204">
        <f>SUM(H12:H24)</f>
        <v>2000</v>
      </c>
      <c r="I25" s="204">
        <f>SUM(I12:I24)</f>
        <v>300</v>
      </c>
    </row>
    <row r="26" spans="1:12" x14ac:dyDescent="0.25">
      <c r="F26" s="264"/>
    </row>
    <row r="27" spans="1:12" ht="15.75" x14ac:dyDescent="0.25">
      <c r="A27" s="111" t="s">
        <v>1465</v>
      </c>
      <c r="B27" s="111"/>
    </row>
    <row r="28" spans="1:12" ht="15.75" x14ac:dyDescent="0.25">
      <c r="A28" s="112" t="s">
        <v>361</v>
      </c>
      <c r="B28" s="113">
        <v>45323</v>
      </c>
    </row>
    <row r="29" spans="1:12" ht="15.75" x14ac:dyDescent="0.25">
      <c r="A29" s="112" t="s">
        <v>404</v>
      </c>
      <c r="B29" s="114">
        <v>200000</v>
      </c>
      <c r="C29" t="s">
        <v>405</v>
      </c>
      <c r="D29" s="113">
        <v>45323</v>
      </c>
    </row>
    <row r="30" spans="1:12" ht="15.75" x14ac:dyDescent="0.25">
      <c r="A30" s="112" t="s">
        <v>414</v>
      </c>
      <c r="B30" s="266">
        <f>(G50/D34*365)/B29</f>
        <v>0.11933700207182318</v>
      </c>
      <c r="C30" t="s">
        <v>407</v>
      </c>
      <c r="D30" s="117">
        <f>SUM(G38:G49)</f>
        <v>23671.229999999996</v>
      </c>
    </row>
    <row r="31" spans="1:12" ht="15.75" x14ac:dyDescent="0.25">
      <c r="A31" s="112" t="s">
        <v>408</v>
      </c>
      <c r="B31" t="s">
        <v>409</v>
      </c>
      <c r="C31" t="s">
        <v>410</v>
      </c>
      <c r="D31" s="103">
        <f>C38</f>
        <v>18639.27</v>
      </c>
    </row>
    <row r="32" spans="1:12" ht="15.75" x14ac:dyDescent="0.25">
      <c r="A32" s="112" t="s">
        <v>411</v>
      </c>
      <c r="B32" s="113">
        <v>45350</v>
      </c>
      <c r="C32" t="s">
        <v>412</v>
      </c>
      <c r="D32" s="118">
        <v>0.26721</v>
      </c>
    </row>
    <row r="33" spans="1:12" ht="15.75" x14ac:dyDescent="0.25">
      <c r="A33" s="112" t="s">
        <v>413</v>
      </c>
      <c r="B33" s="113">
        <v>45685</v>
      </c>
      <c r="C33" t="s">
        <v>422</v>
      </c>
      <c r="D33" s="119">
        <f>F38</f>
        <v>0.21612731481481481</v>
      </c>
    </row>
    <row r="34" spans="1:12" ht="15.75" x14ac:dyDescent="0.25">
      <c r="A34" s="112" t="s">
        <v>423</v>
      </c>
      <c r="B34" t="s">
        <v>1468</v>
      </c>
      <c r="C34" t="s">
        <v>417</v>
      </c>
      <c r="D34" s="114">
        <f>+B33-D29</f>
        <v>362</v>
      </c>
      <c r="F34" s="185" t="s">
        <v>1466</v>
      </c>
    </row>
    <row r="36" spans="1:12" x14ac:dyDescent="0.25">
      <c r="A36" t="s">
        <v>104</v>
      </c>
      <c r="B36" t="s">
        <v>105</v>
      </c>
      <c r="C36" t="s">
        <v>106</v>
      </c>
      <c r="D36" t="s">
        <v>107</v>
      </c>
      <c r="E36" t="s">
        <v>108</v>
      </c>
      <c r="F36" t="s">
        <v>109</v>
      </c>
      <c r="G36" t="s">
        <v>110</v>
      </c>
      <c r="H36" t="s">
        <v>111</v>
      </c>
      <c r="I36" t="s">
        <v>112</v>
      </c>
      <c r="J36" t="s">
        <v>113</v>
      </c>
      <c r="K36" t="s">
        <v>114</v>
      </c>
    </row>
    <row r="37" spans="1:12" x14ac:dyDescent="0.25">
      <c r="A37" s="102">
        <v>45323</v>
      </c>
      <c r="C37" s="103">
        <v>2300</v>
      </c>
      <c r="D37">
        <v>0</v>
      </c>
      <c r="E37" s="103">
        <v>200000</v>
      </c>
      <c r="H37" s="103">
        <v>2000</v>
      </c>
      <c r="I37">
        <v>300</v>
      </c>
      <c r="J37" s="103">
        <v>200000</v>
      </c>
      <c r="K37" s="103">
        <v>-200000</v>
      </c>
    </row>
    <row r="38" spans="1:12" x14ac:dyDescent="0.25">
      <c r="A38" s="102">
        <v>45350</v>
      </c>
      <c r="B38">
        <f>A38-A37</f>
        <v>27</v>
      </c>
      <c r="C38" s="103">
        <v>18639.27</v>
      </c>
      <c r="D38">
        <v>0</v>
      </c>
      <c r="E38" s="103">
        <v>15441.77</v>
      </c>
      <c r="F38" s="119">
        <f>(G38/B38*365)/-K37</f>
        <v>0.21612731481481481</v>
      </c>
      <c r="G38" s="103">
        <v>3197.5</v>
      </c>
      <c r="H38">
        <v>0</v>
      </c>
      <c r="K38" s="103">
        <v>-184558.23</v>
      </c>
    </row>
    <row r="39" spans="1:12" x14ac:dyDescent="0.25">
      <c r="A39" s="102">
        <v>45379</v>
      </c>
      <c r="B39">
        <f t="shared" ref="B39:B49" si="2">A39-A38</f>
        <v>29</v>
      </c>
      <c r="C39" s="103">
        <v>18639.27</v>
      </c>
      <c r="D39">
        <v>0</v>
      </c>
      <c r="E39" s="103">
        <v>15470.08</v>
      </c>
      <c r="F39" s="119">
        <f t="shared" ref="F39:F49" si="3">(G39/B39*365)/-K38</f>
        <v>0.21612734926252139</v>
      </c>
      <c r="G39" s="103">
        <v>3169.19</v>
      </c>
      <c r="H39">
        <v>0</v>
      </c>
      <c r="K39" s="103">
        <v>-169088.15</v>
      </c>
    </row>
    <row r="40" spans="1:12" x14ac:dyDescent="0.25">
      <c r="A40" s="102">
        <v>45410</v>
      </c>
      <c r="B40">
        <f t="shared" si="2"/>
        <v>31</v>
      </c>
      <c r="C40" s="103">
        <v>18639.27</v>
      </c>
      <c r="D40">
        <v>0</v>
      </c>
      <c r="E40" s="103">
        <v>15535.48</v>
      </c>
      <c r="F40" s="119">
        <f t="shared" si="3"/>
        <v>0.21612764817373889</v>
      </c>
      <c r="G40" s="103">
        <v>3103.79</v>
      </c>
      <c r="H40">
        <v>0</v>
      </c>
      <c r="K40" s="103">
        <v>-153552.67000000001</v>
      </c>
    </row>
    <row r="41" spans="1:12" x14ac:dyDescent="0.25">
      <c r="A41" s="102">
        <v>45440</v>
      </c>
      <c r="B41">
        <f t="shared" si="2"/>
        <v>30</v>
      </c>
      <c r="C41" s="103">
        <v>18639.27</v>
      </c>
      <c r="D41">
        <v>0</v>
      </c>
      <c r="E41" s="103">
        <v>15911.58</v>
      </c>
      <c r="F41" s="119">
        <f t="shared" si="3"/>
        <v>0.21612711130324208</v>
      </c>
      <c r="G41" s="103">
        <v>2727.69</v>
      </c>
      <c r="H41">
        <v>0</v>
      </c>
      <c r="K41" s="103">
        <v>-137641.09</v>
      </c>
    </row>
    <row r="42" spans="1:12" x14ac:dyDescent="0.25">
      <c r="A42" s="102">
        <v>45471</v>
      </c>
      <c r="B42">
        <f t="shared" si="2"/>
        <v>31</v>
      </c>
      <c r="C42" s="103">
        <v>18639.27</v>
      </c>
      <c r="D42">
        <v>0</v>
      </c>
      <c r="E42" s="103">
        <v>16112.73</v>
      </c>
      <c r="F42" s="119">
        <f t="shared" si="3"/>
        <v>0.21612710977326563</v>
      </c>
      <c r="G42" s="103">
        <v>2526.54</v>
      </c>
      <c r="H42">
        <v>0</v>
      </c>
      <c r="K42" s="103">
        <v>-121528.36</v>
      </c>
    </row>
    <row r="43" spans="1:12" x14ac:dyDescent="0.25">
      <c r="A43" s="102">
        <v>45501</v>
      </c>
      <c r="B43">
        <f t="shared" si="2"/>
        <v>30</v>
      </c>
      <c r="C43" s="103">
        <v>18639.27</v>
      </c>
      <c r="D43">
        <v>0</v>
      </c>
      <c r="E43" s="103">
        <v>16480.45</v>
      </c>
      <c r="F43" s="119">
        <f t="shared" si="3"/>
        <v>0.21612768684884198</v>
      </c>
      <c r="G43" s="103">
        <v>2158.8200000000002</v>
      </c>
      <c r="H43">
        <v>0</v>
      </c>
      <c r="K43" s="103">
        <v>-105047.91</v>
      </c>
    </row>
    <row r="44" spans="1:12" x14ac:dyDescent="0.25">
      <c r="A44" s="102">
        <v>45532</v>
      </c>
      <c r="B44">
        <f t="shared" si="2"/>
        <v>31</v>
      </c>
      <c r="C44" s="103">
        <v>18639.27</v>
      </c>
      <c r="D44">
        <v>0</v>
      </c>
      <c r="E44" s="103">
        <v>16711.009999999998</v>
      </c>
      <c r="F44" s="119">
        <f t="shared" si="3"/>
        <v>0.21612715999407225</v>
      </c>
      <c r="G44" s="103">
        <v>1928.26</v>
      </c>
      <c r="H44">
        <v>0</v>
      </c>
      <c r="K44" s="103">
        <v>-88336.9</v>
      </c>
    </row>
    <row r="45" spans="1:12" x14ac:dyDescent="0.25">
      <c r="A45" s="102">
        <v>45563</v>
      </c>
      <c r="B45">
        <f t="shared" si="2"/>
        <v>31</v>
      </c>
      <c r="C45" s="103">
        <v>18639.27</v>
      </c>
      <c r="D45">
        <v>0</v>
      </c>
      <c r="E45" s="103">
        <v>17017.759999999998</v>
      </c>
      <c r="F45" s="119">
        <f t="shared" si="3"/>
        <v>0.21612681201904485</v>
      </c>
      <c r="G45" s="103">
        <v>1621.51</v>
      </c>
      <c r="H45">
        <v>0</v>
      </c>
      <c r="K45" s="103">
        <v>-71319.14</v>
      </c>
    </row>
    <row r="46" spans="1:12" x14ac:dyDescent="0.25">
      <c r="A46" s="102">
        <v>45593</v>
      </c>
      <c r="B46">
        <f t="shared" si="2"/>
        <v>30</v>
      </c>
      <c r="C46" s="103">
        <v>18639.27</v>
      </c>
      <c r="D46">
        <v>0</v>
      </c>
      <c r="E46" s="103">
        <v>17372.36</v>
      </c>
      <c r="F46" s="119">
        <f t="shared" si="3"/>
        <v>0.21612812025869446</v>
      </c>
      <c r="G46" s="103">
        <v>1266.9100000000001</v>
      </c>
      <c r="H46">
        <v>0</v>
      </c>
      <c r="K46" s="103">
        <v>-53946.78</v>
      </c>
    </row>
    <row r="47" spans="1:12" x14ac:dyDescent="0.25">
      <c r="A47" s="102">
        <v>45624</v>
      </c>
      <c r="B47">
        <f t="shared" si="2"/>
        <v>31</v>
      </c>
      <c r="C47" s="103">
        <v>18639.27</v>
      </c>
      <c r="D47">
        <v>0</v>
      </c>
      <c r="E47" s="103">
        <v>17649.02</v>
      </c>
      <c r="F47" s="119">
        <f t="shared" si="3"/>
        <v>0.21612773109517053</v>
      </c>
      <c r="G47">
        <v>990.25</v>
      </c>
      <c r="H47">
        <v>0</v>
      </c>
      <c r="K47" s="103">
        <v>-36297.760000000002</v>
      </c>
    </row>
    <row r="48" spans="1:12" x14ac:dyDescent="0.25">
      <c r="A48" s="102">
        <v>45654</v>
      </c>
      <c r="B48">
        <f t="shared" si="2"/>
        <v>30</v>
      </c>
      <c r="C48" s="103">
        <v>18639.27</v>
      </c>
      <c r="D48">
        <v>0</v>
      </c>
      <c r="E48" s="103">
        <v>17994.48</v>
      </c>
      <c r="F48" s="119">
        <f t="shared" si="3"/>
        <v>0.21612752412270067</v>
      </c>
      <c r="G48">
        <v>644.79</v>
      </c>
      <c r="H48">
        <v>0</v>
      </c>
      <c r="K48" s="103">
        <v>-18303.28</v>
      </c>
      <c r="L48" s="103"/>
    </row>
    <row r="49" spans="1:12" x14ac:dyDescent="0.25">
      <c r="A49" s="102">
        <v>45685</v>
      </c>
      <c r="B49">
        <f t="shared" si="2"/>
        <v>31</v>
      </c>
      <c r="C49" s="103">
        <v>18639.259999999998</v>
      </c>
      <c r="D49">
        <v>0</v>
      </c>
      <c r="E49" s="103">
        <v>18303.28</v>
      </c>
      <c r="F49" s="119">
        <f t="shared" si="3"/>
        <v>0.21613030825005666</v>
      </c>
      <c r="G49">
        <v>335.98</v>
      </c>
      <c r="H49">
        <v>0</v>
      </c>
      <c r="K49">
        <v>0</v>
      </c>
      <c r="L49" s="103"/>
    </row>
    <row r="50" spans="1:12" x14ac:dyDescent="0.25">
      <c r="B50">
        <f>SUM(B38:B49)</f>
        <v>362</v>
      </c>
      <c r="E50" s="204">
        <f>SUM(E38:E49)</f>
        <v>199999.99999999997</v>
      </c>
      <c r="G50" s="204">
        <f>SUM(G38:G49)</f>
        <v>23671.229999999996</v>
      </c>
    </row>
    <row r="52" spans="1:12" ht="15.75" x14ac:dyDescent="0.25">
      <c r="A52" s="111" t="s">
        <v>439</v>
      </c>
      <c r="B52" s="111" t="s">
        <v>440</v>
      </c>
      <c r="C52" s="111" t="s">
        <v>441</v>
      </c>
      <c r="D52" s="111" t="s">
        <v>442</v>
      </c>
    </row>
    <row r="53" spans="1:12" x14ac:dyDescent="0.25">
      <c r="A53" t="s">
        <v>405</v>
      </c>
      <c r="B53" s="113">
        <f>+D3</f>
        <v>45325</v>
      </c>
      <c r="C53" s="113">
        <f>+D29</f>
        <v>45323</v>
      </c>
    </row>
    <row r="54" spans="1:12" x14ac:dyDescent="0.25">
      <c r="A54" t="s">
        <v>22</v>
      </c>
      <c r="B54" s="124">
        <f>D4</f>
        <v>23671.23</v>
      </c>
      <c r="C54" s="124">
        <f>D30</f>
        <v>23671.229999999996</v>
      </c>
      <c r="D54" s="124">
        <f>+C54-B54</f>
        <v>0</v>
      </c>
    </row>
    <row r="55" spans="1:12" x14ac:dyDescent="0.25">
      <c r="A55" t="s">
        <v>422</v>
      </c>
      <c r="B55" s="116">
        <f>+D7</f>
        <v>0.21846563999999999</v>
      </c>
      <c r="C55" s="116">
        <f>+D33</f>
        <v>0.21612731481481481</v>
      </c>
      <c r="D55" s="116">
        <f>+C55-B55</f>
        <v>-2.338325185185175E-3</v>
      </c>
    </row>
    <row r="56" spans="1:12" x14ac:dyDescent="0.25">
      <c r="A56" t="s">
        <v>412</v>
      </c>
      <c r="B56" s="118">
        <f>+D6</f>
        <v>0.27046500000000001</v>
      </c>
      <c r="C56" s="118">
        <f>+D32</f>
        <v>0.26721</v>
      </c>
      <c r="D56" s="116">
        <f>C56-B56</f>
        <v>-3.2550000000000079E-3</v>
      </c>
    </row>
    <row r="57" spans="1:12" x14ac:dyDescent="0.25">
      <c r="A57" t="s">
        <v>414</v>
      </c>
      <c r="B57" s="116">
        <f>B4</f>
        <v>0.12</v>
      </c>
      <c r="C57" s="116">
        <f>B30</f>
        <v>0.11933700207182318</v>
      </c>
      <c r="D57" s="116">
        <f>C57-B57</f>
        <v>-6.6299792817681169E-4</v>
      </c>
    </row>
  </sheetData>
  <pageMargins left="0.7" right="0.7" top="0.75" bottom="0.75" header="0.3" footer="0.3"/>
  <pageSetup orientation="portrait" r:id="rId1"/>
  <headerFooter>
    <oddFooter>&amp;L&amp;"Calibri Light,Regular"&amp;09&amp;K00C000Public</oddFooter>
    <evenFooter>&amp;L&amp;"Calibri Light,Regular"&amp;09&amp;K00C000Public</evenFooter>
    <firstFooter>&amp;L&amp;"Calibri Light,Regular"&amp;09&amp;K00C000Public</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68FD3-A3AB-4EA1-BC6F-C172D88CB556}">
  <sheetPr>
    <pageSetUpPr autoPageBreaks="0"/>
  </sheetPr>
  <dimension ref="A6:J157"/>
  <sheetViews>
    <sheetView topLeftCell="A135" zoomScale="127" workbookViewId="0">
      <selection activeCell="A150" sqref="A150:A154"/>
    </sheetView>
  </sheetViews>
  <sheetFormatPr defaultRowHeight="15" x14ac:dyDescent="0.25"/>
  <cols>
    <col min="1" max="1" width="43.28515625" bestFit="1" customWidth="1"/>
    <col min="2" max="2" width="11.28515625" bestFit="1" customWidth="1"/>
    <col min="3" max="3" width="20.85546875" bestFit="1" customWidth="1"/>
    <col min="4" max="4" width="38.7109375" bestFit="1" customWidth="1"/>
    <col min="5" max="5" width="16" bestFit="1" customWidth="1"/>
    <col min="6" max="6" width="18.140625" bestFit="1" customWidth="1"/>
    <col min="7" max="7" width="10.28515625" bestFit="1" customWidth="1"/>
    <col min="8" max="8" width="17.28515625" bestFit="1" customWidth="1"/>
    <col min="9" max="9" width="4.7109375" bestFit="1" customWidth="1"/>
    <col min="10" max="10" width="10.28515625" bestFit="1" customWidth="1"/>
  </cols>
  <sheetData>
    <row r="6" spans="1:10" x14ac:dyDescent="0.25">
      <c r="A6" t="s">
        <v>440</v>
      </c>
      <c r="C6" t="s">
        <v>1150</v>
      </c>
    </row>
    <row r="7" spans="1:10" x14ac:dyDescent="0.25">
      <c r="D7" t="s">
        <v>1149</v>
      </c>
    </row>
    <row r="10" spans="1:10" x14ac:dyDescent="0.25">
      <c r="A10" t="s">
        <v>1148</v>
      </c>
    </row>
    <row r="11" spans="1:10" ht="15.75" thickBot="1" x14ac:dyDescent="0.3">
      <c r="A11" s="242" t="s">
        <v>0</v>
      </c>
      <c r="B11" s="242" t="s">
        <v>1</v>
      </c>
      <c r="C11" s="242" t="s">
        <v>2</v>
      </c>
      <c r="D11" s="242" t="s">
        <v>3</v>
      </c>
      <c r="E11" s="242" t="s">
        <v>4</v>
      </c>
      <c r="F11" s="241" t="s">
        <v>5</v>
      </c>
    </row>
    <row r="12" spans="1:10" s="105" customFormat="1" x14ac:dyDescent="0.25">
      <c r="A12" s="728" t="s">
        <v>1147</v>
      </c>
      <c r="B12" s="267" t="s">
        <v>7</v>
      </c>
      <c r="C12" s="268" t="s">
        <v>1142</v>
      </c>
      <c r="D12" s="268" t="s">
        <v>26</v>
      </c>
      <c r="E12" s="619">
        <v>-10000</v>
      </c>
      <c r="F12" s="620"/>
      <c r="G12" s="720"/>
      <c r="H12" s="621" t="s">
        <v>9</v>
      </c>
      <c r="I12" s="622"/>
      <c r="J12" s="623">
        <v>10000</v>
      </c>
    </row>
    <row r="13" spans="1:10" s="543" customFormat="1" ht="15.75" thickBot="1" x14ac:dyDescent="0.3">
      <c r="A13" s="729"/>
      <c r="B13" s="544" t="s">
        <v>10</v>
      </c>
      <c r="C13" s="545" t="s">
        <v>25</v>
      </c>
      <c r="D13" s="545" t="s">
        <v>26</v>
      </c>
      <c r="E13" s="546">
        <f>-E12</f>
        <v>10000</v>
      </c>
      <c r="F13" s="547"/>
      <c r="G13" s="722"/>
      <c r="H13" s="548" t="s">
        <v>11</v>
      </c>
      <c r="I13" s="549"/>
      <c r="J13" s="550">
        <f>J12*1%</f>
        <v>100</v>
      </c>
    </row>
    <row r="14" spans="1:10" s="543" customFormat="1" x14ac:dyDescent="0.25">
      <c r="A14" s="729"/>
      <c r="B14" s="539" t="s">
        <v>7</v>
      </c>
      <c r="C14" s="551" t="s">
        <v>25</v>
      </c>
      <c r="D14" s="551" t="s">
        <v>26</v>
      </c>
      <c r="E14" s="552">
        <f>+E12</f>
        <v>-10000</v>
      </c>
      <c r="F14" s="541"/>
      <c r="G14" s="553"/>
      <c r="H14" s="554"/>
      <c r="I14" s="549"/>
      <c r="J14" s="550"/>
    </row>
    <row r="15" spans="1:10" s="543" customFormat="1" ht="15.75" thickBot="1" x14ac:dyDescent="0.3">
      <c r="A15" s="730"/>
      <c r="B15" s="544" t="s">
        <v>10</v>
      </c>
      <c r="C15" s="555" t="s">
        <v>1146</v>
      </c>
      <c r="D15" s="555" t="s">
        <v>1145</v>
      </c>
      <c r="E15" s="556">
        <f>+E13</f>
        <v>10000</v>
      </c>
      <c r="F15" s="557"/>
      <c r="G15" s="553"/>
      <c r="H15" s="554"/>
      <c r="I15" s="549"/>
      <c r="J15" s="550"/>
    </row>
    <row r="16" spans="1:10" s="543" customFormat="1" x14ac:dyDescent="0.25">
      <c r="A16" s="718" t="s">
        <v>6</v>
      </c>
      <c r="B16" s="558" t="s">
        <v>7</v>
      </c>
      <c r="C16" s="551" t="s">
        <v>8</v>
      </c>
      <c r="D16" s="551"/>
      <c r="E16" s="551"/>
      <c r="F16" s="559"/>
      <c r="G16" s="726" t="s">
        <v>1144</v>
      </c>
      <c r="H16" s="554"/>
      <c r="I16" s="549"/>
      <c r="J16" s="550"/>
    </row>
    <row r="17" spans="1:10" s="543" customFormat="1" ht="15.75" thickBot="1" x14ac:dyDescent="0.3">
      <c r="A17" s="719"/>
      <c r="B17" s="560" t="s">
        <v>10</v>
      </c>
      <c r="C17" s="561"/>
      <c r="D17" s="561"/>
      <c r="E17" s="561"/>
      <c r="F17" s="562"/>
      <c r="G17" s="727"/>
      <c r="H17" s="554"/>
      <c r="I17" s="549"/>
      <c r="J17" s="550"/>
    </row>
    <row r="18" spans="1:10" s="543" customFormat="1" x14ac:dyDescent="0.25">
      <c r="A18" s="718" t="s">
        <v>12</v>
      </c>
      <c r="B18" s="558" t="s">
        <v>7</v>
      </c>
      <c r="C18" s="551" t="s">
        <v>13</v>
      </c>
      <c r="D18" s="551" t="s">
        <v>14</v>
      </c>
      <c r="E18" s="563">
        <f>-J12</f>
        <v>-10000</v>
      </c>
      <c r="F18" s="564" t="s">
        <v>15</v>
      </c>
      <c r="G18" s="720" t="s">
        <v>1143</v>
      </c>
      <c r="H18" s="554" t="s">
        <v>16</v>
      </c>
      <c r="I18" s="549"/>
      <c r="J18" s="550">
        <f>J13*15%</f>
        <v>15</v>
      </c>
    </row>
    <row r="19" spans="1:10" s="543" customFormat="1" ht="15.75" thickBot="1" x14ac:dyDescent="0.3">
      <c r="A19" s="719"/>
      <c r="B19" s="560" t="s">
        <v>10</v>
      </c>
      <c r="C19" s="561" t="s">
        <v>17</v>
      </c>
      <c r="D19" s="561" t="s">
        <v>18</v>
      </c>
      <c r="E19" s="565">
        <f>-E18</f>
        <v>10000</v>
      </c>
      <c r="F19" s="566" t="s">
        <v>15</v>
      </c>
      <c r="G19" s="721"/>
      <c r="H19" s="554" t="s">
        <v>19</v>
      </c>
      <c r="I19" s="549"/>
      <c r="J19" s="550">
        <f>J12-J13-J18</f>
        <v>9885</v>
      </c>
    </row>
    <row r="20" spans="1:10" s="543" customFormat="1" x14ac:dyDescent="0.25">
      <c r="A20" s="714" t="s">
        <v>20</v>
      </c>
      <c r="B20" s="558" t="s">
        <v>7</v>
      </c>
      <c r="C20" s="551" t="s">
        <v>17</v>
      </c>
      <c r="D20" s="551" t="s">
        <v>18</v>
      </c>
      <c r="E20" s="567">
        <f>-E19</f>
        <v>-10000</v>
      </c>
      <c r="F20" s="564" t="s">
        <v>15</v>
      </c>
      <c r="G20" s="721"/>
      <c r="H20" s="554"/>
      <c r="I20" s="549"/>
      <c r="J20" s="568"/>
    </row>
    <row r="21" spans="1:10" s="543" customFormat="1" ht="15.75" thickBot="1" x14ac:dyDescent="0.3">
      <c r="A21" s="723"/>
      <c r="B21" s="569" t="s">
        <v>10</v>
      </c>
      <c r="C21" s="570" t="s">
        <v>21</v>
      </c>
      <c r="D21" s="570" t="s">
        <v>14</v>
      </c>
      <c r="E21" s="571">
        <f>-E19</f>
        <v>-10000</v>
      </c>
      <c r="F21" s="572" t="s">
        <v>15</v>
      </c>
      <c r="G21" s="721"/>
      <c r="H21" s="573" t="s">
        <v>22</v>
      </c>
      <c r="I21" s="574">
        <v>0.12</v>
      </c>
      <c r="J21" s="575">
        <f>J12*I21</f>
        <v>1200</v>
      </c>
    </row>
    <row r="22" spans="1:10" s="543" customFormat="1" x14ac:dyDescent="0.25">
      <c r="A22" s="723"/>
      <c r="B22" s="576" t="s">
        <v>7</v>
      </c>
      <c r="C22" s="577" t="s">
        <v>23</v>
      </c>
      <c r="D22" s="577" t="s">
        <v>24</v>
      </c>
      <c r="E22" s="578">
        <f>-J12</f>
        <v>-10000</v>
      </c>
      <c r="F22" s="579" t="s">
        <v>15</v>
      </c>
      <c r="G22" s="721"/>
    </row>
    <row r="23" spans="1:10" s="105" customFormat="1" ht="15.75" thickBot="1" x14ac:dyDescent="0.3">
      <c r="A23" s="715"/>
      <c r="B23" s="271" t="s">
        <v>10</v>
      </c>
      <c r="C23" s="272" t="s">
        <v>1142</v>
      </c>
      <c r="D23" s="272" t="s">
        <v>26</v>
      </c>
      <c r="E23" s="280">
        <f>-E22</f>
        <v>10000</v>
      </c>
      <c r="F23" s="274" t="s">
        <v>15</v>
      </c>
      <c r="G23" s="721"/>
    </row>
    <row r="24" spans="1:10" s="543" customFormat="1" x14ac:dyDescent="0.25">
      <c r="A24" s="717" t="s">
        <v>27</v>
      </c>
      <c r="B24" s="539" t="s">
        <v>7</v>
      </c>
      <c r="C24" s="540" t="s">
        <v>28</v>
      </c>
      <c r="D24" s="540" t="s">
        <v>29</v>
      </c>
      <c r="E24" s="582">
        <f>-J12</f>
        <v>-10000</v>
      </c>
      <c r="F24" s="583" t="s">
        <v>15</v>
      </c>
      <c r="G24" s="721"/>
    </row>
    <row r="25" spans="1:10" s="543" customFormat="1" x14ac:dyDescent="0.25">
      <c r="A25" s="724"/>
      <c r="B25" s="576" t="s">
        <v>10</v>
      </c>
      <c r="C25" s="577" t="s">
        <v>23</v>
      </c>
      <c r="D25" s="577" t="s">
        <v>24</v>
      </c>
      <c r="E25" s="578">
        <f>-E22</f>
        <v>10000</v>
      </c>
      <c r="F25" s="579" t="s">
        <v>15</v>
      </c>
      <c r="G25" s="721"/>
    </row>
    <row r="26" spans="1:10" s="543" customFormat="1" x14ac:dyDescent="0.25">
      <c r="A26" s="724"/>
      <c r="B26" s="576" t="s">
        <v>7</v>
      </c>
      <c r="C26" s="577" t="s">
        <v>31</v>
      </c>
      <c r="D26" s="577" t="s">
        <v>32</v>
      </c>
      <c r="E26" s="578">
        <f>-J21</f>
        <v>-1200</v>
      </c>
      <c r="F26" s="579" t="s">
        <v>15</v>
      </c>
      <c r="G26" s="721"/>
    </row>
    <row r="27" spans="1:10" s="543" customFormat="1" ht="15.75" thickBot="1" x14ac:dyDescent="0.3">
      <c r="A27" s="725"/>
      <c r="B27" s="544" t="s">
        <v>10</v>
      </c>
      <c r="C27" s="545" t="s">
        <v>33</v>
      </c>
      <c r="D27" s="545" t="s">
        <v>34</v>
      </c>
      <c r="E27" s="580">
        <f>-E26</f>
        <v>1200</v>
      </c>
      <c r="F27" s="581" t="s">
        <v>15</v>
      </c>
      <c r="G27" s="721"/>
    </row>
    <row r="28" spans="1:10" s="543" customFormat="1" x14ac:dyDescent="0.25">
      <c r="A28" s="714" t="s">
        <v>35</v>
      </c>
      <c r="B28" s="584" t="s">
        <v>36</v>
      </c>
      <c r="C28" s="585" t="s">
        <v>37</v>
      </c>
      <c r="D28" s="586" t="s">
        <v>38</v>
      </c>
      <c r="E28" s="587">
        <f>-J13</f>
        <v>-100</v>
      </c>
      <c r="F28" s="583"/>
      <c r="G28" s="721"/>
    </row>
    <row r="29" spans="1:10" s="543" customFormat="1" x14ac:dyDescent="0.25">
      <c r="A29" s="723"/>
      <c r="B29" s="588" t="s">
        <v>39</v>
      </c>
      <c r="C29" s="589" t="s">
        <v>40</v>
      </c>
      <c r="D29" s="590" t="s">
        <v>41</v>
      </c>
      <c r="E29" s="591">
        <f>-E28</f>
        <v>100</v>
      </c>
      <c r="F29" s="592"/>
      <c r="G29" s="721"/>
      <c r="H29" s="593"/>
      <c r="I29" s="593"/>
      <c r="J29" s="593"/>
    </row>
    <row r="30" spans="1:10" s="543" customFormat="1" x14ac:dyDescent="0.25">
      <c r="A30" s="723"/>
      <c r="B30" s="588" t="s">
        <v>36</v>
      </c>
      <c r="C30" s="589" t="s">
        <v>42</v>
      </c>
      <c r="D30" s="590" t="s">
        <v>16</v>
      </c>
      <c r="E30" s="594">
        <f>-J18</f>
        <v>-15</v>
      </c>
      <c r="F30" s="579"/>
      <c r="G30" s="721"/>
    </row>
    <row r="31" spans="1:10" s="543" customFormat="1" ht="15.75" thickBot="1" x14ac:dyDescent="0.3">
      <c r="A31" s="716"/>
      <c r="B31" s="595" t="s">
        <v>39</v>
      </c>
      <c r="C31" s="596" t="s">
        <v>44</v>
      </c>
      <c r="D31" s="597"/>
      <c r="E31" s="598">
        <f>-E30</f>
        <v>15</v>
      </c>
      <c r="F31" s="599"/>
      <c r="G31" s="722"/>
    </row>
    <row r="32" spans="1:10" s="543" customFormat="1" x14ac:dyDescent="0.25">
      <c r="A32" s="714" t="s">
        <v>1141</v>
      </c>
      <c r="B32" s="584" t="s">
        <v>36</v>
      </c>
      <c r="C32" s="585" t="s">
        <v>1140</v>
      </c>
      <c r="D32" s="586" t="s">
        <v>1139</v>
      </c>
      <c r="E32" s="587">
        <v>50</v>
      </c>
      <c r="F32" s="583"/>
      <c r="G32" s="600"/>
    </row>
    <row r="33" spans="1:7" s="543" customFormat="1" ht="15.75" thickBot="1" x14ac:dyDescent="0.3">
      <c r="A33" s="715"/>
      <c r="B33" s="601" t="s">
        <v>39</v>
      </c>
      <c r="C33" s="602" t="s">
        <v>1138</v>
      </c>
      <c r="D33" s="603" t="s">
        <v>1137</v>
      </c>
      <c r="E33" s="604">
        <f>-E32</f>
        <v>-50</v>
      </c>
      <c r="F33" s="581"/>
      <c r="G33" s="600"/>
    </row>
    <row r="34" spans="1:7" s="543" customFormat="1" x14ac:dyDescent="0.25">
      <c r="A34" s="714" t="s">
        <v>45</v>
      </c>
      <c r="B34" s="539" t="s">
        <v>7</v>
      </c>
      <c r="C34" s="542" t="s">
        <v>46</v>
      </c>
      <c r="D34" s="540" t="s">
        <v>26</v>
      </c>
      <c r="E34" s="587">
        <v>-10000</v>
      </c>
      <c r="F34" s="583" t="s">
        <v>15</v>
      </c>
    </row>
    <row r="35" spans="1:7" s="543" customFormat="1" ht="15.75" thickBot="1" x14ac:dyDescent="0.3">
      <c r="A35" s="716"/>
      <c r="B35" s="595" t="s">
        <v>10</v>
      </c>
      <c r="C35" s="596" t="s">
        <v>47</v>
      </c>
      <c r="D35" s="597" t="s">
        <v>48</v>
      </c>
      <c r="E35" s="598">
        <v>10000</v>
      </c>
      <c r="F35" s="599" t="s">
        <v>15</v>
      </c>
    </row>
    <row r="36" spans="1:7" s="543" customFormat="1" x14ac:dyDescent="0.25">
      <c r="A36" s="717" t="s">
        <v>49</v>
      </c>
      <c r="B36" s="539" t="s">
        <v>7</v>
      </c>
      <c r="C36" s="540" t="s">
        <v>25</v>
      </c>
      <c r="D36" s="540" t="s">
        <v>26</v>
      </c>
      <c r="E36" s="582">
        <f>-E23</f>
        <v>-10000</v>
      </c>
      <c r="F36" s="583" t="s">
        <v>15</v>
      </c>
    </row>
    <row r="37" spans="1:7" s="543" customFormat="1" ht="15.75" thickBot="1" x14ac:dyDescent="0.3">
      <c r="A37" s="715"/>
      <c r="B37" s="544" t="s">
        <v>10</v>
      </c>
      <c r="C37" s="605" t="s">
        <v>46</v>
      </c>
      <c r="D37" s="545" t="s">
        <v>26</v>
      </c>
      <c r="E37" s="580">
        <f>-E34</f>
        <v>10000</v>
      </c>
      <c r="F37" s="581" t="s">
        <v>15</v>
      </c>
      <c r="G37" s="606"/>
    </row>
    <row r="38" spans="1:7" s="543" customFormat="1" x14ac:dyDescent="0.25">
      <c r="A38" s="731" t="s">
        <v>51</v>
      </c>
      <c r="B38" s="607" t="s">
        <v>36</v>
      </c>
      <c r="C38" s="608" t="s">
        <v>47</v>
      </c>
      <c r="D38" s="609" t="s">
        <v>48</v>
      </c>
      <c r="E38" s="610">
        <f>E28</f>
        <v>-100</v>
      </c>
      <c r="F38" s="611"/>
    </row>
    <row r="39" spans="1:7" s="543" customFormat="1" x14ac:dyDescent="0.25">
      <c r="A39" s="723"/>
      <c r="B39" s="588" t="s">
        <v>39</v>
      </c>
      <c r="C39" s="589" t="s">
        <v>37</v>
      </c>
      <c r="D39" s="590" t="s">
        <v>38</v>
      </c>
      <c r="E39" s="591">
        <f>-E28</f>
        <v>100</v>
      </c>
      <c r="F39" s="579"/>
    </row>
    <row r="40" spans="1:7" s="543" customFormat="1" x14ac:dyDescent="0.25">
      <c r="A40" s="723"/>
      <c r="B40" s="588" t="s">
        <v>36</v>
      </c>
      <c r="C40" s="589" t="s">
        <v>47</v>
      </c>
      <c r="D40" s="590" t="s">
        <v>48</v>
      </c>
      <c r="E40" s="591">
        <f>E30</f>
        <v>-15</v>
      </c>
      <c r="F40" s="579"/>
    </row>
    <row r="41" spans="1:7" s="543" customFormat="1" ht="15.75" thickBot="1" x14ac:dyDescent="0.3">
      <c r="A41" s="715"/>
      <c r="B41" s="601" t="s">
        <v>39</v>
      </c>
      <c r="C41" s="602" t="s">
        <v>42</v>
      </c>
      <c r="D41" s="603" t="s">
        <v>16</v>
      </c>
      <c r="E41" s="612">
        <f>-E30</f>
        <v>15</v>
      </c>
      <c r="F41" s="581"/>
    </row>
    <row r="42" spans="1:7" s="543" customFormat="1" x14ac:dyDescent="0.25">
      <c r="A42" s="671" t="s">
        <v>52</v>
      </c>
      <c r="B42" s="584" t="s">
        <v>36</v>
      </c>
      <c r="C42" s="585" t="s">
        <v>47</v>
      </c>
      <c r="D42" s="586" t="s">
        <v>48</v>
      </c>
      <c r="E42" s="587">
        <f>E35+E38+E40</f>
        <v>9885</v>
      </c>
      <c r="F42" s="672"/>
    </row>
    <row r="43" spans="1:7" s="543" customFormat="1" x14ac:dyDescent="0.25">
      <c r="A43" s="664"/>
      <c r="B43" s="588" t="s">
        <v>39</v>
      </c>
      <c r="C43" s="589" t="s">
        <v>53</v>
      </c>
      <c r="D43" s="590" t="s">
        <v>26</v>
      </c>
      <c r="E43" s="594">
        <f>-E42</f>
        <v>-9885</v>
      </c>
      <c r="F43" s="666"/>
    </row>
    <row r="44" spans="1:7" x14ac:dyDescent="0.25">
      <c r="A44" s="664"/>
      <c r="B44" s="613" t="s">
        <v>36</v>
      </c>
      <c r="C44" s="614" t="s">
        <v>53</v>
      </c>
      <c r="D44" s="615" t="s">
        <v>26</v>
      </c>
      <c r="E44" s="29">
        <f>E42</f>
        <v>9885</v>
      </c>
      <c r="F44" s="666"/>
    </row>
    <row r="45" spans="1:7" ht="15.75" thickBot="1" x14ac:dyDescent="0.3">
      <c r="A45" s="664"/>
      <c r="B45" s="616" t="s">
        <v>39</v>
      </c>
      <c r="C45" s="617" t="s">
        <v>54</v>
      </c>
      <c r="D45" s="618" t="s">
        <v>55</v>
      </c>
      <c r="E45" s="240">
        <f>E43</f>
        <v>-9885</v>
      </c>
      <c r="F45" s="666"/>
    </row>
    <row r="46" spans="1:7" x14ac:dyDescent="0.25">
      <c r="A46" s="655" t="s">
        <v>56</v>
      </c>
      <c r="B46" s="239" t="s">
        <v>36</v>
      </c>
      <c r="C46" s="238" t="s">
        <v>53</v>
      </c>
      <c r="D46" s="237" t="s">
        <v>26</v>
      </c>
      <c r="E46" s="236">
        <f>E38+E40</f>
        <v>-115</v>
      </c>
      <c r="F46" s="15"/>
    </row>
    <row r="47" spans="1:7" ht="15.75" thickBot="1" x14ac:dyDescent="0.3">
      <c r="A47" s="656"/>
      <c r="B47" s="235" t="s">
        <v>39</v>
      </c>
      <c r="C47" s="234" t="s">
        <v>47</v>
      </c>
      <c r="D47" s="233" t="s">
        <v>48</v>
      </c>
      <c r="E47" s="226">
        <f>-E46</f>
        <v>115</v>
      </c>
      <c r="F47" s="16"/>
    </row>
    <row r="48" spans="1:7" x14ac:dyDescent="0.25">
      <c r="A48" s="664" t="s">
        <v>57</v>
      </c>
      <c r="B48" s="232" t="s">
        <v>36</v>
      </c>
      <c r="C48" s="231" t="s">
        <v>47</v>
      </c>
      <c r="D48" s="230" t="s">
        <v>48</v>
      </c>
      <c r="E48" s="39">
        <f>E35+E38+E40+E47</f>
        <v>10000</v>
      </c>
      <c r="F48" s="666"/>
    </row>
    <row r="49" spans="1:6" x14ac:dyDescent="0.25">
      <c r="A49" s="664"/>
      <c r="B49" s="212" t="s">
        <v>39</v>
      </c>
      <c r="C49" s="183" t="s">
        <v>53</v>
      </c>
      <c r="D49" s="214" t="s">
        <v>26</v>
      </c>
      <c r="E49" s="29">
        <f>-E48</f>
        <v>-10000</v>
      </c>
      <c r="F49" s="666"/>
    </row>
    <row r="50" spans="1:6" x14ac:dyDescent="0.25">
      <c r="A50" s="664"/>
      <c r="B50" s="212" t="s">
        <v>36</v>
      </c>
      <c r="C50" s="183" t="s">
        <v>53</v>
      </c>
      <c r="D50" s="214" t="s">
        <v>26</v>
      </c>
      <c r="E50" s="29">
        <f>E48</f>
        <v>10000</v>
      </c>
      <c r="F50" s="666"/>
    </row>
    <row r="51" spans="1:6" ht="15.75" thickBot="1" x14ac:dyDescent="0.3">
      <c r="A51" s="665"/>
      <c r="B51" s="229" t="s">
        <v>39</v>
      </c>
      <c r="C51" s="228" t="s">
        <v>54</v>
      </c>
      <c r="D51" s="227" t="s">
        <v>55</v>
      </c>
      <c r="E51" s="226">
        <f>E49</f>
        <v>-10000</v>
      </c>
      <c r="F51" s="667"/>
    </row>
    <row r="53" spans="1:6" x14ac:dyDescent="0.25">
      <c r="A53" s="657" t="s">
        <v>1136</v>
      </c>
      <c r="B53" s="36" t="s">
        <v>7</v>
      </c>
      <c r="C53" s="38" t="s">
        <v>33</v>
      </c>
      <c r="D53" s="38" t="s">
        <v>59</v>
      </c>
      <c r="E53" s="49">
        <f>-E27/365</f>
        <v>-3.2876712328767121</v>
      </c>
      <c r="F53" s="40" t="s">
        <v>15</v>
      </c>
    </row>
    <row r="54" spans="1:6" ht="15.75" thickBot="1" x14ac:dyDescent="0.3">
      <c r="A54" s="658"/>
      <c r="B54" s="30" t="s">
        <v>10</v>
      </c>
      <c r="C54" s="32" t="s">
        <v>60</v>
      </c>
      <c r="D54" s="32" t="s">
        <v>61</v>
      </c>
      <c r="E54" s="50">
        <f>-E53</f>
        <v>3.2876712328767121</v>
      </c>
      <c r="F54" s="34" t="s">
        <v>15</v>
      </c>
    </row>
    <row r="55" spans="1:6" x14ac:dyDescent="0.25">
      <c r="A55" s="655" t="s">
        <v>1135</v>
      </c>
      <c r="B55" s="7" t="s">
        <v>7</v>
      </c>
      <c r="C55" s="7" t="s">
        <v>40</v>
      </c>
      <c r="D55" s="7" t="s">
        <v>63</v>
      </c>
      <c r="E55" s="51">
        <f>E28/365</f>
        <v>-0.27397260273972601</v>
      </c>
      <c r="F55" s="52"/>
    </row>
    <row r="56" spans="1:6" ht="15.75" thickBot="1" x14ac:dyDescent="0.3">
      <c r="A56" s="656"/>
      <c r="B56" s="35" t="s">
        <v>10</v>
      </c>
      <c r="C56" s="35" t="s">
        <v>60</v>
      </c>
      <c r="D56" s="35" t="s">
        <v>61</v>
      </c>
      <c r="E56" s="53">
        <f>-E55</f>
        <v>0.27397260273972601</v>
      </c>
      <c r="F56" s="54"/>
    </row>
    <row r="57" spans="1:6" x14ac:dyDescent="0.25">
      <c r="A57" s="55"/>
      <c r="B57" s="56"/>
      <c r="C57" s="57"/>
      <c r="D57" s="58"/>
      <c r="E57" s="59"/>
      <c r="F57" s="42"/>
    </row>
    <row r="58" spans="1:6" ht="15.75" thickBot="1" x14ac:dyDescent="0.3">
      <c r="A58" s="55"/>
      <c r="B58" s="56"/>
      <c r="C58" s="57"/>
      <c r="D58" s="58"/>
      <c r="E58" s="59"/>
      <c r="F58" s="42"/>
    </row>
    <row r="59" spans="1:6" x14ac:dyDescent="0.25">
      <c r="A59" s="659" t="s">
        <v>64</v>
      </c>
      <c r="B59" s="3" t="s">
        <v>7</v>
      </c>
      <c r="C59" s="7" t="s">
        <v>65</v>
      </c>
      <c r="D59" s="7" t="s">
        <v>66</v>
      </c>
      <c r="E59" s="60" t="s">
        <v>67</v>
      </c>
      <c r="F59" s="15" t="s">
        <v>15</v>
      </c>
    </row>
    <row r="60" spans="1:6" x14ac:dyDescent="0.25">
      <c r="A60" s="660"/>
      <c r="B60" s="19" t="s">
        <v>10</v>
      </c>
      <c r="C60" s="13" t="s">
        <v>28</v>
      </c>
      <c r="D60" s="13" t="s">
        <v>68</v>
      </c>
      <c r="E60" s="61" t="s">
        <v>67</v>
      </c>
      <c r="F60" s="22" t="s">
        <v>15</v>
      </c>
    </row>
    <row r="61" spans="1:6" x14ac:dyDescent="0.25">
      <c r="A61" s="660"/>
      <c r="B61" s="19" t="s">
        <v>7</v>
      </c>
      <c r="C61" s="13" t="s">
        <v>69</v>
      </c>
      <c r="D61" s="13" t="s">
        <v>70</v>
      </c>
      <c r="E61" s="61" t="s">
        <v>67</v>
      </c>
      <c r="F61" s="22" t="s">
        <v>15</v>
      </c>
    </row>
    <row r="62" spans="1:6" ht="15.75" thickBot="1" x14ac:dyDescent="0.3">
      <c r="A62" s="661"/>
      <c r="B62" s="9" t="s">
        <v>10</v>
      </c>
      <c r="C62" s="35" t="s">
        <v>31</v>
      </c>
      <c r="D62" s="35" t="s">
        <v>32</v>
      </c>
      <c r="E62" s="62" t="s">
        <v>67</v>
      </c>
      <c r="F62" s="16" t="s">
        <v>15</v>
      </c>
    </row>
    <row r="63" spans="1:6" x14ac:dyDescent="0.25">
      <c r="A63" s="659" t="s">
        <v>71</v>
      </c>
      <c r="B63" s="3" t="s">
        <v>7</v>
      </c>
      <c r="C63" s="65" t="s">
        <v>72</v>
      </c>
      <c r="D63" s="65" t="s">
        <v>48</v>
      </c>
      <c r="E63" s="3" t="s">
        <v>67</v>
      </c>
      <c r="F63" s="15" t="s">
        <v>15</v>
      </c>
    </row>
    <row r="64" spans="1:6" x14ac:dyDescent="0.25">
      <c r="A64" s="660"/>
      <c r="B64" s="19" t="s">
        <v>10</v>
      </c>
      <c r="C64" s="64" t="s">
        <v>73</v>
      </c>
      <c r="D64" s="65" t="s">
        <v>74</v>
      </c>
      <c r="E64" s="19" t="s">
        <v>67</v>
      </c>
      <c r="F64" s="22" t="s">
        <v>15</v>
      </c>
    </row>
    <row r="65" spans="1:6" ht="15.75" thickBot="1" x14ac:dyDescent="0.3">
      <c r="A65" s="661"/>
      <c r="B65" s="9" t="s">
        <v>10</v>
      </c>
      <c r="C65" s="35" t="s">
        <v>69</v>
      </c>
      <c r="D65" s="66" t="s">
        <v>75</v>
      </c>
      <c r="E65" s="9" t="s">
        <v>67</v>
      </c>
      <c r="F65" s="16" t="s">
        <v>15</v>
      </c>
    </row>
    <row r="66" spans="1:6" x14ac:dyDescent="0.25">
      <c r="A66" s="655" t="s">
        <v>76</v>
      </c>
      <c r="B66" s="3" t="s">
        <v>7</v>
      </c>
      <c r="C66" s="4" t="s">
        <v>47</v>
      </c>
      <c r="D66" s="4" t="s">
        <v>77</v>
      </c>
      <c r="E66" s="3" t="s">
        <v>67</v>
      </c>
      <c r="F66" s="15" t="s">
        <v>15</v>
      </c>
    </row>
    <row r="67" spans="1:6" x14ac:dyDescent="0.25">
      <c r="A67" s="668"/>
      <c r="B67" s="19" t="s">
        <v>10</v>
      </c>
      <c r="C67" s="20" t="s">
        <v>28</v>
      </c>
      <c r="D67" s="20" t="s">
        <v>77</v>
      </c>
      <c r="E67" s="19" t="s">
        <v>67</v>
      </c>
      <c r="F67" s="22" t="s">
        <v>15</v>
      </c>
    </row>
    <row r="68" spans="1:6" x14ac:dyDescent="0.25">
      <c r="A68" s="668"/>
      <c r="B68" s="19" t="s">
        <v>7</v>
      </c>
      <c r="C68" s="20" t="s">
        <v>47</v>
      </c>
      <c r="D68" s="20" t="s">
        <v>78</v>
      </c>
      <c r="E68" s="61" t="s">
        <v>67</v>
      </c>
      <c r="F68" s="22" t="s">
        <v>15</v>
      </c>
    </row>
    <row r="69" spans="1:6" x14ac:dyDescent="0.25">
      <c r="A69" s="668"/>
      <c r="B69" s="19" t="s">
        <v>10</v>
      </c>
      <c r="C69" s="20" t="s">
        <v>31</v>
      </c>
      <c r="D69" s="20" t="s">
        <v>78</v>
      </c>
      <c r="E69" s="61" t="s">
        <v>67</v>
      </c>
      <c r="F69" s="22" t="s">
        <v>15</v>
      </c>
    </row>
    <row r="70" spans="1:6" x14ac:dyDescent="0.25">
      <c r="A70" s="668"/>
      <c r="B70" s="19" t="s">
        <v>7</v>
      </c>
      <c r="C70" s="20" t="s">
        <v>33</v>
      </c>
      <c r="D70" s="20" t="s">
        <v>79</v>
      </c>
      <c r="E70" s="61" t="s">
        <v>67</v>
      </c>
      <c r="F70" s="22" t="s">
        <v>15</v>
      </c>
    </row>
    <row r="71" spans="1:6" x14ac:dyDescent="0.25">
      <c r="A71" s="668"/>
      <c r="B71" s="19" t="s">
        <v>10</v>
      </c>
      <c r="C71" s="20" t="s">
        <v>60</v>
      </c>
      <c r="D71" s="20" t="s">
        <v>79</v>
      </c>
      <c r="E71" s="61" t="s">
        <v>67</v>
      </c>
      <c r="F71" s="22" t="s">
        <v>15</v>
      </c>
    </row>
    <row r="72" spans="1:6" x14ac:dyDescent="0.25">
      <c r="A72" s="668"/>
      <c r="B72" s="19" t="s">
        <v>7</v>
      </c>
      <c r="C72" s="20" t="s">
        <v>60</v>
      </c>
      <c r="D72" s="20" t="s">
        <v>80</v>
      </c>
      <c r="E72" s="61" t="s">
        <v>67</v>
      </c>
      <c r="F72" s="22" t="s">
        <v>15</v>
      </c>
    </row>
    <row r="73" spans="1:6" x14ac:dyDescent="0.25">
      <c r="A73" s="668"/>
      <c r="B73" s="19" t="s">
        <v>10</v>
      </c>
      <c r="C73" s="20" t="s">
        <v>47</v>
      </c>
      <c r="D73" s="20" t="s">
        <v>80</v>
      </c>
      <c r="E73" s="61" t="s">
        <v>67</v>
      </c>
      <c r="F73" s="22" t="s">
        <v>15</v>
      </c>
    </row>
    <row r="76" spans="1:6" s="105" customFormat="1" ht="15.75" thickBot="1" x14ac:dyDescent="0.3">
      <c r="A76" s="90" t="s">
        <v>81</v>
      </c>
    </row>
    <row r="77" spans="1:6" ht="15.75" thickBot="1" x14ac:dyDescent="0.3">
      <c r="A77" s="220" t="s">
        <v>0</v>
      </c>
      <c r="B77" s="219" t="s">
        <v>1</v>
      </c>
      <c r="C77" s="219" t="s">
        <v>2</v>
      </c>
      <c r="D77" s="219" t="s">
        <v>3</v>
      </c>
      <c r="E77" s="219" t="s">
        <v>4</v>
      </c>
      <c r="F77" s="218" t="s">
        <v>5</v>
      </c>
    </row>
    <row r="78" spans="1:6" x14ac:dyDescent="0.25">
      <c r="A78" s="735" t="s">
        <v>82</v>
      </c>
      <c r="B78" s="3" t="s">
        <v>7</v>
      </c>
      <c r="C78" s="4" t="s">
        <v>60</v>
      </c>
      <c r="D78" s="223" t="s">
        <v>83</v>
      </c>
      <c r="E78" s="60" t="s">
        <v>67</v>
      </c>
      <c r="F78" s="15" t="s">
        <v>15</v>
      </c>
    </row>
    <row r="79" spans="1:6" x14ac:dyDescent="0.25">
      <c r="A79" s="736"/>
      <c r="B79" s="19" t="s">
        <v>10</v>
      </c>
      <c r="C79" s="38" t="s">
        <v>84</v>
      </c>
      <c r="D79" s="222" t="s">
        <v>48</v>
      </c>
      <c r="E79" s="61" t="s">
        <v>67</v>
      </c>
      <c r="F79" s="22" t="s">
        <v>15</v>
      </c>
    </row>
    <row r="80" spans="1:6" x14ac:dyDescent="0.25">
      <c r="A80" s="736"/>
      <c r="B80" s="36" t="s">
        <v>7</v>
      </c>
      <c r="C80" s="38" t="s">
        <v>44</v>
      </c>
      <c r="D80" s="222" t="s">
        <v>44</v>
      </c>
      <c r="E80" s="221" t="s">
        <v>67</v>
      </c>
      <c r="F80" s="40" t="s">
        <v>15</v>
      </c>
    </row>
    <row r="81" spans="1:6" ht="15.75" thickBot="1" x14ac:dyDescent="0.3">
      <c r="A81" s="737"/>
      <c r="B81" s="9" t="s">
        <v>10</v>
      </c>
      <c r="C81" s="225" t="s">
        <v>84</v>
      </c>
      <c r="D81" s="224" t="s">
        <v>48</v>
      </c>
      <c r="E81" s="62" t="s">
        <v>67</v>
      </c>
      <c r="F81" s="16" t="s">
        <v>15</v>
      </c>
    </row>
    <row r="82" spans="1:6" x14ac:dyDescent="0.25">
      <c r="A82" s="735" t="s">
        <v>85</v>
      </c>
      <c r="B82" s="3" t="s">
        <v>7</v>
      </c>
      <c r="C82" s="4" t="s">
        <v>60</v>
      </c>
      <c r="D82" s="7" t="s">
        <v>61</v>
      </c>
      <c r="E82" s="60" t="s">
        <v>67</v>
      </c>
      <c r="F82" s="15" t="s">
        <v>15</v>
      </c>
    </row>
    <row r="83" spans="1:6" x14ac:dyDescent="0.25">
      <c r="A83" s="736"/>
      <c r="B83" s="19" t="s">
        <v>10</v>
      </c>
      <c r="C83" s="20" t="s">
        <v>33</v>
      </c>
      <c r="D83" s="20" t="s">
        <v>86</v>
      </c>
      <c r="E83" s="61" t="s">
        <v>67</v>
      </c>
      <c r="F83" s="22" t="s">
        <v>15</v>
      </c>
    </row>
    <row r="84" spans="1:6" x14ac:dyDescent="0.25">
      <c r="A84" s="736"/>
      <c r="B84" s="19" t="s">
        <v>7</v>
      </c>
      <c r="C84" s="20" t="s">
        <v>33</v>
      </c>
      <c r="D84" s="20" t="s">
        <v>86</v>
      </c>
      <c r="E84" s="61" t="s">
        <v>67</v>
      </c>
      <c r="F84" s="22" t="s">
        <v>15</v>
      </c>
    </row>
    <row r="85" spans="1:6" ht="15.75" thickBot="1" x14ac:dyDescent="0.3">
      <c r="A85" s="737"/>
      <c r="B85" s="9" t="s">
        <v>10</v>
      </c>
      <c r="C85" s="35" t="s">
        <v>31</v>
      </c>
      <c r="D85" s="35" t="s">
        <v>32</v>
      </c>
      <c r="E85" s="62" t="s">
        <v>67</v>
      </c>
      <c r="F85" s="16" t="s">
        <v>15</v>
      </c>
    </row>
    <row r="86" spans="1:6" x14ac:dyDescent="0.25">
      <c r="A86" s="735" t="s">
        <v>87</v>
      </c>
      <c r="B86" s="3" t="s">
        <v>7</v>
      </c>
      <c r="C86" s="4" t="s">
        <v>84</v>
      </c>
      <c r="D86" s="223" t="s">
        <v>48</v>
      </c>
      <c r="E86" s="60" t="s">
        <v>67</v>
      </c>
      <c r="F86" s="15" t="s">
        <v>15</v>
      </c>
    </row>
    <row r="87" spans="1:6" ht="15.75" thickBot="1" x14ac:dyDescent="0.3">
      <c r="A87" s="737"/>
      <c r="B87" s="9" t="s">
        <v>10</v>
      </c>
      <c r="C87" s="216" t="s">
        <v>28</v>
      </c>
      <c r="D87" s="10" t="s">
        <v>77</v>
      </c>
      <c r="E87" s="62" t="s">
        <v>67</v>
      </c>
      <c r="F87" s="16" t="s">
        <v>15</v>
      </c>
    </row>
    <row r="89" spans="1:6" ht="15.75" thickBot="1" x14ac:dyDescent="0.3"/>
    <row r="90" spans="1:6" ht="15.75" thickBot="1" x14ac:dyDescent="0.3">
      <c r="A90" s="220" t="s">
        <v>0</v>
      </c>
      <c r="B90" s="219" t="s">
        <v>1</v>
      </c>
      <c r="C90" s="219" t="s">
        <v>2</v>
      </c>
      <c r="D90" s="219" t="s">
        <v>3</v>
      </c>
      <c r="E90" s="219" t="s">
        <v>4</v>
      </c>
      <c r="F90" s="218" t="s">
        <v>5</v>
      </c>
    </row>
    <row r="91" spans="1:6" x14ac:dyDescent="0.25">
      <c r="A91" s="657" t="s">
        <v>1134</v>
      </c>
      <c r="B91" s="36" t="s">
        <v>7</v>
      </c>
      <c r="C91" s="20" t="s">
        <v>1133</v>
      </c>
      <c r="D91" s="222" t="s">
        <v>1132</v>
      </c>
      <c r="E91" s="221" t="s">
        <v>67</v>
      </c>
      <c r="F91" s="40" t="s">
        <v>15</v>
      </c>
    </row>
    <row r="92" spans="1:6" x14ac:dyDescent="0.25">
      <c r="A92" s="668"/>
      <c r="B92" s="19" t="s">
        <v>10</v>
      </c>
      <c r="C92" s="20" t="s">
        <v>60</v>
      </c>
      <c r="D92" s="13" t="s">
        <v>61</v>
      </c>
      <c r="E92" s="61" t="s">
        <v>67</v>
      </c>
      <c r="F92" s="22" t="s">
        <v>15</v>
      </c>
    </row>
    <row r="93" spans="1:6" x14ac:dyDescent="0.25">
      <c r="A93" s="668"/>
      <c r="B93" s="19" t="s">
        <v>7</v>
      </c>
      <c r="C93" s="20" t="s">
        <v>84</v>
      </c>
      <c r="D93" s="64" t="s">
        <v>48</v>
      </c>
      <c r="E93" s="61" t="s">
        <v>67</v>
      </c>
      <c r="F93" s="22" t="s">
        <v>15</v>
      </c>
    </row>
    <row r="94" spans="1:6" x14ac:dyDescent="0.25">
      <c r="A94" s="668"/>
      <c r="B94" s="19" t="s">
        <v>10</v>
      </c>
      <c r="C94" s="64" t="s">
        <v>73</v>
      </c>
      <c r="D94" s="20" t="s">
        <v>77</v>
      </c>
      <c r="E94" s="61" t="s">
        <v>67</v>
      </c>
      <c r="F94" s="22" t="s">
        <v>15</v>
      </c>
    </row>
    <row r="95" spans="1:6" x14ac:dyDescent="0.25">
      <c r="A95" s="668"/>
      <c r="B95" s="19" t="s">
        <v>7</v>
      </c>
      <c r="C95" s="20" t="s">
        <v>84</v>
      </c>
      <c r="D95" s="64" t="s">
        <v>48</v>
      </c>
      <c r="E95" s="61" t="s">
        <v>67</v>
      </c>
      <c r="F95" s="22" t="s">
        <v>15</v>
      </c>
    </row>
    <row r="96" spans="1:6" x14ac:dyDescent="0.25">
      <c r="A96" s="668"/>
      <c r="B96" s="19" t="s">
        <v>10</v>
      </c>
      <c r="C96" s="20" t="s">
        <v>1133</v>
      </c>
      <c r="D96" s="64" t="s">
        <v>1132</v>
      </c>
      <c r="E96" s="61" t="s">
        <v>67</v>
      </c>
      <c r="F96" s="22" t="s">
        <v>15</v>
      </c>
    </row>
    <row r="97" spans="1:6" x14ac:dyDescent="0.25">
      <c r="A97" s="668"/>
      <c r="B97" s="19" t="s">
        <v>7</v>
      </c>
      <c r="C97" s="20" t="s">
        <v>84</v>
      </c>
      <c r="D97" s="64" t="s">
        <v>48</v>
      </c>
      <c r="E97" s="61" t="s">
        <v>67</v>
      </c>
      <c r="F97" s="22" t="s">
        <v>15</v>
      </c>
    </row>
    <row r="98" spans="1:6" x14ac:dyDescent="0.25">
      <c r="A98" s="668"/>
      <c r="B98" s="19" t="s">
        <v>10</v>
      </c>
      <c r="C98" s="13" t="s">
        <v>31</v>
      </c>
      <c r="D98" s="13" t="s">
        <v>32</v>
      </c>
      <c r="E98" s="61" t="s">
        <v>67</v>
      </c>
      <c r="F98" s="22" t="s">
        <v>15</v>
      </c>
    </row>
    <row r="99" spans="1:6" x14ac:dyDescent="0.25">
      <c r="A99" s="668"/>
      <c r="B99" s="19" t="s">
        <v>7</v>
      </c>
      <c r="C99" s="20" t="s">
        <v>33</v>
      </c>
      <c r="D99" s="20" t="s">
        <v>86</v>
      </c>
      <c r="E99" s="61" t="s">
        <v>67</v>
      </c>
      <c r="F99" s="22" t="s">
        <v>15</v>
      </c>
    </row>
    <row r="100" spans="1:6" x14ac:dyDescent="0.25">
      <c r="A100" s="668"/>
      <c r="B100" s="19" t="s">
        <v>10</v>
      </c>
      <c r="C100" s="20" t="s">
        <v>60</v>
      </c>
      <c r="D100" s="13" t="s">
        <v>61</v>
      </c>
      <c r="E100" s="61" t="s">
        <v>67</v>
      </c>
      <c r="F100" s="22" t="s">
        <v>15</v>
      </c>
    </row>
    <row r="101" spans="1:6" x14ac:dyDescent="0.25">
      <c r="A101" s="668"/>
      <c r="B101" s="217" t="s">
        <v>7</v>
      </c>
      <c r="C101" s="214" t="s">
        <v>1122</v>
      </c>
      <c r="D101" s="214" t="s">
        <v>61</v>
      </c>
      <c r="E101" s="61" t="s">
        <v>67</v>
      </c>
      <c r="F101" s="22" t="s">
        <v>15</v>
      </c>
    </row>
    <row r="102" spans="1:6" x14ac:dyDescent="0.25">
      <c r="A102" s="668"/>
      <c r="B102" s="217" t="s">
        <v>10</v>
      </c>
      <c r="C102" s="214" t="s">
        <v>1131</v>
      </c>
      <c r="D102" s="214" t="s">
        <v>1130</v>
      </c>
      <c r="E102" s="61" t="s">
        <v>67</v>
      </c>
      <c r="F102" s="22" t="s">
        <v>15</v>
      </c>
    </row>
    <row r="103" spans="1:6" x14ac:dyDescent="0.25">
      <c r="A103" s="668"/>
      <c r="B103" s="217" t="s">
        <v>7</v>
      </c>
      <c r="C103" s="214" t="s">
        <v>1131</v>
      </c>
      <c r="D103" s="214" t="s">
        <v>1130</v>
      </c>
      <c r="E103" s="61" t="s">
        <v>67</v>
      </c>
      <c r="F103" s="22" t="s">
        <v>15</v>
      </c>
    </row>
    <row r="104" spans="1:6" ht="15.75" thickBot="1" x14ac:dyDescent="0.3">
      <c r="A104" s="656"/>
      <c r="B104" s="9" t="s">
        <v>10</v>
      </c>
      <c r="C104" s="10" t="s">
        <v>84</v>
      </c>
      <c r="D104" s="216" t="s">
        <v>48</v>
      </c>
      <c r="E104" s="62" t="s">
        <v>67</v>
      </c>
      <c r="F104" s="16" t="s">
        <v>15</v>
      </c>
    </row>
    <row r="106" spans="1:6" ht="15.75" thickBot="1" x14ac:dyDescent="0.3"/>
    <row r="107" spans="1:6" ht="15.75" thickBot="1" x14ac:dyDescent="0.3">
      <c r="A107" s="220" t="s">
        <v>0</v>
      </c>
      <c r="B107" s="219" t="s">
        <v>1</v>
      </c>
      <c r="C107" s="219" t="s">
        <v>2</v>
      </c>
      <c r="D107" s="219" t="s">
        <v>3</v>
      </c>
      <c r="E107" s="219" t="s">
        <v>4</v>
      </c>
      <c r="F107" s="218" t="s">
        <v>5</v>
      </c>
    </row>
    <row r="108" spans="1:6" x14ac:dyDescent="0.25">
      <c r="A108" s="671" t="s">
        <v>1129</v>
      </c>
      <c r="B108" s="3" t="s">
        <v>7</v>
      </c>
      <c r="C108" s="4" t="s">
        <v>33</v>
      </c>
      <c r="D108" s="4" t="s">
        <v>86</v>
      </c>
      <c r="E108" s="60" t="s">
        <v>67</v>
      </c>
      <c r="F108" s="15" t="s">
        <v>15</v>
      </c>
    </row>
    <row r="109" spans="1:6" x14ac:dyDescent="0.25">
      <c r="A109" s="664"/>
      <c r="B109" s="19" t="s">
        <v>10</v>
      </c>
      <c r="C109" s="20" t="s">
        <v>60</v>
      </c>
      <c r="D109" s="13" t="s">
        <v>61</v>
      </c>
      <c r="E109" s="61" t="s">
        <v>67</v>
      </c>
      <c r="F109" s="22" t="s">
        <v>15</v>
      </c>
    </row>
    <row r="110" spans="1:6" x14ac:dyDescent="0.25">
      <c r="A110" s="664"/>
      <c r="B110" s="19" t="s">
        <v>7</v>
      </c>
      <c r="C110" s="20" t="s">
        <v>84</v>
      </c>
      <c r="D110" s="64" t="s">
        <v>48</v>
      </c>
      <c r="E110" s="61" t="s">
        <v>67</v>
      </c>
      <c r="F110" s="22" t="s">
        <v>15</v>
      </c>
    </row>
    <row r="111" spans="1:6" x14ac:dyDescent="0.25">
      <c r="A111" s="664"/>
      <c r="B111" s="19" t="s">
        <v>10</v>
      </c>
      <c r="C111" s="13" t="s">
        <v>31</v>
      </c>
      <c r="D111" s="13" t="s">
        <v>32</v>
      </c>
      <c r="E111" s="61" t="s">
        <v>67</v>
      </c>
      <c r="F111" s="22" t="s">
        <v>15</v>
      </c>
    </row>
    <row r="112" spans="1:6" x14ac:dyDescent="0.25">
      <c r="A112" s="664"/>
      <c r="B112" s="19" t="s">
        <v>7</v>
      </c>
      <c r="C112" s="20" t="s">
        <v>84</v>
      </c>
      <c r="D112" s="64" t="s">
        <v>48</v>
      </c>
      <c r="E112" s="61" t="s">
        <v>67</v>
      </c>
      <c r="F112" s="22" t="s">
        <v>15</v>
      </c>
    </row>
    <row r="113" spans="1:6" ht="15.75" thickBot="1" x14ac:dyDescent="0.3">
      <c r="A113" s="665"/>
      <c r="B113" s="9" t="s">
        <v>10</v>
      </c>
      <c r="C113" s="216" t="s">
        <v>73</v>
      </c>
      <c r="D113" s="10" t="s">
        <v>77</v>
      </c>
      <c r="E113" s="62" t="s">
        <v>67</v>
      </c>
      <c r="F113" s="16" t="s">
        <v>15</v>
      </c>
    </row>
    <row r="114" spans="1:6" x14ac:dyDescent="0.25">
      <c r="A114" s="671" t="s">
        <v>1128</v>
      </c>
      <c r="B114" s="3" t="s">
        <v>7</v>
      </c>
      <c r="C114" s="4" t="s">
        <v>1127</v>
      </c>
      <c r="D114" s="4" t="s">
        <v>1126</v>
      </c>
      <c r="E114" s="60" t="s">
        <v>67</v>
      </c>
      <c r="F114" s="15" t="s">
        <v>15</v>
      </c>
    </row>
    <row r="115" spans="1:6" x14ac:dyDescent="0.25">
      <c r="A115" s="664"/>
      <c r="B115" s="19" t="s">
        <v>10</v>
      </c>
      <c r="C115" s="20" t="s">
        <v>60</v>
      </c>
      <c r="D115" s="13" t="s">
        <v>61</v>
      </c>
      <c r="E115" s="61" t="s">
        <v>67</v>
      </c>
      <c r="F115" s="22" t="s">
        <v>15</v>
      </c>
    </row>
    <row r="116" spans="1:6" x14ac:dyDescent="0.25">
      <c r="A116" s="664"/>
      <c r="B116" s="19" t="s">
        <v>7</v>
      </c>
      <c r="C116" s="20" t="s">
        <v>84</v>
      </c>
      <c r="D116" s="64" t="s">
        <v>48</v>
      </c>
      <c r="E116" s="61" t="s">
        <v>67</v>
      </c>
      <c r="F116" s="22" t="s">
        <v>15</v>
      </c>
    </row>
    <row r="117" spans="1:6" x14ac:dyDescent="0.25">
      <c r="A117" s="664"/>
      <c r="B117" s="217" t="s">
        <v>10</v>
      </c>
      <c r="C117" s="214" t="s">
        <v>1127</v>
      </c>
      <c r="D117" s="38" t="s">
        <v>1126</v>
      </c>
      <c r="E117" s="61" t="s">
        <v>67</v>
      </c>
      <c r="F117" s="22" t="s">
        <v>15</v>
      </c>
    </row>
    <row r="118" spans="1:6" x14ac:dyDescent="0.25">
      <c r="A118" s="664"/>
      <c r="B118" s="19" t="s">
        <v>7</v>
      </c>
      <c r="C118" s="20" t="s">
        <v>84</v>
      </c>
      <c r="D118" s="64" t="s">
        <v>48</v>
      </c>
      <c r="E118" s="61" t="s">
        <v>67</v>
      </c>
      <c r="F118" s="22" t="s">
        <v>15</v>
      </c>
    </row>
    <row r="119" spans="1:6" ht="15.75" thickBot="1" x14ac:dyDescent="0.3">
      <c r="A119" s="665"/>
      <c r="B119" s="9" t="s">
        <v>10</v>
      </c>
      <c r="C119" s="216" t="s">
        <v>73</v>
      </c>
      <c r="D119" s="10" t="s">
        <v>77</v>
      </c>
      <c r="E119" s="62" t="s">
        <v>67</v>
      </c>
      <c r="F119" s="16" t="s">
        <v>15</v>
      </c>
    </row>
    <row r="123" spans="1:6" x14ac:dyDescent="0.25">
      <c r="A123" s="215" t="s">
        <v>0</v>
      </c>
      <c r="B123" s="215" t="s">
        <v>1</v>
      </c>
      <c r="C123" s="215" t="s">
        <v>2</v>
      </c>
      <c r="D123" s="215" t="s">
        <v>3</v>
      </c>
      <c r="E123" s="215" t="s">
        <v>4</v>
      </c>
      <c r="F123" s="215" t="s">
        <v>5</v>
      </c>
    </row>
    <row r="124" spans="1:6" x14ac:dyDescent="0.25">
      <c r="A124" s="738" t="s">
        <v>1125</v>
      </c>
      <c r="B124" s="183" t="s">
        <v>7</v>
      </c>
      <c r="C124" s="214" t="s">
        <v>1124</v>
      </c>
      <c r="D124" s="214" t="s">
        <v>1123</v>
      </c>
      <c r="E124" s="213">
        <v>-100000</v>
      </c>
      <c r="F124" s="211" t="s">
        <v>15</v>
      </c>
    </row>
    <row r="125" spans="1:6" x14ac:dyDescent="0.25">
      <c r="A125" s="738"/>
      <c r="B125" s="182" t="s">
        <v>10</v>
      </c>
      <c r="C125" s="183" t="s">
        <v>73</v>
      </c>
      <c r="D125" s="183" t="s">
        <v>68</v>
      </c>
      <c r="E125" s="184">
        <v>100000</v>
      </c>
      <c r="F125" s="211" t="s">
        <v>15</v>
      </c>
    </row>
    <row r="126" spans="1:6" x14ac:dyDescent="0.25">
      <c r="A126" s="738"/>
      <c r="B126" s="183" t="s">
        <v>7</v>
      </c>
      <c r="C126" s="214" t="s">
        <v>1122</v>
      </c>
      <c r="D126" s="214" t="s">
        <v>61</v>
      </c>
      <c r="E126" s="213">
        <f>-10027.4</f>
        <v>-10027.4</v>
      </c>
      <c r="F126" s="211" t="s">
        <v>15</v>
      </c>
    </row>
    <row r="127" spans="1:6" x14ac:dyDescent="0.25">
      <c r="A127" s="738"/>
      <c r="B127" s="182" t="s">
        <v>10</v>
      </c>
      <c r="C127" s="183" t="s">
        <v>1121</v>
      </c>
      <c r="D127" s="183" t="s">
        <v>32</v>
      </c>
      <c r="E127" s="184">
        <v>10027.4</v>
      </c>
      <c r="F127" s="211" t="s">
        <v>15</v>
      </c>
    </row>
    <row r="130" spans="1:6" ht="15.75" thickBot="1" x14ac:dyDescent="0.3">
      <c r="A130" s="107" t="s">
        <v>88</v>
      </c>
    </row>
    <row r="131" spans="1:6" ht="15.75" thickBot="1" x14ac:dyDescent="0.3">
      <c r="A131" s="91" t="s">
        <v>0</v>
      </c>
      <c r="B131" s="92" t="s">
        <v>1</v>
      </c>
      <c r="C131" s="92" t="s">
        <v>2</v>
      </c>
      <c r="D131" s="92" t="s">
        <v>3</v>
      </c>
      <c r="E131" s="93" t="s">
        <v>4</v>
      </c>
      <c r="F131" s="109"/>
    </row>
    <row r="132" spans="1:6" x14ac:dyDescent="0.25">
      <c r="A132" s="678" t="s">
        <v>89</v>
      </c>
      <c r="B132" s="7" t="s">
        <v>7</v>
      </c>
      <c r="C132" s="7"/>
      <c r="D132" s="7" t="s">
        <v>90</v>
      </c>
      <c r="E132" s="94">
        <v>-14988.5</v>
      </c>
      <c r="F132" s="103"/>
    </row>
    <row r="133" spans="1:6" ht="15.75" thickBot="1" x14ac:dyDescent="0.3">
      <c r="A133" s="679"/>
      <c r="B133" s="35" t="s">
        <v>10</v>
      </c>
      <c r="C133" s="35"/>
      <c r="D133" s="35" t="s">
        <v>91</v>
      </c>
      <c r="E133" s="95">
        <v>14988.5</v>
      </c>
    </row>
    <row r="134" spans="1:6" ht="15.75" thickBot="1" x14ac:dyDescent="0.3">
      <c r="A134" s="96"/>
      <c r="B134" s="57"/>
      <c r="C134" s="57"/>
      <c r="D134" s="57"/>
      <c r="E134" s="97"/>
    </row>
    <row r="135" spans="1:6" x14ac:dyDescent="0.25">
      <c r="A135" s="678" t="s">
        <v>92</v>
      </c>
      <c r="B135" s="7" t="s">
        <v>7</v>
      </c>
      <c r="C135" s="7"/>
      <c r="D135" s="7" t="s">
        <v>93</v>
      </c>
      <c r="E135" s="94">
        <v>-10</v>
      </c>
    </row>
    <row r="136" spans="1:6" ht="15.75" thickBot="1" x14ac:dyDescent="0.3">
      <c r="A136" s="679"/>
      <c r="B136" s="35" t="s">
        <v>10</v>
      </c>
      <c r="C136" s="35"/>
      <c r="D136" s="35" t="s">
        <v>94</v>
      </c>
      <c r="E136" s="95">
        <v>10</v>
      </c>
    </row>
    <row r="137" spans="1:6" ht="15.75" thickBot="1" x14ac:dyDescent="0.3">
      <c r="A137" s="96"/>
      <c r="B137" s="57"/>
      <c r="C137" s="57"/>
      <c r="D137" s="57"/>
      <c r="E137" s="97"/>
    </row>
    <row r="138" spans="1:6" x14ac:dyDescent="0.25">
      <c r="A138" s="683" t="s">
        <v>95</v>
      </c>
      <c r="B138" s="7" t="s">
        <v>7</v>
      </c>
      <c r="C138" s="7"/>
      <c r="D138" s="7" t="s">
        <v>96</v>
      </c>
      <c r="E138" s="94">
        <v>-1.5</v>
      </c>
    </row>
    <row r="139" spans="1:6" ht="15.75" thickBot="1" x14ac:dyDescent="0.3">
      <c r="A139" s="684"/>
      <c r="B139" s="35" t="s">
        <v>10</v>
      </c>
      <c r="C139" s="35"/>
      <c r="D139" s="35" t="s">
        <v>91</v>
      </c>
      <c r="E139" s="95">
        <v>1.5</v>
      </c>
    </row>
    <row r="140" spans="1:6" x14ac:dyDescent="0.25">
      <c r="A140" s="98"/>
      <c r="B140" s="37"/>
      <c r="C140" s="37"/>
      <c r="D140" s="37"/>
      <c r="E140" s="99"/>
    </row>
    <row r="141" spans="1:6" ht="15.75" thickBot="1" x14ac:dyDescent="0.3">
      <c r="A141" s="100"/>
      <c r="B141" s="31"/>
      <c r="C141" s="31"/>
      <c r="D141" s="31"/>
      <c r="E141" s="101"/>
    </row>
    <row r="142" spans="1:6" x14ac:dyDescent="0.25">
      <c r="A142" s="678" t="s">
        <v>97</v>
      </c>
      <c r="B142" s="7" t="s">
        <v>7</v>
      </c>
      <c r="C142" s="7"/>
      <c r="D142" s="7" t="s">
        <v>26</v>
      </c>
      <c r="E142" s="94">
        <v>-15000</v>
      </c>
      <c r="F142" s="103"/>
    </row>
    <row r="143" spans="1:6" ht="15.75" thickBot="1" x14ac:dyDescent="0.3">
      <c r="A143" s="679"/>
      <c r="B143" s="35" t="s">
        <v>10</v>
      </c>
      <c r="C143" s="35"/>
      <c r="D143" s="35" t="s">
        <v>98</v>
      </c>
      <c r="E143" s="95">
        <v>15000</v>
      </c>
      <c r="F143" s="103"/>
    </row>
    <row r="144" spans="1:6" x14ac:dyDescent="0.25">
      <c r="A144" s="98"/>
      <c r="B144" s="37"/>
      <c r="C144" s="37"/>
      <c r="D144" s="37"/>
      <c r="E144" s="99"/>
    </row>
    <row r="145" spans="1:5" ht="15.75" thickBot="1" x14ac:dyDescent="0.3">
      <c r="A145" s="100"/>
      <c r="B145" s="31"/>
      <c r="C145" s="31"/>
      <c r="D145" s="31"/>
      <c r="E145" s="101"/>
    </row>
    <row r="146" spans="1:5" x14ac:dyDescent="0.25">
      <c r="A146" s="678" t="s">
        <v>1120</v>
      </c>
      <c r="B146" s="7" t="s">
        <v>7</v>
      </c>
      <c r="C146" s="7"/>
      <c r="D146" s="7" t="s">
        <v>100</v>
      </c>
      <c r="E146" s="94">
        <v>-15000</v>
      </c>
    </row>
    <row r="147" spans="1:5" ht="15.75" thickBot="1" x14ac:dyDescent="0.3">
      <c r="A147" s="679"/>
      <c r="B147" s="35" t="s">
        <v>10</v>
      </c>
      <c r="C147" s="35"/>
      <c r="D147" s="35" t="s">
        <v>101</v>
      </c>
      <c r="E147" s="95">
        <v>15000</v>
      </c>
    </row>
    <row r="148" spans="1:5" ht="15.75" thickBot="1" x14ac:dyDescent="0.3"/>
    <row r="149" spans="1:5" x14ac:dyDescent="0.25">
      <c r="A149" s="294" t="s">
        <v>0</v>
      </c>
      <c r="B149" s="295" t="s">
        <v>1</v>
      </c>
      <c r="C149" s="295" t="s">
        <v>2</v>
      </c>
      <c r="D149" s="295" t="s">
        <v>3</v>
      </c>
      <c r="E149" s="296" t="s">
        <v>4</v>
      </c>
    </row>
    <row r="150" spans="1:5" x14ac:dyDescent="0.25">
      <c r="A150" s="732" t="s">
        <v>1525</v>
      </c>
      <c r="B150" s="13" t="s">
        <v>7</v>
      </c>
      <c r="C150" s="13"/>
      <c r="D150" s="13" t="s">
        <v>1526</v>
      </c>
      <c r="E150" s="18" t="s">
        <v>1522</v>
      </c>
    </row>
    <row r="151" spans="1:5" x14ac:dyDescent="0.25">
      <c r="A151" s="733"/>
      <c r="B151" s="13" t="s">
        <v>10</v>
      </c>
      <c r="C151" s="13"/>
      <c r="D151" s="13" t="s">
        <v>1523</v>
      </c>
      <c r="E151" s="18" t="s">
        <v>1522</v>
      </c>
    </row>
    <row r="152" spans="1:5" x14ac:dyDescent="0.25">
      <c r="A152" s="733"/>
      <c r="B152" s="13"/>
      <c r="C152" s="13"/>
      <c r="D152" s="13"/>
      <c r="E152" s="18"/>
    </row>
    <row r="153" spans="1:5" x14ac:dyDescent="0.25">
      <c r="A153" s="733"/>
      <c r="B153" s="13" t="s">
        <v>7</v>
      </c>
      <c r="C153" s="13"/>
      <c r="D153" s="13" t="s">
        <v>1527</v>
      </c>
      <c r="E153" s="18" t="s">
        <v>1522</v>
      </c>
    </row>
    <row r="154" spans="1:5" ht="15.75" thickBot="1" x14ac:dyDescent="0.3">
      <c r="A154" s="734"/>
      <c r="B154" s="35" t="s">
        <v>10</v>
      </c>
      <c r="C154" s="35"/>
      <c r="D154" s="35" t="s">
        <v>1524</v>
      </c>
      <c r="E154" s="54" t="s">
        <v>1522</v>
      </c>
    </row>
    <row r="156" spans="1:5" x14ac:dyDescent="0.25">
      <c r="A156" t="s">
        <v>1528</v>
      </c>
    </row>
    <row r="157" spans="1:5" x14ac:dyDescent="0.25">
      <c r="A157" t="s">
        <v>1529</v>
      </c>
    </row>
  </sheetData>
  <mergeCells count="36">
    <mergeCell ref="A150:A154"/>
    <mergeCell ref="A138:A139"/>
    <mergeCell ref="A63:A65"/>
    <mergeCell ref="A66:A73"/>
    <mergeCell ref="A78:A81"/>
    <mergeCell ref="A82:A85"/>
    <mergeCell ref="A86:A87"/>
    <mergeCell ref="A142:A143"/>
    <mergeCell ref="A146:A147"/>
    <mergeCell ref="A124:A127"/>
    <mergeCell ref="A132:A133"/>
    <mergeCell ref="A135:A136"/>
    <mergeCell ref="A16:A17"/>
    <mergeCell ref="G16:G17"/>
    <mergeCell ref="A12:A15"/>
    <mergeCell ref="A108:A113"/>
    <mergeCell ref="A114:A119"/>
    <mergeCell ref="A38:A41"/>
    <mergeCell ref="A42:A45"/>
    <mergeCell ref="A91:A104"/>
    <mergeCell ref="A46:A47"/>
    <mergeCell ref="A48:A51"/>
    <mergeCell ref="F48:F51"/>
    <mergeCell ref="A53:A54"/>
    <mergeCell ref="A55:A56"/>
    <mergeCell ref="A59:A62"/>
    <mergeCell ref="F42:F45"/>
    <mergeCell ref="G12:G13"/>
    <mergeCell ref="A32:A33"/>
    <mergeCell ref="A34:A35"/>
    <mergeCell ref="A36:A37"/>
    <mergeCell ref="A18:A19"/>
    <mergeCell ref="G18:G31"/>
    <mergeCell ref="A20:A23"/>
    <mergeCell ref="A24:A27"/>
    <mergeCell ref="A28:A31"/>
  </mergeCells>
  <pageMargins left="0.7" right="0.7" top="0.75" bottom="0.75" header="0.3" footer="0.3"/>
  <pageSetup paperSize="9" orientation="portrait" r:id="rId1"/>
  <headerFooter>
    <oddFooter>&amp;L&amp;"Calibri Light,Regular"&amp;09&amp;K00C000Public</oddFooter>
    <evenFooter>&amp;L&amp;"Calibri Light,Regular"&amp;09&amp;K00C000Public</evenFooter>
    <firstFooter>&amp;L&amp;"Calibri Light,Regular"&amp;09&amp;K00C000Public</first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24427-4860-4223-8D35-FEBCDD7EF303}">
  <sheetPr>
    <pageSetUpPr autoPageBreaks="0"/>
  </sheetPr>
  <dimension ref="A1:M106"/>
  <sheetViews>
    <sheetView workbookViewId="0">
      <selection activeCell="E102" sqref="E102"/>
    </sheetView>
  </sheetViews>
  <sheetFormatPr defaultRowHeight="15" x14ac:dyDescent="0.25"/>
  <cols>
    <col min="1" max="1" width="36.7109375" bestFit="1" customWidth="1"/>
    <col min="2" max="2" width="11.7109375" bestFit="1" customWidth="1"/>
    <col min="3" max="3" width="9.7109375" bestFit="1" customWidth="1"/>
    <col min="4" max="4" width="23.7109375" customWidth="1"/>
    <col min="5" max="5" width="24.28515625" bestFit="1" customWidth="1"/>
    <col min="6" max="6" width="13.85546875" bestFit="1" customWidth="1"/>
    <col min="7" max="7" width="11" bestFit="1" customWidth="1"/>
    <col min="8" max="8" width="23.28515625" bestFit="1" customWidth="1"/>
    <col min="9" max="9" width="21.85546875" bestFit="1" customWidth="1"/>
    <col min="10" max="10" width="35.140625" bestFit="1" customWidth="1"/>
    <col min="11" max="11" width="11.28515625" bestFit="1" customWidth="1"/>
    <col min="12" max="12" width="11.7109375" bestFit="1" customWidth="1"/>
    <col min="13" max="13" width="13" bestFit="1" customWidth="1"/>
  </cols>
  <sheetData>
    <row r="1" spans="1:13" x14ac:dyDescent="0.25">
      <c r="A1" t="s">
        <v>1417</v>
      </c>
      <c r="B1" t="s">
        <v>1416</v>
      </c>
      <c r="C1" t="s">
        <v>1415</v>
      </c>
      <c r="D1" t="s">
        <v>1414</v>
      </c>
      <c r="E1" t="s">
        <v>3</v>
      </c>
      <c r="F1" t="s">
        <v>481</v>
      </c>
      <c r="G1" t="s">
        <v>1413</v>
      </c>
      <c r="H1" t="s">
        <v>1412</v>
      </c>
      <c r="I1" t="s">
        <v>1411</v>
      </c>
      <c r="J1" t="s">
        <v>1410</v>
      </c>
      <c r="K1" t="s">
        <v>1409</v>
      </c>
      <c r="L1" t="s">
        <v>1408</v>
      </c>
      <c r="M1" t="s">
        <v>1407</v>
      </c>
    </row>
    <row r="2" spans="1:13" x14ac:dyDescent="0.25">
      <c r="A2" t="s">
        <v>1406</v>
      </c>
      <c r="B2" t="s">
        <v>1162</v>
      </c>
      <c r="C2" t="s">
        <v>1152</v>
      </c>
      <c r="D2">
        <v>8</v>
      </c>
      <c r="E2" t="s">
        <v>1405</v>
      </c>
      <c r="F2" t="s">
        <v>1372</v>
      </c>
      <c r="G2" t="s">
        <v>1310</v>
      </c>
    </row>
    <row r="3" spans="1:13" x14ac:dyDescent="0.25">
      <c r="A3" t="s">
        <v>1404</v>
      </c>
      <c r="B3" t="s">
        <v>1324</v>
      </c>
      <c r="C3" t="s">
        <v>1183</v>
      </c>
      <c r="D3" t="s">
        <v>1357</v>
      </c>
      <c r="E3" t="s">
        <v>1403</v>
      </c>
      <c r="F3" t="s">
        <v>1372</v>
      </c>
      <c r="G3" t="s">
        <v>1310</v>
      </c>
    </row>
    <row r="4" spans="1:13" x14ac:dyDescent="0.25">
      <c r="A4" t="s">
        <v>1402</v>
      </c>
      <c r="B4" t="s">
        <v>1324</v>
      </c>
      <c r="C4" t="s">
        <v>1183</v>
      </c>
      <c r="D4" t="s">
        <v>1357</v>
      </c>
      <c r="E4" t="s">
        <v>1401</v>
      </c>
      <c r="F4" t="s">
        <v>1372</v>
      </c>
      <c r="G4" t="s">
        <v>1310</v>
      </c>
    </row>
    <row r="5" spans="1:13" x14ac:dyDescent="0.25">
      <c r="A5" t="s">
        <v>1400</v>
      </c>
      <c r="B5" t="s">
        <v>1324</v>
      </c>
      <c r="C5" t="s">
        <v>1183</v>
      </c>
      <c r="D5" t="s">
        <v>1357</v>
      </c>
      <c r="E5" t="s">
        <v>1399</v>
      </c>
      <c r="F5" t="s">
        <v>1372</v>
      </c>
      <c r="G5" t="s">
        <v>1310</v>
      </c>
    </row>
    <row r="6" spans="1:13" x14ac:dyDescent="0.25">
      <c r="A6" t="s">
        <v>1398</v>
      </c>
      <c r="B6" t="s">
        <v>1324</v>
      </c>
      <c r="C6" t="s">
        <v>1183</v>
      </c>
      <c r="D6" t="s">
        <v>1357</v>
      </c>
      <c r="E6" t="s">
        <v>1397</v>
      </c>
      <c r="F6" t="s">
        <v>1372</v>
      </c>
      <c r="G6" t="s">
        <v>1310</v>
      </c>
    </row>
    <row r="7" spans="1:13" x14ac:dyDescent="0.25">
      <c r="A7" t="s">
        <v>1396</v>
      </c>
      <c r="B7" t="s">
        <v>1324</v>
      </c>
      <c r="C7" t="s">
        <v>1183</v>
      </c>
      <c r="D7" t="s">
        <v>1357</v>
      </c>
      <c r="E7" t="s">
        <v>1395</v>
      </c>
      <c r="F7" t="s">
        <v>1372</v>
      </c>
      <c r="G7" t="s">
        <v>1310</v>
      </c>
    </row>
    <row r="8" spans="1:13" x14ac:dyDescent="0.25">
      <c r="A8" t="s">
        <v>1394</v>
      </c>
      <c r="B8" t="s">
        <v>1324</v>
      </c>
      <c r="C8" t="s">
        <v>1183</v>
      </c>
      <c r="D8" t="s">
        <v>1357</v>
      </c>
      <c r="E8" t="s">
        <v>1393</v>
      </c>
      <c r="F8" t="s">
        <v>1372</v>
      </c>
      <c r="G8" t="s">
        <v>1310</v>
      </c>
    </row>
    <row r="9" spans="1:13" x14ac:dyDescent="0.25">
      <c r="A9" t="s">
        <v>1392</v>
      </c>
      <c r="B9" t="s">
        <v>1324</v>
      </c>
      <c r="C9" t="s">
        <v>1183</v>
      </c>
      <c r="D9" t="s">
        <v>1357</v>
      </c>
      <c r="E9" t="s">
        <v>1391</v>
      </c>
      <c r="F9" t="s">
        <v>1372</v>
      </c>
      <c r="G9" t="s">
        <v>1310</v>
      </c>
    </row>
    <row r="10" spans="1:13" x14ac:dyDescent="0.25">
      <c r="A10" t="s">
        <v>1390</v>
      </c>
      <c r="B10" t="s">
        <v>1324</v>
      </c>
      <c r="C10" t="s">
        <v>1183</v>
      </c>
      <c r="D10" t="s">
        <v>1357</v>
      </c>
      <c r="E10" t="s">
        <v>1389</v>
      </c>
      <c r="F10" t="s">
        <v>1372</v>
      </c>
      <c r="G10" t="s">
        <v>1310</v>
      </c>
    </row>
    <row r="11" spans="1:13" x14ac:dyDescent="0.25">
      <c r="A11" t="s">
        <v>1388</v>
      </c>
      <c r="B11" t="s">
        <v>1236</v>
      </c>
      <c r="C11" t="s">
        <v>1183</v>
      </c>
      <c r="E11" t="s">
        <v>1387</v>
      </c>
      <c r="F11" t="s">
        <v>1372</v>
      </c>
      <c r="G11" t="s">
        <v>1310</v>
      </c>
    </row>
    <row r="12" spans="1:13" x14ac:dyDescent="0.25">
      <c r="A12" t="s">
        <v>1386</v>
      </c>
      <c r="B12" t="s">
        <v>1162</v>
      </c>
      <c r="C12" t="s">
        <v>1183</v>
      </c>
      <c r="D12">
        <v>3</v>
      </c>
      <c r="E12" t="s">
        <v>1385</v>
      </c>
      <c r="F12" t="s">
        <v>1372</v>
      </c>
      <c r="G12" t="s">
        <v>1310</v>
      </c>
    </row>
    <row r="13" spans="1:13" x14ac:dyDescent="0.25">
      <c r="A13" t="s">
        <v>1384</v>
      </c>
      <c r="B13" t="s">
        <v>1162</v>
      </c>
      <c r="C13" t="s">
        <v>1183</v>
      </c>
      <c r="D13">
        <v>8</v>
      </c>
      <c r="E13" t="s">
        <v>1383</v>
      </c>
      <c r="F13" t="s">
        <v>1372</v>
      </c>
      <c r="G13" t="s">
        <v>1310</v>
      </c>
    </row>
    <row r="14" spans="1:13" x14ac:dyDescent="0.25">
      <c r="A14" t="s">
        <v>1382</v>
      </c>
      <c r="B14" t="s">
        <v>1324</v>
      </c>
      <c r="C14" t="s">
        <v>1183</v>
      </c>
      <c r="D14" t="s">
        <v>1381</v>
      </c>
      <c r="E14" t="s">
        <v>1380</v>
      </c>
      <c r="F14" t="s">
        <v>1372</v>
      </c>
      <c r="G14" t="s">
        <v>1310</v>
      </c>
    </row>
    <row r="15" spans="1:13" x14ac:dyDescent="0.25">
      <c r="A15" t="s">
        <v>1379</v>
      </c>
      <c r="B15" t="s">
        <v>1162</v>
      </c>
      <c r="C15" t="s">
        <v>1183</v>
      </c>
      <c r="D15">
        <v>8</v>
      </c>
      <c r="E15" t="s">
        <v>1378</v>
      </c>
      <c r="F15" t="s">
        <v>1372</v>
      </c>
      <c r="G15" t="s">
        <v>1310</v>
      </c>
    </row>
    <row r="16" spans="1:13" x14ac:dyDescent="0.25">
      <c r="A16" t="s">
        <v>1377</v>
      </c>
      <c r="B16" t="s">
        <v>1162</v>
      </c>
      <c r="C16" t="s">
        <v>1183</v>
      </c>
      <c r="D16">
        <v>8</v>
      </c>
      <c r="E16" t="s">
        <v>1376</v>
      </c>
      <c r="F16" t="s">
        <v>1372</v>
      </c>
      <c r="G16" t="s">
        <v>1310</v>
      </c>
    </row>
    <row r="17" spans="1:7" x14ac:dyDescent="0.25">
      <c r="A17" t="s">
        <v>1375</v>
      </c>
      <c r="B17" t="s">
        <v>1162</v>
      </c>
      <c r="C17" t="s">
        <v>1183</v>
      </c>
      <c r="D17">
        <v>8</v>
      </c>
      <c r="E17" t="s">
        <v>1374</v>
      </c>
      <c r="F17" t="s">
        <v>1372</v>
      </c>
      <c r="G17" t="s">
        <v>1310</v>
      </c>
    </row>
    <row r="18" spans="1:7" x14ac:dyDescent="0.25">
      <c r="A18" t="s">
        <v>1373</v>
      </c>
      <c r="B18" t="s">
        <v>1162</v>
      </c>
      <c r="C18" t="s">
        <v>1183</v>
      </c>
      <c r="D18">
        <v>8</v>
      </c>
      <c r="F18" t="s">
        <v>1372</v>
      </c>
      <c r="G18" t="s">
        <v>1310</v>
      </c>
    </row>
    <row r="19" spans="1:7" x14ac:dyDescent="0.25">
      <c r="A19" t="s">
        <v>1371</v>
      </c>
      <c r="B19" t="s">
        <v>1162</v>
      </c>
      <c r="C19" t="s">
        <v>1183</v>
      </c>
      <c r="D19">
        <v>8</v>
      </c>
      <c r="E19" t="s">
        <v>1370</v>
      </c>
      <c r="F19" t="s">
        <v>1364</v>
      </c>
      <c r="G19" t="s">
        <v>1310</v>
      </c>
    </row>
    <row r="20" spans="1:7" x14ac:dyDescent="0.25">
      <c r="A20" t="s">
        <v>1369</v>
      </c>
      <c r="B20" t="s">
        <v>1324</v>
      </c>
      <c r="C20" t="s">
        <v>1183</v>
      </c>
      <c r="D20" t="s">
        <v>1368</v>
      </c>
      <c r="E20" t="s">
        <v>1367</v>
      </c>
      <c r="F20" t="s">
        <v>1364</v>
      </c>
      <c r="G20" t="s">
        <v>1310</v>
      </c>
    </row>
    <row r="21" spans="1:7" x14ac:dyDescent="0.25">
      <c r="A21" t="s">
        <v>1366</v>
      </c>
      <c r="B21" t="s">
        <v>1236</v>
      </c>
      <c r="C21" t="s">
        <v>1183</v>
      </c>
      <c r="E21" t="s">
        <v>1365</v>
      </c>
      <c r="F21" t="s">
        <v>1364</v>
      </c>
      <c r="G21" t="s">
        <v>1310</v>
      </c>
    </row>
    <row r="22" spans="1:7" x14ac:dyDescent="0.25">
      <c r="A22" t="s">
        <v>1363</v>
      </c>
      <c r="B22" t="s">
        <v>1162</v>
      </c>
      <c r="C22" t="s">
        <v>1183</v>
      </c>
      <c r="D22">
        <v>10</v>
      </c>
      <c r="E22" t="s">
        <v>1362</v>
      </c>
      <c r="F22" t="s">
        <v>1355</v>
      </c>
      <c r="G22" t="s">
        <v>1310</v>
      </c>
    </row>
    <row r="23" spans="1:7" x14ac:dyDescent="0.25">
      <c r="A23" t="s">
        <v>1361</v>
      </c>
      <c r="B23" t="s">
        <v>1324</v>
      </c>
      <c r="C23" t="s">
        <v>1152</v>
      </c>
      <c r="D23" t="s">
        <v>1360</v>
      </c>
      <c r="E23" t="s">
        <v>1359</v>
      </c>
      <c r="F23" t="s">
        <v>1355</v>
      </c>
      <c r="G23" t="s">
        <v>1310</v>
      </c>
    </row>
    <row r="24" spans="1:7" x14ac:dyDescent="0.25">
      <c r="A24" t="s">
        <v>1358</v>
      </c>
      <c r="B24" t="s">
        <v>1324</v>
      </c>
      <c r="C24" t="s">
        <v>1183</v>
      </c>
      <c r="D24" t="s">
        <v>1357</v>
      </c>
      <c r="E24" t="s">
        <v>1356</v>
      </c>
      <c r="F24" t="s">
        <v>1355</v>
      </c>
      <c r="G24" t="s">
        <v>1310</v>
      </c>
    </row>
    <row r="25" spans="1:7" x14ac:dyDescent="0.25">
      <c r="A25" t="s">
        <v>1354</v>
      </c>
      <c r="B25" t="s">
        <v>1162</v>
      </c>
      <c r="C25" t="s">
        <v>1183</v>
      </c>
      <c r="D25">
        <v>8</v>
      </c>
      <c r="E25" t="s">
        <v>1353</v>
      </c>
      <c r="F25" t="s">
        <v>1326</v>
      </c>
      <c r="G25" t="s">
        <v>1310</v>
      </c>
    </row>
    <row r="26" spans="1:7" x14ac:dyDescent="0.25">
      <c r="A26" t="s">
        <v>1352</v>
      </c>
      <c r="B26" t="s">
        <v>1324</v>
      </c>
      <c r="C26" t="s">
        <v>1183</v>
      </c>
      <c r="D26" t="s">
        <v>1351</v>
      </c>
      <c r="E26" t="s">
        <v>1350</v>
      </c>
      <c r="F26" t="s">
        <v>1326</v>
      </c>
      <c r="G26" t="s">
        <v>1310</v>
      </c>
    </row>
    <row r="27" spans="1:7" x14ac:dyDescent="0.25">
      <c r="A27" t="s">
        <v>1349</v>
      </c>
      <c r="B27" t="s">
        <v>1162</v>
      </c>
      <c r="C27" t="s">
        <v>1152</v>
      </c>
      <c r="D27">
        <v>8</v>
      </c>
      <c r="E27" t="s">
        <v>1348</v>
      </c>
      <c r="F27" t="s">
        <v>1326</v>
      </c>
      <c r="G27" t="s">
        <v>1310</v>
      </c>
    </row>
    <row r="28" spans="1:7" x14ac:dyDescent="0.25">
      <c r="A28" t="s">
        <v>1347</v>
      </c>
      <c r="B28" t="s">
        <v>1236</v>
      </c>
      <c r="C28" t="s">
        <v>1183</v>
      </c>
      <c r="E28" t="s">
        <v>1346</v>
      </c>
      <c r="F28" t="s">
        <v>1326</v>
      </c>
      <c r="G28" t="s">
        <v>1310</v>
      </c>
    </row>
    <row r="29" spans="1:7" x14ac:dyDescent="0.25">
      <c r="A29" t="s">
        <v>1345</v>
      </c>
      <c r="B29" t="s">
        <v>1162</v>
      </c>
      <c r="C29" t="s">
        <v>1183</v>
      </c>
      <c r="D29">
        <v>8</v>
      </c>
      <c r="E29" t="s">
        <v>1344</v>
      </c>
      <c r="F29" t="s">
        <v>1326</v>
      </c>
      <c r="G29" t="s">
        <v>1310</v>
      </c>
    </row>
    <row r="30" spans="1:7" x14ac:dyDescent="0.25">
      <c r="A30" t="s">
        <v>1343</v>
      </c>
      <c r="B30" t="s">
        <v>1324</v>
      </c>
      <c r="C30" t="s">
        <v>1152</v>
      </c>
      <c r="D30" t="s">
        <v>1342</v>
      </c>
      <c r="E30" t="s">
        <v>1341</v>
      </c>
      <c r="F30" t="s">
        <v>1326</v>
      </c>
      <c r="G30" t="s">
        <v>1310</v>
      </c>
    </row>
    <row r="31" spans="1:7" x14ac:dyDescent="0.25">
      <c r="A31" t="s">
        <v>1340</v>
      </c>
      <c r="F31" t="s">
        <v>1326</v>
      </c>
      <c r="G31" t="s">
        <v>1310</v>
      </c>
    </row>
    <row r="32" spans="1:7" x14ac:dyDescent="0.25">
      <c r="A32" t="s">
        <v>1339</v>
      </c>
      <c r="B32" t="s">
        <v>1162</v>
      </c>
      <c r="C32" t="s">
        <v>1183</v>
      </c>
      <c r="D32">
        <v>8</v>
      </c>
      <c r="E32" t="s">
        <v>1338</v>
      </c>
      <c r="F32" t="s">
        <v>1326</v>
      </c>
      <c r="G32" t="s">
        <v>1310</v>
      </c>
    </row>
    <row r="33" spans="1:7" x14ac:dyDescent="0.25">
      <c r="A33" t="s">
        <v>1337</v>
      </c>
      <c r="B33" t="s">
        <v>1162</v>
      </c>
      <c r="C33" t="s">
        <v>1183</v>
      </c>
      <c r="D33">
        <v>3</v>
      </c>
      <c r="E33" t="s">
        <v>1336</v>
      </c>
      <c r="F33" t="s">
        <v>1326</v>
      </c>
      <c r="G33" t="s">
        <v>1310</v>
      </c>
    </row>
    <row r="34" spans="1:7" x14ac:dyDescent="0.25">
      <c r="A34" t="s">
        <v>1335</v>
      </c>
      <c r="B34" t="s">
        <v>1162</v>
      </c>
      <c r="C34" t="s">
        <v>1152</v>
      </c>
      <c r="D34">
        <v>3</v>
      </c>
      <c r="E34" t="s">
        <v>1334</v>
      </c>
      <c r="F34" t="s">
        <v>1326</v>
      </c>
      <c r="G34" t="s">
        <v>1310</v>
      </c>
    </row>
    <row r="35" spans="1:7" x14ac:dyDescent="0.25">
      <c r="A35" t="s">
        <v>1333</v>
      </c>
      <c r="B35" t="s">
        <v>1324</v>
      </c>
      <c r="C35" t="s">
        <v>1183</v>
      </c>
      <c r="D35">
        <v>10</v>
      </c>
      <c r="E35" t="s">
        <v>1332</v>
      </c>
      <c r="F35" t="s">
        <v>1326</v>
      </c>
      <c r="G35" t="s">
        <v>1310</v>
      </c>
    </row>
    <row r="36" spans="1:7" x14ac:dyDescent="0.25">
      <c r="A36" t="s">
        <v>1331</v>
      </c>
      <c r="B36" t="s">
        <v>1324</v>
      </c>
      <c r="D36">
        <v>10</v>
      </c>
      <c r="E36" t="s">
        <v>1330</v>
      </c>
      <c r="F36" t="s">
        <v>1326</v>
      </c>
      <c r="G36" t="s">
        <v>1310</v>
      </c>
    </row>
    <row r="37" spans="1:7" x14ac:dyDescent="0.25">
      <c r="A37" t="s">
        <v>1329</v>
      </c>
      <c r="F37" t="s">
        <v>1326</v>
      </c>
      <c r="G37" t="s">
        <v>1310</v>
      </c>
    </row>
    <row r="38" spans="1:7" x14ac:dyDescent="0.25">
      <c r="A38" t="s">
        <v>1328</v>
      </c>
      <c r="B38" t="s">
        <v>1324</v>
      </c>
      <c r="D38">
        <v>10</v>
      </c>
      <c r="E38" t="s">
        <v>1327</v>
      </c>
      <c r="F38" t="s">
        <v>1326</v>
      </c>
      <c r="G38" t="s">
        <v>1310</v>
      </c>
    </row>
    <row r="39" spans="1:7" x14ac:dyDescent="0.25">
      <c r="A39" t="s">
        <v>1325</v>
      </c>
      <c r="B39" t="s">
        <v>1324</v>
      </c>
      <c r="D39">
        <v>10</v>
      </c>
      <c r="E39" t="s">
        <v>1323</v>
      </c>
      <c r="F39" t="s">
        <v>1314</v>
      </c>
      <c r="G39" t="s">
        <v>1310</v>
      </c>
    </row>
    <row r="40" spans="1:7" x14ac:dyDescent="0.25">
      <c r="A40" t="s">
        <v>1322</v>
      </c>
      <c r="F40" t="s">
        <v>1314</v>
      </c>
      <c r="G40" t="s">
        <v>1310</v>
      </c>
    </row>
    <row r="41" spans="1:7" x14ac:dyDescent="0.25">
      <c r="A41" t="s">
        <v>1321</v>
      </c>
      <c r="F41" t="s">
        <v>1314</v>
      </c>
      <c r="G41" t="s">
        <v>1310</v>
      </c>
    </row>
    <row r="42" spans="1:7" x14ac:dyDescent="0.25">
      <c r="A42" t="s">
        <v>1320</v>
      </c>
      <c r="F42" t="s">
        <v>1314</v>
      </c>
      <c r="G42" t="s">
        <v>1310</v>
      </c>
    </row>
    <row r="43" spans="1:7" x14ac:dyDescent="0.25">
      <c r="A43" t="s">
        <v>1319</v>
      </c>
      <c r="F43" t="s">
        <v>1314</v>
      </c>
      <c r="G43" t="s">
        <v>1310</v>
      </c>
    </row>
    <row r="44" spans="1:7" x14ac:dyDescent="0.25">
      <c r="A44" t="s">
        <v>1318</v>
      </c>
      <c r="F44" t="s">
        <v>1314</v>
      </c>
      <c r="G44" t="s">
        <v>1310</v>
      </c>
    </row>
    <row r="45" spans="1:7" x14ac:dyDescent="0.25">
      <c r="A45" t="s">
        <v>1317</v>
      </c>
      <c r="F45" t="s">
        <v>1314</v>
      </c>
      <c r="G45" t="s">
        <v>1310</v>
      </c>
    </row>
    <row r="46" spans="1:7" x14ac:dyDescent="0.25">
      <c r="A46" t="s">
        <v>1316</v>
      </c>
      <c r="F46" t="s">
        <v>1314</v>
      </c>
      <c r="G46" t="s">
        <v>1310</v>
      </c>
    </row>
    <row r="47" spans="1:7" x14ac:dyDescent="0.25">
      <c r="A47" t="s">
        <v>1315</v>
      </c>
      <c r="F47" t="s">
        <v>1314</v>
      </c>
      <c r="G47" t="s">
        <v>1310</v>
      </c>
    </row>
    <row r="48" spans="1:7" x14ac:dyDescent="0.25">
      <c r="A48" t="s">
        <v>1307</v>
      </c>
      <c r="F48" t="s">
        <v>1307</v>
      </c>
      <c r="G48" t="s">
        <v>1310</v>
      </c>
    </row>
    <row r="49" spans="1:13" x14ac:dyDescent="0.25">
      <c r="A49" t="s">
        <v>1313</v>
      </c>
      <c r="B49" t="s">
        <v>1162</v>
      </c>
      <c r="C49" t="s">
        <v>1183</v>
      </c>
      <c r="D49" t="s">
        <v>1312</v>
      </c>
      <c r="E49" t="s">
        <v>1311</v>
      </c>
      <c r="F49" t="s">
        <v>1307</v>
      </c>
      <c r="G49" t="s">
        <v>1310</v>
      </c>
    </row>
    <row r="50" spans="1:13" x14ac:dyDescent="0.25">
      <c r="A50" t="s">
        <v>1309</v>
      </c>
      <c r="B50" t="s">
        <v>1162</v>
      </c>
      <c r="C50" t="s">
        <v>1183</v>
      </c>
      <c r="D50">
        <v>3</v>
      </c>
      <c r="E50" t="s">
        <v>1308</v>
      </c>
      <c r="F50" t="s">
        <v>1307</v>
      </c>
      <c r="G50" t="s">
        <v>1157</v>
      </c>
      <c r="H50" t="s">
        <v>1205</v>
      </c>
    </row>
    <row r="51" spans="1:13" x14ac:dyDescent="0.25">
      <c r="A51" t="s">
        <v>1306</v>
      </c>
      <c r="B51" t="s">
        <v>1158</v>
      </c>
      <c r="G51" t="s">
        <v>1157</v>
      </c>
      <c r="H51" t="s">
        <v>1205</v>
      </c>
    </row>
    <row r="52" spans="1:13" x14ac:dyDescent="0.25">
      <c r="A52" t="s">
        <v>1305</v>
      </c>
      <c r="B52" t="s">
        <v>1162</v>
      </c>
      <c r="G52" t="s">
        <v>1157</v>
      </c>
      <c r="H52" t="s">
        <v>1205</v>
      </c>
      <c r="I52" t="s">
        <v>1304</v>
      </c>
      <c r="J52" t="s">
        <v>1303</v>
      </c>
      <c r="K52" t="s">
        <v>1153</v>
      </c>
      <c r="L52" t="s">
        <v>1183</v>
      </c>
      <c r="M52" t="s">
        <v>1151</v>
      </c>
    </row>
    <row r="53" spans="1:13" x14ac:dyDescent="0.25">
      <c r="A53" t="s">
        <v>1302</v>
      </c>
      <c r="B53" t="s">
        <v>1162</v>
      </c>
      <c r="G53" t="s">
        <v>1157</v>
      </c>
      <c r="H53" t="s">
        <v>1156</v>
      </c>
      <c r="I53" t="s">
        <v>1301</v>
      </c>
      <c r="J53" t="s">
        <v>1300</v>
      </c>
      <c r="K53" t="s">
        <v>1153</v>
      </c>
      <c r="L53" t="s">
        <v>1152</v>
      </c>
      <c r="M53" t="s">
        <v>1151</v>
      </c>
    </row>
    <row r="54" spans="1:13" x14ac:dyDescent="0.25">
      <c r="A54" t="s">
        <v>1299</v>
      </c>
      <c r="B54" t="s">
        <v>1186</v>
      </c>
      <c r="G54" t="s">
        <v>1157</v>
      </c>
      <c r="H54" t="s">
        <v>1156</v>
      </c>
      <c r="I54" t="s">
        <v>1298</v>
      </c>
      <c r="J54" t="s">
        <v>1297</v>
      </c>
      <c r="K54" t="s">
        <v>1153</v>
      </c>
      <c r="L54" t="s">
        <v>1152</v>
      </c>
      <c r="M54" t="s">
        <v>1151</v>
      </c>
    </row>
    <row r="55" spans="1:13" x14ac:dyDescent="0.25">
      <c r="A55" t="s">
        <v>1296</v>
      </c>
      <c r="B55" t="s">
        <v>1236</v>
      </c>
      <c r="G55" t="s">
        <v>1157</v>
      </c>
      <c r="H55" t="s">
        <v>1205</v>
      </c>
      <c r="I55" t="s">
        <v>1295</v>
      </c>
      <c r="J55" t="s">
        <v>1294</v>
      </c>
      <c r="K55" t="s">
        <v>1153</v>
      </c>
      <c r="L55" t="s">
        <v>1152</v>
      </c>
      <c r="M55" t="s">
        <v>1151</v>
      </c>
    </row>
    <row r="56" spans="1:13" x14ac:dyDescent="0.25">
      <c r="A56" t="s">
        <v>1293</v>
      </c>
      <c r="B56" t="s">
        <v>1158</v>
      </c>
      <c r="G56" t="s">
        <v>1157</v>
      </c>
      <c r="H56" t="s">
        <v>1156</v>
      </c>
      <c r="I56" t="s">
        <v>461</v>
      </c>
      <c r="J56" t="s">
        <v>1292</v>
      </c>
      <c r="K56" t="s">
        <v>1153</v>
      </c>
      <c r="L56" t="s">
        <v>1183</v>
      </c>
      <c r="M56" t="s">
        <v>1151</v>
      </c>
    </row>
    <row r="57" spans="1:13" x14ac:dyDescent="0.25">
      <c r="A57" t="s">
        <v>1291</v>
      </c>
      <c r="B57" t="s">
        <v>1236</v>
      </c>
      <c r="G57" t="s">
        <v>1157</v>
      </c>
      <c r="H57" t="s">
        <v>1156</v>
      </c>
      <c r="I57" t="s">
        <v>1290</v>
      </c>
      <c r="J57" t="s">
        <v>1289</v>
      </c>
      <c r="K57" t="s">
        <v>1153</v>
      </c>
      <c r="L57" t="s">
        <v>1152</v>
      </c>
      <c r="M57" t="s">
        <v>1151</v>
      </c>
    </row>
    <row r="58" spans="1:13" x14ac:dyDescent="0.25">
      <c r="A58" t="s">
        <v>1288</v>
      </c>
      <c r="B58" t="s">
        <v>1158</v>
      </c>
      <c r="G58" t="s">
        <v>1157</v>
      </c>
      <c r="H58" t="s">
        <v>1205</v>
      </c>
      <c r="I58" t="s">
        <v>1287</v>
      </c>
      <c r="J58" t="s">
        <v>1286</v>
      </c>
      <c r="K58" t="s">
        <v>1153</v>
      </c>
      <c r="L58" t="s">
        <v>1183</v>
      </c>
      <c r="M58" t="s">
        <v>1151</v>
      </c>
    </row>
    <row r="59" spans="1:13" x14ac:dyDescent="0.25">
      <c r="A59" t="s">
        <v>1285</v>
      </c>
      <c r="B59" t="s">
        <v>1162</v>
      </c>
      <c r="G59" t="s">
        <v>1157</v>
      </c>
      <c r="H59" t="s">
        <v>1156</v>
      </c>
      <c r="I59" t="s">
        <v>1284</v>
      </c>
      <c r="J59" t="s">
        <v>1283</v>
      </c>
      <c r="K59" t="s">
        <v>1153</v>
      </c>
      <c r="L59" t="s">
        <v>1183</v>
      </c>
      <c r="M59" t="s">
        <v>1151</v>
      </c>
    </row>
    <row r="60" spans="1:13" x14ac:dyDescent="0.25">
      <c r="A60" t="s">
        <v>1282</v>
      </c>
      <c r="B60" t="s">
        <v>1158</v>
      </c>
      <c r="G60" t="s">
        <v>1157</v>
      </c>
      <c r="H60" t="s">
        <v>1156</v>
      </c>
      <c r="I60" t="s">
        <v>1281</v>
      </c>
      <c r="J60" t="s">
        <v>1280</v>
      </c>
      <c r="K60" t="s">
        <v>1153</v>
      </c>
      <c r="L60" t="s">
        <v>1183</v>
      </c>
      <c r="M60" t="s">
        <v>1151</v>
      </c>
    </row>
    <row r="61" spans="1:13" x14ac:dyDescent="0.25">
      <c r="A61" t="s">
        <v>1279</v>
      </c>
      <c r="B61" t="s">
        <v>1162</v>
      </c>
      <c r="G61" t="s">
        <v>1157</v>
      </c>
      <c r="H61" t="s">
        <v>1156</v>
      </c>
      <c r="I61" t="s">
        <v>1278</v>
      </c>
      <c r="J61" t="s">
        <v>1277</v>
      </c>
      <c r="K61" t="s">
        <v>1153</v>
      </c>
      <c r="L61" t="s">
        <v>1152</v>
      </c>
      <c r="M61" t="s">
        <v>1151</v>
      </c>
    </row>
    <row r="62" spans="1:13" x14ac:dyDescent="0.25">
      <c r="A62" t="s">
        <v>1276</v>
      </c>
      <c r="B62" t="s">
        <v>1162</v>
      </c>
      <c r="G62" t="s">
        <v>1157</v>
      </c>
      <c r="H62" t="s">
        <v>1156</v>
      </c>
      <c r="I62" t="s">
        <v>1275</v>
      </c>
      <c r="J62" t="s">
        <v>1274</v>
      </c>
      <c r="K62" t="s">
        <v>1153</v>
      </c>
      <c r="L62" t="s">
        <v>1152</v>
      </c>
      <c r="M62" t="s">
        <v>1151</v>
      </c>
    </row>
    <row r="63" spans="1:13" x14ac:dyDescent="0.25">
      <c r="A63" t="s">
        <v>1273</v>
      </c>
      <c r="B63" t="s">
        <v>1158</v>
      </c>
      <c r="G63" t="s">
        <v>1157</v>
      </c>
      <c r="H63" t="s">
        <v>1156</v>
      </c>
      <c r="I63" t="s">
        <v>1272</v>
      </c>
      <c r="J63" t="s">
        <v>1271</v>
      </c>
      <c r="K63" t="s">
        <v>1153</v>
      </c>
      <c r="L63" t="s">
        <v>1152</v>
      </c>
      <c r="M63" t="s">
        <v>1151</v>
      </c>
    </row>
    <row r="64" spans="1:13" x14ac:dyDescent="0.25">
      <c r="A64" t="s">
        <v>1270</v>
      </c>
      <c r="B64" t="s">
        <v>1162</v>
      </c>
      <c r="G64" t="s">
        <v>1157</v>
      </c>
      <c r="H64" t="s">
        <v>1156</v>
      </c>
      <c r="I64" t="s">
        <v>1269</v>
      </c>
      <c r="J64" t="s">
        <v>1268</v>
      </c>
      <c r="K64" t="s">
        <v>1153</v>
      </c>
      <c r="L64" t="s">
        <v>1152</v>
      </c>
      <c r="M64" t="s">
        <v>1151</v>
      </c>
    </row>
    <row r="65" spans="1:13" x14ac:dyDescent="0.25">
      <c r="A65" t="s">
        <v>1267</v>
      </c>
      <c r="B65" t="s">
        <v>1162</v>
      </c>
      <c r="G65" t="s">
        <v>1157</v>
      </c>
      <c r="H65" t="s">
        <v>1156</v>
      </c>
      <c r="I65" t="s">
        <v>1266</v>
      </c>
      <c r="J65" t="s">
        <v>1265</v>
      </c>
      <c r="K65" t="s">
        <v>1153</v>
      </c>
      <c r="L65" t="s">
        <v>1152</v>
      </c>
      <c r="M65" t="s">
        <v>1151</v>
      </c>
    </row>
    <row r="66" spans="1:13" x14ac:dyDescent="0.25">
      <c r="A66" t="s">
        <v>1264</v>
      </c>
      <c r="B66" t="s">
        <v>1158</v>
      </c>
      <c r="G66" t="s">
        <v>1157</v>
      </c>
      <c r="H66" t="s">
        <v>1156</v>
      </c>
      <c r="I66" t="s">
        <v>1263</v>
      </c>
      <c r="J66" t="s">
        <v>1262</v>
      </c>
      <c r="K66" t="s">
        <v>1153</v>
      </c>
      <c r="L66" t="s">
        <v>1152</v>
      </c>
      <c r="M66" t="s">
        <v>1151</v>
      </c>
    </row>
    <row r="67" spans="1:13" x14ac:dyDescent="0.25">
      <c r="A67" t="s">
        <v>1261</v>
      </c>
      <c r="B67" t="s">
        <v>1162</v>
      </c>
      <c r="G67" t="s">
        <v>1157</v>
      </c>
      <c r="H67" t="s">
        <v>1156</v>
      </c>
      <c r="I67" t="s">
        <v>1260</v>
      </c>
      <c r="J67" t="s">
        <v>1259</v>
      </c>
      <c r="K67" t="s">
        <v>1153</v>
      </c>
      <c r="L67" t="s">
        <v>1183</v>
      </c>
      <c r="M67" t="s">
        <v>1151</v>
      </c>
    </row>
    <row r="68" spans="1:13" x14ac:dyDescent="0.25">
      <c r="A68" t="s">
        <v>1258</v>
      </c>
      <c r="B68" t="s">
        <v>1162</v>
      </c>
      <c r="G68" t="s">
        <v>1157</v>
      </c>
      <c r="H68" t="s">
        <v>1156</v>
      </c>
      <c r="I68" t="s">
        <v>1257</v>
      </c>
      <c r="J68" t="s">
        <v>1256</v>
      </c>
      <c r="K68" t="s">
        <v>1153</v>
      </c>
      <c r="L68" t="s">
        <v>1183</v>
      </c>
      <c r="M68" t="s">
        <v>1151</v>
      </c>
    </row>
    <row r="69" spans="1:13" x14ac:dyDescent="0.25">
      <c r="A69" t="s">
        <v>1255</v>
      </c>
      <c r="B69" t="s">
        <v>1162</v>
      </c>
      <c r="G69" t="s">
        <v>1157</v>
      </c>
      <c r="H69" t="s">
        <v>1205</v>
      </c>
      <c r="I69" t="s">
        <v>1254</v>
      </c>
      <c r="J69" t="s">
        <v>1253</v>
      </c>
      <c r="K69" t="s">
        <v>1153</v>
      </c>
      <c r="L69" t="s">
        <v>1152</v>
      </c>
      <c r="M69" t="s">
        <v>1151</v>
      </c>
    </row>
    <row r="70" spans="1:13" x14ac:dyDescent="0.25">
      <c r="A70" t="s">
        <v>1252</v>
      </c>
      <c r="B70" t="s">
        <v>1162</v>
      </c>
      <c r="G70" t="s">
        <v>1157</v>
      </c>
      <c r="H70" t="s">
        <v>1205</v>
      </c>
      <c r="I70" t="s">
        <v>1251</v>
      </c>
      <c r="J70" t="s">
        <v>1250</v>
      </c>
      <c r="K70" t="s">
        <v>1153</v>
      </c>
      <c r="L70" t="s">
        <v>1152</v>
      </c>
      <c r="M70" t="s">
        <v>1151</v>
      </c>
    </row>
    <row r="71" spans="1:13" x14ac:dyDescent="0.25">
      <c r="A71" t="s">
        <v>1249</v>
      </c>
      <c r="B71" t="s">
        <v>1162</v>
      </c>
      <c r="G71" t="s">
        <v>1157</v>
      </c>
      <c r="H71" t="s">
        <v>1205</v>
      </c>
      <c r="I71" t="s">
        <v>1248</v>
      </c>
      <c r="J71" t="s">
        <v>1247</v>
      </c>
      <c r="K71" t="s">
        <v>1201</v>
      </c>
      <c r="L71" t="s">
        <v>1183</v>
      </c>
      <c r="M71" t="s">
        <v>1151</v>
      </c>
    </row>
    <row r="72" spans="1:13" x14ac:dyDescent="0.25">
      <c r="A72" t="s">
        <v>1246</v>
      </c>
      <c r="B72" t="s">
        <v>1186</v>
      </c>
      <c r="G72" t="s">
        <v>1157</v>
      </c>
      <c r="H72" t="s">
        <v>1205</v>
      </c>
      <c r="I72" t="s">
        <v>1245</v>
      </c>
      <c r="J72" t="s">
        <v>1244</v>
      </c>
      <c r="K72" t="s">
        <v>1201</v>
      </c>
      <c r="L72" t="s">
        <v>1152</v>
      </c>
      <c r="M72" t="s">
        <v>1151</v>
      </c>
    </row>
    <row r="73" spans="1:13" x14ac:dyDescent="0.25">
      <c r="A73" t="s">
        <v>1243</v>
      </c>
      <c r="B73" t="s">
        <v>1158</v>
      </c>
      <c r="G73" t="s">
        <v>1157</v>
      </c>
      <c r="H73" t="s">
        <v>1205</v>
      </c>
      <c r="I73" t="s">
        <v>1242</v>
      </c>
      <c r="J73" t="s">
        <v>1241</v>
      </c>
      <c r="K73" t="s">
        <v>1201</v>
      </c>
      <c r="L73" t="s">
        <v>1183</v>
      </c>
      <c r="M73" t="s">
        <v>1151</v>
      </c>
    </row>
    <row r="74" spans="1:13" x14ac:dyDescent="0.25">
      <c r="A74" t="s">
        <v>1240</v>
      </c>
      <c r="G74" t="s">
        <v>1157</v>
      </c>
      <c r="H74" t="s">
        <v>1205</v>
      </c>
      <c r="I74" t="s">
        <v>1239</v>
      </c>
      <c r="J74" t="s">
        <v>1238</v>
      </c>
      <c r="K74" t="s">
        <v>1201</v>
      </c>
      <c r="L74" t="s">
        <v>1152</v>
      </c>
      <c r="M74" t="s">
        <v>1151</v>
      </c>
    </row>
    <row r="75" spans="1:13" x14ac:dyDescent="0.25">
      <c r="A75" t="s">
        <v>1237</v>
      </c>
      <c r="B75" t="s">
        <v>1236</v>
      </c>
      <c r="G75" t="s">
        <v>1157</v>
      </c>
      <c r="H75" t="s">
        <v>1156</v>
      </c>
      <c r="I75" t="s">
        <v>1235</v>
      </c>
      <c r="J75" t="s">
        <v>1234</v>
      </c>
      <c r="K75" t="s">
        <v>1201</v>
      </c>
      <c r="L75" t="s">
        <v>1183</v>
      </c>
      <c r="M75" t="s">
        <v>1151</v>
      </c>
    </row>
    <row r="76" spans="1:13" x14ac:dyDescent="0.25">
      <c r="A76" t="s">
        <v>1233</v>
      </c>
      <c r="B76" t="s">
        <v>1158</v>
      </c>
      <c r="G76" t="s">
        <v>1157</v>
      </c>
      <c r="H76" t="s">
        <v>1156</v>
      </c>
      <c r="I76" t="s">
        <v>1232</v>
      </c>
      <c r="J76" t="s">
        <v>1231</v>
      </c>
      <c r="K76" t="s">
        <v>1201</v>
      </c>
      <c r="L76" t="s">
        <v>1183</v>
      </c>
      <c r="M76" t="s">
        <v>1200</v>
      </c>
    </row>
    <row r="77" spans="1:13" x14ac:dyDescent="0.25">
      <c r="A77" t="s">
        <v>1230</v>
      </c>
      <c r="B77" t="s">
        <v>1158</v>
      </c>
      <c r="G77" t="s">
        <v>1157</v>
      </c>
      <c r="H77" t="s">
        <v>1205</v>
      </c>
      <c r="I77" t="s">
        <v>1229</v>
      </c>
      <c r="J77" t="s">
        <v>1228</v>
      </c>
      <c r="K77" t="s">
        <v>1201</v>
      </c>
      <c r="L77" t="s">
        <v>1152</v>
      </c>
      <c r="M77" t="s">
        <v>1151</v>
      </c>
    </row>
    <row r="78" spans="1:13" x14ac:dyDescent="0.25">
      <c r="A78" t="s">
        <v>1227</v>
      </c>
      <c r="B78" t="s">
        <v>1158</v>
      </c>
      <c r="G78" t="s">
        <v>1157</v>
      </c>
      <c r="H78" t="s">
        <v>1205</v>
      </c>
      <c r="I78" t="s">
        <v>1226</v>
      </c>
      <c r="J78" t="s">
        <v>1225</v>
      </c>
      <c r="K78" t="s">
        <v>1201</v>
      </c>
      <c r="L78" t="s">
        <v>1183</v>
      </c>
      <c r="M78" t="s">
        <v>1151</v>
      </c>
    </row>
    <row r="79" spans="1:13" x14ac:dyDescent="0.25">
      <c r="A79" t="s">
        <v>1224</v>
      </c>
      <c r="B79" t="s">
        <v>1162</v>
      </c>
      <c r="G79" t="s">
        <v>1157</v>
      </c>
      <c r="H79" t="s">
        <v>1205</v>
      </c>
      <c r="I79" t="s">
        <v>1223</v>
      </c>
      <c r="J79" t="s">
        <v>1222</v>
      </c>
      <c r="K79" t="s">
        <v>1201</v>
      </c>
      <c r="L79" t="s">
        <v>1152</v>
      </c>
      <c r="M79" t="s">
        <v>1151</v>
      </c>
    </row>
    <row r="80" spans="1:13" x14ac:dyDescent="0.25">
      <c r="A80" t="s">
        <v>1221</v>
      </c>
      <c r="B80" t="s">
        <v>1158</v>
      </c>
      <c r="G80" t="s">
        <v>1157</v>
      </c>
      <c r="H80" t="s">
        <v>1156</v>
      </c>
      <c r="I80" t="s">
        <v>1220</v>
      </c>
      <c r="J80" t="s">
        <v>1219</v>
      </c>
      <c r="K80" t="s">
        <v>1201</v>
      </c>
      <c r="L80" t="s">
        <v>1183</v>
      </c>
      <c r="M80" t="s">
        <v>1151</v>
      </c>
    </row>
    <row r="81" spans="1:13" x14ac:dyDescent="0.25">
      <c r="A81" t="s">
        <v>1218</v>
      </c>
      <c r="B81" t="s">
        <v>1158</v>
      </c>
      <c r="G81" t="s">
        <v>1157</v>
      </c>
      <c r="H81" t="s">
        <v>1205</v>
      </c>
      <c r="I81" t="s">
        <v>1217</v>
      </c>
      <c r="J81" t="s">
        <v>1216</v>
      </c>
      <c r="K81" t="s">
        <v>1201</v>
      </c>
      <c r="L81" t="s">
        <v>1183</v>
      </c>
      <c r="M81" t="s">
        <v>1151</v>
      </c>
    </row>
    <row r="82" spans="1:13" x14ac:dyDescent="0.25">
      <c r="A82" t="s">
        <v>1215</v>
      </c>
      <c r="B82" t="s">
        <v>1158</v>
      </c>
      <c r="G82" t="s">
        <v>1157</v>
      </c>
      <c r="H82" t="s">
        <v>1205</v>
      </c>
      <c r="I82" t="s">
        <v>1214</v>
      </c>
      <c r="J82" t="s">
        <v>1213</v>
      </c>
      <c r="K82" t="s">
        <v>1153</v>
      </c>
      <c r="L82" t="s">
        <v>1152</v>
      </c>
      <c r="M82" t="s">
        <v>1151</v>
      </c>
    </row>
    <row r="83" spans="1:13" x14ac:dyDescent="0.25">
      <c r="A83" t="s">
        <v>1212</v>
      </c>
      <c r="B83" t="s">
        <v>1158</v>
      </c>
      <c r="G83" t="s">
        <v>1157</v>
      </c>
      <c r="H83" t="s">
        <v>1205</v>
      </c>
      <c r="I83" t="s">
        <v>1211</v>
      </c>
      <c r="J83" t="s">
        <v>1210</v>
      </c>
      <c r="K83" t="s">
        <v>1153</v>
      </c>
      <c r="L83" t="s">
        <v>1183</v>
      </c>
      <c r="M83" t="s">
        <v>1151</v>
      </c>
    </row>
    <row r="84" spans="1:13" x14ac:dyDescent="0.25">
      <c r="A84" t="s">
        <v>1209</v>
      </c>
      <c r="B84" t="s">
        <v>1162</v>
      </c>
      <c r="G84" t="s">
        <v>1157</v>
      </c>
      <c r="H84" t="s">
        <v>1205</v>
      </c>
      <c r="I84" t="s">
        <v>1208</v>
      </c>
      <c r="J84" t="s">
        <v>1207</v>
      </c>
      <c r="K84" t="s">
        <v>1153</v>
      </c>
      <c r="L84" t="s">
        <v>1152</v>
      </c>
      <c r="M84" t="s">
        <v>1151</v>
      </c>
    </row>
    <row r="85" spans="1:13" x14ac:dyDescent="0.25">
      <c r="A85" t="s">
        <v>54</v>
      </c>
      <c r="B85" t="s">
        <v>1162</v>
      </c>
      <c r="G85" t="s">
        <v>1157</v>
      </c>
      <c r="H85" t="s">
        <v>1205</v>
      </c>
      <c r="I85" t="s">
        <v>1203</v>
      </c>
      <c r="J85" t="s">
        <v>1202</v>
      </c>
      <c r="K85" t="s">
        <v>1201</v>
      </c>
      <c r="L85" t="s">
        <v>1183</v>
      </c>
      <c r="M85" t="s">
        <v>1200</v>
      </c>
    </row>
    <row r="86" spans="1:13" x14ac:dyDescent="0.25">
      <c r="A86" t="s">
        <v>1206</v>
      </c>
      <c r="B86" t="s">
        <v>1158</v>
      </c>
      <c r="G86" t="s">
        <v>1157</v>
      </c>
      <c r="H86" t="s">
        <v>1205</v>
      </c>
      <c r="I86" t="s">
        <v>1203</v>
      </c>
      <c r="J86" t="s">
        <v>1202</v>
      </c>
      <c r="K86" t="s">
        <v>1201</v>
      </c>
      <c r="L86" t="s">
        <v>1183</v>
      </c>
      <c r="M86" t="s">
        <v>1200</v>
      </c>
    </row>
    <row r="87" spans="1:13" x14ac:dyDescent="0.25">
      <c r="A87" t="s">
        <v>1204</v>
      </c>
      <c r="B87" t="s">
        <v>1158</v>
      </c>
      <c r="G87" t="s">
        <v>1157</v>
      </c>
      <c r="H87" t="s">
        <v>1156</v>
      </c>
      <c r="I87" t="s">
        <v>1203</v>
      </c>
      <c r="J87" t="s">
        <v>1202</v>
      </c>
      <c r="K87" t="s">
        <v>1201</v>
      </c>
      <c r="L87" t="s">
        <v>1183</v>
      </c>
      <c r="M87" t="s">
        <v>1200</v>
      </c>
    </row>
    <row r="88" spans="1:13" x14ac:dyDescent="0.25">
      <c r="A88" t="s">
        <v>1199</v>
      </c>
      <c r="B88" t="s">
        <v>1162</v>
      </c>
      <c r="G88" t="s">
        <v>1157</v>
      </c>
      <c r="H88" t="s">
        <v>1156</v>
      </c>
      <c r="I88" t="s">
        <v>1198</v>
      </c>
      <c r="J88" t="s">
        <v>1197</v>
      </c>
      <c r="K88" t="s">
        <v>1153</v>
      </c>
      <c r="L88" t="s">
        <v>1152</v>
      </c>
      <c r="M88" t="s">
        <v>1151</v>
      </c>
    </row>
    <row r="89" spans="1:13" x14ac:dyDescent="0.25">
      <c r="A89" t="s">
        <v>1196</v>
      </c>
      <c r="B89" t="s">
        <v>1158</v>
      </c>
      <c r="G89" t="s">
        <v>1157</v>
      </c>
      <c r="H89" t="s">
        <v>1156</v>
      </c>
      <c r="I89" t="s">
        <v>1195</v>
      </c>
      <c r="J89" t="s">
        <v>1194</v>
      </c>
      <c r="K89" t="s">
        <v>1153</v>
      </c>
      <c r="L89" t="s">
        <v>1152</v>
      </c>
      <c r="M89" t="s">
        <v>1151</v>
      </c>
    </row>
    <row r="90" spans="1:13" x14ac:dyDescent="0.25">
      <c r="A90" t="s">
        <v>1193</v>
      </c>
      <c r="B90" t="s">
        <v>1162</v>
      </c>
      <c r="G90" t="s">
        <v>1157</v>
      </c>
      <c r="H90" t="s">
        <v>1156</v>
      </c>
      <c r="I90" t="s">
        <v>1192</v>
      </c>
      <c r="J90" t="s">
        <v>1191</v>
      </c>
      <c r="K90" t="s">
        <v>1153</v>
      </c>
      <c r="L90" t="s">
        <v>1152</v>
      </c>
      <c r="M90" t="s">
        <v>1151</v>
      </c>
    </row>
    <row r="91" spans="1:13" x14ac:dyDescent="0.25">
      <c r="A91" t="s">
        <v>1190</v>
      </c>
      <c r="B91" t="s">
        <v>1158</v>
      </c>
      <c r="G91" t="s">
        <v>1157</v>
      </c>
      <c r="H91" t="s">
        <v>1156</v>
      </c>
      <c r="I91" t="s">
        <v>1189</v>
      </c>
      <c r="J91" t="s">
        <v>1188</v>
      </c>
      <c r="K91" t="s">
        <v>1153</v>
      </c>
      <c r="L91" t="s">
        <v>1152</v>
      </c>
      <c r="M91" t="s">
        <v>1151</v>
      </c>
    </row>
    <row r="92" spans="1:13" x14ac:dyDescent="0.25">
      <c r="A92" t="s">
        <v>1187</v>
      </c>
      <c r="B92" t="s">
        <v>1186</v>
      </c>
      <c r="G92" t="s">
        <v>1157</v>
      </c>
      <c r="H92" t="s">
        <v>1156</v>
      </c>
      <c r="I92" t="s">
        <v>1185</v>
      </c>
      <c r="J92" t="s">
        <v>1184</v>
      </c>
      <c r="K92" t="s">
        <v>1153</v>
      </c>
      <c r="L92" t="s">
        <v>1183</v>
      </c>
      <c r="M92" t="s">
        <v>1151</v>
      </c>
    </row>
    <row r="93" spans="1:13" x14ac:dyDescent="0.25">
      <c r="A93" t="s">
        <v>1182</v>
      </c>
      <c r="B93" t="s">
        <v>1162</v>
      </c>
      <c r="G93" t="s">
        <v>1157</v>
      </c>
      <c r="H93" t="s">
        <v>1156</v>
      </c>
      <c r="I93" t="s">
        <v>1181</v>
      </c>
      <c r="J93" t="s">
        <v>1180</v>
      </c>
      <c r="K93" t="s">
        <v>1153</v>
      </c>
      <c r="L93" t="s">
        <v>1152</v>
      </c>
      <c r="M93" t="s">
        <v>1151</v>
      </c>
    </row>
    <row r="94" spans="1:13" x14ac:dyDescent="0.25">
      <c r="A94" t="s">
        <v>1179</v>
      </c>
      <c r="B94" t="s">
        <v>1162</v>
      </c>
      <c r="G94" t="s">
        <v>1157</v>
      </c>
      <c r="H94" t="s">
        <v>1156</v>
      </c>
      <c r="I94" t="s">
        <v>1168</v>
      </c>
      <c r="J94" t="s">
        <v>1167</v>
      </c>
      <c r="K94" t="s">
        <v>1153</v>
      </c>
      <c r="L94" t="s">
        <v>1152</v>
      </c>
      <c r="M94" t="s">
        <v>1151</v>
      </c>
    </row>
    <row r="95" spans="1:13" x14ac:dyDescent="0.25">
      <c r="A95" t="s">
        <v>1178</v>
      </c>
      <c r="B95" t="s">
        <v>1162</v>
      </c>
      <c r="G95" t="s">
        <v>1157</v>
      </c>
      <c r="H95" t="s">
        <v>1156</v>
      </c>
      <c r="I95" t="s">
        <v>1177</v>
      </c>
      <c r="J95" t="s">
        <v>1176</v>
      </c>
      <c r="K95" t="s">
        <v>1153</v>
      </c>
      <c r="L95" t="s">
        <v>1152</v>
      </c>
      <c r="M95" t="s">
        <v>1151</v>
      </c>
    </row>
    <row r="96" spans="1:13" x14ac:dyDescent="0.25">
      <c r="A96" t="s">
        <v>1175</v>
      </c>
      <c r="B96" t="s">
        <v>1162</v>
      </c>
      <c r="G96" t="s">
        <v>1157</v>
      </c>
      <c r="H96" t="s">
        <v>1156</v>
      </c>
      <c r="I96" t="s">
        <v>1174</v>
      </c>
      <c r="J96" t="s">
        <v>1173</v>
      </c>
      <c r="K96" t="s">
        <v>1153</v>
      </c>
      <c r="L96" t="s">
        <v>1152</v>
      </c>
      <c r="M96" t="s">
        <v>1151</v>
      </c>
    </row>
    <row r="97" spans="1:13" x14ac:dyDescent="0.25">
      <c r="A97" t="s">
        <v>1172</v>
      </c>
      <c r="B97" t="s">
        <v>1162</v>
      </c>
      <c r="G97" t="s">
        <v>1157</v>
      </c>
      <c r="H97" t="s">
        <v>1156</v>
      </c>
      <c r="I97" t="s">
        <v>1171</v>
      </c>
      <c r="J97" t="s">
        <v>1170</v>
      </c>
      <c r="K97" t="s">
        <v>1153</v>
      </c>
      <c r="L97" t="s">
        <v>1152</v>
      </c>
      <c r="M97" t="s">
        <v>1151</v>
      </c>
    </row>
    <row r="98" spans="1:13" x14ac:dyDescent="0.25">
      <c r="A98" t="s">
        <v>1169</v>
      </c>
      <c r="B98" t="s">
        <v>1162</v>
      </c>
      <c r="G98" t="s">
        <v>1157</v>
      </c>
      <c r="H98" t="s">
        <v>1156</v>
      </c>
      <c r="I98" t="s">
        <v>1168</v>
      </c>
      <c r="J98" t="s">
        <v>1167</v>
      </c>
      <c r="K98" t="s">
        <v>1153</v>
      </c>
      <c r="L98" t="s">
        <v>1152</v>
      </c>
      <c r="M98" t="s">
        <v>1151</v>
      </c>
    </row>
    <row r="99" spans="1:13" x14ac:dyDescent="0.25">
      <c r="A99" t="s">
        <v>1166</v>
      </c>
      <c r="B99" t="s">
        <v>1162</v>
      </c>
      <c r="G99" t="s">
        <v>1157</v>
      </c>
      <c r="H99" t="s">
        <v>1156</v>
      </c>
      <c r="I99" t="s">
        <v>1165</v>
      </c>
      <c r="J99" t="s">
        <v>1164</v>
      </c>
      <c r="K99" t="s">
        <v>1153</v>
      </c>
      <c r="L99" t="s">
        <v>1152</v>
      </c>
      <c r="M99" t="s">
        <v>1151</v>
      </c>
    </row>
    <row r="100" spans="1:13" x14ac:dyDescent="0.25">
      <c r="A100" t="s">
        <v>1163</v>
      </c>
      <c r="B100" t="s">
        <v>1162</v>
      </c>
      <c r="G100" t="s">
        <v>1157</v>
      </c>
      <c r="H100" t="s">
        <v>1156</v>
      </c>
      <c r="I100" t="s">
        <v>1161</v>
      </c>
      <c r="J100" t="s">
        <v>1160</v>
      </c>
      <c r="K100" t="s">
        <v>1153</v>
      </c>
      <c r="L100" t="s">
        <v>1152</v>
      </c>
      <c r="M100" t="s">
        <v>1151</v>
      </c>
    </row>
    <row r="101" spans="1:13" x14ac:dyDescent="0.25">
      <c r="A101" t="s">
        <v>1159</v>
      </c>
      <c r="B101" t="s">
        <v>1158</v>
      </c>
      <c r="G101" t="s">
        <v>1157</v>
      </c>
      <c r="H101" t="s">
        <v>1156</v>
      </c>
      <c r="I101" t="s">
        <v>1155</v>
      </c>
      <c r="J101" t="s">
        <v>1154</v>
      </c>
      <c r="K101" t="s">
        <v>1153</v>
      </c>
      <c r="L101" t="s">
        <v>1152</v>
      </c>
      <c r="M101" t="s">
        <v>1151</v>
      </c>
    </row>
    <row r="102" spans="1:13" ht="75" x14ac:dyDescent="0.25">
      <c r="A102" s="68" t="s">
        <v>1736</v>
      </c>
      <c r="B102" s="68" t="s">
        <v>1754</v>
      </c>
      <c r="C102" s="202" t="s">
        <v>1755</v>
      </c>
      <c r="D102" s="202" t="s">
        <v>1737</v>
      </c>
      <c r="E102" s="68" t="s">
        <v>1736</v>
      </c>
      <c r="F102" t="s">
        <v>1753</v>
      </c>
      <c r="G102" t="s">
        <v>1157</v>
      </c>
      <c r="H102" t="s">
        <v>1156</v>
      </c>
      <c r="K102" t="s">
        <v>1153</v>
      </c>
      <c r="L102" t="s">
        <v>1152</v>
      </c>
      <c r="M102" t="s">
        <v>1151</v>
      </c>
    </row>
    <row r="103" spans="1:13" x14ac:dyDescent="0.25">
      <c r="A103" t="s">
        <v>1738</v>
      </c>
      <c r="B103" t="s">
        <v>1158</v>
      </c>
      <c r="C103" t="s">
        <v>1183</v>
      </c>
      <c r="E103" t="s">
        <v>1738</v>
      </c>
      <c r="F103" t="s">
        <v>1752</v>
      </c>
      <c r="G103" t="s">
        <v>1157</v>
      </c>
      <c r="H103" t="s">
        <v>1744</v>
      </c>
      <c r="I103" t="s">
        <v>1745</v>
      </c>
      <c r="J103" t="s">
        <v>1748</v>
      </c>
      <c r="K103" t="s">
        <v>1153</v>
      </c>
      <c r="L103" t="s">
        <v>1152</v>
      </c>
      <c r="M103" t="s">
        <v>1151</v>
      </c>
    </row>
    <row r="104" spans="1:13" x14ac:dyDescent="0.25">
      <c r="A104" t="s">
        <v>1739</v>
      </c>
      <c r="B104" t="s">
        <v>1162</v>
      </c>
      <c r="C104" t="s">
        <v>1183</v>
      </c>
      <c r="E104" t="s">
        <v>1739</v>
      </c>
      <c r="F104" t="s">
        <v>1751</v>
      </c>
      <c r="G104" t="s">
        <v>1157</v>
      </c>
      <c r="H104" t="s">
        <v>1744</v>
      </c>
      <c r="K104" t="s">
        <v>1153</v>
      </c>
      <c r="L104" t="s">
        <v>1152</v>
      </c>
      <c r="M104" t="s">
        <v>1151</v>
      </c>
    </row>
    <row r="105" spans="1:13" ht="90" x14ac:dyDescent="0.25">
      <c r="A105" s="643" t="s">
        <v>1740</v>
      </c>
      <c r="B105" t="s">
        <v>1754</v>
      </c>
      <c r="C105" t="s">
        <v>1183</v>
      </c>
      <c r="D105" s="624" t="s">
        <v>1741</v>
      </c>
      <c r="E105" s="643" t="s">
        <v>1740</v>
      </c>
      <c r="F105" t="s">
        <v>1749</v>
      </c>
      <c r="G105" t="s">
        <v>1157</v>
      </c>
      <c r="H105" t="s">
        <v>1156</v>
      </c>
      <c r="I105" t="s">
        <v>1746</v>
      </c>
      <c r="J105" t="s">
        <v>1747</v>
      </c>
      <c r="K105" t="s">
        <v>1153</v>
      </c>
      <c r="L105" t="s">
        <v>1152</v>
      </c>
      <c r="M105" t="s">
        <v>1151</v>
      </c>
    </row>
    <row r="106" spans="1:13" ht="75" x14ac:dyDescent="0.25">
      <c r="A106" s="68" t="s">
        <v>1742</v>
      </c>
      <c r="B106" t="s">
        <v>1754</v>
      </c>
      <c r="C106" t="s">
        <v>1183</v>
      </c>
      <c r="D106" s="624" t="s">
        <v>1743</v>
      </c>
      <c r="E106" s="68" t="s">
        <v>1742</v>
      </c>
      <c r="F106" t="s">
        <v>1750</v>
      </c>
      <c r="G106" t="s">
        <v>1157</v>
      </c>
      <c r="H106" t="s">
        <v>1156</v>
      </c>
      <c r="I106" t="s">
        <v>1746</v>
      </c>
      <c r="J106" t="s">
        <v>1747</v>
      </c>
      <c r="K106" t="s">
        <v>1153</v>
      </c>
      <c r="L106" t="s">
        <v>1152</v>
      </c>
      <c r="M106" t="s">
        <v>1151</v>
      </c>
    </row>
  </sheetData>
  <pageMargins left="0.7" right="0.7" top="0.75" bottom="0.75" header="0.3" footer="0.3"/>
  <pageSetup paperSize="9" orientation="portrait" r:id="rId1"/>
  <headerFooter>
    <oddFooter>&amp;L&amp;"Calibri Light,Regular"&amp;09&amp;K00C000Public</oddFooter>
    <evenFooter>&amp;L&amp;"Calibri Light,Regular"&amp;09&amp;K00C000Public</evenFooter>
    <firstFooter>&amp;L&amp;"Calibri Light,Regular"&amp;09&amp;K00C000Public</firstFooter>
  </headerFooter>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DDDA1-C51F-4821-955C-46C74771B34A}">
  <sheetPr>
    <pageSetUpPr autoPageBreaks="0"/>
  </sheetPr>
  <dimension ref="A1:J14"/>
  <sheetViews>
    <sheetView workbookViewId="0">
      <selection activeCell="H6" sqref="H6"/>
    </sheetView>
  </sheetViews>
  <sheetFormatPr defaultRowHeight="15" x14ac:dyDescent="0.25"/>
  <cols>
    <col min="1" max="1" width="16.28515625" bestFit="1" customWidth="1"/>
    <col min="2" max="2" width="7" style="256" bestFit="1" customWidth="1"/>
    <col min="3" max="3" width="10" style="256" bestFit="1" customWidth="1"/>
    <col min="4" max="4" width="9.28515625" style="257" bestFit="1" customWidth="1"/>
    <col min="5" max="5" width="14.7109375" style="256" bestFit="1" customWidth="1"/>
    <col min="6" max="6" width="23.28515625" style="256" bestFit="1" customWidth="1"/>
    <col min="7" max="7" width="37.7109375" bestFit="1" customWidth="1"/>
    <col min="8" max="8" width="29.28515625" customWidth="1"/>
  </cols>
  <sheetData>
    <row r="1" spans="1:10" x14ac:dyDescent="0.25">
      <c r="A1" s="243" t="s">
        <v>1418</v>
      </c>
      <c r="B1" s="244" t="s">
        <v>1419</v>
      </c>
      <c r="C1" s="244" t="s">
        <v>1420</v>
      </c>
      <c r="D1" s="245" t="s">
        <v>1421</v>
      </c>
      <c r="E1" s="244" t="s">
        <v>1422</v>
      </c>
      <c r="F1" s="244" t="s">
        <v>1423</v>
      </c>
      <c r="G1" s="243" t="s">
        <v>1424</v>
      </c>
      <c r="H1" s="179" t="s">
        <v>1416</v>
      </c>
    </row>
    <row r="2" spans="1:10" x14ac:dyDescent="0.25">
      <c r="A2" s="246" t="s">
        <v>1425</v>
      </c>
      <c r="B2" s="247">
        <v>158170</v>
      </c>
      <c r="C2" s="248">
        <v>45535</v>
      </c>
      <c r="D2" s="249">
        <v>1600</v>
      </c>
      <c r="E2" s="250" t="s">
        <v>1426</v>
      </c>
      <c r="F2" s="250"/>
      <c r="G2" s="251" t="s">
        <v>1427</v>
      </c>
      <c r="H2" s="252" t="s">
        <v>1428</v>
      </c>
    </row>
    <row r="3" spans="1:10" x14ac:dyDescent="0.25">
      <c r="A3" s="246" t="s">
        <v>1429</v>
      </c>
      <c r="B3" s="247">
        <v>158170</v>
      </c>
      <c r="C3" s="248">
        <v>45536</v>
      </c>
      <c r="D3" s="249">
        <v>1601</v>
      </c>
      <c r="E3" s="250" t="s">
        <v>1430</v>
      </c>
      <c r="F3" s="250"/>
      <c r="G3" s="251" t="s">
        <v>1431</v>
      </c>
      <c r="H3" s="252" t="s">
        <v>1432</v>
      </c>
    </row>
    <row r="4" spans="1:10" x14ac:dyDescent="0.25">
      <c r="A4" s="246" t="s">
        <v>1433</v>
      </c>
      <c r="B4" s="247">
        <v>158170</v>
      </c>
      <c r="C4" s="248">
        <v>45537</v>
      </c>
      <c r="D4" s="249">
        <v>1602</v>
      </c>
      <c r="E4" s="250" t="s">
        <v>1434</v>
      </c>
      <c r="F4" s="250"/>
      <c r="G4" s="251" t="s">
        <v>1435</v>
      </c>
      <c r="H4" s="252" t="s">
        <v>1436</v>
      </c>
    </row>
    <row r="5" spans="1:10" x14ac:dyDescent="0.25">
      <c r="A5" s="246" t="s">
        <v>1437</v>
      </c>
      <c r="B5" s="247">
        <v>158170</v>
      </c>
      <c r="C5" s="248">
        <v>45538</v>
      </c>
      <c r="D5" s="249">
        <v>1603</v>
      </c>
      <c r="E5" s="250" t="s">
        <v>1438</v>
      </c>
      <c r="F5" s="250"/>
      <c r="G5" s="251" t="s">
        <v>1439</v>
      </c>
      <c r="H5" s="252" t="s">
        <v>1440</v>
      </c>
    </row>
    <row r="6" spans="1:10" x14ac:dyDescent="0.25">
      <c r="A6" s="246" t="s">
        <v>1441</v>
      </c>
      <c r="B6" s="247">
        <v>158170</v>
      </c>
      <c r="C6" s="248">
        <v>45539</v>
      </c>
      <c r="D6" s="249">
        <v>1604</v>
      </c>
      <c r="E6" s="250" t="s">
        <v>1442</v>
      </c>
      <c r="F6" s="250"/>
      <c r="G6" s="251" t="s">
        <v>1443</v>
      </c>
      <c r="H6" s="252" t="s">
        <v>1444</v>
      </c>
    </row>
    <row r="7" spans="1:10" x14ac:dyDescent="0.25">
      <c r="A7" s="246" t="s">
        <v>1445</v>
      </c>
      <c r="B7" s="247">
        <v>158170</v>
      </c>
      <c r="C7" s="248">
        <v>45540</v>
      </c>
      <c r="D7" s="249">
        <v>1605</v>
      </c>
      <c r="E7" s="250" t="s">
        <v>1446</v>
      </c>
      <c r="F7" s="250"/>
      <c r="G7" s="251" t="s">
        <v>1447</v>
      </c>
      <c r="H7" s="252" t="s">
        <v>1448</v>
      </c>
    </row>
    <row r="8" spans="1:10" x14ac:dyDescent="0.25">
      <c r="A8" s="246" t="s">
        <v>1449</v>
      </c>
      <c r="B8" s="247">
        <v>158170</v>
      </c>
      <c r="C8" s="248">
        <v>45541</v>
      </c>
      <c r="D8" s="249">
        <v>1606</v>
      </c>
      <c r="E8" s="250" t="s">
        <v>1450</v>
      </c>
      <c r="F8" s="250"/>
      <c r="G8" s="251" t="s">
        <v>1451</v>
      </c>
      <c r="H8" s="13"/>
    </row>
    <row r="9" spans="1:10" x14ac:dyDescent="0.25">
      <c r="A9" s="246" t="s">
        <v>1452</v>
      </c>
      <c r="B9" s="247">
        <v>158170</v>
      </c>
      <c r="C9" s="248">
        <v>45542</v>
      </c>
      <c r="D9" s="249">
        <v>1607</v>
      </c>
      <c r="E9" s="250" t="s">
        <v>1453</v>
      </c>
      <c r="F9" s="250"/>
      <c r="G9" s="13" t="s">
        <v>1454</v>
      </c>
      <c r="H9" s="13"/>
    </row>
    <row r="10" spans="1:10" x14ac:dyDescent="0.25">
      <c r="A10" s="246" t="s">
        <v>1455</v>
      </c>
      <c r="B10" s="247">
        <v>158170</v>
      </c>
      <c r="C10" s="248">
        <v>45543</v>
      </c>
      <c r="D10" s="249">
        <v>1608</v>
      </c>
      <c r="E10" s="250" t="s">
        <v>1456</v>
      </c>
      <c r="F10" s="250"/>
      <c r="G10" s="251" t="s">
        <v>1457</v>
      </c>
      <c r="H10" s="13"/>
    </row>
    <row r="11" spans="1:10" x14ac:dyDescent="0.25">
      <c r="A11" s="246" t="s">
        <v>1458</v>
      </c>
      <c r="B11" s="247">
        <v>158170</v>
      </c>
      <c r="C11" s="248">
        <v>45544</v>
      </c>
      <c r="D11" s="249">
        <v>1609</v>
      </c>
      <c r="E11" s="250" t="s">
        <v>1459</v>
      </c>
      <c r="F11" s="250"/>
      <c r="G11" s="251" t="s">
        <v>1460</v>
      </c>
      <c r="H11" s="13"/>
    </row>
    <row r="12" spans="1:10" x14ac:dyDescent="0.25">
      <c r="A12" s="246" t="s">
        <v>1461</v>
      </c>
      <c r="B12" s="247">
        <v>158170</v>
      </c>
      <c r="C12" s="248">
        <v>45545</v>
      </c>
      <c r="D12" s="249">
        <v>1610</v>
      </c>
      <c r="E12" s="250" t="s">
        <v>1462</v>
      </c>
      <c r="F12" s="250"/>
      <c r="G12" s="253"/>
      <c r="H12" s="13"/>
    </row>
    <row r="13" spans="1:10" x14ac:dyDescent="0.25">
      <c r="A13" s="739"/>
      <c r="B13" s="740"/>
      <c r="C13" s="740"/>
      <c r="D13" s="740"/>
      <c r="E13" s="741"/>
      <c r="F13" s="254"/>
      <c r="G13" s="13"/>
      <c r="H13" s="13"/>
    </row>
    <row r="14" spans="1:10" x14ac:dyDescent="0.25">
      <c r="A14" s="742"/>
      <c r="B14" s="743"/>
      <c r="C14" s="743"/>
      <c r="D14" s="743"/>
      <c r="E14" s="744"/>
      <c r="F14" s="255"/>
      <c r="G14" s="13"/>
      <c r="H14" s="13"/>
      <c r="J14" t="s">
        <v>1756</v>
      </c>
    </row>
  </sheetData>
  <mergeCells count="1">
    <mergeCell ref="A13:E14"/>
  </mergeCells>
  <pageMargins left="0.7" right="0.7" top="0.75" bottom="0.75" header="0.3" footer="0.3"/>
  <pageSetup paperSize="9" orientation="portrait" r:id="rId1"/>
  <headerFooter>
    <oddFooter>&amp;L&amp;"Calibri Light,Regular"&amp;09&amp;K00C000Public</oddFooter>
    <evenFooter>&amp;L&amp;"Calibri Light,Regular"&amp;09&amp;K00C000Public</evenFooter>
    <firstFooter>&amp;L&amp;"Calibri Light,Regular"&amp;09&amp;K00C000Public</first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FCDE7-5BA7-4169-B076-01CA82545610}">
  <sheetPr>
    <pageSetUpPr autoPageBreaks="0"/>
  </sheetPr>
  <dimension ref="A1:K48"/>
  <sheetViews>
    <sheetView workbookViewId="0">
      <selection activeCell="L11" sqref="L11"/>
    </sheetView>
  </sheetViews>
  <sheetFormatPr defaultRowHeight="15" x14ac:dyDescent="0.25"/>
  <cols>
    <col min="1" max="1" width="15.85546875" bestFit="1" customWidth="1"/>
    <col min="2" max="2" width="11.7109375" bestFit="1" customWidth="1"/>
    <col min="3" max="3" width="8.42578125" bestFit="1" customWidth="1"/>
    <col min="4" max="4" width="12.7109375" bestFit="1" customWidth="1"/>
    <col min="5" max="5" width="11.7109375" bestFit="1" customWidth="1"/>
    <col min="6" max="6" width="6.7109375" bestFit="1" customWidth="1"/>
    <col min="7" max="7" width="3.7109375" bestFit="1" customWidth="1"/>
    <col min="8" max="8" width="12.7109375" bestFit="1" customWidth="1"/>
    <col min="9" max="9" width="14.140625" bestFit="1" customWidth="1"/>
    <col min="10" max="10" width="18.42578125" bestFit="1" customWidth="1"/>
    <col min="11" max="11" width="33" customWidth="1"/>
  </cols>
  <sheetData>
    <row r="1" spans="1:11" x14ac:dyDescent="0.25">
      <c r="A1" s="745" t="s">
        <v>1530</v>
      </c>
      <c r="B1" s="746"/>
      <c r="C1" s="746"/>
      <c r="D1" s="746"/>
      <c r="E1" s="746"/>
      <c r="F1" s="746"/>
      <c r="G1" s="746"/>
      <c r="H1" s="746"/>
      <c r="I1" s="746"/>
      <c r="J1" s="747"/>
    </row>
    <row r="2" spans="1:11" ht="15.75" thickBot="1" x14ac:dyDescent="0.3">
      <c r="A2" s="297" t="s">
        <v>104</v>
      </c>
      <c r="B2" s="47" t="s">
        <v>106</v>
      </c>
      <c r="C2" s="47" t="s">
        <v>107</v>
      </c>
      <c r="D2" s="47" t="s">
        <v>108</v>
      </c>
      <c r="E2" s="47" t="s">
        <v>110</v>
      </c>
      <c r="F2" s="47" t="s">
        <v>111</v>
      </c>
      <c r="G2" s="47" t="s">
        <v>112</v>
      </c>
      <c r="H2" s="47" t="s">
        <v>113</v>
      </c>
      <c r="I2" s="47" t="s">
        <v>114</v>
      </c>
      <c r="J2" s="298" t="s">
        <v>115</v>
      </c>
    </row>
    <row r="3" spans="1:11" x14ac:dyDescent="0.25">
      <c r="A3" s="299">
        <v>45261</v>
      </c>
      <c r="B3" s="37">
        <v>0</v>
      </c>
      <c r="C3" s="37">
        <v>0</v>
      </c>
      <c r="D3" s="300">
        <v>12000000</v>
      </c>
      <c r="E3" s="37"/>
      <c r="F3" s="37"/>
      <c r="G3" s="37"/>
      <c r="H3" s="300">
        <v>12000000</v>
      </c>
      <c r="I3" s="300">
        <v>-12000000</v>
      </c>
      <c r="J3" s="301">
        <v>-13223333.33</v>
      </c>
    </row>
    <row r="4" spans="1:11" x14ac:dyDescent="0.25">
      <c r="A4" s="302">
        <v>45292</v>
      </c>
      <c r="B4" s="303">
        <v>1101944.44</v>
      </c>
      <c r="C4" s="304">
        <v>0</v>
      </c>
      <c r="D4" s="303">
        <v>910889.61</v>
      </c>
      <c r="E4" s="303">
        <v>191054.83</v>
      </c>
      <c r="F4" s="304"/>
      <c r="G4" s="304"/>
      <c r="H4" s="304"/>
      <c r="I4" s="303">
        <v>-11089110.390000001</v>
      </c>
      <c r="J4" s="305">
        <v>-12121388.890000001</v>
      </c>
      <c r="K4" s="748" t="s">
        <v>1531</v>
      </c>
    </row>
    <row r="5" spans="1:11" x14ac:dyDescent="0.25">
      <c r="A5" s="302">
        <v>45323</v>
      </c>
      <c r="B5" s="303">
        <v>1101944.44</v>
      </c>
      <c r="C5" s="304">
        <v>0</v>
      </c>
      <c r="D5" s="303">
        <v>930909.36</v>
      </c>
      <c r="E5" s="303">
        <v>171035.08</v>
      </c>
      <c r="F5" s="304"/>
      <c r="G5" s="304"/>
      <c r="H5" s="304"/>
      <c r="I5" s="303">
        <v>-10158201.029999999</v>
      </c>
      <c r="J5" s="305">
        <v>-11019444.449999999</v>
      </c>
      <c r="K5" s="748"/>
    </row>
    <row r="6" spans="1:11" x14ac:dyDescent="0.25">
      <c r="A6" s="306">
        <v>45352</v>
      </c>
      <c r="B6" s="181">
        <v>1101944.44</v>
      </c>
      <c r="C6" s="13">
        <v>0</v>
      </c>
      <c r="D6" s="181">
        <v>955375.62</v>
      </c>
      <c r="E6" s="181">
        <v>146568.82</v>
      </c>
      <c r="F6" s="13"/>
      <c r="G6" s="13"/>
      <c r="H6" s="13"/>
      <c r="I6" s="181">
        <v>-9202825.4100000001</v>
      </c>
      <c r="J6" s="307">
        <v>-9917500.0099999998</v>
      </c>
    </row>
    <row r="7" spans="1:11" x14ac:dyDescent="0.25">
      <c r="A7" s="306">
        <v>45383</v>
      </c>
      <c r="B7" s="181">
        <v>1101944.44</v>
      </c>
      <c r="C7" s="13">
        <v>0</v>
      </c>
      <c r="D7" s="181">
        <v>960002.85</v>
      </c>
      <c r="E7" s="181">
        <v>141941.59</v>
      </c>
      <c r="F7" s="13"/>
      <c r="G7" s="13"/>
      <c r="H7" s="13"/>
      <c r="I7" s="181">
        <v>-8242822.5599999996</v>
      </c>
      <c r="J7" s="307">
        <v>-8815555.5700000003</v>
      </c>
    </row>
    <row r="8" spans="1:11" x14ac:dyDescent="0.25">
      <c r="A8" s="306">
        <v>45413</v>
      </c>
      <c r="B8" s="181">
        <v>1101944.44</v>
      </c>
      <c r="C8" s="13">
        <v>0</v>
      </c>
      <c r="D8" s="181">
        <v>978910.76</v>
      </c>
      <c r="E8" s="181">
        <v>123033.68</v>
      </c>
      <c r="F8" s="13"/>
      <c r="G8" s="13"/>
      <c r="H8" s="13"/>
      <c r="I8" s="181">
        <v>-7263911.7999999998</v>
      </c>
      <c r="J8" s="307">
        <v>-7713611.1299999999</v>
      </c>
    </row>
    <row r="9" spans="1:11" x14ac:dyDescent="0.25">
      <c r="A9" s="306">
        <v>45444</v>
      </c>
      <c r="B9" s="181">
        <v>1101944.44</v>
      </c>
      <c r="C9" s="13">
        <v>0</v>
      </c>
      <c r="D9" s="181">
        <v>989908.06</v>
      </c>
      <c r="E9" s="181">
        <v>112036.38</v>
      </c>
      <c r="F9" s="13"/>
      <c r="G9" s="13"/>
      <c r="H9" s="13"/>
      <c r="I9" s="181">
        <v>-6274003.7400000002</v>
      </c>
      <c r="J9" s="307">
        <v>-6611666.6900000004</v>
      </c>
    </row>
    <row r="10" spans="1:11" x14ac:dyDescent="0.25">
      <c r="A10" s="306">
        <v>45474</v>
      </c>
      <c r="B10" s="181">
        <v>1101944.44</v>
      </c>
      <c r="C10" s="13">
        <v>0</v>
      </c>
      <c r="D10" s="181">
        <v>1008297.66</v>
      </c>
      <c r="E10" s="181">
        <v>93646.78</v>
      </c>
      <c r="F10" s="13"/>
      <c r="G10" s="13"/>
      <c r="H10" s="13"/>
      <c r="I10" s="181">
        <v>-5265706.08</v>
      </c>
      <c r="J10" s="307">
        <v>-5509722.25</v>
      </c>
    </row>
    <row r="11" spans="1:11" x14ac:dyDescent="0.25">
      <c r="A11" s="306">
        <v>45505</v>
      </c>
      <c r="B11" s="181">
        <v>1101944.44</v>
      </c>
      <c r="C11" s="13">
        <v>0</v>
      </c>
      <c r="D11" s="181">
        <v>1020727.78</v>
      </c>
      <c r="E11" s="181">
        <v>81216.66</v>
      </c>
      <c r="F11" s="13"/>
      <c r="G11" s="13"/>
      <c r="H11" s="13"/>
      <c r="I11" s="181">
        <v>-4244978.3</v>
      </c>
      <c r="J11" s="307">
        <v>-4407777.8099999996</v>
      </c>
    </row>
    <row r="12" spans="1:11" x14ac:dyDescent="0.25">
      <c r="A12" s="306">
        <v>45536</v>
      </c>
      <c r="B12" s="181">
        <v>1101944.44</v>
      </c>
      <c r="C12" s="13">
        <v>0</v>
      </c>
      <c r="D12" s="181">
        <v>1036471.18</v>
      </c>
      <c r="E12" s="181">
        <v>65473.26</v>
      </c>
      <c r="F12" s="13"/>
      <c r="G12" s="13"/>
      <c r="H12" s="13"/>
      <c r="I12" s="181">
        <v>-3208507.12</v>
      </c>
      <c r="J12" s="307">
        <v>-3305833.37</v>
      </c>
    </row>
    <row r="13" spans="1:11" x14ac:dyDescent="0.25">
      <c r="A13" s="306">
        <v>45566</v>
      </c>
      <c r="B13" s="181">
        <v>1101944.44</v>
      </c>
      <c r="C13" s="13">
        <v>0</v>
      </c>
      <c r="D13" s="181">
        <v>1054053.75</v>
      </c>
      <c r="E13" s="181">
        <v>47890.69</v>
      </c>
      <c r="F13" s="13"/>
      <c r="G13" s="13"/>
      <c r="H13" s="13"/>
      <c r="I13" s="181">
        <v>-2154453.37</v>
      </c>
      <c r="J13" s="307">
        <v>-2203888.9300000002</v>
      </c>
    </row>
    <row r="14" spans="1:11" x14ac:dyDescent="0.25">
      <c r="A14" s="306">
        <v>45597</v>
      </c>
      <c r="B14" s="181">
        <v>1101944.44</v>
      </c>
      <c r="C14" s="13">
        <v>0</v>
      </c>
      <c r="D14" s="181">
        <v>1068714.8</v>
      </c>
      <c r="E14" s="181">
        <v>33229.64</v>
      </c>
      <c r="F14" s="13"/>
      <c r="G14" s="13"/>
      <c r="H14" s="13"/>
      <c r="I14" s="181">
        <v>-1085738.57</v>
      </c>
      <c r="J14" s="307">
        <v>-1101944.49</v>
      </c>
    </row>
    <row r="15" spans="1:11" ht="15.75" thickBot="1" x14ac:dyDescent="0.3">
      <c r="A15" s="308">
        <v>45627</v>
      </c>
      <c r="B15" s="309">
        <v>1101944.49</v>
      </c>
      <c r="C15" s="35">
        <v>0</v>
      </c>
      <c r="D15" s="309">
        <v>1085738.57</v>
      </c>
      <c r="E15" s="309">
        <v>16205.92</v>
      </c>
      <c r="F15" s="35"/>
      <c r="G15" s="35"/>
      <c r="H15" s="35"/>
      <c r="I15" s="35">
        <v>0</v>
      </c>
      <c r="J15" s="54">
        <v>0</v>
      </c>
    </row>
    <row r="16" spans="1:11" ht="15.75" thickBot="1" x14ac:dyDescent="0.3">
      <c r="D16" s="103">
        <f>SUM(D4:D15)</f>
        <v>12000000.000000002</v>
      </c>
      <c r="E16" s="103">
        <f>SUM(E4:E15)</f>
        <v>1223333.3299999998</v>
      </c>
    </row>
    <row r="17" spans="1:10" ht="15.75" thickBot="1" x14ac:dyDescent="0.3">
      <c r="A17" s="749" t="s">
        <v>1532</v>
      </c>
      <c r="B17" s="750"/>
      <c r="C17" s="750"/>
      <c r="D17" s="750"/>
      <c r="E17" s="750"/>
      <c r="F17" s="750"/>
      <c r="G17" s="750"/>
      <c r="H17" s="750"/>
      <c r="I17" s="750"/>
      <c r="J17" s="751"/>
    </row>
    <row r="18" spans="1:10" ht="15.75" thickBot="1" x14ac:dyDescent="0.3">
      <c r="A18" s="310" t="s">
        <v>104</v>
      </c>
      <c r="B18" s="311" t="s">
        <v>106</v>
      </c>
      <c r="C18" s="311" t="s">
        <v>107</v>
      </c>
      <c r="D18" s="311" t="s">
        <v>108</v>
      </c>
      <c r="E18" s="311" t="s">
        <v>110</v>
      </c>
      <c r="F18" s="311" t="s">
        <v>111</v>
      </c>
      <c r="G18" s="311" t="s">
        <v>112</v>
      </c>
      <c r="H18" s="311" t="s">
        <v>113</v>
      </c>
      <c r="I18" s="311" t="s">
        <v>114</v>
      </c>
      <c r="J18" s="312" t="s">
        <v>115</v>
      </c>
    </row>
    <row r="19" spans="1:10" x14ac:dyDescent="0.25">
      <c r="A19" s="299">
        <v>45261</v>
      </c>
      <c r="B19" s="37">
        <v>0</v>
      </c>
      <c r="C19" s="37">
        <v>0</v>
      </c>
      <c r="D19" s="300">
        <v>12000000</v>
      </c>
      <c r="E19" s="37"/>
      <c r="F19" s="37"/>
      <c r="G19" s="37"/>
      <c r="H19" s="300">
        <v>12000000</v>
      </c>
      <c r="I19" s="300">
        <v>-12000000</v>
      </c>
      <c r="J19" s="301">
        <v>-13223333.33</v>
      </c>
    </row>
    <row r="20" spans="1:10" x14ac:dyDescent="0.25">
      <c r="A20" s="306">
        <v>45352</v>
      </c>
      <c r="B20" s="181">
        <v>3305833.32</v>
      </c>
      <c r="C20" s="13">
        <v>0</v>
      </c>
      <c r="D20" s="181">
        <v>2770902.32</v>
      </c>
      <c r="E20" s="181">
        <v>534931</v>
      </c>
      <c r="F20" s="13"/>
      <c r="G20" s="13"/>
      <c r="H20" s="13"/>
      <c r="I20" s="181">
        <v>-9229097.6799999997</v>
      </c>
      <c r="J20" s="307">
        <v>-9917500.0099999998</v>
      </c>
    </row>
    <row r="21" spans="1:10" x14ac:dyDescent="0.25">
      <c r="A21" s="306">
        <v>45383</v>
      </c>
      <c r="B21" s="181">
        <v>1101944.44</v>
      </c>
      <c r="C21" s="13">
        <v>0</v>
      </c>
      <c r="D21" s="181">
        <v>965116.49</v>
      </c>
      <c r="E21" s="181">
        <v>136827.95000000001</v>
      </c>
      <c r="F21" s="13"/>
      <c r="G21" s="13"/>
      <c r="H21" s="13"/>
      <c r="I21" s="181">
        <v>-8263981.1900000004</v>
      </c>
      <c r="J21" s="307">
        <v>-8815555.5700000003</v>
      </c>
    </row>
    <row r="22" spans="1:10" x14ac:dyDescent="0.25">
      <c r="A22" s="306">
        <v>45413</v>
      </c>
      <c r="B22" s="181">
        <v>1101944.44</v>
      </c>
      <c r="C22" s="13">
        <v>0</v>
      </c>
      <c r="D22" s="181">
        <v>983377.27</v>
      </c>
      <c r="E22" s="181">
        <v>118567.17</v>
      </c>
      <c r="F22" s="13"/>
      <c r="G22" s="13"/>
      <c r="H22" s="13"/>
      <c r="I22" s="181">
        <v>-7280603.9199999999</v>
      </c>
      <c r="J22" s="307">
        <v>-7713611.1299999999</v>
      </c>
    </row>
    <row r="23" spans="1:10" x14ac:dyDescent="0.25">
      <c r="A23" s="306">
        <v>45444</v>
      </c>
      <c r="B23" s="181">
        <v>1101944.44</v>
      </c>
      <c r="C23" s="13">
        <v>0</v>
      </c>
      <c r="D23" s="181">
        <v>994004.3</v>
      </c>
      <c r="E23" s="181">
        <v>107940.14</v>
      </c>
      <c r="F23" s="13"/>
      <c r="G23" s="13"/>
      <c r="H23" s="13"/>
      <c r="I23" s="181">
        <v>-6286599.6200000001</v>
      </c>
      <c r="J23" s="307">
        <v>-6611666.6900000004</v>
      </c>
    </row>
    <row r="24" spans="1:10" x14ac:dyDescent="0.25">
      <c r="A24" s="306">
        <v>45474</v>
      </c>
      <c r="B24" s="181">
        <v>1101944.44</v>
      </c>
      <c r="C24" s="13">
        <v>0</v>
      </c>
      <c r="D24" s="181">
        <v>1011747.68</v>
      </c>
      <c r="E24" s="181">
        <v>90196.76</v>
      </c>
      <c r="F24" s="13"/>
      <c r="G24" s="13"/>
      <c r="H24" s="13"/>
      <c r="I24" s="181">
        <v>-5274851.9400000004</v>
      </c>
      <c r="J24" s="307">
        <v>-5509722.25</v>
      </c>
    </row>
    <row r="25" spans="1:10" x14ac:dyDescent="0.25">
      <c r="A25" s="306">
        <v>45505</v>
      </c>
      <c r="B25" s="181">
        <v>1101944.44</v>
      </c>
      <c r="C25" s="13">
        <v>0</v>
      </c>
      <c r="D25" s="181">
        <v>1023741</v>
      </c>
      <c r="E25" s="181">
        <v>78203.44</v>
      </c>
      <c r="F25" s="13"/>
      <c r="G25" s="13"/>
      <c r="H25" s="13"/>
      <c r="I25" s="181">
        <v>-4251110.9400000004</v>
      </c>
      <c r="J25" s="307">
        <v>-4407777.8099999996</v>
      </c>
    </row>
    <row r="26" spans="1:10" x14ac:dyDescent="0.25">
      <c r="A26" s="306">
        <v>45536</v>
      </c>
      <c r="B26" s="181">
        <v>1101944.44</v>
      </c>
      <c r="C26" s="13">
        <v>0</v>
      </c>
      <c r="D26" s="181">
        <v>1038918.69</v>
      </c>
      <c r="E26" s="181">
        <v>63025.75</v>
      </c>
      <c r="F26" s="13"/>
      <c r="G26" s="13"/>
      <c r="H26" s="13"/>
      <c r="I26" s="181">
        <v>-3212192.25</v>
      </c>
      <c r="J26" s="307">
        <v>-3305833.37</v>
      </c>
    </row>
    <row r="27" spans="1:10" x14ac:dyDescent="0.25">
      <c r="A27" s="306">
        <v>45566</v>
      </c>
      <c r="B27" s="181">
        <v>1101944.44</v>
      </c>
      <c r="C27" s="13">
        <v>0</v>
      </c>
      <c r="D27" s="181">
        <v>1055857.6299999999</v>
      </c>
      <c r="E27" s="181">
        <v>46086.81</v>
      </c>
      <c r="F27" s="13"/>
      <c r="G27" s="13"/>
      <c r="H27" s="13"/>
      <c r="I27" s="181">
        <v>-2156334.62</v>
      </c>
      <c r="J27" s="307">
        <v>-2203888.9300000002</v>
      </c>
    </row>
    <row r="28" spans="1:10" x14ac:dyDescent="0.25">
      <c r="A28" s="306">
        <v>45597</v>
      </c>
      <c r="B28" s="181">
        <v>1101944.44</v>
      </c>
      <c r="C28" s="13">
        <v>0</v>
      </c>
      <c r="D28" s="181">
        <v>1069975.24</v>
      </c>
      <c r="E28" s="181">
        <v>31969.200000000001</v>
      </c>
      <c r="F28" s="13"/>
      <c r="G28" s="13"/>
      <c r="H28" s="13"/>
      <c r="I28" s="181">
        <v>-1086359.3799999999</v>
      </c>
      <c r="J28" s="307">
        <v>-1101944.49</v>
      </c>
    </row>
    <row r="29" spans="1:10" ht="15.75" thickBot="1" x14ac:dyDescent="0.3">
      <c r="A29" s="308">
        <v>45627</v>
      </c>
      <c r="B29" s="309">
        <v>1101944.49</v>
      </c>
      <c r="C29" s="35">
        <v>0</v>
      </c>
      <c r="D29" s="309">
        <v>1086359.3799999999</v>
      </c>
      <c r="E29" s="309">
        <v>15585.11</v>
      </c>
      <c r="F29" s="35"/>
      <c r="G29" s="35"/>
      <c r="H29" s="35"/>
      <c r="I29" s="35">
        <v>0</v>
      </c>
      <c r="J29" s="54">
        <v>0</v>
      </c>
    </row>
    <row r="30" spans="1:10" ht="15.75" thickBot="1" x14ac:dyDescent="0.3">
      <c r="D30" s="103">
        <f>SUM(D20:D29)</f>
        <v>12000000</v>
      </c>
      <c r="E30" s="103">
        <f>SUM(E20:E29)</f>
        <v>1223333.33</v>
      </c>
    </row>
    <row r="31" spans="1:10" ht="15.75" thickBot="1" x14ac:dyDescent="0.3">
      <c r="A31" s="749" t="s">
        <v>1533</v>
      </c>
      <c r="B31" s="750"/>
      <c r="C31" s="750"/>
      <c r="D31" s="750"/>
      <c r="E31" s="750"/>
      <c r="F31" s="750"/>
      <c r="G31" s="750"/>
      <c r="H31" s="750"/>
      <c r="I31" s="750"/>
      <c r="J31" s="751"/>
    </row>
    <row r="32" spans="1:10" x14ac:dyDescent="0.25">
      <c r="A32" s="12" t="s">
        <v>104</v>
      </c>
      <c r="B32" s="13" t="s">
        <v>106</v>
      </c>
      <c r="C32" s="13" t="s">
        <v>107</v>
      </c>
      <c r="D32" s="13" t="s">
        <v>108</v>
      </c>
      <c r="E32" s="13" t="s">
        <v>110</v>
      </c>
      <c r="F32" s="13" t="s">
        <v>111</v>
      </c>
      <c r="G32" s="13" t="s">
        <v>112</v>
      </c>
      <c r="H32" s="13" t="s">
        <v>113</v>
      </c>
      <c r="I32" s="13" t="s">
        <v>114</v>
      </c>
      <c r="J32" s="18" t="s">
        <v>115</v>
      </c>
    </row>
    <row r="33" spans="1:10" x14ac:dyDescent="0.25">
      <c r="A33" s="306">
        <v>45261</v>
      </c>
      <c r="B33" s="13">
        <v>0</v>
      </c>
      <c r="C33" s="13">
        <v>0</v>
      </c>
      <c r="D33" s="181">
        <v>12000000</v>
      </c>
      <c r="E33" s="13"/>
      <c r="F33" s="13"/>
      <c r="G33" s="13"/>
      <c r="H33" s="181">
        <v>12000000</v>
      </c>
      <c r="I33" s="181">
        <v>-12000000</v>
      </c>
      <c r="J33" s="307">
        <v>-13223333.33</v>
      </c>
    </row>
    <row r="34" spans="1:10" x14ac:dyDescent="0.25">
      <c r="A34" s="306">
        <v>45352</v>
      </c>
      <c r="B34" s="181">
        <v>1101944.44</v>
      </c>
      <c r="C34" s="13">
        <v>0</v>
      </c>
      <c r="D34" s="181">
        <v>651808.61</v>
      </c>
      <c r="E34" s="181">
        <v>450135.83</v>
      </c>
      <c r="F34" s="13"/>
      <c r="G34" s="13"/>
      <c r="H34" s="13"/>
      <c r="I34" s="181">
        <v>-11348191.390000001</v>
      </c>
      <c r="J34" s="307">
        <v>-12121388.890000001</v>
      </c>
    </row>
    <row r="35" spans="1:10" x14ac:dyDescent="0.25">
      <c r="A35" s="306">
        <v>45383</v>
      </c>
      <c r="B35" s="181">
        <v>1101944.44</v>
      </c>
      <c r="C35" s="13">
        <v>0</v>
      </c>
      <c r="D35" s="181">
        <v>973794.08</v>
      </c>
      <c r="E35" s="181">
        <v>128150.36</v>
      </c>
      <c r="F35" s="13"/>
      <c r="G35" s="13"/>
      <c r="H35" s="13"/>
      <c r="I35" s="181">
        <v>-10374397.310000001</v>
      </c>
      <c r="J35" s="307">
        <v>-11019444.449999999</v>
      </c>
    </row>
    <row r="36" spans="1:10" x14ac:dyDescent="0.25">
      <c r="A36" s="306">
        <v>45413</v>
      </c>
      <c r="B36" s="181">
        <v>1101944.44</v>
      </c>
      <c r="C36" s="13">
        <v>0</v>
      </c>
      <c r="D36" s="181">
        <v>988569.88</v>
      </c>
      <c r="E36" s="181">
        <v>113374.56</v>
      </c>
      <c r="F36" s="13"/>
      <c r="G36" s="13"/>
      <c r="H36" s="13"/>
      <c r="I36" s="181">
        <v>-9385827.4299999997</v>
      </c>
      <c r="J36" s="307">
        <v>-9917500.0099999998</v>
      </c>
    </row>
    <row r="37" spans="1:10" x14ac:dyDescent="0.25">
      <c r="A37" s="306">
        <v>45444</v>
      </c>
      <c r="B37" s="181">
        <v>1101944.44</v>
      </c>
      <c r="C37" s="13">
        <v>0</v>
      </c>
      <c r="D37" s="181">
        <v>995954.23</v>
      </c>
      <c r="E37" s="181">
        <v>105990.21</v>
      </c>
      <c r="F37" s="13"/>
      <c r="G37" s="13"/>
      <c r="H37" s="13"/>
      <c r="I37" s="181">
        <v>-8389873.1999999993</v>
      </c>
      <c r="J37" s="307">
        <v>-8815555.5700000003</v>
      </c>
    </row>
    <row r="38" spans="1:10" x14ac:dyDescent="0.25">
      <c r="A38" s="306">
        <v>45474</v>
      </c>
      <c r="B38" s="181">
        <v>1101944.44</v>
      </c>
      <c r="C38" s="13">
        <v>0</v>
      </c>
      <c r="D38" s="181">
        <v>1010257.36</v>
      </c>
      <c r="E38" s="181">
        <v>91687.08</v>
      </c>
      <c r="F38" s="13"/>
      <c r="G38" s="13"/>
      <c r="H38" s="13"/>
      <c r="I38" s="181">
        <v>-7379615.8399999999</v>
      </c>
      <c r="J38" s="307">
        <v>-7713611.1299999999</v>
      </c>
    </row>
    <row r="39" spans="1:10" x14ac:dyDescent="0.25">
      <c r="A39" s="306">
        <v>45505</v>
      </c>
      <c r="B39" s="181">
        <v>1101944.44</v>
      </c>
      <c r="C39" s="13">
        <v>0</v>
      </c>
      <c r="D39" s="181">
        <v>1018609.54</v>
      </c>
      <c r="E39" s="181">
        <v>83334.899999999994</v>
      </c>
      <c r="F39" s="13"/>
      <c r="G39" s="13"/>
      <c r="H39" s="13"/>
      <c r="I39" s="181">
        <v>-6361006.2999999998</v>
      </c>
      <c r="J39" s="307">
        <v>-6611666.6900000004</v>
      </c>
    </row>
    <row r="40" spans="1:10" x14ac:dyDescent="0.25">
      <c r="A40" s="306">
        <v>45536</v>
      </c>
      <c r="B40" s="181">
        <v>1101944.44</v>
      </c>
      <c r="C40" s="13">
        <v>0</v>
      </c>
      <c r="D40" s="181">
        <v>1030112.27</v>
      </c>
      <c r="E40" s="181">
        <v>71832.17</v>
      </c>
      <c r="F40" s="13"/>
      <c r="G40" s="13"/>
      <c r="H40" s="13"/>
      <c r="I40" s="181">
        <v>-5330894.03</v>
      </c>
      <c r="J40" s="307">
        <v>-5509722.25</v>
      </c>
    </row>
    <row r="41" spans="1:10" x14ac:dyDescent="0.25">
      <c r="A41" s="306">
        <v>45566</v>
      </c>
      <c r="B41" s="181">
        <v>1101944.44</v>
      </c>
      <c r="C41" s="13">
        <v>0</v>
      </c>
      <c r="D41" s="181">
        <v>1043686.81</v>
      </c>
      <c r="E41" s="181">
        <v>58257.63</v>
      </c>
      <c r="F41" s="13"/>
      <c r="G41" s="13"/>
      <c r="H41" s="13"/>
      <c r="I41" s="181">
        <v>-4287207.22</v>
      </c>
      <c r="J41" s="307">
        <v>-4407777.8099999996</v>
      </c>
    </row>
    <row r="42" spans="1:10" x14ac:dyDescent="0.25">
      <c r="A42" s="306">
        <v>45597</v>
      </c>
      <c r="B42" s="181">
        <v>1101944.44</v>
      </c>
      <c r="C42" s="13">
        <v>0</v>
      </c>
      <c r="D42" s="181">
        <v>1053530.81</v>
      </c>
      <c r="E42" s="181">
        <v>48413.63</v>
      </c>
      <c r="F42" s="13"/>
      <c r="G42" s="13"/>
      <c r="H42" s="13"/>
      <c r="I42" s="181">
        <v>-3233676.41</v>
      </c>
      <c r="J42" s="307">
        <v>-3305833.37</v>
      </c>
    </row>
    <row r="43" spans="1:10" x14ac:dyDescent="0.25">
      <c r="A43" s="306">
        <v>45627</v>
      </c>
      <c r="B43" s="181">
        <v>1101944.44</v>
      </c>
      <c r="C43" s="13">
        <v>0</v>
      </c>
      <c r="D43" s="181">
        <v>1066605.8400000001</v>
      </c>
      <c r="E43" s="181">
        <v>35338.6</v>
      </c>
      <c r="F43" s="13"/>
      <c r="G43" s="13"/>
      <c r="H43" s="13"/>
      <c r="I43" s="181">
        <v>-2167070.5699999998</v>
      </c>
      <c r="J43" s="307">
        <v>-2203888.9300000002</v>
      </c>
    </row>
    <row r="44" spans="1:10" x14ac:dyDescent="0.25">
      <c r="A44" s="313">
        <v>45658</v>
      </c>
      <c r="B44" s="187">
        <v>1101944.44</v>
      </c>
      <c r="C44" s="260">
        <v>0</v>
      </c>
      <c r="D44" s="187">
        <v>1077472.6200000001</v>
      </c>
      <c r="E44" s="187">
        <v>24471.82</v>
      </c>
      <c r="F44" s="260"/>
      <c r="G44" s="260"/>
      <c r="H44" s="260"/>
      <c r="I44" s="187">
        <v>-1089597.95</v>
      </c>
      <c r="J44" s="314">
        <v>-1101944.49</v>
      </c>
    </row>
    <row r="45" spans="1:10" ht="15.75" thickBot="1" x14ac:dyDescent="0.3">
      <c r="A45" s="315">
        <v>45689</v>
      </c>
      <c r="B45" s="316">
        <v>1101944.49</v>
      </c>
      <c r="C45" s="317">
        <v>0</v>
      </c>
      <c r="D45" s="316">
        <v>1089597.95</v>
      </c>
      <c r="E45" s="316">
        <v>12346.54</v>
      </c>
      <c r="F45" s="317"/>
      <c r="G45" s="317"/>
      <c r="H45" s="317"/>
      <c r="I45" s="317">
        <v>0</v>
      </c>
      <c r="J45" s="318">
        <v>0</v>
      </c>
    </row>
    <row r="46" spans="1:10" x14ac:dyDescent="0.25">
      <c r="D46" s="103">
        <f>SUM(D34:D45)</f>
        <v>12000000</v>
      </c>
      <c r="E46" s="103">
        <f>SUM(E34:E45)</f>
        <v>1223333.33</v>
      </c>
    </row>
    <row r="47" spans="1:10" x14ac:dyDescent="0.25">
      <c r="A47" s="107" t="s">
        <v>1534</v>
      </c>
    </row>
    <row r="48" spans="1:10" x14ac:dyDescent="0.25">
      <c r="A48" t="s">
        <v>1535</v>
      </c>
    </row>
  </sheetData>
  <mergeCells count="4">
    <mergeCell ref="A1:J1"/>
    <mergeCell ref="K4:K5"/>
    <mergeCell ref="A17:J17"/>
    <mergeCell ref="A31:J31"/>
  </mergeCells>
  <pageMargins left="0.7" right="0.7" top="0.75" bottom="0.75" header="0.3" footer="0.3"/>
  <pageSetup paperSize="9" orientation="portrait" r:id="rId1"/>
  <headerFooter>
    <oddFooter>&amp;L&amp;"Calibri Light,Regular"&amp;09&amp;K00C000Public</oddFooter>
    <evenFooter>&amp;L&amp;"Calibri Light,Regular"&amp;09&amp;K00C000Public</evenFooter>
    <firstFooter>&amp;L&amp;"Calibri Light,Regular"&amp;09&amp;K00C000Public</first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BA9D9-B6C9-4642-B061-B43A9B296F2F}">
  <dimension ref="A2:W85"/>
  <sheetViews>
    <sheetView topLeftCell="J1" workbookViewId="0">
      <selection activeCell="M16" sqref="M16"/>
    </sheetView>
  </sheetViews>
  <sheetFormatPr defaultRowHeight="15" x14ac:dyDescent="0.25"/>
  <cols>
    <col min="1" max="1" width="15.85546875" bestFit="1" customWidth="1"/>
    <col min="2" max="2" width="9.85546875" bestFit="1" customWidth="1"/>
    <col min="11" max="11" width="10.7109375" bestFit="1" customWidth="1"/>
    <col min="12" max="12" width="18" bestFit="1" customWidth="1"/>
    <col min="13" max="13" width="33" bestFit="1" customWidth="1"/>
    <col min="15" max="15" width="9.42578125" bestFit="1" customWidth="1"/>
    <col min="16" max="16" width="16.7109375" bestFit="1" customWidth="1"/>
    <col min="19" max="19" width="9.7109375" bestFit="1" customWidth="1"/>
    <col min="21" max="21" width="11" bestFit="1" customWidth="1"/>
    <col min="23" max="23" width="10.7109375" bestFit="1" customWidth="1"/>
  </cols>
  <sheetData>
    <row r="2" spans="1:23" x14ac:dyDescent="0.25">
      <c r="A2" t="s">
        <v>102</v>
      </c>
      <c r="M2" t="s">
        <v>1758</v>
      </c>
      <c r="S2" t="s">
        <v>1759</v>
      </c>
      <c r="U2" t="s">
        <v>1760</v>
      </c>
    </row>
    <row r="3" spans="1:23" x14ac:dyDescent="0.25">
      <c r="O3" s="644"/>
      <c r="S3" s="119">
        <f>XIRR(S5:S35,A5:A35)</f>
        <v>0.16154170632362372</v>
      </c>
      <c r="U3" s="645">
        <f>IRR(U5:U41,0)*12</f>
        <v>0.15062270620493567</v>
      </c>
      <c r="W3" s="646"/>
    </row>
    <row r="4" spans="1:23" x14ac:dyDescent="0.25">
      <c r="A4" t="s">
        <v>104</v>
      </c>
      <c r="B4" t="s">
        <v>105</v>
      </c>
      <c r="C4" t="s">
        <v>106</v>
      </c>
      <c r="D4" t="s">
        <v>107</v>
      </c>
      <c r="E4" t="s">
        <v>108</v>
      </c>
      <c r="F4" t="s">
        <v>109</v>
      </c>
      <c r="G4" t="s">
        <v>110</v>
      </c>
      <c r="H4" t="s">
        <v>111</v>
      </c>
      <c r="I4" t="s">
        <v>112</v>
      </c>
      <c r="J4" t="s">
        <v>113</v>
      </c>
      <c r="K4" t="s">
        <v>114</v>
      </c>
      <c r="L4" t="s">
        <v>115</v>
      </c>
    </row>
    <row r="5" spans="1:23" x14ac:dyDescent="0.25">
      <c r="A5" s="102">
        <v>45341</v>
      </c>
      <c r="C5">
        <v>0</v>
      </c>
      <c r="D5">
        <v>0</v>
      </c>
      <c r="E5" s="103">
        <v>50000</v>
      </c>
      <c r="J5" s="103">
        <v>50000</v>
      </c>
      <c r="K5" s="103">
        <v>-50000</v>
      </c>
      <c r="L5" s="103">
        <v>-50000</v>
      </c>
      <c r="M5" s="107" t="s">
        <v>1761</v>
      </c>
      <c r="N5" s="107" t="s">
        <v>1762</v>
      </c>
      <c r="O5" s="107" t="s">
        <v>237</v>
      </c>
      <c r="P5" s="107" t="s">
        <v>1763</v>
      </c>
      <c r="Q5" s="107" t="s">
        <v>1764</v>
      </c>
      <c r="R5" s="107" t="s">
        <v>1765</v>
      </c>
      <c r="S5" s="103">
        <f>K5</f>
        <v>-50000</v>
      </c>
      <c r="T5">
        <v>0</v>
      </c>
      <c r="U5" s="103">
        <f>+S5</f>
        <v>-50000</v>
      </c>
      <c r="W5" s="644"/>
    </row>
    <row r="6" spans="1:23" x14ac:dyDescent="0.25">
      <c r="A6" s="102">
        <v>45554</v>
      </c>
      <c r="B6">
        <v>210</v>
      </c>
      <c r="C6" s="103">
        <v>2166.67</v>
      </c>
      <c r="D6">
        <v>0</v>
      </c>
      <c r="E6" s="103">
        <f>C6-G6</f>
        <v>0</v>
      </c>
      <c r="G6" s="647">
        <v>2166.67</v>
      </c>
      <c r="H6">
        <v>0</v>
      </c>
      <c r="I6" s="537"/>
      <c r="J6">
        <v>0</v>
      </c>
      <c r="K6" s="103">
        <v>-50000</v>
      </c>
      <c r="L6" s="103">
        <v>-47833.33</v>
      </c>
      <c r="M6" s="648">
        <v>0.152926637695912</v>
      </c>
      <c r="N6" s="649">
        <v>210</v>
      </c>
      <c r="O6" s="644">
        <f>-L5*M6/360*210</f>
        <v>4460.3602661307668</v>
      </c>
      <c r="P6" s="644">
        <f>+O6</f>
        <v>4460.3602661307668</v>
      </c>
      <c r="Q6" s="103">
        <f>P6-G6</f>
        <v>2293.6902661307668</v>
      </c>
      <c r="R6" s="116">
        <f>E42</f>
        <v>0.16154099999999999</v>
      </c>
      <c r="S6" s="103">
        <f>+C6</f>
        <v>2166.67</v>
      </c>
      <c r="T6">
        <v>1</v>
      </c>
      <c r="U6">
        <v>0</v>
      </c>
      <c r="W6" s="644"/>
    </row>
    <row r="7" spans="1:23" x14ac:dyDescent="0.25">
      <c r="A7" s="102">
        <v>45584</v>
      </c>
      <c r="B7">
        <v>30</v>
      </c>
      <c r="C7" s="103">
        <v>2166.67</v>
      </c>
      <c r="D7">
        <v>0</v>
      </c>
      <c r="E7" s="103">
        <f>C7-G7</f>
        <v>0</v>
      </c>
      <c r="G7" s="647">
        <v>2166.67</v>
      </c>
      <c r="H7">
        <v>0</v>
      </c>
      <c r="K7" s="103">
        <v>-50000</v>
      </c>
      <c r="L7" s="103">
        <v>-45666.66</v>
      </c>
      <c r="N7" s="649">
        <v>30</v>
      </c>
      <c r="O7" s="644">
        <f>-K6*M6/360*30</f>
        <v>637.19432373296672</v>
      </c>
      <c r="P7" s="644">
        <f>+Q6+O7</f>
        <v>2930.8845898637337</v>
      </c>
      <c r="Q7" s="103">
        <f>P7-G7</f>
        <v>764.21458986373364</v>
      </c>
      <c r="R7" s="103"/>
      <c r="S7" s="103">
        <f t="shared" ref="S7:S35" si="0">+C7</f>
        <v>2166.67</v>
      </c>
      <c r="T7">
        <v>2</v>
      </c>
      <c r="U7">
        <v>0</v>
      </c>
      <c r="W7" s="644"/>
    </row>
    <row r="8" spans="1:23" x14ac:dyDescent="0.25">
      <c r="A8" s="650">
        <v>45615</v>
      </c>
      <c r="B8">
        <v>30</v>
      </c>
      <c r="C8" s="103">
        <v>2166.67</v>
      </c>
      <c r="D8">
        <v>0</v>
      </c>
      <c r="E8" s="103">
        <f>C8-G8</f>
        <v>765.27</v>
      </c>
      <c r="G8" s="647">
        <v>1401.4</v>
      </c>
      <c r="H8">
        <v>0</v>
      </c>
      <c r="K8" s="651">
        <v>-49234.73</v>
      </c>
      <c r="L8" s="103">
        <v>-43499.99</v>
      </c>
      <c r="N8" s="649">
        <v>30</v>
      </c>
      <c r="O8" s="644">
        <f>-K7*M6/360*30</f>
        <v>637.19432373296672</v>
      </c>
      <c r="P8" s="644">
        <f>+Q7+O8</f>
        <v>1401.4089135967004</v>
      </c>
      <c r="Q8" s="652">
        <f>P8-G8</f>
        <v>8.9135967002675898E-3</v>
      </c>
      <c r="S8" s="103">
        <f t="shared" si="0"/>
        <v>2166.67</v>
      </c>
      <c r="T8">
        <v>3</v>
      </c>
      <c r="U8">
        <v>0</v>
      </c>
      <c r="W8" s="644"/>
    </row>
    <row r="9" spans="1:23" x14ac:dyDescent="0.25">
      <c r="A9" s="102">
        <v>45645</v>
      </c>
      <c r="B9">
        <v>30</v>
      </c>
      <c r="C9" s="103">
        <v>2166.67</v>
      </c>
      <c r="D9">
        <v>0</v>
      </c>
      <c r="E9" s="103">
        <f t="shared" ref="E9:E35" si="1">C9-G9</f>
        <v>1539.2281902694958</v>
      </c>
      <c r="G9" s="644">
        <f t="shared" ref="G9:G35" si="2">-K8*$M$6/360*B9</f>
        <v>627.44180973050425</v>
      </c>
      <c r="H9">
        <v>0</v>
      </c>
      <c r="I9" s="644"/>
      <c r="K9" s="103">
        <v>-47695.5</v>
      </c>
      <c r="L9" s="103">
        <v>-41333.32</v>
      </c>
      <c r="S9" s="103">
        <f t="shared" si="0"/>
        <v>2166.67</v>
      </c>
      <c r="T9">
        <v>4</v>
      </c>
      <c r="U9">
        <v>0</v>
      </c>
      <c r="W9" s="644"/>
    </row>
    <row r="10" spans="1:23" x14ac:dyDescent="0.25">
      <c r="A10" s="102">
        <v>45676</v>
      </c>
      <c r="B10">
        <v>30</v>
      </c>
      <c r="C10" s="103">
        <v>2166.67</v>
      </c>
      <c r="D10">
        <v>0</v>
      </c>
      <c r="E10" s="103">
        <f t="shared" si="1"/>
        <v>1558.8439626478857</v>
      </c>
      <c r="G10" s="644">
        <f t="shared" si="2"/>
        <v>607.82603735211421</v>
      </c>
      <c r="H10">
        <v>0</v>
      </c>
      <c r="I10" s="644"/>
      <c r="K10" s="103">
        <v>-46136.66</v>
      </c>
      <c r="L10" s="103">
        <v>-39166.65</v>
      </c>
      <c r="O10" s="119"/>
      <c r="S10" s="103">
        <f t="shared" si="0"/>
        <v>2166.67</v>
      </c>
      <c r="T10">
        <v>5</v>
      </c>
      <c r="U10">
        <v>0</v>
      </c>
      <c r="W10" s="644"/>
    </row>
    <row r="11" spans="1:23" x14ac:dyDescent="0.25">
      <c r="A11" s="102">
        <v>45707</v>
      </c>
      <c r="B11">
        <v>30</v>
      </c>
      <c r="C11" s="103">
        <v>2166.67</v>
      </c>
      <c r="D11">
        <v>0</v>
      </c>
      <c r="E11" s="103">
        <f t="shared" si="1"/>
        <v>1578.7096426400437</v>
      </c>
      <c r="G11" s="644">
        <f t="shared" si="2"/>
        <v>587.96035735995633</v>
      </c>
      <c r="H11">
        <v>0</v>
      </c>
      <c r="I11" s="644"/>
      <c r="K11" s="103">
        <v>-44557.95</v>
      </c>
      <c r="L11" s="103">
        <v>-36999.980000000003</v>
      </c>
      <c r="O11" s="119"/>
      <c r="S11" s="103">
        <f t="shared" si="0"/>
        <v>2166.67</v>
      </c>
      <c r="T11">
        <v>6</v>
      </c>
      <c r="U11">
        <v>0</v>
      </c>
      <c r="W11" s="644"/>
    </row>
    <row r="12" spans="1:23" x14ac:dyDescent="0.25">
      <c r="A12" s="102">
        <v>45735</v>
      </c>
      <c r="B12">
        <v>30</v>
      </c>
      <c r="C12" s="103">
        <v>2166.67</v>
      </c>
      <c r="D12">
        <v>0</v>
      </c>
      <c r="E12" s="103">
        <f t="shared" si="1"/>
        <v>1598.8285436564533</v>
      </c>
      <c r="G12" s="644">
        <f t="shared" si="2"/>
        <v>567.84145634354684</v>
      </c>
      <c r="H12">
        <v>0</v>
      </c>
      <c r="I12" s="644"/>
      <c r="K12" s="103">
        <v>-42959.12</v>
      </c>
      <c r="L12" s="103">
        <v>-34833.31</v>
      </c>
      <c r="S12" s="103">
        <f t="shared" si="0"/>
        <v>2166.67</v>
      </c>
      <c r="T12">
        <v>7</v>
      </c>
      <c r="U12" s="103">
        <f>+S6</f>
        <v>2166.67</v>
      </c>
      <c r="W12" s="644"/>
    </row>
    <row r="13" spans="1:23" x14ac:dyDescent="0.25">
      <c r="A13" s="102">
        <v>45766</v>
      </c>
      <c r="B13">
        <v>30</v>
      </c>
      <c r="C13" s="103">
        <v>2166.67</v>
      </c>
      <c r="D13">
        <v>0</v>
      </c>
      <c r="E13" s="103">
        <f t="shared" si="1"/>
        <v>1619.2038516687328</v>
      </c>
      <c r="G13" s="644">
        <f t="shared" si="2"/>
        <v>547.46614833126728</v>
      </c>
      <c r="H13">
        <v>0</v>
      </c>
      <c r="I13" s="644"/>
      <c r="K13" s="103">
        <v>-41339.919999999998</v>
      </c>
      <c r="L13" s="103">
        <v>-32666.639999999999</v>
      </c>
      <c r="S13" s="103">
        <f t="shared" si="0"/>
        <v>2166.67</v>
      </c>
      <c r="T13">
        <v>8</v>
      </c>
      <c r="U13" s="103">
        <f t="shared" ref="U13:U41" si="3">+S7</f>
        <v>2166.67</v>
      </c>
      <c r="W13" s="644"/>
    </row>
    <row r="14" spans="1:23" x14ac:dyDescent="0.25">
      <c r="A14" s="102">
        <v>45796</v>
      </c>
      <c r="B14">
        <v>30</v>
      </c>
      <c r="C14" s="103">
        <v>2166.67</v>
      </c>
      <c r="D14">
        <v>0</v>
      </c>
      <c r="E14" s="103">
        <f t="shared" si="1"/>
        <v>1639.8387526485012</v>
      </c>
      <c r="G14" s="644">
        <f t="shared" si="2"/>
        <v>526.83124735149886</v>
      </c>
      <c r="H14">
        <v>0</v>
      </c>
      <c r="I14" s="644"/>
      <c r="K14" s="103">
        <v>-39700.080000000002</v>
      </c>
      <c r="L14" s="103">
        <v>-30499.97</v>
      </c>
      <c r="S14" s="103">
        <f t="shared" si="0"/>
        <v>2166.67</v>
      </c>
      <c r="T14">
        <v>9</v>
      </c>
      <c r="U14" s="103">
        <f t="shared" si="3"/>
        <v>2166.67</v>
      </c>
      <c r="W14" s="644"/>
    </row>
    <row r="15" spans="1:23" x14ac:dyDescent="0.25">
      <c r="A15" s="102">
        <v>45827</v>
      </c>
      <c r="B15">
        <v>30</v>
      </c>
      <c r="C15" s="103">
        <v>2166.67</v>
      </c>
      <c r="D15">
        <v>0</v>
      </c>
      <c r="E15" s="103">
        <f t="shared" si="1"/>
        <v>1660.7366874451066</v>
      </c>
      <c r="G15" s="644">
        <f t="shared" si="2"/>
        <v>505.93331255489358</v>
      </c>
      <c r="H15">
        <v>0</v>
      </c>
      <c r="I15" s="644"/>
      <c r="K15" s="103">
        <v>-38039.339999999997</v>
      </c>
      <c r="L15" s="103">
        <v>-28333.3</v>
      </c>
      <c r="S15" s="103">
        <f t="shared" si="0"/>
        <v>2166.67</v>
      </c>
      <c r="T15">
        <v>10</v>
      </c>
      <c r="U15" s="103">
        <f t="shared" si="3"/>
        <v>2166.67</v>
      </c>
      <c r="W15" s="644"/>
    </row>
    <row r="16" spans="1:23" x14ac:dyDescent="0.25">
      <c r="A16" s="102">
        <v>45857</v>
      </c>
      <c r="B16">
        <v>30</v>
      </c>
      <c r="C16" s="103">
        <v>2166.67</v>
      </c>
      <c r="D16">
        <v>0</v>
      </c>
      <c r="E16" s="103">
        <f t="shared" si="1"/>
        <v>1681.9009694690324</v>
      </c>
      <c r="G16" s="644">
        <f t="shared" si="2"/>
        <v>484.76903053096765</v>
      </c>
      <c r="H16">
        <v>0</v>
      </c>
      <c r="I16" s="644"/>
      <c r="K16" s="103">
        <v>-36357.440000000002</v>
      </c>
      <c r="L16" s="103">
        <v>-26166.63</v>
      </c>
      <c r="S16" s="103">
        <f t="shared" si="0"/>
        <v>2166.67</v>
      </c>
      <c r="T16">
        <v>11</v>
      </c>
      <c r="U16" s="103">
        <f t="shared" si="3"/>
        <v>2166.67</v>
      </c>
      <c r="W16" s="644"/>
    </row>
    <row r="17" spans="1:23" x14ac:dyDescent="0.25">
      <c r="A17" s="102">
        <v>45888</v>
      </c>
      <c r="B17">
        <v>30</v>
      </c>
      <c r="C17" s="103">
        <v>2166.67</v>
      </c>
      <c r="D17">
        <v>0</v>
      </c>
      <c r="E17" s="103">
        <f t="shared" si="1"/>
        <v>1703.3349121307617</v>
      </c>
      <c r="G17" s="644">
        <f t="shared" si="2"/>
        <v>463.33508786923829</v>
      </c>
      <c r="H17">
        <v>0</v>
      </c>
      <c r="I17" s="644"/>
      <c r="K17" s="103">
        <v>-34654.11</v>
      </c>
      <c r="L17" s="103">
        <v>-23999.96</v>
      </c>
      <c r="S17" s="103">
        <f t="shared" si="0"/>
        <v>2166.67</v>
      </c>
      <c r="T17">
        <v>12</v>
      </c>
      <c r="U17" s="103">
        <f t="shared" si="3"/>
        <v>2166.67</v>
      </c>
      <c r="W17" s="644"/>
    </row>
    <row r="18" spans="1:23" x14ac:dyDescent="0.25">
      <c r="A18" s="102">
        <v>45919</v>
      </c>
      <c r="B18">
        <v>30</v>
      </c>
      <c r="C18" s="103">
        <v>2166.67</v>
      </c>
      <c r="D18">
        <v>0</v>
      </c>
      <c r="E18" s="103">
        <f t="shared" si="1"/>
        <v>1725.0419562796433</v>
      </c>
      <c r="G18" s="644">
        <f t="shared" si="2"/>
        <v>441.62804372035669</v>
      </c>
      <c r="H18">
        <v>0</v>
      </c>
      <c r="I18" s="644"/>
      <c r="J18">
        <v>0</v>
      </c>
      <c r="K18" s="103">
        <v>-32929.07</v>
      </c>
      <c r="L18" s="103">
        <v>-21833.29</v>
      </c>
      <c r="S18" s="103">
        <f t="shared" si="0"/>
        <v>2166.67</v>
      </c>
      <c r="T18">
        <v>13</v>
      </c>
      <c r="U18" s="103">
        <f t="shared" si="3"/>
        <v>2166.67</v>
      </c>
      <c r="W18" s="644"/>
    </row>
    <row r="19" spans="1:23" x14ac:dyDescent="0.25">
      <c r="A19" s="102">
        <v>45949</v>
      </c>
      <c r="B19">
        <v>30</v>
      </c>
      <c r="C19" s="103">
        <v>2166.67</v>
      </c>
      <c r="D19">
        <v>0</v>
      </c>
      <c r="E19" s="103">
        <f t="shared" si="1"/>
        <v>1747.0256702038896</v>
      </c>
      <c r="G19" s="644">
        <f t="shared" si="2"/>
        <v>419.64432979611036</v>
      </c>
      <c r="H19">
        <v>0</v>
      </c>
      <c r="I19" s="644"/>
      <c r="K19" s="103">
        <v>-31182.04</v>
      </c>
      <c r="L19" s="103">
        <v>-19666.62</v>
      </c>
      <c r="S19" s="103">
        <f t="shared" si="0"/>
        <v>2166.67</v>
      </c>
      <c r="T19">
        <v>14</v>
      </c>
      <c r="U19" s="103">
        <f t="shared" si="3"/>
        <v>2166.67</v>
      </c>
      <c r="W19" s="644"/>
    </row>
    <row r="20" spans="1:23" x14ac:dyDescent="0.25">
      <c r="A20" s="102">
        <v>45980</v>
      </c>
      <c r="B20">
        <v>30</v>
      </c>
      <c r="C20" s="103">
        <v>2166.67</v>
      </c>
      <c r="D20">
        <v>0</v>
      </c>
      <c r="E20" s="103">
        <f t="shared" si="1"/>
        <v>1769.2896221917138</v>
      </c>
      <c r="G20" s="644">
        <f t="shared" si="2"/>
        <v>397.38037780828631</v>
      </c>
      <c r="H20">
        <v>0</v>
      </c>
      <c r="I20" s="644"/>
      <c r="K20" s="103">
        <v>-29412.75</v>
      </c>
      <c r="L20" s="103">
        <v>-17499.95</v>
      </c>
      <c r="S20" s="103">
        <f t="shared" si="0"/>
        <v>2166.67</v>
      </c>
      <c r="T20">
        <v>15</v>
      </c>
      <c r="U20" s="103">
        <f t="shared" si="3"/>
        <v>2166.67</v>
      </c>
      <c r="W20" s="644"/>
    </row>
    <row r="21" spans="1:23" x14ac:dyDescent="0.25">
      <c r="A21" s="102">
        <v>46010</v>
      </c>
      <c r="B21">
        <v>30</v>
      </c>
      <c r="C21" s="103">
        <v>2166.67</v>
      </c>
      <c r="D21">
        <v>0</v>
      </c>
      <c r="E21" s="103">
        <f t="shared" si="1"/>
        <v>1791.8372530924637</v>
      </c>
      <c r="G21" s="644">
        <f t="shared" si="2"/>
        <v>374.83274690753632</v>
      </c>
      <c r="H21">
        <v>0</v>
      </c>
      <c r="I21" s="644"/>
      <c r="K21" s="103">
        <v>-27620.91</v>
      </c>
      <c r="L21" s="103">
        <v>-15333.28</v>
      </c>
      <c r="S21" s="103">
        <f t="shared" si="0"/>
        <v>2166.67</v>
      </c>
      <c r="T21">
        <v>16</v>
      </c>
      <c r="U21" s="103">
        <f t="shared" si="3"/>
        <v>2166.67</v>
      </c>
      <c r="W21" s="644"/>
    </row>
    <row r="22" spans="1:23" x14ac:dyDescent="0.25">
      <c r="A22" s="102">
        <v>46041</v>
      </c>
      <c r="B22">
        <v>30</v>
      </c>
      <c r="C22" s="103">
        <v>2166.67</v>
      </c>
      <c r="D22">
        <v>0</v>
      </c>
      <c r="E22" s="103">
        <f t="shared" si="1"/>
        <v>1814.6722586332173</v>
      </c>
      <c r="G22" s="644">
        <f t="shared" si="2"/>
        <v>351.99774136678275</v>
      </c>
      <c r="H22">
        <v>0</v>
      </c>
      <c r="I22" s="644"/>
      <c r="K22" s="103">
        <v>-25806.240000000002</v>
      </c>
      <c r="L22" s="103">
        <v>-13166.61</v>
      </c>
      <c r="S22" s="103">
        <f t="shared" si="0"/>
        <v>2166.67</v>
      </c>
      <c r="T22">
        <v>17</v>
      </c>
      <c r="U22" s="103">
        <f t="shared" si="3"/>
        <v>2166.67</v>
      </c>
      <c r="W22" s="644"/>
    </row>
    <row r="23" spans="1:23" x14ac:dyDescent="0.25">
      <c r="A23" s="102">
        <v>46072</v>
      </c>
      <c r="B23">
        <v>30</v>
      </c>
      <c r="C23" s="103">
        <v>2166.67</v>
      </c>
      <c r="D23">
        <v>0</v>
      </c>
      <c r="E23" s="103">
        <f t="shared" si="1"/>
        <v>1837.7982071021875</v>
      </c>
      <c r="G23" s="644">
        <f t="shared" si="2"/>
        <v>328.87179289781267</v>
      </c>
      <c r="H23">
        <v>0</v>
      </c>
      <c r="I23" s="644"/>
      <c r="J23">
        <v>0</v>
      </c>
      <c r="K23" s="103">
        <v>-23968.44</v>
      </c>
      <c r="L23" s="103">
        <v>-10999.94</v>
      </c>
      <c r="S23" s="103">
        <f t="shared" si="0"/>
        <v>2166.67</v>
      </c>
      <c r="T23">
        <v>18</v>
      </c>
      <c r="U23" s="103">
        <f t="shared" si="3"/>
        <v>2166.67</v>
      </c>
      <c r="W23" s="644"/>
    </row>
    <row r="24" spans="1:23" x14ac:dyDescent="0.25">
      <c r="A24" s="102">
        <v>46100</v>
      </c>
      <c r="B24">
        <v>30</v>
      </c>
      <c r="C24" s="103">
        <v>2166.67</v>
      </c>
      <c r="D24">
        <v>0</v>
      </c>
      <c r="E24" s="103">
        <f t="shared" si="1"/>
        <v>1861.2189216653164</v>
      </c>
      <c r="G24" s="644">
        <f t="shared" si="2"/>
        <v>305.45107833468376</v>
      </c>
      <c r="H24">
        <v>0</v>
      </c>
      <c r="I24" s="644"/>
      <c r="K24" s="103">
        <v>-22107.22</v>
      </c>
      <c r="L24" s="103">
        <v>-8833.27</v>
      </c>
      <c r="S24" s="103">
        <f t="shared" si="0"/>
        <v>2166.67</v>
      </c>
      <c r="T24">
        <v>19</v>
      </c>
      <c r="U24" s="103">
        <f t="shared" si="3"/>
        <v>2166.67</v>
      </c>
      <c r="W24" s="644"/>
    </row>
    <row r="25" spans="1:23" x14ac:dyDescent="0.25">
      <c r="A25" s="102">
        <v>46131</v>
      </c>
      <c r="B25">
        <v>30</v>
      </c>
      <c r="C25" s="103">
        <v>2166.67</v>
      </c>
      <c r="D25">
        <v>0</v>
      </c>
      <c r="E25" s="103">
        <f t="shared" si="1"/>
        <v>1884.9380980496817</v>
      </c>
      <c r="G25" s="644">
        <f t="shared" si="2"/>
        <v>281.73190195031833</v>
      </c>
      <c r="H25">
        <v>0</v>
      </c>
      <c r="I25" s="644"/>
      <c r="K25" s="103">
        <v>-20222.28</v>
      </c>
      <c r="L25" s="103">
        <v>-6666.6</v>
      </c>
      <c r="S25" s="103">
        <f t="shared" si="0"/>
        <v>2166.67</v>
      </c>
      <c r="T25">
        <v>20</v>
      </c>
      <c r="U25" s="103">
        <f t="shared" si="3"/>
        <v>2166.67</v>
      </c>
      <c r="W25" s="644"/>
    </row>
    <row r="26" spans="1:23" x14ac:dyDescent="0.25">
      <c r="A26" s="102">
        <v>46161</v>
      </c>
      <c r="B26">
        <v>30</v>
      </c>
      <c r="C26" s="103">
        <v>2166.67</v>
      </c>
      <c r="D26">
        <v>0</v>
      </c>
      <c r="E26" s="103">
        <f t="shared" si="1"/>
        <v>1908.9595594212262</v>
      </c>
      <c r="G26" s="644">
        <f t="shared" si="2"/>
        <v>257.7104405787739</v>
      </c>
      <c r="H26">
        <v>0</v>
      </c>
      <c r="I26" s="644"/>
      <c r="K26" s="103">
        <v>-18313.32</v>
      </c>
      <c r="L26" s="103">
        <v>-4499.93</v>
      </c>
      <c r="S26" s="103">
        <f t="shared" si="0"/>
        <v>2166.67</v>
      </c>
      <c r="T26">
        <v>21</v>
      </c>
      <c r="U26" s="103">
        <f t="shared" si="3"/>
        <v>2166.67</v>
      </c>
      <c r="W26" s="644"/>
    </row>
    <row r="27" spans="1:23" x14ac:dyDescent="0.25">
      <c r="A27" s="102">
        <v>46192</v>
      </c>
      <c r="B27">
        <v>30</v>
      </c>
      <c r="C27" s="103">
        <v>2166.67</v>
      </c>
      <c r="D27">
        <v>0</v>
      </c>
      <c r="E27" s="103">
        <f t="shared" si="1"/>
        <v>1933.2871289458917</v>
      </c>
      <c r="G27" s="644">
        <f t="shared" si="2"/>
        <v>233.38287105410825</v>
      </c>
      <c r="H27">
        <v>0</v>
      </c>
      <c r="I27" s="644"/>
      <c r="K27" s="103">
        <v>-16380.03</v>
      </c>
      <c r="L27" s="103">
        <v>-2333.2600000000002</v>
      </c>
      <c r="S27" s="103">
        <f t="shared" si="0"/>
        <v>2166.67</v>
      </c>
      <c r="T27">
        <v>22</v>
      </c>
      <c r="U27" s="103">
        <f t="shared" si="3"/>
        <v>2166.67</v>
      </c>
      <c r="W27" s="644"/>
    </row>
    <row r="28" spans="1:23" x14ac:dyDescent="0.25">
      <c r="A28" s="102">
        <v>46222</v>
      </c>
      <c r="B28">
        <v>30</v>
      </c>
      <c r="C28" s="103">
        <v>2166.67</v>
      </c>
      <c r="D28">
        <v>0</v>
      </c>
      <c r="E28" s="103">
        <f t="shared" si="1"/>
        <v>1957.924757228486</v>
      </c>
      <c r="G28" s="644">
        <f t="shared" si="2"/>
        <v>208.74524277151414</v>
      </c>
      <c r="H28">
        <v>0</v>
      </c>
      <c r="I28" s="644"/>
      <c r="K28" s="103">
        <v>-14422.11</v>
      </c>
      <c r="L28">
        <v>-166.59</v>
      </c>
      <c r="S28" s="103">
        <f t="shared" si="0"/>
        <v>2166.67</v>
      </c>
      <c r="T28">
        <v>23</v>
      </c>
      <c r="U28" s="103">
        <f t="shared" si="3"/>
        <v>2166.67</v>
      </c>
      <c r="W28" s="644"/>
    </row>
    <row r="29" spans="1:23" x14ac:dyDescent="0.25">
      <c r="A29" s="102">
        <v>46253</v>
      </c>
      <c r="B29">
        <v>30</v>
      </c>
      <c r="C29" s="103">
        <v>2166.67</v>
      </c>
      <c r="D29">
        <v>0</v>
      </c>
      <c r="E29" s="103">
        <f t="shared" si="1"/>
        <v>1982.8762674349509</v>
      </c>
      <c r="G29" s="644">
        <f t="shared" si="2"/>
        <v>183.79373256504914</v>
      </c>
      <c r="H29">
        <v>0</v>
      </c>
      <c r="I29" s="644"/>
      <c r="K29" s="103">
        <v>-12439.23</v>
      </c>
      <c r="L29" s="103">
        <v>2000.08</v>
      </c>
      <c r="S29" s="103">
        <f t="shared" si="0"/>
        <v>2166.67</v>
      </c>
      <c r="T29">
        <v>24</v>
      </c>
      <c r="U29" s="103">
        <f t="shared" si="3"/>
        <v>2166.67</v>
      </c>
      <c r="W29" s="644"/>
    </row>
    <row r="30" spans="1:23" x14ac:dyDescent="0.25">
      <c r="A30" s="102">
        <v>46284</v>
      </c>
      <c r="B30">
        <v>30</v>
      </c>
      <c r="C30" s="103">
        <v>2166.67</v>
      </c>
      <c r="D30">
        <v>0</v>
      </c>
      <c r="E30" s="103">
        <f t="shared" si="1"/>
        <v>2008.1458650478235</v>
      </c>
      <c r="G30" s="644">
        <f t="shared" si="2"/>
        <v>158.52413495217661</v>
      </c>
      <c r="H30">
        <v>0</v>
      </c>
      <c r="I30" s="644"/>
      <c r="K30" s="103">
        <v>-10431.08</v>
      </c>
      <c r="L30" s="103">
        <v>4166.75</v>
      </c>
      <c r="S30" s="103">
        <f t="shared" si="0"/>
        <v>2166.67</v>
      </c>
      <c r="T30">
        <v>25</v>
      </c>
      <c r="U30" s="103">
        <f t="shared" si="3"/>
        <v>2166.67</v>
      </c>
      <c r="W30" s="644"/>
    </row>
    <row r="31" spans="1:23" x14ac:dyDescent="0.25">
      <c r="A31" s="102">
        <v>46314</v>
      </c>
      <c r="B31">
        <v>30</v>
      </c>
      <c r="C31" s="103">
        <v>2166.67</v>
      </c>
      <c r="D31">
        <v>0</v>
      </c>
      <c r="E31" s="103">
        <f t="shared" si="1"/>
        <v>2033.7375006719105</v>
      </c>
      <c r="G31" s="644">
        <f t="shared" si="2"/>
        <v>132.93249932808948</v>
      </c>
      <c r="H31">
        <v>0</v>
      </c>
      <c r="I31" s="644"/>
      <c r="K31" s="103">
        <v>-8397.34</v>
      </c>
      <c r="L31" s="103">
        <v>6333.42</v>
      </c>
      <c r="S31" s="103">
        <f t="shared" si="0"/>
        <v>2166.67</v>
      </c>
      <c r="T31">
        <v>26</v>
      </c>
      <c r="U31" s="103">
        <f t="shared" si="3"/>
        <v>2166.67</v>
      </c>
      <c r="W31" s="644"/>
    </row>
    <row r="32" spans="1:23" x14ac:dyDescent="0.25">
      <c r="A32" s="102">
        <v>46345</v>
      </c>
      <c r="B32">
        <v>30</v>
      </c>
      <c r="C32" s="103">
        <v>2166.67</v>
      </c>
      <c r="D32">
        <v>0</v>
      </c>
      <c r="E32" s="103">
        <f t="shared" si="1"/>
        <v>2059.6552523508844</v>
      </c>
      <c r="G32" s="644">
        <f t="shared" si="2"/>
        <v>107.0147476491158</v>
      </c>
      <c r="H32">
        <v>0</v>
      </c>
      <c r="I32" s="644"/>
      <c r="K32" s="103">
        <v>-6337.68</v>
      </c>
      <c r="L32" s="103">
        <v>8500.09</v>
      </c>
      <c r="S32" s="103">
        <f t="shared" si="0"/>
        <v>2166.67</v>
      </c>
      <c r="T32">
        <v>27</v>
      </c>
      <c r="U32" s="103">
        <f t="shared" si="3"/>
        <v>2166.67</v>
      </c>
      <c r="W32" s="644"/>
    </row>
    <row r="33" spans="1:23" x14ac:dyDescent="0.25">
      <c r="A33" s="102">
        <v>46375</v>
      </c>
      <c r="B33">
        <v>30</v>
      </c>
      <c r="C33" s="103">
        <v>2166.67</v>
      </c>
      <c r="D33">
        <v>0</v>
      </c>
      <c r="E33" s="103">
        <f t="shared" si="1"/>
        <v>2085.9033255672812</v>
      </c>
      <c r="G33" s="644">
        <f t="shared" si="2"/>
        <v>80.766674432718972</v>
      </c>
      <c r="H33">
        <v>0</v>
      </c>
      <c r="I33" s="644"/>
      <c r="K33" s="103">
        <v>-4251.78</v>
      </c>
      <c r="L33" s="103">
        <v>10666.76</v>
      </c>
      <c r="S33" s="103">
        <f t="shared" si="0"/>
        <v>2166.67</v>
      </c>
      <c r="T33">
        <v>28</v>
      </c>
      <c r="U33" s="103">
        <f t="shared" si="3"/>
        <v>2166.67</v>
      </c>
      <c r="W33" s="644"/>
    </row>
    <row r="34" spans="1:23" x14ac:dyDescent="0.25">
      <c r="A34" s="102">
        <v>46406</v>
      </c>
      <c r="B34">
        <v>30</v>
      </c>
      <c r="C34" s="103">
        <v>2166.67</v>
      </c>
      <c r="D34">
        <v>0</v>
      </c>
      <c r="E34" s="103">
        <f t="shared" si="1"/>
        <v>2112.485798364773</v>
      </c>
      <c r="G34" s="644">
        <f t="shared" si="2"/>
        <v>54.184201635227055</v>
      </c>
      <c r="H34">
        <v>0</v>
      </c>
      <c r="I34" s="644"/>
      <c r="K34" s="103">
        <v>-2139.29</v>
      </c>
      <c r="L34" s="103">
        <v>12833.43</v>
      </c>
      <c r="S34" s="103">
        <f t="shared" si="0"/>
        <v>2166.67</v>
      </c>
      <c r="T34">
        <v>29</v>
      </c>
      <c r="U34" s="103">
        <f t="shared" si="3"/>
        <v>2166.67</v>
      </c>
      <c r="W34" s="644"/>
    </row>
    <row r="35" spans="1:23" x14ac:dyDescent="0.25">
      <c r="A35" s="102">
        <v>46437</v>
      </c>
      <c r="B35">
        <v>30</v>
      </c>
      <c r="C35" s="103">
        <v>2166.5700000000002</v>
      </c>
      <c r="D35">
        <v>0</v>
      </c>
      <c r="E35" s="103">
        <f t="shared" si="1"/>
        <v>2139.307131103626</v>
      </c>
      <c r="G35" s="644">
        <f t="shared" si="2"/>
        <v>27.262868896373963</v>
      </c>
      <c r="H35">
        <v>0</v>
      </c>
      <c r="I35" s="644"/>
      <c r="K35">
        <v>0</v>
      </c>
      <c r="L35" s="103">
        <v>15000</v>
      </c>
      <c r="S35" s="103">
        <f t="shared" si="0"/>
        <v>2166.5700000000002</v>
      </c>
      <c r="T35">
        <v>30</v>
      </c>
      <c r="U35" s="103">
        <f t="shared" si="3"/>
        <v>2166.67</v>
      </c>
      <c r="W35" s="644"/>
    </row>
    <row r="36" spans="1:23" x14ac:dyDescent="0.25">
      <c r="C36" s="204">
        <f>SUM(C6:C35)</f>
        <v>64999.999999999964</v>
      </c>
      <c r="E36" s="204">
        <f>SUM(E6:E35)</f>
        <v>50000.000085930988</v>
      </c>
      <c r="G36" s="204">
        <f>SUM(G6:G35)</f>
        <v>14999.999914069022</v>
      </c>
      <c r="T36">
        <v>31</v>
      </c>
      <c r="U36" s="103">
        <f t="shared" si="3"/>
        <v>2166.67</v>
      </c>
      <c r="W36" s="644"/>
    </row>
    <row r="37" spans="1:23" x14ac:dyDescent="0.25">
      <c r="T37">
        <v>32</v>
      </c>
      <c r="U37" s="103">
        <f t="shared" si="3"/>
        <v>2166.67</v>
      </c>
      <c r="W37" s="644"/>
    </row>
    <row r="38" spans="1:23" x14ac:dyDescent="0.25">
      <c r="T38">
        <v>33</v>
      </c>
      <c r="U38" s="103">
        <f t="shared" si="3"/>
        <v>2166.67</v>
      </c>
      <c r="W38" s="644"/>
    </row>
    <row r="39" spans="1:23" x14ac:dyDescent="0.25">
      <c r="D39" s="653" t="s">
        <v>1200</v>
      </c>
      <c r="E39" s="653" t="s">
        <v>1766</v>
      </c>
      <c r="T39">
        <v>34</v>
      </c>
      <c r="U39" s="103">
        <f t="shared" si="3"/>
        <v>2166.67</v>
      </c>
      <c r="W39" s="644"/>
    </row>
    <row r="40" spans="1:23" x14ac:dyDescent="0.25">
      <c r="C40" t="s">
        <v>237</v>
      </c>
      <c r="D40">
        <v>15000</v>
      </c>
      <c r="E40">
        <v>15000</v>
      </c>
      <c r="T40">
        <v>35</v>
      </c>
      <c r="U40" s="103">
        <f t="shared" si="3"/>
        <v>2166.67</v>
      </c>
      <c r="W40" s="644"/>
    </row>
    <row r="41" spans="1:23" x14ac:dyDescent="0.25">
      <c r="C41" t="s">
        <v>1767</v>
      </c>
      <c r="D41">
        <v>2166.67</v>
      </c>
      <c r="E41">
        <v>2166.67</v>
      </c>
      <c r="T41">
        <v>36</v>
      </c>
      <c r="U41" s="103">
        <f t="shared" si="3"/>
        <v>2166.5700000000002</v>
      </c>
      <c r="W41" s="644"/>
    </row>
    <row r="42" spans="1:23" x14ac:dyDescent="0.25">
      <c r="C42" t="s">
        <v>412</v>
      </c>
      <c r="D42" s="116">
        <v>0.24690000000000001</v>
      </c>
      <c r="E42" s="116">
        <v>0.16154099999999999</v>
      </c>
      <c r="U42" s="103"/>
    </row>
    <row r="43" spans="1:23" x14ac:dyDescent="0.25">
      <c r="C43" t="s">
        <v>422</v>
      </c>
      <c r="D43" s="116">
        <v>0.21410000000000001</v>
      </c>
      <c r="E43" s="116">
        <v>0.15290000000000001</v>
      </c>
    </row>
    <row r="49" spans="1:12" x14ac:dyDescent="0.25">
      <c r="A49" s="102"/>
      <c r="E49" s="103"/>
      <c r="J49" s="103"/>
      <c r="K49" s="103"/>
      <c r="L49" s="103"/>
    </row>
    <row r="50" spans="1:12" x14ac:dyDescent="0.25">
      <c r="A50" s="102"/>
      <c r="C50" s="103"/>
      <c r="E50" s="103"/>
      <c r="G50" s="647"/>
      <c r="I50" s="537"/>
      <c r="K50" s="103"/>
      <c r="L50" s="103"/>
    </row>
    <row r="51" spans="1:12" x14ac:dyDescent="0.25">
      <c r="A51" s="102"/>
      <c r="C51" s="103"/>
      <c r="E51" s="103"/>
      <c r="G51" s="647"/>
      <c r="K51" s="103"/>
      <c r="L51" s="103"/>
    </row>
    <row r="52" spans="1:12" x14ac:dyDescent="0.25">
      <c r="A52" s="102"/>
      <c r="C52" s="103"/>
      <c r="E52" s="103"/>
      <c r="G52" s="647"/>
      <c r="K52" s="651"/>
      <c r="L52" s="103"/>
    </row>
    <row r="53" spans="1:12" x14ac:dyDescent="0.25">
      <c r="A53" s="102"/>
      <c r="C53" s="103"/>
      <c r="E53" s="103"/>
      <c r="G53" s="644"/>
      <c r="I53" s="644"/>
      <c r="K53" s="103"/>
      <c r="L53" s="103"/>
    </row>
    <row r="54" spans="1:12" x14ac:dyDescent="0.25">
      <c r="A54" s="102"/>
      <c r="C54" s="103"/>
      <c r="E54" s="103"/>
      <c r="G54" s="644"/>
      <c r="I54" s="644"/>
      <c r="K54" s="103"/>
      <c r="L54" s="103"/>
    </row>
    <row r="55" spans="1:12" x14ac:dyDescent="0.25">
      <c r="A55" s="102"/>
      <c r="C55" s="103"/>
      <c r="E55" s="103"/>
      <c r="G55" s="644"/>
      <c r="I55" s="644"/>
      <c r="K55" s="103"/>
      <c r="L55" s="103"/>
    </row>
    <row r="56" spans="1:12" x14ac:dyDescent="0.25">
      <c r="A56" s="102"/>
      <c r="C56" s="103"/>
      <c r="E56" s="103"/>
      <c r="G56" s="644"/>
      <c r="I56" s="644"/>
      <c r="K56" s="103"/>
      <c r="L56" s="103"/>
    </row>
    <row r="57" spans="1:12" x14ac:dyDescent="0.25">
      <c r="A57" s="102"/>
      <c r="C57" s="103"/>
      <c r="E57" s="103"/>
      <c r="G57" s="644"/>
      <c r="I57" s="644"/>
      <c r="K57" s="103"/>
      <c r="L57" s="103"/>
    </row>
    <row r="58" spans="1:12" x14ac:dyDescent="0.25">
      <c r="A58" s="102"/>
      <c r="C58" s="103"/>
      <c r="E58" s="103"/>
      <c r="G58" s="644"/>
      <c r="I58" s="644"/>
      <c r="K58" s="103"/>
      <c r="L58" s="103"/>
    </row>
    <row r="59" spans="1:12" x14ac:dyDescent="0.25">
      <c r="A59" s="102"/>
      <c r="C59" s="103"/>
      <c r="E59" s="103"/>
      <c r="G59" s="644"/>
      <c r="I59" s="644"/>
      <c r="K59" s="103"/>
      <c r="L59" s="103"/>
    </row>
    <row r="60" spans="1:12" x14ac:dyDescent="0.25">
      <c r="A60" s="102"/>
      <c r="C60" s="103"/>
      <c r="E60" s="103"/>
      <c r="G60" s="644"/>
      <c r="I60" s="644"/>
      <c r="K60" s="103"/>
      <c r="L60" s="103"/>
    </row>
    <row r="61" spans="1:12" x14ac:dyDescent="0.25">
      <c r="A61" s="102"/>
      <c r="C61" s="103"/>
      <c r="E61" s="103"/>
      <c r="G61" s="644"/>
      <c r="I61" s="644"/>
      <c r="K61" s="103"/>
      <c r="L61" s="103"/>
    </row>
    <row r="62" spans="1:12" x14ac:dyDescent="0.25">
      <c r="A62" s="102"/>
      <c r="C62" s="103"/>
      <c r="E62" s="103"/>
      <c r="G62" s="644"/>
      <c r="I62" s="644"/>
      <c r="K62" s="103"/>
      <c r="L62" s="103"/>
    </row>
    <row r="63" spans="1:12" x14ac:dyDescent="0.25">
      <c r="A63" s="102"/>
      <c r="C63" s="103"/>
      <c r="E63" s="103"/>
      <c r="G63" s="644"/>
      <c r="I63" s="644"/>
      <c r="K63" s="103"/>
      <c r="L63" s="103"/>
    </row>
    <row r="64" spans="1:12" x14ac:dyDescent="0.25">
      <c r="A64" s="102"/>
      <c r="C64" s="103"/>
      <c r="E64" s="103"/>
      <c r="G64" s="644"/>
      <c r="I64" s="644"/>
      <c r="K64" s="103"/>
      <c r="L64" s="103"/>
    </row>
    <row r="65" spans="1:12" x14ac:dyDescent="0.25">
      <c r="A65" s="102"/>
      <c r="C65" s="103"/>
      <c r="E65" s="103"/>
      <c r="G65" s="644"/>
      <c r="I65" s="644"/>
      <c r="K65" s="103"/>
      <c r="L65" s="103"/>
    </row>
    <row r="66" spans="1:12" x14ac:dyDescent="0.25">
      <c r="A66" s="102"/>
      <c r="C66" s="103"/>
      <c r="E66" s="103"/>
      <c r="G66" s="644"/>
      <c r="I66" s="644"/>
      <c r="K66" s="103"/>
      <c r="L66" s="103"/>
    </row>
    <row r="67" spans="1:12" x14ac:dyDescent="0.25">
      <c r="A67" s="102"/>
      <c r="C67" s="103"/>
      <c r="E67" s="103"/>
      <c r="G67" s="644"/>
      <c r="I67" s="644"/>
      <c r="K67" s="103"/>
      <c r="L67" s="103"/>
    </row>
    <row r="68" spans="1:12" x14ac:dyDescent="0.25">
      <c r="A68" s="102"/>
      <c r="C68" s="103"/>
      <c r="E68" s="103"/>
      <c r="G68" s="644"/>
      <c r="I68" s="644"/>
      <c r="K68" s="103"/>
      <c r="L68" s="103"/>
    </row>
    <row r="69" spans="1:12" x14ac:dyDescent="0.25">
      <c r="A69" s="102"/>
      <c r="C69" s="103"/>
      <c r="E69" s="103"/>
      <c r="G69" s="644"/>
      <c r="I69" s="644"/>
      <c r="K69" s="103"/>
      <c r="L69" s="103"/>
    </row>
    <row r="70" spans="1:12" x14ac:dyDescent="0.25">
      <c r="A70" s="102"/>
      <c r="C70" s="103"/>
      <c r="E70" s="103"/>
      <c r="G70" s="644"/>
      <c r="I70" s="644"/>
      <c r="K70" s="103"/>
      <c r="L70" s="103"/>
    </row>
    <row r="71" spans="1:12" x14ac:dyDescent="0.25">
      <c r="A71" s="102"/>
      <c r="C71" s="103"/>
      <c r="E71" s="103"/>
      <c r="G71" s="644"/>
      <c r="I71" s="644"/>
      <c r="K71" s="103"/>
      <c r="L71" s="103"/>
    </row>
    <row r="72" spans="1:12" x14ac:dyDescent="0.25">
      <c r="A72" s="102"/>
      <c r="C72" s="103"/>
      <c r="E72" s="103"/>
      <c r="G72" s="644"/>
      <c r="I72" s="644"/>
      <c r="K72" s="103"/>
    </row>
    <row r="73" spans="1:12" x14ac:dyDescent="0.25">
      <c r="A73" s="102"/>
      <c r="C73" s="103"/>
      <c r="E73" s="103"/>
      <c r="G73" s="644"/>
      <c r="I73" s="644"/>
      <c r="K73" s="103"/>
      <c r="L73" s="103"/>
    </row>
    <row r="74" spans="1:12" x14ac:dyDescent="0.25">
      <c r="A74" s="102"/>
      <c r="C74" s="103"/>
      <c r="E74" s="103"/>
      <c r="G74" s="644"/>
      <c r="I74" s="644"/>
      <c r="K74" s="103"/>
      <c r="L74" s="103"/>
    </row>
    <row r="75" spans="1:12" x14ac:dyDescent="0.25">
      <c r="A75" s="102"/>
      <c r="C75" s="103"/>
      <c r="E75" s="103"/>
      <c r="G75" s="644"/>
      <c r="I75" s="644"/>
      <c r="K75" s="103"/>
      <c r="L75" s="103"/>
    </row>
    <row r="76" spans="1:12" x14ac:dyDescent="0.25">
      <c r="A76" s="102"/>
      <c r="C76" s="103"/>
      <c r="E76" s="103"/>
      <c r="G76" s="644"/>
      <c r="I76" s="644"/>
      <c r="K76" s="103"/>
      <c r="L76" s="103"/>
    </row>
    <row r="77" spans="1:12" x14ac:dyDescent="0.25">
      <c r="A77" s="102"/>
      <c r="C77" s="103"/>
      <c r="E77" s="103"/>
      <c r="G77" s="644"/>
      <c r="I77" s="644"/>
      <c r="K77" s="103"/>
      <c r="L77" s="103"/>
    </row>
    <row r="78" spans="1:12" x14ac:dyDescent="0.25">
      <c r="A78" s="102"/>
      <c r="C78" s="103"/>
      <c r="E78" s="103"/>
      <c r="G78" s="644"/>
      <c r="I78" s="644"/>
      <c r="K78" s="103"/>
      <c r="L78" s="103"/>
    </row>
    <row r="79" spans="1:12" x14ac:dyDescent="0.25">
      <c r="A79" s="102"/>
      <c r="C79" s="103"/>
      <c r="E79" s="103"/>
      <c r="G79" s="644"/>
      <c r="I79" s="644"/>
      <c r="L79" s="103"/>
    </row>
    <row r="80" spans="1:12" x14ac:dyDescent="0.25">
      <c r="A80" s="102"/>
    </row>
    <row r="81" spans="1:1" x14ac:dyDescent="0.25">
      <c r="A81" s="102"/>
    </row>
    <row r="82" spans="1:1" x14ac:dyDescent="0.25">
      <c r="A82" s="102"/>
    </row>
    <row r="83" spans="1:1" x14ac:dyDescent="0.25">
      <c r="A83" s="102"/>
    </row>
    <row r="84" spans="1:1" x14ac:dyDescent="0.25">
      <c r="A84" s="102"/>
    </row>
    <row r="85" spans="1:1" x14ac:dyDescent="0.25">
      <c r="A85" s="102"/>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0E53F-A134-4234-BE14-EC2806A69FC5}">
  <dimension ref="A1"/>
  <sheetViews>
    <sheetView workbookViewId="0">
      <selection activeCell="B2" sqref="B2"/>
    </sheetView>
  </sheetViews>
  <sheetFormatPr defaultRowHeight="15" x14ac:dyDescent="0.25"/>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58926-BC51-44E1-93C7-5F9975CE3550}">
  <dimension ref="A1"/>
  <sheetViews>
    <sheetView workbookViewId="0">
      <selection activeCell="S3" sqref="S3"/>
    </sheetView>
  </sheetViews>
  <sheetFormatPr defaultRowHeight="15" x14ac:dyDescent="0.25"/>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244D0-F64B-4D66-8728-634BF033B987}">
  <sheetPr>
    <tabColor rgb="FFFFFF00"/>
    <pageSetUpPr autoPageBreaks="0"/>
  </sheetPr>
  <dimension ref="A1:D112"/>
  <sheetViews>
    <sheetView zoomScale="105" zoomScaleNormal="70" workbookViewId="0">
      <selection activeCell="D2" sqref="D2"/>
    </sheetView>
  </sheetViews>
  <sheetFormatPr defaultRowHeight="15" x14ac:dyDescent="0.25"/>
  <cols>
    <col min="1" max="1" width="44" bestFit="1" customWidth="1"/>
    <col min="2" max="2" width="101.85546875" bestFit="1" customWidth="1"/>
    <col min="3" max="3" width="50" bestFit="1" customWidth="1"/>
    <col min="4" max="4" width="36.7109375" bestFit="1" customWidth="1"/>
    <col min="6" max="6" width="61.28515625" bestFit="1" customWidth="1"/>
    <col min="9" max="9" width="76" bestFit="1" customWidth="1"/>
  </cols>
  <sheetData>
    <row r="1" spans="1:3" ht="19.5" thickBot="1" x14ac:dyDescent="0.35">
      <c r="A1" s="755" t="s">
        <v>1553</v>
      </c>
      <c r="B1" s="756"/>
      <c r="C1" s="756"/>
    </row>
    <row r="2" spans="1:3" x14ac:dyDescent="0.25">
      <c r="A2" s="752" t="s">
        <v>1547</v>
      </c>
      <c r="B2" s="334" t="s">
        <v>1546</v>
      </c>
      <c r="C2" s="327"/>
    </row>
    <row r="3" spans="1:3" ht="41.45" customHeight="1" x14ac:dyDescent="0.25">
      <c r="A3" s="753"/>
      <c r="B3" s="324" t="s">
        <v>1549</v>
      </c>
      <c r="C3" s="328"/>
    </row>
    <row r="4" spans="1:3" ht="13.9" customHeight="1" x14ac:dyDescent="0.25">
      <c r="A4" s="753"/>
      <c r="B4" s="127"/>
      <c r="C4" s="329"/>
    </row>
    <row r="5" spans="1:3" ht="30" x14ac:dyDescent="0.25">
      <c r="A5" s="753"/>
      <c r="B5" s="324" t="s">
        <v>1548</v>
      </c>
      <c r="C5" s="328"/>
    </row>
    <row r="6" spans="1:3" x14ac:dyDescent="0.25">
      <c r="A6" s="753"/>
      <c r="B6" s="325" t="s">
        <v>1550</v>
      </c>
      <c r="C6" s="330"/>
    </row>
    <row r="7" spans="1:3" x14ac:dyDescent="0.25">
      <c r="A7" s="753"/>
      <c r="B7" s="325" t="s">
        <v>1551</v>
      </c>
      <c r="C7" s="330"/>
    </row>
    <row r="8" spans="1:3" ht="90.75" thickBot="1" x14ac:dyDescent="0.3">
      <c r="A8" s="754"/>
      <c r="B8" s="342" t="s">
        <v>1552</v>
      </c>
      <c r="C8" s="331"/>
    </row>
    <row r="9" spans="1:3" x14ac:dyDescent="0.25">
      <c r="A9" s="757" t="s">
        <v>1537</v>
      </c>
      <c r="B9" s="338" t="s">
        <v>1558</v>
      </c>
      <c r="C9" s="339"/>
    </row>
    <row r="10" spans="1:3" ht="30" x14ac:dyDescent="0.25">
      <c r="A10" s="758"/>
      <c r="B10" s="324" t="s">
        <v>1559</v>
      </c>
      <c r="C10" s="329"/>
    </row>
    <row r="11" spans="1:3" x14ac:dyDescent="0.25">
      <c r="A11" s="758"/>
      <c r="B11" s="325" t="s">
        <v>1560</v>
      </c>
      <c r="C11" s="329"/>
    </row>
    <row r="12" spans="1:3" x14ac:dyDescent="0.25">
      <c r="A12" s="758"/>
      <c r="B12" s="325" t="s">
        <v>1561</v>
      </c>
      <c r="C12" s="329"/>
    </row>
    <row r="13" spans="1:3" ht="15.75" x14ac:dyDescent="0.25">
      <c r="A13" s="348" t="s">
        <v>1563</v>
      </c>
      <c r="B13" s="346"/>
      <c r="C13" s="347"/>
    </row>
    <row r="14" spans="1:3" ht="15.75" x14ac:dyDescent="0.25">
      <c r="A14" s="348" t="s">
        <v>748</v>
      </c>
      <c r="B14" s="333" t="s">
        <v>1570</v>
      </c>
      <c r="C14" s="332" t="s">
        <v>1574</v>
      </c>
    </row>
    <row r="15" spans="1:3" x14ac:dyDescent="0.25">
      <c r="A15" s="340" t="s">
        <v>1567</v>
      </c>
      <c r="B15" s="335" t="s">
        <v>1573</v>
      </c>
      <c r="C15" s="759" t="s">
        <v>1575</v>
      </c>
    </row>
    <row r="16" spans="1:3" x14ac:dyDescent="0.25">
      <c r="A16" s="341" t="s">
        <v>1566</v>
      </c>
      <c r="B16" s="336" t="s">
        <v>1568</v>
      </c>
      <c r="C16" s="759"/>
    </row>
    <row r="17" spans="1:4" x14ac:dyDescent="0.25">
      <c r="A17" s="340" t="s">
        <v>1565</v>
      </c>
      <c r="B17" s="335" t="s">
        <v>1569</v>
      </c>
      <c r="C17" s="759"/>
    </row>
    <row r="18" spans="1:4" x14ac:dyDescent="0.25">
      <c r="A18" s="340"/>
      <c r="B18" s="335"/>
      <c r="C18" s="329"/>
    </row>
    <row r="19" spans="1:4" x14ac:dyDescent="0.25">
      <c r="A19" s="340" t="s">
        <v>1562</v>
      </c>
      <c r="B19" s="337" t="s">
        <v>1571</v>
      </c>
      <c r="C19" s="330" t="s">
        <v>1576</v>
      </c>
    </row>
    <row r="20" spans="1:4" ht="15.75" thickBot="1" x14ac:dyDescent="0.3">
      <c r="A20" s="340" t="s">
        <v>1564</v>
      </c>
      <c r="B20" s="345" t="s">
        <v>1572</v>
      </c>
      <c r="C20" s="329"/>
    </row>
    <row r="21" spans="1:4" ht="14.1" customHeight="1" x14ac:dyDescent="0.25">
      <c r="A21" s="757" t="s">
        <v>1578</v>
      </c>
      <c r="B21" s="764" t="s">
        <v>1600</v>
      </c>
      <c r="C21" s="778"/>
      <c r="D21" s="339"/>
    </row>
    <row r="22" spans="1:4" ht="13.9" customHeight="1" x14ac:dyDescent="0.25">
      <c r="A22" s="758"/>
      <c r="B22" s="767"/>
      <c r="C22" s="779"/>
      <c r="D22" s="329"/>
    </row>
    <row r="23" spans="1:4" ht="13.9" customHeight="1" x14ac:dyDescent="0.25">
      <c r="A23" s="758"/>
      <c r="B23" s="767"/>
      <c r="C23" s="779"/>
      <c r="D23" s="329"/>
    </row>
    <row r="24" spans="1:4" ht="13.9" customHeight="1" x14ac:dyDescent="0.25">
      <c r="A24" s="758"/>
      <c r="B24" s="767"/>
      <c r="C24" s="779"/>
      <c r="D24" s="329"/>
    </row>
    <row r="25" spans="1:4" ht="13.9" customHeight="1" x14ac:dyDescent="0.25">
      <c r="A25" s="758"/>
      <c r="B25" s="767"/>
      <c r="C25" s="779"/>
      <c r="D25" s="329"/>
    </row>
    <row r="26" spans="1:4" ht="13.9" customHeight="1" x14ac:dyDescent="0.25">
      <c r="A26" s="758"/>
      <c r="B26" s="767"/>
      <c r="C26" s="779"/>
      <c r="D26" s="329"/>
    </row>
    <row r="27" spans="1:4" ht="14.1" customHeight="1" x14ac:dyDescent="0.25">
      <c r="A27" s="758"/>
      <c r="B27" s="767"/>
      <c r="C27" s="779"/>
      <c r="D27" s="329"/>
    </row>
    <row r="28" spans="1:4" x14ac:dyDescent="0.25">
      <c r="A28" s="758"/>
      <c r="B28" s="767"/>
      <c r="C28" s="779"/>
      <c r="D28" s="329"/>
    </row>
    <row r="29" spans="1:4" x14ac:dyDescent="0.25">
      <c r="A29" s="758"/>
      <c r="B29" s="767"/>
      <c r="C29" s="779"/>
      <c r="D29" s="329"/>
    </row>
    <row r="30" spans="1:4" ht="15.75" x14ac:dyDescent="0.25">
      <c r="A30" s="348" t="s">
        <v>1588</v>
      </c>
      <c r="B30" s="350"/>
      <c r="C30" s="354"/>
      <c r="D30" s="351"/>
    </row>
    <row r="31" spans="1:4" ht="15.75" x14ac:dyDescent="0.25">
      <c r="A31" s="348" t="s">
        <v>1598</v>
      </c>
      <c r="B31" s="352" t="s">
        <v>1598</v>
      </c>
      <c r="C31" s="352" t="s">
        <v>7</v>
      </c>
      <c r="D31" s="353" t="s">
        <v>10</v>
      </c>
    </row>
    <row r="32" spans="1:4" x14ac:dyDescent="0.25">
      <c r="A32" s="323" t="s">
        <v>1581</v>
      </c>
      <c r="B32" s="325" t="s">
        <v>1589</v>
      </c>
      <c r="C32" s="349">
        <v>24900</v>
      </c>
      <c r="D32" s="330" t="s">
        <v>1506</v>
      </c>
    </row>
    <row r="33" spans="1:4" x14ac:dyDescent="0.25">
      <c r="A33" s="323" t="s">
        <v>1581</v>
      </c>
      <c r="B33" s="325" t="s">
        <v>1590</v>
      </c>
      <c r="C33" s="325" t="s">
        <v>1506</v>
      </c>
      <c r="D33" s="355">
        <v>24900</v>
      </c>
    </row>
    <row r="34" spans="1:4" x14ac:dyDescent="0.25">
      <c r="A34" s="323" t="s">
        <v>1582</v>
      </c>
      <c r="B34" s="325" t="s">
        <v>1590</v>
      </c>
      <c r="C34" s="325" t="s">
        <v>1506</v>
      </c>
      <c r="D34" s="355">
        <v>24900</v>
      </c>
    </row>
    <row r="35" spans="1:4" x14ac:dyDescent="0.25">
      <c r="A35" s="323" t="s">
        <v>1582</v>
      </c>
      <c r="B35" s="325" t="s">
        <v>1591</v>
      </c>
      <c r="C35" s="349">
        <v>24900</v>
      </c>
      <c r="D35" s="330" t="s">
        <v>1506</v>
      </c>
    </row>
    <row r="36" spans="1:4" x14ac:dyDescent="0.25">
      <c r="A36" s="323" t="s">
        <v>1582</v>
      </c>
      <c r="B36" s="325" t="s">
        <v>1591</v>
      </c>
      <c r="C36" s="325" t="s">
        <v>1506</v>
      </c>
      <c r="D36" s="355">
        <v>24900</v>
      </c>
    </row>
    <row r="37" spans="1:4" x14ac:dyDescent="0.25">
      <c r="A37" s="323" t="s">
        <v>1582</v>
      </c>
      <c r="B37" s="325" t="s">
        <v>1592</v>
      </c>
      <c r="C37" s="349">
        <v>24900</v>
      </c>
      <c r="D37" s="330" t="s">
        <v>1506</v>
      </c>
    </row>
    <row r="38" spans="1:4" x14ac:dyDescent="0.25">
      <c r="A38" s="323" t="s">
        <v>1583</v>
      </c>
      <c r="B38" s="325" t="s">
        <v>1580</v>
      </c>
      <c r="C38" s="325" t="s">
        <v>1506</v>
      </c>
      <c r="D38" s="355">
        <v>24900</v>
      </c>
    </row>
    <row r="39" spans="1:4" x14ac:dyDescent="0.25">
      <c r="A39" s="323" t="s">
        <v>1583</v>
      </c>
      <c r="B39" s="325" t="s">
        <v>1593</v>
      </c>
      <c r="C39" s="325" t="s">
        <v>1506</v>
      </c>
      <c r="D39" s="355">
        <v>26144.99</v>
      </c>
    </row>
    <row r="40" spans="1:4" x14ac:dyDescent="0.25">
      <c r="A40" s="323" t="s">
        <v>1583</v>
      </c>
      <c r="B40" s="325" t="s">
        <v>1591</v>
      </c>
      <c r="C40" s="349">
        <v>26144.99</v>
      </c>
      <c r="D40" s="330" t="s">
        <v>1506</v>
      </c>
    </row>
    <row r="41" spans="1:4" x14ac:dyDescent="0.25">
      <c r="A41" s="323" t="s">
        <v>1583</v>
      </c>
      <c r="B41" s="325" t="s">
        <v>1591</v>
      </c>
      <c r="C41" s="349">
        <v>24900</v>
      </c>
      <c r="D41" s="330" t="s">
        <v>1506</v>
      </c>
    </row>
    <row r="42" spans="1:4" x14ac:dyDescent="0.25">
      <c r="A42" s="323" t="s">
        <v>1584</v>
      </c>
      <c r="B42" s="325" t="s">
        <v>1594</v>
      </c>
      <c r="C42" s="325" t="s">
        <v>1506</v>
      </c>
      <c r="D42" s="330">
        <v>37.35</v>
      </c>
    </row>
    <row r="43" spans="1:4" x14ac:dyDescent="0.25">
      <c r="A43" s="323" t="s">
        <v>1584</v>
      </c>
      <c r="B43" s="325" t="s">
        <v>1595</v>
      </c>
      <c r="C43" s="325" t="s">
        <v>1506</v>
      </c>
      <c r="D43" s="330">
        <v>249</v>
      </c>
    </row>
    <row r="44" spans="1:4" x14ac:dyDescent="0.25">
      <c r="A44" s="323" t="s">
        <v>1584</v>
      </c>
      <c r="B44" s="325" t="s">
        <v>1591</v>
      </c>
      <c r="C44" s="325">
        <v>249</v>
      </c>
      <c r="D44" s="330" t="s">
        <v>1506</v>
      </c>
    </row>
    <row r="45" spans="1:4" x14ac:dyDescent="0.25">
      <c r="A45" s="323" t="s">
        <v>1584</v>
      </c>
      <c r="B45" s="325" t="s">
        <v>1591</v>
      </c>
      <c r="C45" s="325">
        <v>37.35</v>
      </c>
      <c r="D45" s="330" t="s">
        <v>1506</v>
      </c>
    </row>
    <row r="46" spans="1:4" x14ac:dyDescent="0.25">
      <c r="A46" s="323" t="s">
        <v>1585</v>
      </c>
      <c r="B46" s="325" t="s">
        <v>1591</v>
      </c>
      <c r="C46" s="325" t="s">
        <v>1506</v>
      </c>
      <c r="D46" s="355">
        <v>24900</v>
      </c>
    </row>
    <row r="47" spans="1:4" x14ac:dyDescent="0.25">
      <c r="A47" s="323" t="s">
        <v>1585</v>
      </c>
      <c r="B47" s="325" t="s">
        <v>46</v>
      </c>
      <c r="C47" s="349">
        <v>24900</v>
      </c>
      <c r="D47" s="330" t="s">
        <v>1506</v>
      </c>
    </row>
    <row r="48" spans="1:4" x14ac:dyDescent="0.25">
      <c r="A48" s="323" t="s">
        <v>1596</v>
      </c>
      <c r="B48" s="325" t="s">
        <v>50</v>
      </c>
      <c r="C48" s="325" t="s">
        <v>1506</v>
      </c>
      <c r="D48" s="355">
        <v>24900</v>
      </c>
    </row>
    <row r="49" spans="1:4" x14ac:dyDescent="0.25">
      <c r="A49" s="323" t="s">
        <v>1596</v>
      </c>
      <c r="B49" s="325" t="s">
        <v>46</v>
      </c>
      <c r="C49" s="349">
        <v>24900</v>
      </c>
      <c r="D49" s="330" t="s">
        <v>1506</v>
      </c>
    </row>
    <row r="50" spans="1:4" x14ac:dyDescent="0.25">
      <c r="A50" s="323"/>
      <c r="B50" s="325"/>
      <c r="C50" s="325"/>
      <c r="D50" s="330"/>
    </row>
    <row r="51" spans="1:4" x14ac:dyDescent="0.25">
      <c r="A51" s="524" t="s">
        <v>1586</v>
      </c>
      <c r="B51" s="525" t="s">
        <v>1601</v>
      </c>
      <c r="C51" s="525" t="s">
        <v>1506</v>
      </c>
      <c r="D51" s="526">
        <v>24613.65</v>
      </c>
    </row>
    <row r="52" spans="1:4" x14ac:dyDescent="0.25">
      <c r="A52" s="524" t="s">
        <v>1586</v>
      </c>
      <c r="B52" s="525" t="s">
        <v>1591</v>
      </c>
      <c r="C52" s="527">
        <v>24613.65</v>
      </c>
      <c r="D52" s="528" t="s">
        <v>1506</v>
      </c>
    </row>
    <row r="53" spans="1:4" ht="15.75" x14ac:dyDescent="0.25">
      <c r="A53" s="529"/>
      <c r="B53" s="530" t="s">
        <v>1599</v>
      </c>
      <c r="C53" s="530"/>
      <c r="D53" s="531"/>
    </row>
    <row r="54" spans="1:4" x14ac:dyDescent="0.25">
      <c r="A54" s="524" t="s">
        <v>1578</v>
      </c>
      <c r="B54" s="525" t="s">
        <v>1597</v>
      </c>
      <c r="C54" s="527">
        <v>24613.65</v>
      </c>
      <c r="D54" s="526"/>
    </row>
    <row r="55" spans="1:4" ht="15.75" thickBot="1" x14ac:dyDescent="0.3">
      <c r="A55" s="532" t="s">
        <v>1578</v>
      </c>
      <c r="B55" s="533" t="s">
        <v>1591</v>
      </c>
      <c r="C55" s="533"/>
      <c r="D55" s="534">
        <v>24613.65</v>
      </c>
    </row>
    <row r="56" spans="1:4" ht="13.9" customHeight="1" x14ac:dyDescent="0.25">
      <c r="A56" s="776" t="s">
        <v>1603</v>
      </c>
      <c r="B56" s="763" t="s">
        <v>1612</v>
      </c>
      <c r="C56" s="764"/>
      <c r="D56" s="765"/>
    </row>
    <row r="57" spans="1:4" ht="13.9" customHeight="1" x14ac:dyDescent="0.25">
      <c r="A57" s="777"/>
      <c r="B57" s="766"/>
      <c r="C57" s="767"/>
      <c r="D57" s="768"/>
    </row>
    <row r="58" spans="1:4" ht="28.9" customHeight="1" x14ac:dyDescent="0.25">
      <c r="A58" s="777"/>
      <c r="B58" s="769"/>
      <c r="C58" s="770"/>
      <c r="D58" s="771"/>
    </row>
    <row r="59" spans="1:4" ht="13.9" customHeight="1" x14ac:dyDescent="0.25">
      <c r="A59" s="362" t="s">
        <v>1608</v>
      </c>
      <c r="B59" s="358" t="s">
        <v>1609</v>
      </c>
      <c r="C59" s="359" t="s">
        <v>7</v>
      </c>
      <c r="D59" s="326" t="s">
        <v>10</v>
      </c>
    </row>
    <row r="60" spans="1:4" x14ac:dyDescent="0.25">
      <c r="A60" s="363" t="s">
        <v>1604</v>
      </c>
      <c r="B60" s="127" t="s">
        <v>1580</v>
      </c>
      <c r="C60" s="356">
        <v>24900</v>
      </c>
      <c r="D60" s="329" t="s">
        <v>1506</v>
      </c>
    </row>
    <row r="61" spans="1:4" x14ac:dyDescent="0.25">
      <c r="A61" s="363" t="s">
        <v>1604</v>
      </c>
      <c r="B61" s="127" t="s">
        <v>1590</v>
      </c>
      <c r="C61" s="127" t="s">
        <v>1506</v>
      </c>
      <c r="D61" s="364">
        <v>24900</v>
      </c>
    </row>
    <row r="62" spans="1:4" x14ac:dyDescent="0.25">
      <c r="A62" s="363" t="s">
        <v>1582</v>
      </c>
      <c r="B62" s="127" t="s">
        <v>1590</v>
      </c>
      <c r="C62" s="127" t="s">
        <v>1506</v>
      </c>
      <c r="D62" s="364">
        <v>24900</v>
      </c>
    </row>
    <row r="63" spans="1:4" x14ac:dyDescent="0.25">
      <c r="A63" s="363" t="s">
        <v>1582</v>
      </c>
      <c r="B63" s="127" t="s">
        <v>1591</v>
      </c>
      <c r="C63" s="356">
        <v>24900</v>
      </c>
      <c r="D63" s="329" t="s">
        <v>1506</v>
      </c>
    </row>
    <row r="64" spans="1:4" x14ac:dyDescent="0.25">
      <c r="A64" s="363" t="s">
        <v>1582</v>
      </c>
      <c r="B64" s="127" t="s">
        <v>1591</v>
      </c>
      <c r="C64" s="127" t="s">
        <v>1506</v>
      </c>
      <c r="D64" s="364">
        <v>24900</v>
      </c>
    </row>
    <row r="65" spans="1:4" x14ac:dyDescent="0.25">
      <c r="A65" s="363" t="s">
        <v>1582</v>
      </c>
      <c r="B65" s="127" t="s">
        <v>1592</v>
      </c>
      <c r="C65" s="356">
        <v>24900</v>
      </c>
      <c r="D65" s="329" t="s">
        <v>1506</v>
      </c>
    </row>
    <row r="66" spans="1:4" x14ac:dyDescent="0.25">
      <c r="A66" s="363" t="s">
        <v>1583</v>
      </c>
      <c r="B66" s="127" t="s">
        <v>1580</v>
      </c>
      <c r="C66" s="127" t="s">
        <v>1506</v>
      </c>
      <c r="D66" s="364">
        <v>24900</v>
      </c>
    </row>
    <row r="67" spans="1:4" x14ac:dyDescent="0.25">
      <c r="A67" s="363" t="s">
        <v>1583</v>
      </c>
      <c r="B67" s="127" t="s">
        <v>1593</v>
      </c>
      <c r="C67" s="127" t="s">
        <v>1506</v>
      </c>
      <c r="D67" s="364">
        <v>26144.99</v>
      </c>
    </row>
    <row r="68" spans="1:4" x14ac:dyDescent="0.25">
      <c r="A68" s="363" t="s">
        <v>1583</v>
      </c>
      <c r="B68" s="127" t="s">
        <v>1591</v>
      </c>
      <c r="C68" s="356">
        <v>26144.99</v>
      </c>
      <c r="D68" s="329" t="s">
        <v>1506</v>
      </c>
    </row>
    <row r="69" spans="1:4" x14ac:dyDescent="0.25">
      <c r="A69" s="363" t="s">
        <v>1583</v>
      </c>
      <c r="B69" s="127" t="s">
        <v>1591</v>
      </c>
      <c r="C69" s="356">
        <v>24900</v>
      </c>
      <c r="D69" s="329" t="s">
        <v>1506</v>
      </c>
    </row>
    <row r="70" spans="1:4" x14ac:dyDescent="0.25">
      <c r="A70" s="363" t="s">
        <v>1584</v>
      </c>
      <c r="B70" s="127" t="s">
        <v>1594</v>
      </c>
      <c r="C70" s="127" t="s">
        <v>1506</v>
      </c>
      <c r="D70" s="329">
        <v>37.35</v>
      </c>
    </row>
    <row r="71" spans="1:4" x14ac:dyDescent="0.25">
      <c r="A71" s="363" t="s">
        <v>1584</v>
      </c>
      <c r="B71" s="127" t="s">
        <v>1595</v>
      </c>
      <c r="C71" s="127" t="s">
        <v>1506</v>
      </c>
      <c r="D71" s="329">
        <v>249</v>
      </c>
    </row>
    <row r="72" spans="1:4" x14ac:dyDescent="0.25">
      <c r="A72" s="363" t="s">
        <v>1584</v>
      </c>
      <c r="B72" s="127" t="s">
        <v>1591</v>
      </c>
      <c r="C72" s="127">
        <v>249</v>
      </c>
      <c r="D72" s="329" t="s">
        <v>1506</v>
      </c>
    </row>
    <row r="73" spans="1:4" x14ac:dyDescent="0.25">
      <c r="A73" s="363" t="s">
        <v>1584</v>
      </c>
      <c r="B73" s="127" t="s">
        <v>1591</v>
      </c>
      <c r="C73" s="127">
        <v>37.35</v>
      </c>
      <c r="D73" s="329" t="s">
        <v>1506</v>
      </c>
    </row>
    <row r="74" spans="1:4" x14ac:dyDescent="0.25">
      <c r="A74" s="363" t="s">
        <v>1605</v>
      </c>
      <c r="B74" s="127" t="s">
        <v>1591</v>
      </c>
      <c r="C74" s="127" t="s">
        <v>1506</v>
      </c>
      <c r="D74" s="364">
        <v>24900</v>
      </c>
    </row>
    <row r="75" spans="1:4" x14ac:dyDescent="0.25">
      <c r="A75" s="363" t="s">
        <v>1605</v>
      </c>
      <c r="B75" s="127" t="s">
        <v>46</v>
      </c>
      <c r="C75" s="356">
        <v>24900</v>
      </c>
      <c r="D75" s="329" t="s">
        <v>1506</v>
      </c>
    </row>
    <row r="76" spans="1:4" x14ac:dyDescent="0.25">
      <c r="A76" s="363"/>
      <c r="B76" s="127" t="s">
        <v>50</v>
      </c>
      <c r="C76" s="127" t="s">
        <v>1506</v>
      </c>
      <c r="D76" s="364">
        <v>24900</v>
      </c>
    </row>
    <row r="77" spans="1:4" x14ac:dyDescent="0.25">
      <c r="A77" s="363"/>
      <c r="B77" s="127" t="s">
        <v>46</v>
      </c>
      <c r="C77" s="356">
        <v>24900</v>
      </c>
      <c r="D77" s="329" t="s">
        <v>1506</v>
      </c>
    </row>
    <row r="78" spans="1:4" x14ac:dyDescent="0.25">
      <c r="A78" s="363"/>
      <c r="B78" s="127"/>
      <c r="C78" s="127"/>
      <c r="D78" s="329"/>
    </row>
    <row r="79" spans="1:4" x14ac:dyDescent="0.25">
      <c r="A79" s="365" t="s">
        <v>1606</v>
      </c>
      <c r="B79" s="123" t="s">
        <v>1587</v>
      </c>
      <c r="C79" s="123" t="s">
        <v>1506</v>
      </c>
      <c r="D79" s="366">
        <v>24613.65</v>
      </c>
    </row>
    <row r="80" spans="1:4" x14ac:dyDescent="0.25">
      <c r="A80" s="367" t="s">
        <v>1606</v>
      </c>
      <c r="B80" s="360" t="s">
        <v>1495</v>
      </c>
      <c r="C80" s="361">
        <v>24613.65</v>
      </c>
      <c r="D80" s="368" t="s">
        <v>1506</v>
      </c>
    </row>
    <row r="81" spans="1:4" x14ac:dyDescent="0.25">
      <c r="A81" s="363"/>
      <c r="B81" s="127"/>
      <c r="C81" s="356"/>
      <c r="D81" s="329"/>
    </row>
    <row r="82" spans="1:4" x14ac:dyDescent="0.25">
      <c r="A82" s="772" t="s">
        <v>1607</v>
      </c>
      <c r="B82" s="773"/>
      <c r="C82" s="773"/>
      <c r="D82" s="774"/>
    </row>
    <row r="83" spans="1:4" x14ac:dyDescent="0.25">
      <c r="A83" s="775"/>
      <c r="B83" s="773"/>
      <c r="C83" s="773"/>
      <c r="D83" s="774"/>
    </row>
    <row r="84" spans="1:4" x14ac:dyDescent="0.25">
      <c r="A84" s="775"/>
      <c r="B84" s="773"/>
      <c r="C84" s="773"/>
      <c r="D84" s="774"/>
    </row>
    <row r="85" spans="1:4" x14ac:dyDescent="0.25">
      <c r="A85" s="760" t="s">
        <v>1610</v>
      </c>
      <c r="B85" s="761"/>
      <c r="C85" s="761"/>
      <c r="D85" s="762"/>
    </row>
    <row r="86" spans="1:4" x14ac:dyDescent="0.25">
      <c r="A86" s="363" t="s">
        <v>12</v>
      </c>
      <c r="B86" s="127" t="s">
        <v>13</v>
      </c>
      <c r="C86" s="127" t="s">
        <v>14</v>
      </c>
      <c r="D86" s="329">
        <v>-10000</v>
      </c>
    </row>
    <row r="87" spans="1:4" x14ac:dyDescent="0.25">
      <c r="A87" s="363"/>
      <c r="B87" s="127" t="s">
        <v>17</v>
      </c>
      <c r="C87" s="127" t="s">
        <v>18</v>
      </c>
      <c r="D87" s="329">
        <v>10000</v>
      </c>
    </row>
    <row r="88" spans="1:4" x14ac:dyDescent="0.25">
      <c r="A88" s="363" t="s">
        <v>20</v>
      </c>
      <c r="B88" s="127" t="s">
        <v>17</v>
      </c>
      <c r="C88" s="127" t="s">
        <v>18</v>
      </c>
      <c r="D88" s="329">
        <v>10000</v>
      </c>
    </row>
    <row r="89" spans="1:4" x14ac:dyDescent="0.25">
      <c r="A89" s="363"/>
      <c r="B89" s="127" t="s">
        <v>21</v>
      </c>
      <c r="C89" s="127" t="s">
        <v>14</v>
      </c>
      <c r="D89" s="329">
        <v>-10000</v>
      </c>
    </row>
    <row r="90" spans="1:4" x14ac:dyDescent="0.25">
      <c r="A90" s="363"/>
      <c r="B90" s="127" t="s">
        <v>23</v>
      </c>
      <c r="C90" s="127" t="s">
        <v>24</v>
      </c>
      <c r="D90" s="329">
        <v>-10000</v>
      </c>
    </row>
    <row r="91" spans="1:4" x14ac:dyDescent="0.25">
      <c r="A91" s="363"/>
      <c r="B91" s="127" t="s">
        <v>25</v>
      </c>
      <c r="C91" s="127" t="s">
        <v>26</v>
      </c>
      <c r="D91" s="329">
        <v>10000</v>
      </c>
    </row>
    <row r="92" spans="1:4" x14ac:dyDescent="0.25">
      <c r="A92" s="363" t="s">
        <v>27</v>
      </c>
      <c r="B92" s="127" t="s">
        <v>28</v>
      </c>
      <c r="C92" s="127" t="s">
        <v>29</v>
      </c>
      <c r="D92" s="329">
        <v>-10000</v>
      </c>
    </row>
    <row r="93" spans="1:4" x14ac:dyDescent="0.25">
      <c r="A93" s="363"/>
      <c r="B93" s="127" t="s">
        <v>23</v>
      </c>
      <c r="C93" s="127" t="s">
        <v>24</v>
      </c>
      <c r="D93" s="329">
        <v>10000</v>
      </c>
    </row>
    <row r="94" spans="1:4" x14ac:dyDescent="0.25">
      <c r="A94" s="363"/>
      <c r="B94" s="127" t="s">
        <v>31</v>
      </c>
      <c r="C94" s="127" t="s">
        <v>32</v>
      </c>
      <c r="D94" s="329">
        <v>-1200</v>
      </c>
    </row>
    <row r="95" spans="1:4" x14ac:dyDescent="0.25">
      <c r="A95" s="363"/>
      <c r="B95" s="127" t="s">
        <v>33</v>
      </c>
      <c r="C95" s="127" t="s">
        <v>34</v>
      </c>
      <c r="D95" s="329">
        <v>1200</v>
      </c>
    </row>
    <row r="96" spans="1:4" x14ac:dyDescent="0.25">
      <c r="A96" s="363" t="s">
        <v>35</v>
      </c>
      <c r="B96" s="127" t="s">
        <v>37</v>
      </c>
      <c r="C96" s="127" t="s">
        <v>38</v>
      </c>
      <c r="D96" s="329">
        <v>-100</v>
      </c>
    </row>
    <row r="97" spans="1:4" x14ac:dyDescent="0.25">
      <c r="A97" s="363"/>
      <c r="B97" s="127" t="s">
        <v>40</v>
      </c>
      <c r="C97" s="127" t="s">
        <v>41</v>
      </c>
      <c r="D97" s="329">
        <v>100</v>
      </c>
    </row>
    <row r="98" spans="1:4" x14ac:dyDescent="0.25">
      <c r="A98" s="363"/>
      <c r="B98" s="127" t="s">
        <v>42</v>
      </c>
      <c r="C98" s="127" t="s">
        <v>43</v>
      </c>
      <c r="D98" s="329">
        <v>-15</v>
      </c>
    </row>
    <row r="99" spans="1:4" x14ac:dyDescent="0.25">
      <c r="A99" s="363"/>
      <c r="B99" s="127" t="s">
        <v>44</v>
      </c>
      <c r="C99" s="127"/>
      <c r="D99" s="329">
        <v>15</v>
      </c>
    </row>
    <row r="100" spans="1:4" x14ac:dyDescent="0.25">
      <c r="A100" s="363" t="s">
        <v>45</v>
      </c>
      <c r="B100" s="127" t="s">
        <v>46</v>
      </c>
      <c r="C100" s="127" t="s">
        <v>26</v>
      </c>
      <c r="D100" s="329">
        <v>-10000</v>
      </c>
    </row>
    <row r="101" spans="1:4" x14ac:dyDescent="0.25">
      <c r="A101" s="363"/>
      <c r="B101" s="127" t="s">
        <v>47</v>
      </c>
      <c r="C101" s="127" t="s">
        <v>48</v>
      </c>
      <c r="D101" s="329">
        <v>10000</v>
      </c>
    </row>
    <row r="102" spans="1:4" x14ac:dyDescent="0.25">
      <c r="A102" s="363" t="s">
        <v>49</v>
      </c>
      <c r="B102" s="127" t="s">
        <v>50</v>
      </c>
      <c r="C102" s="127" t="s">
        <v>26</v>
      </c>
      <c r="D102" s="329">
        <v>-10000</v>
      </c>
    </row>
    <row r="103" spans="1:4" x14ac:dyDescent="0.25">
      <c r="A103" s="363"/>
      <c r="B103" s="127" t="s">
        <v>46</v>
      </c>
      <c r="C103" s="127" t="s">
        <v>26</v>
      </c>
      <c r="D103" s="329">
        <v>10000</v>
      </c>
    </row>
    <row r="104" spans="1:4" x14ac:dyDescent="0.25">
      <c r="A104" s="363"/>
      <c r="B104" s="127"/>
      <c r="C104" s="127"/>
      <c r="D104" s="329"/>
    </row>
    <row r="105" spans="1:4" x14ac:dyDescent="0.25">
      <c r="A105" s="363" t="s">
        <v>52</v>
      </c>
      <c r="B105" s="127" t="s">
        <v>47</v>
      </c>
      <c r="C105" s="127" t="s">
        <v>48</v>
      </c>
      <c r="D105" s="329">
        <v>-100</v>
      </c>
    </row>
    <row r="106" spans="1:4" x14ac:dyDescent="0.25">
      <c r="A106" s="363"/>
      <c r="B106" s="127" t="s">
        <v>37</v>
      </c>
      <c r="C106" s="127" t="s">
        <v>38</v>
      </c>
      <c r="D106" s="329">
        <v>100</v>
      </c>
    </row>
    <row r="107" spans="1:4" x14ac:dyDescent="0.25">
      <c r="A107" s="363"/>
      <c r="B107" s="127" t="s">
        <v>47</v>
      </c>
      <c r="C107" s="127" t="s">
        <v>48</v>
      </c>
      <c r="D107" s="329">
        <v>-15</v>
      </c>
    </row>
    <row r="108" spans="1:4" x14ac:dyDescent="0.25">
      <c r="A108" s="363"/>
      <c r="B108" s="127" t="s">
        <v>42</v>
      </c>
      <c r="C108" s="127" t="s">
        <v>16</v>
      </c>
      <c r="D108" s="329">
        <v>15</v>
      </c>
    </row>
    <row r="109" spans="1:4" x14ac:dyDescent="0.25">
      <c r="A109" s="369"/>
      <c r="B109" s="357" t="s">
        <v>47</v>
      </c>
      <c r="C109" s="357" t="s">
        <v>48</v>
      </c>
      <c r="D109" s="370">
        <v>9885</v>
      </c>
    </row>
    <row r="110" spans="1:4" x14ac:dyDescent="0.25">
      <c r="A110" s="371"/>
      <c r="B110" s="304" t="s">
        <v>53</v>
      </c>
      <c r="C110" s="304" t="s">
        <v>26</v>
      </c>
      <c r="D110" s="372">
        <v>-9885</v>
      </c>
    </row>
    <row r="111" spans="1:4" ht="30" x14ac:dyDescent="0.25">
      <c r="A111" s="373" t="s">
        <v>1611</v>
      </c>
      <c r="B111" s="304" t="s">
        <v>53</v>
      </c>
      <c r="C111" s="304" t="s">
        <v>26</v>
      </c>
      <c r="D111" s="372">
        <v>9885</v>
      </c>
    </row>
    <row r="112" spans="1:4" ht="15.75" thickBot="1" x14ac:dyDescent="0.3">
      <c r="A112" s="374"/>
      <c r="B112" s="375" t="s">
        <v>54</v>
      </c>
      <c r="C112" s="375" t="s">
        <v>55</v>
      </c>
      <c r="D112" s="376">
        <v>-9885</v>
      </c>
    </row>
  </sheetData>
  <mergeCells count="11">
    <mergeCell ref="A2:A8"/>
    <mergeCell ref="A1:C1"/>
    <mergeCell ref="A9:A12"/>
    <mergeCell ref="C15:C17"/>
    <mergeCell ref="A85:D85"/>
    <mergeCell ref="B56:D58"/>
    <mergeCell ref="A82:D84"/>
    <mergeCell ref="A56:A58"/>
    <mergeCell ref="A21:A29"/>
    <mergeCell ref="B21:B29"/>
    <mergeCell ref="C21:C29"/>
  </mergeCells>
  <pageMargins left="0.7" right="0.7" top="0.75" bottom="0.75" header="0.3" footer="0.3"/>
  <pageSetup paperSize="9" orientation="portrait" r:id="rId1"/>
  <headerFooter>
    <oddFooter>&amp;L&amp;"Calibri Light,Regular"&amp;09&amp;K00C000Public</oddFooter>
    <evenFooter>&amp;L&amp;"Calibri Light,Regular"&amp;09&amp;K00C000Public</evenFooter>
    <firstFooter>&amp;L&amp;"Calibri Light,Regular"&amp;09&amp;K00C000Public</first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FDACB-6F52-4573-9B4A-6E84D6DB6BBF}">
  <sheetPr>
    <tabColor rgb="FFFFFF00"/>
    <pageSetUpPr autoPageBreaks="0"/>
  </sheetPr>
  <dimension ref="A1:AL104"/>
  <sheetViews>
    <sheetView topLeftCell="A8" workbookViewId="0">
      <selection activeCell="G34" sqref="G34"/>
    </sheetView>
  </sheetViews>
  <sheetFormatPr defaultColWidth="7.7109375" defaultRowHeight="15" x14ac:dyDescent="0.25"/>
  <cols>
    <col min="1" max="1" width="7.42578125" customWidth="1"/>
    <col min="2" max="2" width="11.7109375" style="382" customWidth="1"/>
    <col min="3" max="3" width="17.7109375" style="382" customWidth="1"/>
    <col min="4" max="4" width="9.42578125" style="383" customWidth="1"/>
    <col min="5" max="5" width="18.7109375" style="384" customWidth="1"/>
    <col min="6" max="6" width="13.140625" style="383" customWidth="1"/>
    <col min="7" max="9" width="12.28515625" style="383" customWidth="1"/>
    <col min="10" max="10" width="12.7109375" style="385" customWidth="1"/>
    <col min="11" max="11" width="18.7109375" style="383" customWidth="1"/>
    <col min="12" max="12" width="15.7109375" style="383" bestFit="1" customWidth="1"/>
    <col min="13" max="13" width="10.28515625" style="383" hidden="1" customWidth="1"/>
    <col min="14" max="20" width="7.7109375" style="383" hidden="1" customWidth="1"/>
    <col min="21" max="21" width="8.42578125" style="383" hidden="1" customWidth="1"/>
    <col min="22" max="22" width="13.28515625" style="383" hidden="1" customWidth="1"/>
    <col min="23" max="23" width="0" style="383" hidden="1" customWidth="1"/>
    <col min="24" max="24" width="12.28515625" style="383" customWidth="1"/>
    <col min="25" max="25" width="12" style="383" hidden="1" customWidth="1"/>
    <col min="26" max="27" width="7.7109375" style="383" hidden="1" customWidth="1"/>
    <col min="28" max="28" width="12" style="383" hidden="1" customWidth="1"/>
    <col min="29" max="32" width="7.7109375" style="383" hidden="1" customWidth="1"/>
    <col min="33" max="36" width="0" style="383" hidden="1" customWidth="1"/>
    <col min="37" max="37" width="25.140625" style="383" bestFit="1" customWidth="1"/>
    <col min="38" max="38" width="8.28515625" style="383" customWidth="1"/>
    <col min="39" max="16384" width="7.7109375" style="383"/>
  </cols>
  <sheetData>
    <row r="1" spans="2:37" hidden="1" x14ac:dyDescent="0.25"/>
    <row r="2" spans="2:37" ht="46.5" hidden="1" customHeight="1" x14ac:dyDescent="0.25"/>
    <row r="3" spans="2:37" hidden="1" x14ac:dyDescent="0.25">
      <c r="B3" s="781" t="s">
        <v>1626</v>
      </c>
      <c r="C3" s="781"/>
      <c r="D3" s="781"/>
    </row>
    <row r="4" spans="2:37" hidden="1" x14ac:dyDescent="0.25">
      <c r="B4" s="781" t="s">
        <v>1627</v>
      </c>
      <c r="C4" s="781"/>
      <c r="D4" s="781"/>
    </row>
    <row r="5" spans="2:37" ht="24" hidden="1" thickBot="1" x14ac:dyDescent="0.3">
      <c r="E5" s="782" t="s">
        <v>1628</v>
      </c>
      <c r="F5" s="783"/>
      <c r="G5" s="783"/>
      <c r="H5" s="783"/>
      <c r="I5" s="783"/>
      <c r="J5" s="783"/>
      <c r="K5" s="784"/>
    </row>
    <row r="6" spans="2:37" hidden="1" x14ac:dyDescent="0.25"/>
    <row r="7" spans="2:37" ht="24" hidden="1" thickBot="1" x14ac:dyDescent="0.4">
      <c r="B7" s="383"/>
      <c r="C7" s="383"/>
      <c r="D7" s="382"/>
      <c r="E7" s="386" t="s">
        <v>1629</v>
      </c>
      <c r="F7" s="785"/>
      <c r="G7" s="785"/>
      <c r="H7" s="785"/>
      <c r="I7" s="785"/>
      <c r="J7" s="785"/>
      <c r="K7" s="387" t="s">
        <v>1630</v>
      </c>
      <c r="M7" s="388"/>
      <c r="N7" s="389">
        <v>418</v>
      </c>
      <c r="O7" s="390" t="s">
        <v>1631</v>
      </c>
      <c r="V7" s="391" t="s">
        <v>1632</v>
      </c>
    </row>
    <row r="8" spans="2:37" ht="23.25" x14ac:dyDescent="0.35">
      <c r="B8" s="383"/>
      <c r="C8" s="383"/>
      <c r="D8" s="382"/>
      <c r="E8" s="392" t="s">
        <v>1633</v>
      </c>
      <c r="F8" s="786"/>
      <c r="G8" s="786"/>
      <c r="H8" s="786"/>
      <c r="I8" s="786"/>
      <c r="J8" s="786"/>
      <c r="K8" s="387" t="s">
        <v>1634</v>
      </c>
      <c r="L8" s="388"/>
      <c r="M8" s="388"/>
      <c r="N8" s="393"/>
      <c r="O8" s="393"/>
      <c r="V8" s="394"/>
      <c r="Y8" s="393" t="s">
        <v>1635</v>
      </c>
      <c r="AA8" s="383" t="s">
        <v>1636</v>
      </c>
    </row>
    <row r="9" spans="2:37" ht="23.25" x14ac:dyDescent="0.35">
      <c r="B9" s="383"/>
      <c r="C9" s="383"/>
      <c r="D9" s="382"/>
      <c r="E9" s="392" t="s">
        <v>1637</v>
      </c>
      <c r="F9" s="780"/>
      <c r="G9" s="780"/>
      <c r="H9" s="780"/>
      <c r="I9" s="780"/>
      <c r="J9" s="780"/>
      <c r="K9" s="387" t="s">
        <v>1638</v>
      </c>
      <c r="L9" s="388"/>
      <c r="M9" s="388"/>
      <c r="N9" s="393"/>
      <c r="O9" s="393"/>
      <c r="V9" s="394"/>
      <c r="Y9" s="393" t="s">
        <v>1639</v>
      </c>
      <c r="AA9" s="383" t="s">
        <v>1640</v>
      </c>
    </row>
    <row r="10" spans="2:37" ht="23.25" x14ac:dyDescent="0.25">
      <c r="B10" s="383"/>
      <c r="C10" s="383"/>
      <c r="D10" s="382"/>
      <c r="E10" s="392" t="s">
        <v>1641</v>
      </c>
      <c r="F10" s="793" t="s">
        <v>1640</v>
      </c>
      <c r="G10" s="793"/>
      <c r="H10" s="793"/>
      <c r="I10" s="793"/>
      <c r="J10" s="793"/>
      <c r="K10" s="387" t="s">
        <v>1642</v>
      </c>
      <c r="L10" s="388"/>
      <c r="M10" s="388"/>
      <c r="N10" s="393"/>
      <c r="O10" s="393"/>
      <c r="V10" s="394"/>
      <c r="Y10" s="395"/>
    </row>
    <row r="11" spans="2:37" ht="24" thickBot="1" x14ac:dyDescent="0.4">
      <c r="B11" s="383"/>
      <c r="C11" s="383"/>
      <c r="D11" s="382"/>
      <c r="E11" s="396" t="s">
        <v>1644</v>
      </c>
      <c r="F11" s="517"/>
      <c r="G11" s="794" t="s">
        <v>1635</v>
      </c>
      <c r="H11" s="794"/>
      <c r="I11" s="794"/>
      <c r="J11" s="518"/>
      <c r="K11" s="397" t="s">
        <v>1645</v>
      </c>
      <c r="L11" s="388"/>
      <c r="M11" s="388"/>
      <c r="N11" s="393"/>
      <c r="O11" s="393"/>
      <c r="V11" s="394"/>
    </row>
    <row r="12" spans="2:37" ht="25.5" x14ac:dyDescent="0.25">
      <c r="B12" s="383"/>
      <c r="C12" s="383"/>
      <c r="D12" s="382"/>
      <c r="E12" s="398" t="s">
        <v>1647</v>
      </c>
      <c r="F12" s="399"/>
      <c r="G12" s="519">
        <v>50000</v>
      </c>
      <c r="H12" s="400"/>
      <c r="I12" s="401" t="s">
        <v>1648</v>
      </c>
      <c r="J12" s="399"/>
      <c r="K12" s="402">
        <f>IF(G11=Y8,G15+G16+G18,G15+G18)</f>
        <v>65000</v>
      </c>
      <c r="L12" s="388"/>
      <c r="M12" s="388"/>
      <c r="V12" s="403"/>
      <c r="X12" s="404"/>
      <c r="Z12" s="405"/>
      <c r="AB12" s="406"/>
    </row>
    <row r="13" spans="2:37" ht="12.75" customHeight="1" x14ac:dyDescent="0.25">
      <c r="B13" s="383"/>
      <c r="C13" s="383"/>
      <c r="D13" s="382"/>
      <c r="E13" s="407" t="s">
        <v>1650</v>
      </c>
      <c r="F13" s="408"/>
      <c r="G13" s="409">
        <v>0</v>
      </c>
      <c r="H13" s="410"/>
      <c r="I13" s="411" t="s">
        <v>1651</v>
      </c>
      <c r="J13" s="408"/>
      <c r="K13" s="412">
        <f>(K12-G17)/K20</f>
        <v>2166.6666666666665</v>
      </c>
      <c r="L13" s="388"/>
      <c r="M13" s="388"/>
      <c r="N13" s="393"/>
      <c r="V13" s="403"/>
      <c r="X13" s="413"/>
      <c r="AB13" s="406"/>
    </row>
    <row r="14" spans="2:37" ht="12.75" customHeight="1" x14ac:dyDescent="0.25">
      <c r="B14" s="383"/>
      <c r="C14" s="383"/>
      <c r="D14" s="382"/>
      <c r="E14" s="414" t="s">
        <v>1652</v>
      </c>
      <c r="F14" s="408"/>
      <c r="G14" s="415">
        <f>G13*K18</f>
        <v>0</v>
      </c>
      <c r="H14" s="410"/>
      <c r="I14" s="416" t="s">
        <v>1653</v>
      </c>
      <c r="J14" s="408"/>
      <c r="K14" s="412">
        <f>IF(G11=Y9,G12+G18+G20+G21,G12+G16+G18+G20+G21+G14)</f>
        <v>65000</v>
      </c>
      <c r="L14" s="388"/>
      <c r="M14" s="388"/>
      <c r="N14" s="393"/>
      <c r="V14" s="403"/>
      <c r="X14" s="406"/>
      <c r="AB14" s="406"/>
      <c r="AK14" s="406"/>
    </row>
    <row r="15" spans="2:37" ht="12.75" customHeight="1" x14ac:dyDescent="0.25">
      <c r="B15" s="383"/>
      <c r="C15" s="383"/>
      <c r="D15" s="382"/>
      <c r="E15" s="407" t="s">
        <v>1654</v>
      </c>
      <c r="F15" s="417"/>
      <c r="G15" s="418">
        <f>+G12-G13</f>
        <v>50000</v>
      </c>
      <c r="H15" s="410"/>
      <c r="I15" s="419" t="s">
        <v>1655</v>
      </c>
      <c r="J15" s="408"/>
      <c r="K15" s="420">
        <f>ROUND(IF(G11=Y8,G15+G16+G18+G20+G21-G17,G15+G18+G20+G21)/K20,2)</f>
        <v>2166.67</v>
      </c>
      <c r="L15" s="388"/>
      <c r="M15" s="388"/>
      <c r="N15" s="393"/>
      <c r="V15" s="403"/>
      <c r="X15" s="404"/>
      <c r="AK15" s="421"/>
    </row>
    <row r="16" spans="2:37" ht="12.75" customHeight="1" x14ac:dyDescent="0.25">
      <c r="B16" s="383"/>
      <c r="C16" s="383"/>
      <c r="D16" s="382"/>
      <c r="E16" s="407" t="s">
        <v>1656</v>
      </c>
      <c r="F16" s="417"/>
      <c r="G16" s="422">
        <f>G15*K18</f>
        <v>0</v>
      </c>
      <c r="H16" s="410"/>
      <c r="I16" s="416" t="s">
        <v>237</v>
      </c>
      <c r="J16" s="417"/>
      <c r="K16" s="423">
        <v>0.1</v>
      </c>
      <c r="L16" s="388"/>
      <c r="M16" s="388"/>
      <c r="N16" s="393"/>
      <c r="V16" s="403"/>
      <c r="X16" s="404"/>
      <c r="Z16" s="388"/>
      <c r="AK16" s="406"/>
    </row>
    <row r="17" spans="1:38" ht="12.75" customHeight="1" x14ac:dyDescent="0.25">
      <c r="B17" s="383"/>
      <c r="C17" s="383"/>
      <c r="D17" s="382"/>
      <c r="E17" s="520" t="s">
        <v>1657</v>
      </c>
      <c r="F17" s="425"/>
      <c r="G17" s="426">
        <v>0</v>
      </c>
      <c r="H17" s="410"/>
      <c r="I17" s="416" t="s">
        <v>1658</v>
      </c>
      <c r="J17" s="417"/>
      <c r="K17" s="427">
        <v>0</v>
      </c>
      <c r="L17" s="388"/>
      <c r="M17" s="388"/>
      <c r="N17" s="393"/>
      <c r="V17" s="403"/>
      <c r="Z17" s="388"/>
    </row>
    <row r="18" spans="1:38" s="431" customFormat="1" ht="12.75" customHeight="1" x14ac:dyDescent="0.25">
      <c r="A18" s="428"/>
      <c r="B18" s="429"/>
      <c r="C18" s="430"/>
      <c r="E18" s="432" t="s">
        <v>1659</v>
      </c>
      <c r="F18" s="433"/>
      <c r="G18" s="434">
        <f>IF(G11=$Y$8,(G15+G16)*K16*(K24/12),G15*K16*(K24/12))</f>
        <v>15000</v>
      </c>
      <c r="H18" s="435"/>
      <c r="I18" s="419" t="s">
        <v>1660</v>
      </c>
      <c r="J18" s="433"/>
      <c r="K18" s="423">
        <v>0</v>
      </c>
      <c r="M18" s="436"/>
      <c r="N18" s="437"/>
      <c r="V18" s="438"/>
      <c r="Z18" s="436"/>
    </row>
    <row r="19" spans="1:38" s="440" customFormat="1" ht="15" customHeight="1" x14ac:dyDescent="0.25">
      <c r="A19" s="439"/>
      <c r="B19" s="436"/>
      <c r="E19" s="441" t="s">
        <v>1661</v>
      </c>
      <c r="F19" s="442"/>
      <c r="G19" s="443">
        <f>((1+(RATE(K20,(K15-(((G20+G21)/K24))),-(G15+G16),G17,0)))^12)-1</f>
        <v>0.236353280132517</v>
      </c>
      <c r="H19" s="444"/>
      <c r="I19" s="445" t="s">
        <v>1662</v>
      </c>
      <c r="J19" s="446"/>
      <c r="K19" s="447">
        <f>+G18/(G15+G16)/(K20/12)</f>
        <v>0.12</v>
      </c>
      <c r="L19" s="436"/>
      <c r="M19" s="436"/>
      <c r="N19" s="448"/>
      <c r="V19" s="449"/>
      <c r="Z19" s="436"/>
    </row>
    <row r="20" spans="1:38" s="431" customFormat="1" ht="12.75" customHeight="1" x14ac:dyDescent="0.25">
      <c r="A20" s="428"/>
      <c r="E20" s="520" t="s">
        <v>1663</v>
      </c>
      <c r="F20" s="425"/>
      <c r="G20" s="450">
        <f>IF(G11=$Y$8,(G12*(1+K18))*K17*(K24/12),G12*K17*(K24/12))</f>
        <v>0</v>
      </c>
      <c r="H20" s="435"/>
      <c r="I20" s="419" t="s">
        <v>1664</v>
      </c>
      <c r="J20" s="433"/>
      <c r="K20" s="451">
        <v>30</v>
      </c>
      <c r="M20" s="436"/>
      <c r="N20" s="437"/>
      <c r="V20" s="438"/>
      <c r="Z20" s="436"/>
      <c r="AL20" s="452"/>
    </row>
    <row r="21" spans="1:38" s="431" customFormat="1" ht="12.75" customHeight="1" x14ac:dyDescent="0.25">
      <c r="A21" s="428"/>
      <c r="D21" s="429">
        <f>+G21+G20</f>
        <v>0</v>
      </c>
      <c r="E21" s="520" t="s">
        <v>1665</v>
      </c>
      <c r="F21" s="425"/>
      <c r="G21" s="450">
        <f>IF(K18=0,0,$G$20*(K18))</f>
        <v>0</v>
      </c>
      <c r="H21" s="435"/>
      <c r="I21" s="424" t="s">
        <v>1666</v>
      </c>
      <c r="J21" s="425"/>
      <c r="K21" s="453">
        <f>RATE(K20,K13,IF(G11=Y8,-(G15+G16),-G15),G17,0)</f>
        <v>1.7837627038130376E-2</v>
      </c>
      <c r="M21" s="436"/>
      <c r="N21" s="437"/>
      <c r="V21" s="438"/>
      <c r="Y21" s="430"/>
      <c r="Z21" s="436"/>
      <c r="AL21" s="452"/>
    </row>
    <row r="22" spans="1:38" s="431" customFormat="1" ht="12.75" customHeight="1" x14ac:dyDescent="0.25">
      <c r="A22" s="428"/>
      <c r="E22" s="432" t="s">
        <v>1667</v>
      </c>
      <c r="F22" s="433"/>
      <c r="G22" s="434">
        <f>IF(AND(F10="Retail",+K23*G15&gt;5000),5000,+K23*G15)</f>
        <v>500</v>
      </c>
      <c r="H22" s="435"/>
      <c r="I22" s="424" t="s">
        <v>412</v>
      </c>
      <c r="J22" s="425"/>
      <c r="K22" s="453">
        <f>((1+(RATE(K20,K15,-(G15+G16-G22-G23),G17,0)))^12)-1</f>
        <v>0.24693201623257455</v>
      </c>
      <c r="L22" s="436"/>
      <c r="M22" s="436"/>
      <c r="V22" s="438"/>
      <c r="AL22" s="454"/>
    </row>
    <row r="23" spans="1:38" s="431" customFormat="1" ht="12.75" customHeight="1" x14ac:dyDescent="0.25">
      <c r="A23" s="428"/>
      <c r="E23" s="455" t="s">
        <v>1668</v>
      </c>
      <c r="F23" s="456"/>
      <c r="G23" s="457">
        <f>$G$22*K18</f>
        <v>0</v>
      </c>
      <c r="H23" s="435"/>
      <c r="I23" s="419" t="s">
        <v>1669</v>
      </c>
      <c r="J23" s="433"/>
      <c r="K23" s="423">
        <v>0.01</v>
      </c>
      <c r="L23" s="436"/>
      <c r="M23" s="436"/>
      <c r="V23" s="438"/>
      <c r="AK23" s="441"/>
      <c r="AL23" s="430"/>
    </row>
    <row r="24" spans="1:38" s="431" customFormat="1" ht="15.75" thickBot="1" x14ac:dyDescent="0.3">
      <c r="A24" s="428"/>
      <c r="B24" s="458"/>
      <c r="C24" s="458"/>
      <c r="E24" s="459" t="s">
        <v>1670</v>
      </c>
      <c r="F24" s="460"/>
      <c r="G24" s="461">
        <v>6</v>
      </c>
      <c r="H24" s="462"/>
      <c r="I24" s="463" t="s">
        <v>1671</v>
      </c>
      <c r="J24" s="464"/>
      <c r="K24" s="465">
        <f>+K20+G24</f>
        <v>36</v>
      </c>
      <c r="U24" s="438"/>
    </row>
    <row r="25" spans="1:38" s="467" customFormat="1" ht="15.75" thickBot="1" x14ac:dyDescent="0.3">
      <c r="A25" s="127"/>
      <c r="B25" s="466"/>
      <c r="C25" s="466"/>
      <c r="E25" s="468"/>
      <c r="F25" s="469"/>
      <c r="G25" s="470"/>
      <c r="I25" s="471"/>
      <c r="J25" s="472"/>
      <c r="K25" s="470"/>
      <c r="U25" s="473"/>
    </row>
    <row r="26" spans="1:38" ht="61.5" customHeight="1" x14ac:dyDescent="0.25">
      <c r="B26" s="474" t="s">
        <v>1672</v>
      </c>
      <c r="C26" s="475" t="s">
        <v>1673</v>
      </c>
      <c r="D26" s="475" t="s">
        <v>1674</v>
      </c>
      <c r="E26" s="475" t="s">
        <v>1675</v>
      </c>
      <c r="F26" s="475" t="s">
        <v>1676</v>
      </c>
      <c r="G26" s="475" t="s">
        <v>1677</v>
      </c>
      <c r="H26" s="475" t="s">
        <v>1678</v>
      </c>
      <c r="I26" s="475" t="s">
        <v>1679</v>
      </c>
      <c r="J26" s="475" t="s">
        <v>1680</v>
      </c>
      <c r="K26" s="475" t="s">
        <v>1681</v>
      </c>
      <c r="L26" s="476" t="s">
        <v>1682</v>
      </c>
      <c r="U26" s="403"/>
    </row>
    <row r="27" spans="1:38" ht="61.5" customHeight="1" thickBot="1" x14ac:dyDescent="0.3">
      <c r="B27" s="477" t="s">
        <v>1683</v>
      </c>
      <c r="C27" s="478" t="s">
        <v>1684</v>
      </c>
      <c r="D27" s="478" t="s">
        <v>1683</v>
      </c>
      <c r="E27" s="478" t="s">
        <v>1685</v>
      </c>
      <c r="F27" s="478" t="s">
        <v>1658</v>
      </c>
      <c r="G27" s="478" t="s">
        <v>1659</v>
      </c>
      <c r="H27" s="478" t="s">
        <v>108</v>
      </c>
      <c r="I27" s="478" t="s">
        <v>1686</v>
      </c>
      <c r="J27" s="478" t="s">
        <v>1665</v>
      </c>
      <c r="K27" s="478" t="s">
        <v>600</v>
      </c>
      <c r="L27" s="479" t="s">
        <v>1687</v>
      </c>
      <c r="M27" s="383">
        <f>I7</f>
        <v>0</v>
      </c>
      <c r="U27" s="403">
        <v>598</v>
      </c>
      <c r="X27" s="406"/>
    </row>
    <row r="28" spans="1:38" x14ac:dyDescent="0.25">
      <c r="B28" s="480">
        <f t="shared" ref="B28:B87" si="0">IF(D28&lt;=$G$24,0,IF(D28&gt;$K$24,"",IF($G$11=$Y$8,$G$15+$G$16,$G$15)))</f>
        <v>0</v>
      </c>
      <c r="C28" s="481" t="str">
        <f>+IF(D28="","",IF(D28&lt;=$G$24,"Grace period","contract maturity"))</f>
        <v>Grace period</v>
      </c>
      <c r="D28" s="482">
        <v>1</v>
      </c>
      <c r="E28" s="483">
        <f>IF(G11=Y8,G15+G16,G15)</f>
        <v>50000</v>
      </c>
      <c r="F28" s="484">
        <f t="shared" ref="F28:F87" si="1">IF(C28=$E$24,0,IF(D28&gt;$K$24,"",IF(D28&lt;=$K$24,$G$20/$K$20,0)))</f>
        <v>0</v>
      </c>
      <c r="G28" s="485">
        <f>IF(C28="grace period",0,IF(D28&gt;$K$24,"",IF(E28=0,$G$15*$K$21,E28*$K$21)))</f>
        <v>0</v>
      </c>
      <c r="H28" s="484">
        <f t="shared" ref="H28:H89" si="2">IF(D28&lt;=$G$24,0,IF(D28&gt;$K$24,"",K28-J28-G28-F28-I28))</f>
        <v>0</v>
      </c>
      <c r="I28" s="485">
        <f>IF(D28&lt;=$G$24,0,IF(D28&gt;$K$24,"",IF($G$11=$Y$10,IF(D28=$K$24,(($G$16-($G$17*$K$18))/$K$20)+($G$17*$K$18),(($G$16-($G$17*$K$18))/$K$20)),0)))</f>
        <v>0</v>
      </c>
      <c r="J28" s="485">
        <f t="shared" ref="J28:J87" si="3">IF(D28&lt;=$G$24,0,IF(D28&gt;$K$24,"",$G$21/$K$20))</f>
        <v>0</v>
      </c>
      <c r="K28" s="484">
        <f t="shared" ref="K28:K87" si="4">IF(B28=0,F28+G28,IF(D28&lt;=$G$24,0,IF(D28&gt;$K$24,"",IF($G$11=$Y$10,IF(D28=$K$24,$G$17+$K$15+($G$17*$K$18),IF(D28&lt;$K$24,$K$15,0)),IF(D28=$K$24,$G$17+$K$15,IF(D28&lt;$K$24,$K$15,0))))))</f>
        <v>0</v>
      </c>
      <c r="L28" s="486">
        <f>IF(D28&gt;$K$24,"",E28-H28)</f>
        <v>50000</v>
      </c>
      <c r="M28" s="406" t="str">
        <f>$K$7</f>
        <v>رقم العقد</v>
      </c>
      <c r="U28" s="403">
        <v>599</v>
      </c>
      <c r="AB28" s="406">
        <f>+K28-J28-H28-G28-F28</f>
        <v>0</v>
      </c>
      <c r="AD28" s="406">
        <f>+SUM(G28:G87)</f>
        <v>14999.969259032274</v>
      </c>
      <c r="AE28" s="406">
        <f>+AD28-G18</f>
        <v>-3.0740967726160306E-2</v>
      </c>
    </row>
    <row r="29" spans="1:38" x14ac:dyDescent="0.25">
      <c r="B29" s="487">
        <f t="shared" si="0"/>
        <v>0</v>
      </c>
      <c r="C29" s="488" t="str">
        <f t="shared" ref="C29:C87" si="5">+IF(D29="","",IF(D29&lt;=$G$24,"Grace period","contract maturity"))</f>
        <v>Grace period</v>
      </c>
      <c r="D29" s="489">
        <f t="shared" ref="D29:D87" si="6">IFERROR(IF(D28+1&gt;$K$24,"",D28+1),"")</f>
        <v>2</v>
      </c>
      <c r="E29" s="490">
        <f>+IF(AND(B29&gt;1,E28=0,B29),B29,L28)</f>
        <v>50000</v>
      </c>
      <c r="F29" s="491">
        <f t="shared" si="1"/>
        <v>0</v>
      </c>
      <c r="G29" s="492">
        <f t="shared" ref="G29:G89" si="7">IF(C29="grace period",0,IF(D29&gt;$K$24,"",IF(E29=0,$G$15*$K$21,E29*$K$21)))</f>
        <v>0</v>
      </c>
      <c r="H29" s="491">
        <f t="shared" si="2"/>
        <v>0</v>
      </c>
      <c r="I29" s="492">
        <f t="shared" ref="I29:I87" si="8">IF(D29&lt;=$G$24,0,IF(D29&gt;$K$24,"",IF($G$11=$Y$10,IF(D29=$K$24,(($G$16-($G$17*$K$18))/$K$20)+($G$17*$K$18),(($G$16-($G$17*$K$18))/$K$20)),0)))</f>
        <v>0</v>
      </c>
      <c r="J29" s="492">
        <f t="shared" si="3"/>
        <v>0</v>
      </c>
      <c r="K29" s="491">
        <f t="shared" si="4"/>
        <v>0</v>
      </c>
      <c r="L29" s="493">
        <f t="shared" ref="L29:L87" si="9">IF(D29&gt;$K$24,"",E29-H29)</f>
        <v>50000</v>
      </c>
      <c r="M29" s="406" t="str">
        <f t="shared" ref="M29:M87" si="10">$K$7</f>
        <v>رقم العقد</v>
      </c>
      <c r="O29" s="406">
        <f t="shared" ref="O29:O48" si="11">+K29-F29-G29</f>
        <v>0</v>
      </c>
      <c r="U29" s="403">
        <v>601</v>
      </c>
      <c r="AB29" s="406">
        <f t="shared" ref="AB29:AB39" si="12">+K29-J29-H29-G29-F29</f>
        <v>0</v>
      </c>
    </row>
    <row r="30" spans="1:38" x14ac:dyDescent="0.25">
      <c r="B30" s="487">
        <f t="shared" si="0"/>
        <v>0</v>
      </c>
      <c r="C30" s="488" t="str">
        <f t="shared" si="5"/>
        <v>Grace period</v>
      </c>
      <c r="D30" s="489">
        <f t="shared" si="6"/>
        <v>3</v>
      </c>
      <c r="E30" s="490">
        <f t="shared" ref="E30:E87" si="13">+IF(AND(B30&gt;1,E29=0,B30),B30,L29)</f>
        <v>50000</v>
      </c>
      <c r="F30" s="491">
        <f t="shared" si="1"/>
        <v>0</v>
      </c>
      <c r="G30" s="492">
        <f t="shared" si="7"/>
        <v>0</v>
      </c>
      <c r="H30" s="491">
        <f t="shared" si="2"/>
        <v>0</v>
      </c>
      <c r="I30" s="492">
        <f t="shared" si="8"/>
        <v>0</v>
      </c>
      <c r="J30" s="492">
        <f t="shared" si="3"/>
        <v>0</v>
      </c>
      <c r="K30" s="491">
        <f t="shared" si="4"/>
        <v>0</v>
      </c>
      <c r="L30" s="493">
        <f t="shared" si="9"/>
        <v>50000</v>
      </c>
      <c r="M30" s="406" t="str">
        <f t="shared" si="10"/>
        <v>رقم العقد</v>
      </c>
      <c r="O30" s="406">
        <f t="shared" si="11"/>
        <v>0</v>
      </c>
      <c r="U30" s="403">
        <v>620</v>
      </c>
      <c r="AB30" s="406">
        <f t="shared" si="12"/>
        <v>0</v>
      </c>
    </row>
    <row r="31" spans="1:38" x14ac:dyDescent="0.25">
      <c r="B31" s="487">
        <f t="shared" si="0"/>
        <v>0</v>
      </c>
      <c r="C31" s="488" t="str">
        <f t="shared" si="5"/>
        <v>Grace period</v>
      </c>
      <c r="D31" s="489">
        <f t="shared" si="6"/>
        <v>4</v>
      </c>
      <c r="E31" s="490">
        <f t="shared" si="13"/>
        <v>50000</v>
      </c>
      <c r="F31" s="491">
        <f t="shared" si="1"/>
        <v>0</v>
      </c>
      <c r="G31" s="492">
        <f t="shared" si="7"/>
        <v>0</v>
      </c>
      <c r="H31" s="491">
        <f t="shared" si="2"/>
        <v>0</v>
      </c>
      <c r="I31" s="492">
        <f t="shared" si="8"/>
        <v>0</v>
      </c>
      <c r="J31" s="492">
        <f t="shared" si="3"/>
        <v>0</v>
      </c>
      <c r="K31" s="491">
        <f t="shared" si="4"/>
        <v>0</v>
      </c>
      <c r="L31" s="493">
        <f t="shared" si="9"/>
        <v>50000</v>
      </c>
      <c r="M31" s="406" t="str">
        <f t="shared" si="10"/>
        <v>رقم العقد</v>
      </c>
      <c r="O31" s="406">
        <f t="shared" si="11"/>
        <v>0</v>
      </c>
      <c r="U31" s="403">
        <v>672</v>
      </c>
      <c r="AB31" s="406">
        <f t="shared" si="12"/>
        <v>0</v>
      </c>
    </row>
    <row r="32" spans="1:38" x14ac:dyDescent="0.25">
      <c r="B32" s="487">
        <f t="shared" si="0"/>
        <v>0</v>
      </c>
      <c r="C32" s="488" t="str">
        <f t="shared" si="5"/>
        <v>Grace period</v>
      </c>
      <c r="D32" s="489">
        <f t="shared" si="6"/>
        <v>5</v>
      </c>
      <c r="E32" s="490">
        <f t="shared" si="13"/>
        <v>50000</v>
      </c>
      <c r="F32" s="491">
        <f t="shared" si="1"/>
        <v>0</v>
      </c>
      <c r="G32" s="492">
        <f t="shared" si="7"/>
        <v>0</v>
      </c>
      <c r="H32" s="491">
        <f t="shared" si="2"/>
        <v>0</v>
      </c>
      <c r="I32" s="492">
        <f t="shared" si="8"/>
        <v>0</v>
      </c>
      <c r="J32" s="492">
        <f t="shared" si="3"/>
        <v>0</v>
      </c>
      <c r="K32" s="491">
        <f t="shared" si="4"/>
        <v>0</v>
      </c>
      <c r="L32" s="493">
        <f t="shared" si="9"/>
        <v>50000</v>
      </c>
      <c r="M32" s="406" t="str">
        <f t="shared" si="10"/>
        <v>رقم العقد</v>
      </c>
      <c r="O32" s="406">
        <f t="shared" si="11"/>
        <v>0</v>
      </c>
      <c r="U32" s="403">
        <v>704</v>
      </c>
      <c r="AB32" s="406">
        <f t="shared" si="12"/>
        <v>0</v>
      </c>
    </row>
    <row r="33" spans="2:28" x14ac:dyDescent="0.25">
      <c r="B33" s="487">
        <f t="shared" si="0"/>
        <v>0</v>
      </c>
      <c r="C33" s="488" t="str">
        <f t="shared" si="5"/>
        <v>Grace period</v>
      </c>
      <c r="D33" s="489">
        <f t="shared" si="6"/>
        <v>6</v>
      </c>
      <c r="E33" s="490">
        <f t="shared" si="13"/>
        <v>50000</v>
      </c>
      <c r="F33" s="491">
        <f t="shared" si="1"/>
        <v>0</v>
      </c>
      <c r="G33" s="492">
        <f t="shared" si="7"/>
        <v>0</v>
      </c>
      <c r="H33" s="491">
        <f t="shared" si="2"/>
        <v>0</v>
      </c>
      <c r="I33" s="492">
        <f t="shared" si="8"/>
        <v>0</v>
      </c>
      <c r="J33" s="492">
        <f t="shared" si="3"/>
        <v>0</v>
      </c>
      <c r="K33" s="491">
        <f t="shared" si="4"/>
        <v>0</v>
      </c>
      <c r="L33" s="493">
        <f t="shared" si="9"/>
        <v>50000</v>
      </c>
      <c r="M33" s="406" t="str">
        <f t="shared" si="10"/>
        <v>رقم العقد</v>
      </c>
      <c r="O33" s="406">
        <f t="shared" si="11"/>
        <v>0</v>
      </c>
      <c r="U33" s="403">
        <v>707</v>
      </c>
      <c r="AB33" s="406">
        <f t="shared" si="12"/>
        <v>0</v>
      </c>
    </row>
    <row r="34" spans="2:28" x14ac:dyDescent="0.25">
      <c r="B34" s="487">
        <f t="shared" si="0"/>
        <v>50000</v>
      </c>
      <c r="C34" s="488" t="str">
        <f t="shared" si="5"/>
        <v>contract maturity</v>
      </c>
      <c r="D34" s="489">
        <f t="shared" si="6"/>
        <v>7</v>
      </c>
      <c r="E34" s="490">
        <f t="shared" si="13"/>
        <v>50000</v>
      </c>
      <c r="F34" s="491">
        <f t="shared" si="1"/>
        <v>0</v>
      </c>
      <c r="G34" s="492">
        <f t="shared" si="7"/>
        <v>891.88135190651883</v>
      </c>
      <c r="H34" s="491">
        <f t="shared" si="2"/>
        <v>1274.7886480934812</v>
      </c>
      <c r="I34" s="492">
        <f t="shared" si="8"/>
        <v>0</v>
      </c>
      <c r="J34" s="492">
        <f t="shared" si="3"/>
        <v>0</v>
      </c>
      <c r="K34" s="491">
        <f t="shared" si="4"/>
        <v>2166.67</v>
      </c>
      <c r="L34" s="493">
        <f t="shared" si="9"/>
        <v>48725.211351906517</v>
      </c>
      <c r="M34" s="406" t="str">
        <f t="shared" si="10"/>
        <v>رقم العقد</v>
      </c>
      <c r="O34" s="406">
        <f t="shared" si="11"/>
        <v>1274.7886480934812</v>
      </c>
      <c r="U34" s="403">
        <v>730</v>
      </c>
      <c r="AB34" s="406">
        <f t="shared" si="12"/>
        <v>0</v>
      </c>
    </row>
    <row r="35" spans="2:28" x14ac:dyDescent="0.25">
      <c r="B35" s="487">
        <f t="shared" si="0"/>
        <v>50000</v>
      </c>
      <c r="C35" s="488" t="str">
        <f t="shared" si="5"/>
        <v>contract maturity</v>
      </c>
      <c r="D35" s="489">
        <f t="shared" si="6"/>
        <v>8</v>
      </c>
      <c r="E35" s="490">
        <f t="shared" si="13"/>
        <v>48725.211351906517</v>
      </c>
      <c r="F35" s="491">
        <f t="shared" si="1"/>
        <v>0</v>
      </c>
      <c r="G35" s="492">
        <f t="shared" si="7"/>
        <v>869.14214744938477</v>
      </c>
      <c r="H35" s="491">
        <f t="shared" si="2"/>
        <v>1297.5278525506153</v>
      </c>
      <c r="I35" s="492">
        <f t="shared" si="8"/>
        <v>0</v>
      </c>
      <c r="J35" s="492">
        <f t="shared" si="3"/>
        <v>0</v>
      </c>
      <c r="K35" s="491">
        <f t="shared" si="4"/>
        <v>2166.67</v>
      </c>
      <c r="L35" s="493">
        <f t="shared" si="9"/>
        <v>47427.683499355902</v>
      </c>
      <c r="M35" s="406" t="str">
        <f t="shared" si="10"/>
        <v>رقم العقد</v>
      </c>
      <c r="O35" s="406">
        <f t="shared" si="11"/>
        <v>1297.5278525506153</v>
      </c>
      <c r="U35" s="403">
        <v>765</v>
      </c>
      <c r="AB35" s="406">
        <f t="shared" si="12"/>
        <v>0</v>
      </c>
    </row>
    <row r="36" spans="2:28" x14ac:dyDescent="0.25">
      <c r="B36" s="487">
        <f t="shared" si="0"/>
        <v>50000</v>
      </c>
      <c r="C36" s="488" t="str">
        <f t="shared" si="5"/>
        <v>contract maturity</v>
      </c>
      <c r="D36" s="489">
        <f t="shared" si="6"/>
        <v>9</v>
      </c>
      <c r="E36" s="490">
        <f t="shared" si="13"/>
        <v>47427.683499355902</v>
      </c>
      <c r="F36" s="491">
        <f t="shared" si="1"/>
        <v>0</v>
      </c>
      <c r="G36" s="492">
        <f t="shared" si="7"/>
        <v>845.99732954400076</v>
      </c>
      <c r="H36" s="491">
        <f t="shared" si="2"/>
        <v>1320.6726704559992</v>
      </c>
      <c r="I36" s="492">
        <f t="shared" si="8"/>
        <v>0</v>
      </c>
      <c r="J36" s="492">
        <f t="shared" si="3"/>
        <v>0</v>
      </c>
      <c r="K36" s="491">
        <f t="shared" si="4"/>
        <v>2166.67</v>
      </c>
      <c r="L36" s="493">
        <f t="shared" si="9"/>
        <v>46107.010828899904</v>
      </c>
      <c r="M36" s="406" t="str">
        <f t="shared" si="10"/>
        <v>رقم العقد</v>
      </c>
      <c r="O36" s="406">
        <f t="shared" si="11"/>
        <v>1320.6726704559992</v>
      </c>
      <c r="U36" s="403">
        <v>786</v>
      </c>
      <c r="AB36" s="406">
        <f t="shared" si="12"/>
        <v>1.1368683772161603E-13</v>
      </c>
    </row>
    <row r="37" spans="2:28" x14ac:dyDescent="0.25">
      <c r="B37" s="487">
        <f t="shared" si="0"/>
        <v>50000</v>
      </c>
      <c r="C37" s="488" t="str">
        <f t="shared" si="5"/>
        <v>contract maturity</v>
      </c>
      <c r="D37" s="489">
        <f t="shared" si="6"/>
        <v>10</v>
      </c>
      <c r="E37" s="490">
        <f t="shared" si="13"/>
        <v>46107.010828899904</v>
      </c>
      <c r="F37" s="491">
        <f t="shared" si="1"/>
        <v>0</v>
      </c>
      <c r="G37" s="492">
        <f t="shared" si="7"/>
        <v>822.43966300895499</v>
      </c>
      <c r="H37" s="491">
        <f t="shared" si="2"/>
        <v>1344.2303369910451</v>
      </c>
      <c r="I37" s="492">
        <f t="shared" si="8"/>
        <v>0</v>
      </c>
      <c r="J37" s="492">
        <f t="shared" si="3"/>
        <v>0</v>
      </c>
      <c r="K37" s="491">
        <f t="shared" si="4"/>
        <v>2166.67</v>
      </c>
      <c r="L37" s="493">
        <f t="shared" si="9"/>
        <v>44762.780491908859</v>
      </c>
      <c r="M37" s="406" t="str">
        <f t="shared" si="10"/>
        <v>رقم العقد</v>
      </c>
      <c r="O37" s="406">
        <f t="shared" si="11"/>
        <v>1344.2303369910451</v>
      </c>
      <c r="U37" s="403">
        <v>790</v>
      </c>
      <c r="AB37" s="406">
        <f t="shared" si="12"/>
        <v>0</v>
      </c>
    </row>
    <row r="38" spans="2:28" x14ac:dyDescent="0.25">
      <c r="B38" s="487">
        <f t="shared" si="0"/>
        <v>50000</v>
      </c>
      <c r="C38" s="488" t="str">
        <f t="shared" si="5"/>
        <v>contract maturity</v>
      </c>
      <c r="D38" s="489">
        <f t="shared" si="6"/>
        <v>11</v>
      </c>
      <c r="E38" s="490">
        <f t="shared" si="13"/>
        <v>44762.780491908859</v>
      </c>
      <c r="F38" s="491">
        <f t="shared" si="1"/>
        <v>0</v>
      </c>
      <c r="G38" s="492">
        <f t="shared" si="7"/>
        <v>798.46178360436841</v>
      </c>
      <c r="H38" s="491">
        <f t="shared" si="2"/>
        <v>1368.2082163956316</v>
      </c>
      <c r="I38" s="492">
        <f t="shared" si="8"/>
        <v>0</v>
      </c>
      <c r="J38" s="492">
        <f t="shared" si="3"/>
        <v>0</v>
      </c>
      <c r="K38" s="491">
        <f t="shared" si="4"/>
        <v>2166.67</v>
      </c>
      <c r="L38" s="493">
        <f t="shared" si="9"/>
        <v>43394.57227551323</v>
      </c>
      <c r="M38" s="406" t="str">
        <f t="shared" si="10"/>
        <v>رقم العقد</v>
      </c>
      <c r="O38" s="406">
        <f t="shared" si="11"/>
        <v>1368.2082163956316</v>
      </c>
      <c r="U38" s="403">
        <v>815</v>
      </c>
      <c r="AB38" s="406">
        <f t="shared" si="12"/>
        <v>1.1368683772161603E-13</v>
      </c>
    </row>
    <row r="39" spans="2:28" x14ac:dyDescent="0.25">
      <c r="B39" s="487">
        <f t="shared" si="0"/>
        <v>50000</v>
      </c>
      <c r="C39" s="488" t="str">
        <f t="shared" si="5"/>
        <v>contract maturity</v>
      </c>
      <c r="D39" s="489">
        <f t="shared" si="6"/>
        <v>12</v>
      </c>
      <c r="E39" s="490">
        <f t="shared" si="13"/>
        <v>43394.57227551323</v>
      </c>
      <c r="F39" s="491">
        <f t="shared" si="1"/>
        <v>0</v>
      </c>
      <c r="G39" s="492">
        <f t="shared" si="7"/>
        <v>774.05619572979754</v>
      </c>
      <c r="H39" s="491">
        <f t="shared" si="2"/>
        <v>1392.6138042702025</v>
      </c>
      <c r="I39" s="492">
        <f t="shared" si="8"/>
        <v>0</v>
      </c>
      <c r="J39" s="492">
        <f t="shared" si="3"/>
        <v>0</v>
      </c>
      <c r="K39" s="491">
        <f t="shared" si="4"/>
        <v>2166.67</v>
      </c>
      <c r="L39" s="493">
        <f t="shared" si="9"/>
        <v>42001.95847124303</v>
      </c>
      <c r="M39" s="406" t="str">
        <f t="shared" si="10"/>
        <v>رقم العقد</v>
      </c>
      <c r="O39" s="406">
        <f t="shared" si="11"/>
        <v>1392.6138042702025</v>
      </c>
      <c r="U39" s="403">
        <v>824</v>
      </c>
      <c r="AB39" s="406">
        <f t="shared" si="12"/>
        <v>0</v>
      </c>
    </row>
    <row r="40" spans="2:28" x14ac:dyDescent="0.25">
      <c r="B40" s="487">
        <f t="shared" si="0"/>
        <v>50000</v>
      </c>
      <c r="C40" s="488" t="str">
        <f t="shared" si="5"/>
        <v>contract maturity</v>
      </c>
      <c r="D40" s="489">
        <f t="shared" si="6"/>
        <v>13</v>
      </c>
      <c r="E40" s="490">
        <f t="shared" si="13"/>
        <v>42001.95847124303</v>
      </c>
      <c r="F40" s="491">
        <f t="shared" si="1"/>
        <v>0</v>
      </c>
      <c r="G40" s="492">
        <f t="shared" si="7"/>
        <v>749.21527008107387</v>
      </c>
      <c r="H40" s="491">
        <f t="shared" si="2"/>
        <v>1417.4547299189262</v>
      </c>
      <c r="I40" s="492">
        <f t="shared" si="8"/>
        <v>0</v>
      </c>
      <c r="J40" s="492">
        <f t="shared" si="3"/>
        <v>0</v>
      </c>
      <c r="K40" s="491">
        <f t="shared" si="4"/>
        <v>2166.67</v>
      </c>
      <c r="L40" s="493">
        <f t="shared" si="9"/>
        <v>40584.503741324101</v>
      </c>
      <c r="M40" s="406" t="str">
        <f t="shared" si="10"/>
        <v>رقم العقد</v>
      </c>
      <c r="O40" s="406">
        <f t="shared" si="11"/>
        <v>1417.4547299189262</v>
      </c>
      <c r="U40" s="403">
        <v>1000</v>
      </c>
    </row>
    <row r="41" spans="2:28" ht="15.75" thickBot="1" x14ac:dyDescent="0.3">
      <c r="B41" s="487">
        <f t="shared" si="0"/>
        <v>50000</v>
      </c>
      <c r="C41" s="488" t="str">
        <f t="shared" si="5"/>
        <v>contract maturity</v>
      </c>
      <c r="D41" s="489">
        <f t="shared" si="6"/>
        <v>14</v>
      </c>
      <c r="E41" s="490">
        <f t="shared" si="13"/>
        <v>40584.503741324101</v>
      </c>
      <c r="F41" s="491">
        <f t="shared" si="1"/>
        <v>0</v>
      </c>
      <c r="G41" s="492">
        <f t="shared" si="7"/>
        <v>723.93124126534622</v>
      </c>
      <c r="H41" s="491">
        <f t="shared" si="2"/>
        <v>1442.7387587346539</v>
      </c>
      <c r="I41" s="492">
        <f t="shared" si="8"/>
        <v>0</v>
      </c>
      <c r="J41" s="492">
        <f t="shared" si="3"/>
        <v>0</v>
      </c>
      <c r="K41" s="491">
        <f t="shared" si="4"/>
        <v>2166.67</v>
      </c>
      <c r="L41" s="493">
        <f t="shared" si="9"/>
        <v>39141.764982589448</v>
      </c>
      <c r="M41" s="406" t="str">
        <f t="shared" si="10"/>
        <v>رقم العقد</v>
      </c>
      <c r="O41" s="406">
        <f t="shared" si="11"/>
        <v>1442.7387587346539</v>
      </c>
      <c r="U41" s="494">
        <v>1028</v>
      </c>
    </row>
    <row r="42" spans="2:28" x14ac:dyDescent="0.25">
      <c r="B42" s="487">
        <f t="shared" si="0"/>
        <v>50000</v>
      </c>
      <c r="C42" s="488" t="str">
        <f t="shared" si="5"/>
        <v>contract maturity</v>
      </c>
      <c r="D42" s="489">
        <f t="shared" si="6"/>
        <v>15</v>
      </c>
      <c r="E42" s="490">
        <f t="shared" si="13"/>
        <v>39141.764982589448</v>
      </c>
      <c r="F42" s="491">
        <f t="shared" si="1"/>
        <v>0</v>
      </c>
      <c r="G42" s="492">
        <f t="shared" si="7"/>
        <v>698.1962053735823</v>
      </c>
      <c r="H42" s="491">
        <f t="shared" si="2"/>
        <v>1468.4737946264177</v>
      </c>
      <c r="I42" s="492">
        <f t="shared" si="8"/>
        <v>0</v>
      </c>
      <c r="J42" s="492">
        <f t="shared" si="3"/>
        <v>0</v>
      </c>
      <c r="K42" s="491">
        <f t="shared" si="4"/>
        <v>2166.67</v>
      </c>
      <c r="L42" s="493">
        <f t="shared" si="9"/>
        <v>37673.291187963026</v>
      </c>
      <c r="M42" s="406" t="str">
        <f t="shared" si="10"/>
        <v>رقم العقد</v>
      </c>
      <c r="O42" s="406">
        <f t="shared" si="11"/>
        <v>1468.4737946264177</v>
      </c>
    </row>
    <row r="43" spans="2:28" x14ac:dyDescent="0.25">
      <c r="B43" s="487">
        <f t="shared" si="0"/>
        <v>50000</v>
      </c>
      <c r="C43" s="488" t="str">
        <f t="shared" si="5"/>
        <v>contract maturity</v>
      </c>
      <c r="D43" s="489">
        <f t="shared" si="6"/>
        <v>16</v>
      </c>
      <c r="E43" s="490">
        <f t="shared" si="13"/>
        <v>37673.291187963026</v>
      </c>
      <c r="F43" s="491">
        <f t="shared" si="1"/>
        <v>0</v>
      </c>
      <c r="G43" s="492">
        <f t="shared" si="7"/>
        <v>672.00211750976814</v>
      </c>
      <c r="H43" s="491">
        <f t="shared" si="2"/>
        <v>1494.6678824902319</v>
      </c>
      <c r="I43" s="492">
        <f t="shared" si="8"/>
        <v>0</v>
      </c>
      <c r="J43" s="492">
        <f t="shared" si="3"/>
        <v>0</v>
      </c>
      <c r="K43" s="491">
        <f t="shared" si="4"/>
        <v>2166.67</v>
      </c>
      <c r="L43" s="493">
        <f t="shared" si="9"/>
        <v>36178.623305472793</v>
      </c>
      <c r="M43" s="406" t="str">
        <f t="shared" si="10"/>
        <v>رقم العقد</v>
      </c>
      <c r="O43" s="406">
        <f t="shared" si="11"/>
        <v>1494.6678824902319</v>
      </c>
    </row>
    <row r="44" spans="2:28" x14ac:dyDescent="0.25">
      <c r="B44" s="487">
        <f t="shared" si="0"/>
        <v>50000</v>
      </c>
      <c r="C44" s="488" t="str">
        <f t="shared" si="5"/>
        <v>contract maturity</v>
      </c>
      <c r="D44" s="489">
        <f t="shared" si="6"/>
        <v>17</v>
      </c>
      <c r="E44" s="490">
        <f t="shared" si="13"/>
        <v>36178.623305472793</v>
      </c>
      <c r="F44" s="491">
        <f t="shared" si="1"/>
        <v>0</v>
      </c>
      <c r="G44" s="492">
        <f t="shared" si="7"/>
        <v>645.34078927603525</v>
      </c>
      <c r="H44" s="491">
        <f t="shared" si="2"/>
        <v>1521.3292107239649</v>
      </c>
      <c r="I44" s="492">
        <f t="shared" si="8"/>
        <v>0</v>
      </c>
      <c r="J44" s="492">
        <f t="shared" si="3"/>
        <v>0</v>
      </c>
      <c r="K44" s="491">
        <f t="shared" si="4"/>
        <v>2166.67</v>
      </c>
      <c r="L44" s="493">
        <f t="shared" si="9"/>
        <v>34657.294094748824</v>
      </c>
      <c r="M44" s="406" t="str">
        <f t="shared" si="10"/>
        <v>رقم العقد</v>
      </c>
      <c r="O44" s="406">
        <f t="shared" si="11"/>
        <v>1521.3292107239649</v>
      </c>
    </row>
    <row r="45" spans="2:28" x14ac:dyDescent="0.25">
      <c r="B45" s="487">
        <f t="shared" si="0"/>
        <v>50000</v>
      </c>
      <c r="C45" s="488" t="str">
        <f t="shared" si="5"/>
        <v>contract maturity</v>
      </c>
      <c r="D45" s="489">
        <f t="shared" si="6"/>
        <v>18</v>
      </c>
      <c r="E45" s="490">
        <f t="shared" si="13"/>
        <v>34657.294094748824</v>
      </c>
      <c r="F45" s="491">
        <f t="shared" si="1"/>
        <v>0</v>
      </c>
      <c r="G45" s="492">
        <f t="shared" si="7"/>
        <v>618.20388621292784</v>
      </c>
      <c r="H45" s="491">
        <f t="shared" si="2"/>
        <v>1548.4661137870721</v>
      </c>
      <c r="I45" s="492">
        <f t="shared" si="8"/>
        <v>0</v>
      </c>
      <c r="J45" s="492">
        <f t="shared" si="3"/>
        <v>0</v>
      </c>
      <c r="K45" s="491">
        <f t="shared" si="4"/>
        <v>2166.67</v>
      </c>
      <c r="L45" s="493">
        <f t="shared" si="9"/>
        <v>33108.827980961752</v>
      </c>
      <c r="M45" s="406" t="str">
        <f t="shared" si="10"/>
        <v>رقم العقد</v>
      </c>
      <c r="O45" s="406">
        <f t="shared" si="11"/>
        <v>1548.4661137870721</v>
      </c>
    </row>
    <row r="46" spans="2:28" x14ac:dyDescent="0.25">
      <c r="B46" s="487">
        <f t="shared" si="0"/>
        <v>50000</v>
      </c>
      <c r="C46" s="488" t="str">
        <f t="shared" si="5"/>
        <v>contract maturity</v>
      </c>
      <c r="D46" s="489">
        <f t="shared" si="6"/>
        <v>19</v>
      </c>
      <c r="E46" s="490">
        <f t="shared" si="13"/>
        <v>33108.827980961752</v>
      </c>
      <c r="F46" s="491">
        <f t="shared" si="1"/>
        <v>0</v>
      </c>
      <c r="G46" s="492">
        <f t="shared" si="7"/>
        <v>590.58292519401084</v>
      </c>
      <c r="H46" s="491">
        <f t="shared" si="2"/>
        <v>1576.0870748059892</v>
      </c>
      <c r="I46" s="492">
        <f t="shared" si="8"/>
        <v>0</v>
      </c>
      <c r="J46" s="492">
        <f t="shared" si="3"/>
        <v>0</v>
      </c>
      <c r="K46" s="491">
        <f t="shared" si="4"/>
        <v>2166.67</v>
      </c>
      <c r="L46" s="493">
        <f t="shared" si="9"/>
        <v>31532.740906155763</v>
      </c>
      <c r="M46" s="406" t="str">
        <f t="shared" si="10"/>
        <v>رقم العقد</v>
      </c>
      <c r="O46" s="406">
        <f t="shared" si="11"/>
        <v>1576.0870748059892</v>
      </c>
    </row>
    <row r="47" spans="2:28" x14ac:dyDescent="0.25">
      <c r="B47" s="487">
        <f t="shared" si="0"/>
        <v>50000</v>
      </c>
      <c r="C47" s="488" t="str">
        <f t="shared" si="5"/>
        <v>contract maturity</v>
      </c>
      <c r="D47" s="489">
        <f t="shared" si="6"/>
        <v>20</v>
      </c>
      <c r="E47" s="490">
        <f t="shared" si="13"/>
        <v>31532.740906155763</v>
      </c>
      <c r="F47" s="491">
        <f t="shared" si="1"/>
        <v>0</v>
      </c>
      <c r="G47" s="492">
        <f t="shared" si="7"/>
        <v>562.4692717740038</v>
      </c>
      <c r="H47" s="491">
        <f t="shared" si="2"/>
        <v>1604.2007282259963</v>
      </c>
      <c r="I47" s="492">
        <f t="shared" si="8"/>
        <v>0</v>
      </c>
      <c r="J47" s="492">
        <f t="shared" si="3"/>
        <v>0</v>
      </c>
      <c r="K47" s="491">
        <f t="shared" si="4"/>
        <v>2166.67</v>
      </c>
      <c r="L47" s="493">
        <f t="shared" si="9"/>
        <v>29928.540177929768</v>
      </c>
      <c r="M47" s="406" t="str">
        <f t="shared" si="10"/>
        <v>رقم العقد</v>
      </c>
      <c r="O47" s="406">
        <f t="shared" si="11"/>
        <v>1604.2007282259963</v>
      </c>
    </row>
    <row r="48" spans="2:28" x14ac:dyDescent="0.25">
      <c r="B48" s="487">
        <f t="shared" si="0"/>
        <v>50000</v>
      </c>
      <c r="C48" s="488" t="str">
        <f t="shared" si="5"/>
        <v>contract maturity</v>
      </c>
      <c r="D48" s="489">
        <f t="shared" si="6"/>
        <v>21</v>
      </c>
      <c r="E48" s="490">
        <f t="shared" si="13"/>
        <v>29928.540177929768</v>
      </c>
      <c r="F48" s="491">
        <f t="shared" si="1"/>
        <v>0</v>
      </c>
      <c r="G48" s="492">
        <f t="shared" si="7"/>
        <v>533.85413748961128</v>
      </c>
      <c r="H48" s="491">
        <f t="shared" si="2"/>
        <v>1632.8158625103888</v>
      </c>
      <c r="I48" s="492">
        <f t="shared" si="8"/>
        <v>0</v>
      </c>
      <c r="J48" s="492">
        <f t="shared" si="3"/>
        <v>0</v>
      </c>
      <c r="K48" s="491">
        <f t="shared" si="4"/>
        <v>2166.67</v>
      </c>
      <c r="L48" s="493">
        <f t="shared" si="9"/>
        <v>28295.724315419378</v>
      </c>
      <c r="M48" s="406" t="str">
        <f t="shared" si="10"/>
        <v>رقم العقد</v>
      </c>
      <c r="O48" s="406">
        <f t="shared" si="11"/>
        <v>1632.8158625103888</v>
      </c>
    </row>
    <row r="49" spans="2:13" x14ac:dyDescent="0.25">
      <c r="B49" s="487">
        <f t="shared" si="0"/>
        <v>50000</v>
      </c>
      <c r="C49" s="488" t="str">
        <f t="shared" si="5"/>
        <v>contract maturity</v>
      </c>
      <c r="D49" s="489">
        <f t="shared" si="6"/>
        <v>22</v>
      </c>
      <c r="E49" s="490">
        <f t="shared" si="13"/>
        <v>28295.724315419378</v>
      </c>
      <c r="F49" s="491">
        <f t="shared" si="1"/>
        <v>0</v>
      </c>
      <c r="G49" s="492">
        <f t="shared" si="7"/>
        <v>504.7285771122078</v>
      </c>
      <c r="H49" s="491">
        <f t="shared" si="2"/>
        <v>1661.9414228877922</v>
      </c>
      <c r="I49" s="492">
        <f t="shared" si="8"/>
        <v>0</v>
      </c>
      <c r="J49" s="492">
        <f t="shared" si="3"/>
        <v>0</v>
      </c>
      <c r="K49" s="491">
        <f t="shared" si="4"/>
        <v>2166.67</v>
      </c>
      <c r="L49" s="493">
        <f t="shared" si="9"/>
        <v>26633.782892531584</v>
      </c>
      <c r="M49" s="406" t="str">
        <f t="shared" si="10"/>
        <v>رقم العقد</v>
      </c>
    </row>
    <row r="50" spans="2:13" x14ac:dyDescent="0.25">
      <c r="B50" s="487">
        <f t="shared" si="0"/>
        <v>50000</v>
      </c>
      <c r="C50" s="488" t="str">
        <f t="shared" si="5"/>
        <v>contract maturity</v>
      </c>
      <c r="D50" s="489">
        <f t="shared" si="6"/>
        <v>23</v>
      </c>
      <c r="E50" s="490">
        <f t="shared" si="13"/>
        <v>26633.782892531584</v>
      </c>
      <c r="F50" s="491">
        <f t="shared" si="1"/>
        <v>0</v>
      </c>
      <c r="G50" s="492">
        <f t="shared" si="7"/>
        <v>475.08348585151566</v>
      </c>
      <c r="H50" s="491">
        <f t="shared" si="2"/>
        <v>1691.5865141484844</v>
      </c>
      <c r="I50" s="492">
        <f t="shared" si="8"/>
        <v>0</v>
      </c>
      <c r="J50" s="492">
        <f t="shared" si="3"/>
        <v>0</v>
      </c>
      <c r="K50" s="491">
        <f t="shared" si="4"/>
        <v>2166.67</v>
      </c>
      <c r="L50" s="493">
        <f t="shared" si="9"/>
        <v>24942.196378383102</v>
      </c>
      <c r="M50" s="406" t="str">
        <f t="shared" si="10"/>
        <v>رقم العقد</v>
      </c>
    </row>
    <row r="51" spans="2:13" x14ac:dyDescent="0.25">
      <c r="B51" s="487">
        <f t="shared" si="0"/>
        <v>50000</v>
      </c>
      <c r="C51" s="488" t="str">
        <f t="shared" si="5"/>
        <v>contract maturity</v>
      </c>
      <c r="D51" s="489">
        <f t="shared" si="6"/>
        <v>24</v>
      </c>
      <c r="E51" s="490">
        <f t="shared" si="13"/>
        <v>24942.196378383102</v>
      </c>
      <c r="F51" s="491">
        <f t="shared" si="1"/>
        <v>0</v>
      </c>
      <c r="G51" s="492">
        <f t="shared" si="7"/>
        <v>444.90959650940397</v>
      </c>
      <c r="H51" s="491">
        <f t="shared" si="2"/>
        <v>1721.7604034905962</v>
      </c>
      <c r="I51" s="492">
        <f t="shared" si="8"/>
        <v>0</v>
      </c>
      <c r="J51" s="492">
        <f t="shared" si="3"/>
        <v>0</v>
      </c>
      <c r="K51" s="491">
        <f t="shared" si="4"/>
        <v>2166.67</v>
      </c>
      <c r="L51" s="493">
        <f t="shared" si="9"/>
        <v>23220.435974892505</v>
      </c>
      <c r="M51" s="406" t="str">
        <f t="shared" si="10"/>
        <v>رقم العقد</v>
      </c>
    </row>
    <row r="52" spans="2:13" x14ac:dyDescent="0.25">
      <c r="B52" s="487">
        <f t="shared" si="0"/>
        <v>50000</v>
      </c>
      <c r="C52" s="488" t="str">
        <f t="shared" si="5"/>
        <v>contract maturity</v>
      </c>
      <c r="D52" s="489">
        <f t="shared" si="6"/>
        <v>25</v>
      </c>
      <c r="E52" s="490">
        <f t="shared" si="13"/>
        <v>23220.435974892505</v>
      </c>
      <c r="F52" s="491">
        <f t="shared" si="1"/>
        <v>0</v>
      </c>
      <c r="G52" s="492">
        <f t="shared" si="7"/>
        <v>414.19747658291783</v>
      </c>
      <c r="H52" s="491">
        <f t="shared" si="2"/>
        <v>1752.4725234170824</v>
      </c>
      <c r="I52" s="492">
        <f t="shared" si="8"/>
        <v>0</v>
      </c>
      <c r="J52" s="492">
        <f t="shared" si="3"/>
        <v>0</v>
      </c>
      <c r="K52" s="491">
        <f t="shared" si="4"/>
        <v>2166.67</v>
      </c>
      <c r="L52" s="493">
        <f t="shared" si="9"/>
        <v>21467.963451475422</v>
      </c>
      <c r="M52" s="406" t="str">
        <f t="shared" si="10"/>
        <v>رقم العقد</v>
      </c>
    </row>
    <row r="53" spans="2:13" x14ac:dyDescent="0.25">
      <c r="B53" s="487">
        <f t="shared" si="0"/>
        <v>50000</v>
      </c>
      <c r="C53" s="488" t="str">
        <f t="shared" si="5"/>
        <v>contract maturity</v>
      </c>
      <c r="D53" s="489">
        <f t="shared" si="6"/>
        <v>26</v>
      </c>
      <c r="E53" s="490">
        <f t="shared" si="13"/>
        <v>21467.963451475422</v>
      </c>
      <c r="F53" s="491">
        <f t="shared" si="1"/>
        <v>0</v>
      </c>
      <c r="G53" s="492">
        <f t="shared" si="7"/>
        <v>382.93752531563268</v>
      </c>
      <c r="H53" s="491">
        <f t="shared" si="2"/>
        <v>1783.7324746843674</v>
      </c>
      <c r="I53" s="492">
        <f t="shared" si="8"/>
        <v>0</v>
      </c>
      <c r="J53" s="492">
        <f t="shared" si="3"/>
        <v>0</v>
      </c>
      <c r="K53" s="491">
        <f t="shared" si="4"/>
        <v>2166.67</v>
      </c>
      <c r="L53" s="493">
        <f t="shared" si="9"/>
        <v>19684.230976791056</v>
      </c>
      <c r="M53" s="406" t="str">
        <f t="shared" si="10"/>
        <v>رقم العقد</v>
      </c>
    </row>
    <row r="54" spans="2:13" x14ac:dyDescent="0.25">
      <c r="B54" s="487">
        <f t="shared" si="0"/>
        <v>50000</v>
      </c>
      <c r="C54" s="488" t="str">
        <f t="shared" si="5"/>
        <v>contract maturity</v>
      </c>
      <c r="D54" s="489">
        <f t="shared" si="6"/>
        <v>27</v>
      </c>
      <c r="E54" s="490">
        <f t="shared" si="13"/>
        <v>19684.230976791056</v>
      </c>
      <c r="F54" s="491">
        <f t="shared" si="1"/>
        <v>0</v>
      </c>
      <c r="G54" s="492">
        <f t="shared" si="7"/>
        <v>351.1199706964116</v>
      </c>
      <c r="H54" s="491">
        <f t="shared" si="2"/>
        <v>1815.5500293035884</v>
      </c>
      <c r="I54" s="492">
        <f t="shared" si="8"/>
        <v>0</v>
      </c>
      <c r="J54" s="492">
        <f t="shared" si="3"/>
        <v>0</v>
      </c>
      <c r="K54" s="491">
        <f t="shared" si="4"/>
        <v>2166.67</v>
      </c>
      <c r="L54" s="493">
        <f t="shared" si="9"/>
        <v>17868.680947487468</v>
      </c>
      <c r="M54" s="406" t="str">
        <f t="shared" si="10"/>
        <v>رقم العقد</v>
      </c>
    </row>
    <row r="55" spans="2:13" x14ac:dyDescent="0.25">
      <c r="B55" s="487">
        <f t="shared" si="0"/>
        <v>50000</v>
      </c>
      <c r="C55" s="488" t="str">
        <f t="shared" si="5"/>
        <v>contract maturity</v>
      </c>
      <c r="D55" s="489">
        <f t="shared" si="6"/>
        <v>28</v>
      </c>
      <c r="E55" s="490">
        <f t="shared" si="13"/>
        <v>17868.680947487468</v>
      </c>
      <c r="F55" s="491">
        <f t="shared" si="1"/>
        <v>0</v>
      </c>
      <c r="G55" s="492">
        <f t="shared" si="7"/>
        <v>318.73486640462755</v>
      </c>
      <c r="H55" s="491">
        <f t="shared" si="2"/>
        <v>1847.9351335953725</v>
      </c>
      <c r="I55" s="492">
        <f t="shared" si="8"/>
        <v>0</v>
      </c>
      <c r="J55" s="492">
        <f t="shared" si="3"/>
        <v>0</v>
      </c>
      <c r="K55" s="491">
        <f t="shared" si="4"/>
        <v>2166.67</v>
      </c>
      <c r="L55" s="493">
        <f t="shared" si="9"/>
        <v>16020.745813892096</v>
      </c>
      <c r="M55" s="406" t="str">
        <f t="shared" si="10"/>
        <v>رقم العقد</v>
      </c>
    </row>
    <row r="56" spans="2:13" x14ac:dyDescent="0.25">
      <c r="B56" s="487">
        <f t="shared" si="0"/>
        <v>50000</v>
      </c>
      <c r="C56" s="488" t="str">
        <f t="shared" si="5"/>
        <v>contract maturity</v>
      </c>
      <c r="D56" s="489">
        <f t="shared" si="6"/>
        <v>29</v>
      </c>
      <c r="E56" s="490">
        <f t="shared" si="13"/>
        <v>16020.745813892096</v>
      </c>
      <c r="F56" s="491">
        <f t="shared" si="1"/>
        <v>0</v>
      </c>
      <c r="G56" s="492">
        <f t="shared" si="7"/>
        <v>285.77208870089567</v>
      </c>
      <c r="H56" s="491">
        <f t="shared" si="2"/>
        <v>1880.8979112991044</v>
      </c>
      <c r="I56" s="492">
        <f t="shared" si="8"/>
        <v>0</v>
      </c>
      <c r="J56" s="492">
        <f t="shared" si="3"/>
        <v>0</v>
      </c>
      <c r="K56" s="491">
        <f t="shared" si="4"/>
        <v>2166.67</v>
      </c>
      <c r="L56" s="493">
        <f t="shared" si="9"/>
        <v>14139.847902592992</v>
      </c>
      <c r="M56" s="406" t="str">
        <f t="shared" si="10"/>
        <v>رقم العقد</v>
      </c>
    </row>
    <row r="57" spans="2:13" x14ac:dyDescent="0.25">
      <c r="B57" s="487">
        <f t="shared" si="0"/>
        <v>50000</v>
      </c>
      <c r="C57" s="488" t="str">
        <f t="shared" si="5"/>
        <v>contract maturity</v>
      </c>
      <c r="D57" s="489">
        <f t="shared" si="6"/>
        <v>30</v>
      </c>
      <c r="E57" s="490">
        <f t="shared" si="13"/>
        <v>14139.847902592992</v>
      </c>
      <c r="F57" s="491">
        <f t="shared" si="1"/>
        <v>0</v>
      </c>
      <c r="G57" s="492">
        <f t="shared" si="7"/>
        <v>252.22133326234385</v>
      </c>
      <c r="H57" s="491">
        <f t="shared" si="2"/>
        <v>1914.4486667376561</v>
      </c>
      <c r="I57" s="492">
        <f t="shared" si="8"/>
        <v>0</v>
      </c>
      <c r="J57" s="492">
        <f t="shared" si="3"/>
        <v>0</v>
      </c>
      <c r="K57" s="491">
        <f t="shared" si="4"/>
        <v>2166.67</v>
      </c>
      <c r="L57" s="493">
        <f t="shared" si="9"/>
        <v>12225.399235855335</v>
      </c>
      <c r="M57" s="406" t="str">
        <f t="shared" si="10"/>
        <v>رقم العقد</v>
      </c>
    </row>
    <row r="58" spans="2:13" x14ac:dyDescent="0.25">
      <c r="B58" s="487">
        <f t="shared" si="0"/>
        <v>50000</v>
      </c>
      <c r="C58" s="488" t="str">
        <f t="shared" si="5"/>
        <v>contract maturity</v>
      </c>
      <c r="D58" s="489">
        <f t="shared" si="6"/>
        <v>31</v>
      </c>
      <c r="E58" s="490">
        <f t="shared" si="13"/>
        <v>12225.399235855335</v>
      </c>
      <c r="F58" s="491">
        <f t="shared" si="1"/>
        <v>0</v>
      </c>
      <c r="G58" s="492">
        <f t="shared" si="7"/>
        <v>218.07211196143155</v>
      </c>
      <c r="H58" s="491">
        <f t="shared" si="2"/>
        <v>1948.5978880385685</v>
      </c>
      <c r="I58" s="492">
        <f t="shared" si="8"/>
        <v>0</v>
      </c>
      <c r="J58" s="492">
        <f t="shared" si="3"/>
        <v>0</v>
      </c>
      <c r="K58" s="491">
        <f t="shared" si="4"/>
        <v>2166.67</v>
      </c>
      <c r="L58" s="493">
        <f t="shared" si="9"/>
        <v>10276.801347816767</v>
      </c>
      <c r="M58" s="406" t="str">
        <f t="shared" si="10"/>
        <v>رقم العقد</v>
      </c>
    </row>
    <row r="59" spans="2:13" x14ac:dyDescent="0.25">
      <c r="B59" s="487">
        <f t="shared" si="0"/>
        <v>50000</v>
      </c>
      <c r="C59" s="488" t="str">
        <f t="shared" si="5"/>
        <v>contract maturity</v>
      </c>
      <c r="D59" s="489">
        <f t="shared" si="6"/>
        <v>32</v>
      </c>
      <c r="E59" s="490">
        <f t="shared" si="13"/>
        <v>10276.801347816767</v>
      </c>
      <c r="F59" s="491">
        <f t="shared" si="1"/>
        <v>0</v>
      </c>
      <c r="G59" s="492">
        <f t="shared" si="7"/>
        <v>183.31374958731104</v>
      </c>
      <c r="H59" s="491">
        <f t="shared" si="2"/>
        <v>1983.356250412689</v>
      </c>
      <c r="I59" s="492">
        <f t="shared" si="8"/>
        <v>0</v>
      </c>
      <c r="J59" s="492">
        <f t="shared" si="3"/>
        <v>0</v>
      </c>
      <c r="K59" s="491">
        <f t="shared" si="4"/>
        <v>2166.67</v>
      </c>
      <c r="L59" s="493">
        <f t="shared" si="9"/>
        <v>8293.4450974040774</v>
      </c>
      <c r="M59" s="406" t="str">
        <f t="shared" si="10"/>
        <v>رقم العقد</v>
      </c>
    </row>
    <row r="60" spans="2:13" x14ac:dyDescent="0.25">
      <c r="B60" s="487">
        <f t="shared" si="0"/>
        <v>50000</v>
      </c>
      <c r="C60" s="488" t="str">
        <f t="shared" si="5"/>
        <v>contract maturity</v>
      </c>
      <c r="D60" s="489">
        <f t="shared" si="6"/>
        <v>33</v>
      </c>
      <c r="E60" s="490">
        <f t="shared" si="13"/>
        <v>8293.4450974040774</v>
      </c>
      <c r="F60" s="491">
        <f t="shared" si="1"/>
        <v>0</v>
      </c>
      <c r="G60" s="492">
        <f t="shared" si="7"/>
        <v>147.93538050870478</v>
      </c>
      <c r="H60" s="491">
        <f t="shared" si="2"/>
        <v>2018.7346194912952</v>
      </c>
      <c r="I60" s="492">
        <f t="shared" si="8"/>
        <v>0</v>
      </c>
      <c r="J60" s="492">
        <f t="shared" si="3"/>
        <v>0</v>
      </c>
      <c r="K60" s="491">
        <f t="shared" si="4"/>
        <v>2166.67</v>
      </c>
      <c r="L60" s="493">
        <f t="shared" si="9"/>
        <v>6274.7104779127822</v>
      </c>
      <c r="M60" s="406" t="str">
        <f t="shared" si="10"/>
        <v>رقم العقد</v>
      </c>
    </row>
    <row r="61" spans="2:13" x14ac:dyDescent="0.25">
      <c r="B61" s="487">
        <f t="shared" si="0"/>
        <v>50000</v>
      </c>
      <c r="C61" s="488" t="str">
        <f t="shared" si="5"/>
        <v>contract maturity</v>
      </c>
      <c r="D61" s="489">
        <f t="shared" si="6"/>
        <v>34</v>
      </c>
      <c r="E61" s="490">
        <f t="shared" si="13"/>
        <v>6274.7104779127822</v>
      </c>
      <c r="F61" s="491">
        <f t="shared" si="1"/>
        <v>0</v>
      </c>
      <c r="G61" s="492">
        <f t="shared" si="7"/>
        <v>111.92594527725701</v>
      </c>
      <c r="H61" s="491">
        <f t="shared" si="2"/>
        <v>2054.7440547227429</v>
      </c>
      <c r="I61" s="492">
        <f t="shared" si="8"/>
        <v>0</v>
      </c>
      <c r="J61" s="492">
        <f t="shared" si="3"/>
        <v>0</v>
      </c>
      <c r="K61" s="491">
        <f t="shared" si="4"/>
        <v>2166.67</v>
      </c>
      <c r="L61" s="493">
        <f t="shared" si="9"/>
        <v>4219.9664231900388</v>
      </c>
      <c r="M61" s="406" t="str">
        <f t="shared" si="10"/>
        <v>رقم العقد</v>
      </c>
    </row>
    <row r="62" spans="2:13" x14ac:dyDescent="0.25">
      <c r="B62" s="487">
        <f t="shared" si="0"/>
        <v>50000</v>
      </c>
      <c r="C62" s="488" t="str">
        <f t="shared" si="5"/>
        <v>contract maturity</v>
      </c>
      <c r="D62" s="489">
        <f t="shared" si="6"/>
        <v>35</v>
      </c>
      <c r="E62" s="490">
        <f t="shared" si="13"/>
        <v>4219.9664231900388</v>
      </c>
      <c r="F62" s="491">
        <f t="shared" si="1"/>
        <v>0</v>
      </c>
      <c r="G62" s="492">
        <f t="shared" si="7"/>
        <v>75.274187170296969</v>
      </c>
      <c r="H62" s="491">
        <f t="shared" si="2"/>
        <v>2091.3958128297031</v>
      </c>
      <c r="I62" s="492">
        <f t="shared" si="8"/>
        <v>0</v>
      </c>
      <c r="J62" s="492">
        <f t="shared" si="3"/>
        <v>0</v>
      </c>
      <c r="K62" s="491">
        <f t="shared" si="4"/>
        <v>2166.67</v>
      </c>
      <c r="L62" s="493">
        <f t="shared" si="9"/>
        <v>2128.5706103603356</v>
      </c>
      <c r="M62" s="406" t="str">
        <f t="shared" si="10"/>
        <v>رقم العقد</v>
      </c>
    </row>
    <row r="63" spans="2:13" x14ac:dyDescent="0.25">
      <c r="B63" s="487">
        <f t="shared" si="0"/>
        <v>50000</v>
      </c>
      <c r="C63" s="488" t="str">
        <f t="shared" si="5"/>
        <v>contract maturity</v>
      </c>
      <c r="D63" s="489">
        <f t="shared" si="6"/>
        <v>36</v>
      </c>
      <c r="E63" s="490">
        <f t="shared" si="13"/>
        <v>2128.5706103603356</v>
      </c>
      <c r="F63" s="491">
        <f t="shared" si="1"/>
        <v>0</v>
      </c>
      <c r="G63" s="492">
        <f t="shared" si="7"/>
        <v>37.968648671933202</v>
      </c>
      <c r="H63" s="491">
        <f t="shared" si="2"/>
        <v>2128.7013513280667</v>
      </c>
      <c r="I63" s="492">
        <f t="shared" si="8"/>
        <v>0</v>
      </c>
      <c r="J63" s="492">
        <f t="shared" si="3"/>
        <v>0</v>
      </c>
      <c r="K63" s="491">
        <f t="shared" si="4"/>
        <v>2166.67</v>
      </c>
      <c r="L63" s="493">
        <f t="shared" si="9"/>
        <v>-0.13074096773107158</v>
      </c>
      <c r="M63" s="406" t="str">
        <f t="shared" si="10"/>
        <v>رقم العقد</v>
      </c>
    </row>
    <row r="64" spans="2:13" x14ac:dyDescent="0.25">
      <c r="B64" s="487" t="str">
        <f t="shared" si="0"/>
        <v/>
      </c>
      <c r="C64" s="488" t="str">
        <f t="shared" si="5"/>
        <v/>
      </c>
      <c r="D64" s="489" t="str">
        <f t="shared" si="6"/>
        <v/>
      </c>
      <c r="E64" s="490">
        <f t="shared" si="13"/>
        <v>-0.13074096773107158</v>
      </c>
      <c r="F64" s="491" t="str">
        <f t="shared" si="1"/>
        <v/>
      </c>
      <c r="G64" s="492" t="str">
        <f t="shared" si="7"/>
        <v/>
      </c>
      <c r="H64" s="491" t="str">
        <f t="shared" si="2"/>
        <v/>
      </c>
      <c r="I64" s="492" t="str">
        <f t="shared" si="8"/>
        <v/>
      </c>
      <c r="J64" s="492" t="str">
        <f t="shared" si="3"/>
        <v/>
      </c>
      <c r="K64" s="491" t="str">
        <f t="shared" si="4"/>
        <v/>
      </c>
      <c r="L64" s="493" t="str">
        <f t="shared" si="9"/>
        <v/>
      </c>
      <c r="M64" s="406" t="str">
        <f t="shared" si="10"/>
        <v>رقم العقد</v>
      </c>
    </row>
    <row r="65" spans="2:13" x14ac:dyDescent="0.25">
      <c r="B65" s="487" t="str">
        <f t="shared" si="0"/>
        <v/>
      </c>
      <c r="C65" s="488" t="str">
        <f t="shared" si="5"/>
        <v/>
      </c>
      <c r="D65" s="489" t="str">
        <f t="shared" si="6"/>
        <v/>
      </c>
      <c r="E65" s="490" t="str">
        <f t="shared" si="13"/>
        <v/>
      </c>
      <c r="F65" s="491" t="str">
        <f t="shared" si="1"/>
        <v/>
      </c>
      <c r="G65" s="492" t="str">
        <f t="shared" si="7"/>
        <v/>
      </c>
      <c r="H65" s="491" t="str">
        <f t="shared" si="2"/>
        <v/>
      </c>
      <c r="I65" s="492" t="str">
        <f t="shared" si="8"/>
        <v/>
      </c>
      <c r="J65" s="492" t="str">
        <f t="shared" si="3"/>
        <v/>
      </c>
      <c r="K65" s="491" t="str">
        <f t="shared" si="4"/>
        <v/>
      </c>
      <c r="L65" s="493" t="str">
        <f t="shared" si="9"/>
        <v/>
      </c>
      <c r="M65" s="406" t="str">
        <f t="shared" si="10"/>
        <v>رقم العقد</v>
      </c>
    </row>
    <row r="66" spans="2:13" x14ac:dyDescent="0.25">
      <c r="B66" s="487" t="str">
        <f t="shared" si="0"/>
        <v/>
      </c>
      <c r="C66" s="488" t="str">
        <f t="shared" si="5"/>
        <v/>
      </c>
      <c r="D66" s="489" t="str">
        <f t="shared" si="6"/>
        <v/>
      </c>
      <c r="E66" s="490" t="str">
        <f t="shared" si="13"/>
        <v/>
      </c>
      <c r="F66" s="491" t="str">
        <f t="shared" si="1"/>
        <v/>
      </c>
      <c r="G66" s="492" t="str">
        <f t="shared" si="7"/>
        <v/>
      </c>
      <c r="H66" s="491" t="str">
        <f t="shared" si="2"/>
        <v/>
      </c>
      <c r="I66" s="492" t="str">
        <f t="shared" si="8"/>
        <v/>
      </c>
      <c r="J66" s="492" t="str">
        <f t="shared" si="3"/>
        <v/>
      </c>
      <c r="K66" s="491" t="str">
        <f t="shared" si="4"/>
        <v/>
      </c>
      <c r="L66" s="493" t="str">
        <f t="shared" si="9"/>
        <v/>
      </c>
      <c r="M66" s="406" t="str">
        <f t="shared" si="10"/>
        <v>رقم العقد</v>
      </c>
    </row>
    <row r="67" spans="2:13" x14ac:dyDescent="0.25">
      <c r="B67" s="487" t="str">
        <f t="shared" si="0"/>
        <v/>
      </c>
      <c r="C67" s="488" t="str">
        <f t="shared" si="5"/>
        <v/>
      </c>
      <c r="D67" s="489" t="str">
        <f t="shared" si="6"/>
        <v/>
      </c>
      <c r="E67" s="490" t="str">
        <f t="shared" si="13"/>
        <v/>
      </c>
      <c r="F67" s="491" t="str">
        <f t="shared" si="1"/>
        <v/>
      </c>
      <c r="G67" s="492" t="str">
        <f t="shared" si="7"/>
        <v/>
      </c>
      <c r="H67" s="491" t="str">
        <f t="shared" si="2"/>
        <v/>
      </c>
      <c r="I67" s="492" t="str">
        <f t="shared" si="8"/>
        <v/>
      </c>
      <c r="J67" s="492" t="str">
        <f t="shared" si="3"/>
        <v/>
      </c>
      <c r="K67" s="491" t="str">
        <f t="shared" si="4"/>
        <v/>
      </c>
      <c r="L67" s="493" t="str">
        <f t="shared" si="9"/>
        <v/>
      </c>
      <c r="M67" s="406" t="str">
        <f t="shared" si="10"/>
        <v>رقم العقد</v>
      </c>
    </row>
    <row r="68" spans="2:13" x14ac:dyDescent="0.25">
      <c r="B68" s="487" t="str">
        <f t="shared" si="0"/>
        <v/>
      </c>
      <c r="C68" s="488" t="str">
        <f t="shared" si="5"/>
        <v/>
      </c>
      <c r="D68" s="489" t="str">
        <f t="shared" si="6"/>
        <v/>
      </c>
      <c r="E68" s="490" t="str">
        <f t="shared" si="13"/>
        <v/>
      </c>
      <c r="F68" s="491" t="str">
        <f t="shared" si="1"/>
        <v/>
      </c>
      <c r="G68" s="492" t="str">
        <f t="shared" si="7"/>
        <v/>
      </c>
      <c r="H68" s="491" t="str">
        <f t="shared" si="2"/>
        <v/>
      </c>
      <c r="I68" s="492" t="str">
        <f t="shared" si="8"/>
        <v/>
      </c>
      <c r="J68" s="492" t="str">
        <f t="shared" si="3"/>
        <v/>
      </c>
      <c r="K68" s="491" t="str">
        <f t="shared" si="4"/>
        <v/>
      </c>
      <c r="L68" s="493" t="str">
        <f t="shared" si="9"/>
        <v/>
      </c>
      <c r="M68" s="406" t="str">
        <f t="shared" si="10"/>
        <v>رقم العقد</v>
      </c>
    </row>
    <row r="69" spans="2:13" x14ac:dyDescent="0.25">
      <c r="B69" s="487" t="str">
        <f t="shared" si="0"/>
        <v/>
      </c>
      <c r="C69" s="488" t="str">
        <f t="shared" si="5"/>
        <v/>
      </c>
      <c r="D69" s="489" t="str">
        <f t="shared" si="6"/>
        <v/>
      </c>
      <c r="E69" s="490" t="str">
        <f t="shared" si="13"/>
        <v/>
      </c>
      <c r="F69" s="491" t="str">
        <f t="shared" si="1"/>
        <v/>
      </c>
      <c r="G69" s="492" t="str">
        <f t="shared" si="7"/>
        <v/>
      </c>
      <c r="H69" s="491" t="str">
        <f t="shared" si="2"/>
        <v/>
      </c>
      <c r="I69" s="492" t="str">
        <f t="shared" si="8"/>
        <v/>
      </c>
      <c r="J69" s="492" t="str">
        <f t="shared" si="3"/>
        <v/>
      </c>
      <c r="K69" s="491" t="str">
        <f t="shared" si="4"/>
        <v/>
      </c>
      <c r="L69" s="493" t="str">
        <f t="shared" si="9"/>
        <v/>
      </c>
      <c r="M69" s="406" t="str">
        <f t="shared" si="10"/>
        <v>رقم العقد</v>
      </c>
    </row>
    <row r="70" spans="2:13" x14ac:dyDescent="0.25">
      <c r="B70" s="487" t="str">
        <f t="shared" si="0"/>
        <v/>
      </c>
      <c r="C70" s="488" t="str">
        <f t="shared" si="5"/>
        <v/>
      </c>
      <c r="D70" s="489" t="str">
        <f t="shared" si="6"/>
        <v/>
      </c>
      <c r="E70" s="490" t="str">
        <f t="shared" si="13"/>
        <v/>
      </c>
      <c r="F70" s="491" t="str">
        <f t="shared" si="1"/>
        <v/>
      </c>
      <c r="G70" s="492" t="str">
        <f t="shared" si="7"/>
        <v/>
      </c>
      <c r="H70" s="491" t="str">
        <f t="shared" si="2"/>
        <v/>
      </c>
      <c r="I70" s="492" t="str">
        <f t="shared" si="8"/>
        <v/>
      </c>
      <c r="J70" s="492" t="str">
        <f t="shared" si="3"/>
        <v/>
      </c>
      <c r="K70" s="491" t="str">
        <f t="shared" si="4"/>
        <v/>
      </c>
      <c r="L70" s="493" t="str">
        <f t="shared" si="9"/>
        <v/>
      </c>
      <c r="M70" s="406" t="str">
        <f t="shared" si="10"/>
        <v>رقم العقد</v>
      </c>
    </row>
    <row r="71" spans="2:13" x14ac:dyDescent="0.25">
      <c r="B71" s="487" t="str">
        <f t="shared" si="0"/>
        <v/>
      </c>
      <c r="C71" s="488" t="str">
        <f t="shared" si="5"/>
        <v/>
      </c>
      <c r="D71" s="489" t="str">
        <f t="shared" si="6"/>
        <v/>
      </c>
      <c r="E71" s="490" t="str">
        <f t="shared" si="13"/>
        <v/>
      </c>
      <c r="F71" s="491" t="str">
        <f t="shared" si="1"/>
        <v/>
      </c>
      <c r="G71" s="492" t="str">
        <f t="shared" si="7"/>
        <v/>
      </c>
      <c r="H71" s="491" t="str">
        <f t="shared" si="2"/>
        <v/>
      </c>
      <c r="I71" s="492" t="str">
        <f t="shared" si="8"/>
        <v/>
      </c>
      <c r="J71" s="492" t="str">
        <f t="shared" si="3"/>
        <v/>
      </c>
      <c r="K71" s="491" t="str">
        <f t="shared" si="4"/>
        <v/>
      </c>
      <c r="L71" s="493" t="str">
        <f t="shared" si="9"/>
        <v/>
      </c>
      <c r="M71" s="406" t="str">
        <f t="shared" si="10"/>
        <v>رقم العقد</v>
      </c>
    </row>
    <row r="72" spans="2:13" x14ac:dyDescent="0.25">
      <c r="B72" s="487" t="str">
        <f t="shared" si="0"/>
        <v/>
      </c>
      <c r="C72" s="488" t="str">
        <f t="shared" si="5"/>
        <v/>
      </c>
      <c r="D72" s="489" t="str">
        <f t="shared" si="6"/>
        <v/>
      </c>
      <c r="E72" s="490" t="str">
        <f t="shared" si="13"/>
        <v/>
      </c>
      <c r="F72" s="491" t="str">
        <f t="shared" si="1"/>
        <v/>
      </c>
      <c r="G72" s="492" t="str">
        <f t="shared" si="7"/>
        <v/>
      </c>
      <c r="H72" s="491" t="str">
        <f t="shared" si="2"/>
        <v/>
      </c>
      <c r="I72" s="492" t="str">
        <f t="shared" si="8"/>
        <v/>
      </c>
      <c r="J72" s="492" t="str">
        <f t="shared" si="3"/>
        <v/>
      </c>
      <c r="K72" s="491" t="str">
        <f t="shared" si="4"/>
        <v/>
      </c>
      <c r="L72" s="493" t="str">
        <f t="shared" si="9"/>
        <v/>
      </c>
      <c r="M72" s="406" t="str">
        <f t="shared" si="10"/>
        <v>رقم العقد</v>
      </c>
    </row>
    <row r="73" spans="2:13" x14ac:dyDescent="0.25">
      <c r="B73" s="487" t="str">
        <f t="shared" si="0"/>
        <v/>
      </c>
      <c r="C73" s="488" t="str">
        <f t="shared" si="5"/>
        <v/>
      </c>
      <c r="D73" s="489" t="str">
        <f t="shared" si="6"/>
        <v/>
      </c>
      <c r="E73" s="490" t="str">
        <f t="shared" si="13"/>
        <v/>
      </c>
      <c r="F73" s="491" t="str">
        <f t="shared" si="1"/>
        <v/>
      </c>
      <c r="G73" s="492" t="str">
        <f t="shared" si="7"/>
        <v/>
      </c>
      <c r="H73" s="491" t="str">
        <f t="shared" si="2"/>
        <v/>
      </c>
      <c r="I73" s="492" t="str">
        <f t="shared" si="8"/>
        <v/>
      </c>
      <c r="J73" s="492" t="str">
        <f t="shared" si="3"/>
        <v/>
      </c>
      <c r="K73" s="491" t="str">
        <f t="shared" si="4"/>
        <v/>
      </c>
      <c r="L73" s="493" t="str">
        <f t="shared" si="9"/>
        <v/>
      </c>
      <c r="M73" s="406" t="str">
        <f t="shared" si="10"/>
        <v>رقم العقد</v>
      </c>
    </row>
    <row r="74" spans="2:13" x14ac:dyDescent="0.25">
      <c r="B74" s="487" t="str">
        <f t="shared" si="0"/>
        <v/>
      </c>
      <c r="C74" s="488" t="str">
        <f t="shared" si="5"/>
        <v/>
      </c>
      <c r="D74" s="489" t="str">
        <f t="shared" si="6"/>
        <v/>
      </c>
      <c r="E74" s="490" t="str">
        <f t="shared" si="13"/>
        <v/>
      </c>
      <c r="F74" s="491" t="str">
        <f t="shared" si="1"/>
        <v/>
      </c>
      <c r="G74" s="492" t="str">
        <f t="shared" si="7"/>
        <v/>
      </c>
      <c r="H74" s="491" t="str">
        <f t="shared" si="2"/>
        <v/>
      </c>
      <c r="I74" s="492" t="str">
        <f t="shared" si="8"/>
        <v/>
      </c>
      <c r="J74" s="492" t="str">
        <f t="shared" si="3"/>
        <v/>
      </c>
      <c r="K74" s="491" t="str">
        <f t="shared" si="4"/>
        <v/>
      </c>
      <c r="L74" s="493" t="str">
        <f t="shared" si="9"/>
        <v/>
      </c>
      <c r="M74" s="406" t="str">
        <f t="shared" si="10"/>
        <v>رقم العقد</v>
      </c>
    </row>
    <row r="75" spans="2:13" x14ac:dyDescent="0.25">
      <c r="B75" s="487" t="str">
        <f t="shared" si="0"/>
        <v/>
      </c>
      <c r="C75" s="488" t="str">
        <f t="shared" si="5"/>
        <v/>
      </c>
      <c r="D75" s="489" t="str">
        <f t="shared" si="6"/>
        <v/>
      </c>
      <c r="E75" s="490" t="str">
        <f t="shared" si="13"/>
        <v/>
      </c>
      <c r="F75" s="491" t="str">
        <f t="shared" si="1"/>
        <v/>
      </c>
      <c r="G75" s="492" t="str">
        <f t="shared" si="7"/>
        <v/>
      </c>
      <c r="H75" s="491" t="str">
        <f t="shared" si="2"/>
        <v/>
      </c>
      <c r="I75" s="492" t="str">
        <f t="shared" si="8"/>
        <v/>
      </c>
      <c r="J75" s="492" t="str">
        <f t="shared" si="3"/>
        <v/>
      </c>
      <c r="K75" s="491" t="str">
        <f t="shared" si="4"/>
        <v/>
      </c>
      <c r="L75" s="493" t="str">
        <f t="shared" si="9"/>
        <v/>
      </c>
      <c r="M75" s="406" t="str">
        <f t="shared" si="10"/>
        <v>رقم العقد</v>
      </c>
    </row>
    <row r="76" spans="2:13" x14ac:dyDescent="0.25">
      <c r="B76" s="487" t="str">
        <f t="shared" si="0"/>
        <v/>
      </c>
      <c r="C76" s="488" t="str">
        <f t="shared" si="5"/>
        <v/>
      </c>
      <c r="D76" s="489" t="str">
        <f t="shared" si="6"/>
        <v/>
      </c>
      <c r="E76" s="490" t="str">
        <f t="shared" si="13"/>
        <v/>
      </c>
      <c r="F76" s="491" t="str">
        <f t="shared" si="1"/>
        <v/>
      </c>
      <c r="G76" s="492" t="str">
        <f t="shared" si="7"/>
        <v/>
      </c>
      <c r="H76" s="491" t="str">
        <f t="shared" si="2"/>
        <v/>
      </c>
      <c r="I76" s="492" t="str">
        <f t="shared" si="8"/>
        <v/>
      </c>
      <c r="J76" s="492" t="str">
        <f t="shared" si="3"/>
        <v/>
      </c>
      <c r="K76" s="491" t="str">
        <f t="shared" si="4"/>
        <v/>
      </c>
      <c r="L76" s="493" t="str">
        <f t="shared" si="9"/>
        <v/>
      </c>
      <c r="M76" s="406" t="str">
        <f t="shared" si="10"/>
        <v>رقم العقد</v>
      </c>
    </row>
    <row r="77" spans="2:13" x14ac:dyDescent="0.25">
      <c r="B77" s="487" t="str">
        <f t="shared" si="0"/>
        <v/>
      </c>
      <c r="C77" s="488" t="str">
        <f t="shared" si="5"/>
        <v/>
      </c>
      <c r="D77" s="489" t="str">
        <f t="shared" si="6"/>
        <v/>
      </c>
      <c r="E77" s="490" t="str">
        <f t="shared" si="13"/>
        <v/>
      </c>
      <c r="F77" s="491" t="str">
        <f t="shared" si="1"/>
        <v/>
      </c>
      <c r="G77" s="492" t="str">
        <f t="shared" si="7"/>
        <v/>
      </c>
      <c r="H77" s="491" t="str">
        <f t="shared" si="2"/>
        <v/>
      </c>
      <c r="I77" s="492" t="str">
        <f t="shared" si="8"/>
        <v/>
      </c>
      <c r="J77" s="492" t="str">
        <f t="shared" si="3"/>
        <v/>
      </c>
      <c r="K77" s="491" t="str">
        <f t="shared" si="4"/>
        <v/>
      </c>
      <c r="L77" s="493" t="str">
        <f t="shared" si="9"/>
        <v/>
      </c>
      <c r="M77" s="406" t="str">
        <f t="shared" si="10"/>
        <v>رقم العقد</v>
      </c>
    </row>
    <row r="78" spans="2:13" x14ac:dyDescent="0.25">
      <c r="B78" s="487" t="str">
        <f t="shared" si="0"/>
        <v/>
      </c>
      <c r="C78" s="488" t="str">
        <f t="shared" si="5"/>
        <v/>
      </c>
      <c r="D78" s="489" t="str">
        <f t="shared" si="6"/>
        <v/>
      </c>
      <c r="E78" s="490" t="str">
        <f t="shared" si="13"/>
        <v/>
      </c>
      <c r="F78" s="491" t="str">
        <f t="shared" si="1"/>
        <v/>
      </c>
      <c r="G78" s="492" t="str">
        <f t="shared" si="7"/>
        <v/>
      </c>
      <c r="H78" s="491" t="str">
        <f t="shared" si="2"/>
        <v/>
      </c>
      <c r="I78" s="492" t="str">
        <f t="shared" si="8"/>
        <v/>
      </c>
      <c r="J78" s="492" t="str">
        <f t="shared" si="3"/>
        <v/>
      </c>
      <c r="K78" s="491" t="str">
        <f t="shared" si="4"/>
        <v/>
      </c>
      <c r="L78" s="493" t="str">
        <f t="shared" si="9"/>
        <v/>
      </c>
      <c r="M78" s="406" t="str">
        <f t="shared" si="10"/>
        <v>رقم العقد</v>
      </c>
    </row>
    <row r="79" spans="2:13" x14ac:dyDescent="0.25">
      <c r="B79" s="487" t="str">
        <f t="shared" si="0"/>
        <v/>
      </c>
      <c r="C79" s="488" t="str">
        <f t="shared" si="5"/>
        <v/>
      </c>
      <c r="D79" s="489" t="str">
        <f t="shared" si="6"/>
        <v/>
      </c>
      <c r="E79" s="490" t="str">
        <f t="shared" si="13"/>
        <v/>
      </c>
      <c r="F79" s="491" t="str">
        <f t="shared" si="1"/>
        <v/>
      </c>
      <c r="G79" s="492" t="str">
        <f t="shared" si="7"/>
        <v/>
      </c>
      <c r="H79" s="491" t="str">
        <f t="shared" si="2"/>
        <v/>
      </c>
      <c r="I79" s="492" t="str">
        <f t="shared" si="8"/>
        <v/>
      </c>
      <c r="J79" s="492" t="str">
        <f t="shared" si="3"/>
        <v/>
      </c>
      <c r="K79" s="491" t="str">
        <f t="shared" si="4"/>
        <v/>
      </c>
      <c r="L79" s="493" t="str">
        <f t="shared" si="9"/>
        <v/>
      </c>
      <c r="M79" s="406" t="str">
        <f t="shared" si="10"/>
        <v>رقم العقد</v>
      </c>
    </row>
    <row r="80" spans="2:13" x14ac:dyDescent="0.25">
      <c r="B80" s="487" t="str">
        <f t="shared" si="0"/>
        <v/>
      </c>
      <c r="C80" s="488" t="str">
        <f t="shared" si="5"/>
        <v/>
      </c>
      <c r="D80" s="489" t="str">
        <f t="shared" si="6"/>
        <v/>
      </c>
      <c r="E80" s="490" t="str">
        <f t="shared" si="13"/>
        <v/>
      </c>
      <c r="F80" s="491" t="str">
        <f t="shared" si="1"/>
        <v/>
      </c>
      <c r="G80" s="492" t="str">
        <f t="shared" si="7"/>
        <v/>
      </c>
      <c r="H80" s="491" t="str">
        <f t="shared" si="2"/>
        <v/>
      </c>
      <c r="I80" s="492" t="str">
        <f t="shared" si="8"/>
        <v/>
      </c>
      <c r="J80" s="492" t="str">
        <f t="shared" si="3"/>
        <v/>
      </c>
      <c r="K80" s="491" t="str">
        <f t="shared" si="4"/>
        <v/>
      </c>
      <c r="L80" s="493" t="str">
        <f t="shared" si="9"/>
        <v/>
      </c>
      <c r="M80" s="406" t="str">
        <f t="shared" si="10"/>
        <v>رقم العقد</v>
      </c>
    </row>
    <row r="81" spans="2:24" x14ac:dyDescent="0.25">
      <c r="B81" s="487" t="str">
        <f t="shared" si="0"/>
        <v/>
      </c>
      <c r="C81" s="488" t="str">
        <f t="shared" si="5"/>
        <v/>
      </c>
      <c r="D81" s="489" t="str">
        <f t="shared" si="6"/>
        <v/>
      </c>
      <c r="E81" s="490" t="str">
        <f t="shared" si="13"/>
        <v/>
      </c>
      <c r="F81" s="491" t="str">
        <f t="shared" si="1"/>
        <v/>
      </c>
      <c r="G81" s="492" t="str">
        <f t="shared" si="7"/>
        <v/>
      </c>
      <c r="H81" s="491" t="str">
        <f t="shared" si="2"/>
        <v/>
      </c>
      <c r="I81" s="492" t="str">
        <f t="shared" si="8"/>
        <v/>
      </c>
      <c r="J81" s="492" t="str">
        <f t="shared" si="3"/>
        <v/>
      </c>
      <c r="K81" s="491" t="str">
        <f t="shared" si="4"/>
        <v/>
      </c>
      <c r="L81" s="493" t="str">
        <f t="shared" si="9"/>
        <v/>
      </c>
      <c r="M81" s="406" t="str">
        <f t="shared" si="10"/>
        <v>رقم العقد</v>
      </c>
    </row>
    <row r="82" spans="2:24" x14ac:dyDescent="0.25">
      <c r="B82" s="487" t="str">
        <f t="shared" si="0"/>
        <v/>
      </c>
      <c r="C82" s="488" t="str">
        <f t="shared" si="5"/>
        <v/>
      </c>
      <c r="D82" s="489" t="str">
        <f t="shared" si="6"/>
        <v/>
      </c>
      <c r="E82" s="490" t="str">
        <f t="shared" si="13"/>
        <v/>
      </c>
      <c r="F82" s="491" t="str">
        <f t="shared" si="1"/>
        <v/>
      </c>
      <c r="G82" s="492" t="str">
        <f t="shared" si="7"/>
        <v/>
      </c>
      <c r="H82" s="491" t="str">
        <f t="shared" si="2"/>
        <v/>
      </c>
      <c r="I82" s="492" t="str">
        <f t="shared" si="8"/>
        <v/>
      </c>
      <c r="J82" s="492" t="str">
        <f t="shared" si="3"/>
        <v/>
      </c>
      <c r="K82" s="491" t="str">
        <f t="shared" si="4"/>
        <v/>
      </c>
      <c r="L82" s="493" t="str">
        <f t="shared" si="9"/>
        <v/>
      </c>
      <c r="M82" s="406" t="str">
        <f t="shared" si="10"/>
        <v>رقم العقد</v>
      </c>
    </row>
    <row r="83" spans="2:24" x14ac:dyDescent="0.25">
      <c r="B83" s="487" t="str">
        <f t="shared" si="0"/>
        <v/>
      </c>
      <c r="C83" s="488" t="str">
        <f t="shared" si="5"/>
        <v/>
      </c>
      <c r="D83" s="489" t="str">
        <f t="shared" si="6"/>
        <v/>
      </c>
      <c r="E83" s="490" t="str">
        <f t="shared" si="13"/>
        <v/>
      </c>
      <c r="F83" s="491" t="str">
        <f t="shared" si="1"/>
        <v/>
      </c>
      <c r="G83" s="492" t="str">
        <f t="shared" si="7"/>
        <v/>
      </c>
      <c r="H83" s="491" t="str">
        <f t="shared" si="2"/>
        <v/>
      </c>
      <c r="I83" s="492" t="str">
        <f t="shared" si="8"/>
        <v/>
      </c>
      <c r="J83" s="492" t="str">
        <f t="shared" si="3"/>
        <v/>
      </c>
      <c r="K83" s="491" t="str">
        <f t="shared" si="4"/>
        <v/>
      </c>
      <c r="L83" s="493" t="str">
        <f t="shared" si="9"/>
        <v/>
      </c>
      <c r="M83" s="406" t="str">
        <f t="shared" si="10"/>
        <v>رقم العقد</v>
      </c>
    </row>
    <row r="84" spans="2:24" x14ac:dyDescent="0.25">
      <c r="B84" s="487" t="str">
        <f t="shared" si="0"/>
        <v/>
      </c>
      <c r="C84" s="488" t="str">
        <f t="shared" si="5"/>
        <v/>
      </c>
      <c r="D84" s="489" t="str">
        <f t="shared" si="6"/>
        <v/>
      </c>
      <c r="E84" s="490" t="str">
        <f t="shared" si="13"/>
        <v/>
      </c>
      <c r="F84" s="491" t="str">
        <f t="shared" si="1"/>
        <v/>
      </c>
      <c r="G84" s="492" t="str">
        <f t="shared" si="7"/>
        <v/>
      </c>
      <c r="H84" s="491" t="str">
        <f t="shared" si="2"/>
        <v/>
      </c>
      <c r="I84" s="492" t="str">
        <f t="shared" si="8"/>
        <v/>
      </c>
      <c r="J84" s="492" t="str">
        <f t="shared" si="3"/>
        <v/>
      </c>
      <c r="K84" s="491" t="str">
        <f t="shared" si="4"/>
        <v/>
      </c>
      <c r="L84" s="493" t="str">
        <f t="shared" si="9"/>
        <v/>
      </c>
      <c r="M84" s="406" t="str">
        <f t="shared" si="10"/>
        <v>رقم العقد</v>
      </c>
    </row>
    <row r="85" spans="2:24" x14ac:dyDescent="0.25">
      <c r="B85" s="487" t="str">
        <f t="shared" si="0"/>
        <v/>
      </c>
      <c r="C85" s="488" t="str">
        <f t="shared" si="5"/>
        <v/>
      </c>
      <c r="D85" s="489" t="str">
        <f t="shared" si="6"/>
        <v/>
      </c>
      <c r="E85" s="490" t="str">
        <f t="shared" si="13"/>
        <v/>
      </c>
      <c r="F85" s="491" t="str">
        <f t="shared" si="1"/>
        <v/>
      </c>
      <c r="G85" s="492" t="str">
        <f t="shared" si="7"/>
        <v/>
      </c>
      <c r="H85" s="491" t="str">
        <f t="shared" si="2"/>
        <v/>
      </c>
      <c r="I85" s="492" t="str">
        <f t="shared" si="8"/>
        <v/>
      </c>
      <c r="J85" s="492" t="str">
        <f t="shared" si="3"/>
        <v/>
      </c>
      <c r="K85" s="491" t="str">
        <f t="shared" si="4"/>
        <v/>
      </c>
      <c r="L85" s="493" t="str">
        <f t="shared" si="9"/>
        <v/>
      </c>
      <c r="M85" s="406" t="str">
        <f t="shared" si="10"/>
        <v>رقم العقد</v>
      </c>
    </row>
    <row r="86" spans="2:24" x14ac:dyDescent="0.25">
      <c r="B86" s="487" t="str">
        <f t="shared" si="0"/>
        <v/>
      </c>
      <c r="C86" s="488" t="str">
        <f t="shared" si="5"/>
        <v/>
      </c>
      <c r="D86" s="489" t="str">
        <f t="shared" si="6"/>
        <v/>
      </c>
      <c r="E86" s="490" t="str">
        <f t="shared" si="13"/>
        <v/>
      </c>
      <c r="F86" s="491" t="str">
        <f t="shared" si="1"/>
        <v/>
      </c>
      <c r="G86" s="492" t="str">
        <f t="shared" si="7"/>
        <v/>
      </c>
      <c r="H86" s="491" t="str">
        <f t="shared" si="2"/>
        <v/>
      </c>
      <c r="I86" s="492" t="str">
        <f t="shared" si="8"/>
        <v/>
      </c>
      <c r="J86" s="492" t="str">
        <f t="shared" si="3"/>
        <v/>
      </c>
      <c r="K86" s="491" t="str">
        <f t="shared" si="4"/>
        <v/>
      </c>
      <c r="L86" s="493" t="str">
        <f t="shared" si="9"/>
        <v/>
      </c>
      <c r="M86" s="406" t="str">
        <f t="shared" si="10"/>
        <v>رقم العقد</v>
      </c>
    </row>
    <row r="87" spans="2:24" ht="15.75" thickBot="1" x14ac:dyDescent="0.3">
      <c r="B87" s="495" t="str">
        <f t="shared" si="0"/>
        <v/>
      </c>
      <c r="C87" s="496" t="str">
        <f t="shared" si="5"/>
        <v/>
      </c>
      <c r="D87" s="497" t="str">
        <f t="shared" si="6"/>
        <v/>
      </c>
      <c r="E87" s="498" t="str">
        <f t="shared" si="13"/>
        <v/>
      </c>
      <c r="F87" s="499" t="str">
        <f t="shared" si="1"/>
        <v/>
      </c>
      <c r="G87" s="500" t="str">
        <f t="shared" si="7"/>
        <v/>
      </c>
      <c r="H87" s="499" t="str">
        <f t="shared" si="2"/>
        <v/>
      </c>
      <c r="I87" s="500" t="str">
        <f t="shared" si="8"/>
        <v/>
      </c>
      <c r="J87" s="500" t="str">
        <f t="shared" si="3"/>
        <v/>
      </c>
      <c r="K87" s="499" t="str">
        <f t="shared" si="4"/>
        <v/>
      </c>
      <c r="L87" s="501" t="str">
        <f t="shared" si="9"/>
        <v/>
      </c>
      <c r="M87" s="406" t="str">
        <f t="shared" si="10"/>
        <v>رقم العقد</v>
      </c>
    </row>
    <row r="88" spans="2:24" ht="15.75" thickBot="1" x14ac:dyDescent="0.3">
      <c r="B88" s="502"/>
      <c r="C88" s="503"/>
      <c r="D88" s="504" t="s">
        <v>1688</v>
      </c>
      <c r="E88" s="505"/>
      <c r="F88" s="506">
        <f t="shared" ref="F88:K88" si="14">SUM(F28:F87)</f>
        <v>0</v>
      </c>
      <c r="G88" s="506">
        <f t="shared" si="14"/>
        <v>14999.969259032274</v>
      </c>
      <c r="H88" s="506">
        <f t="shared" si="14"/>
        <v>50000.130740967725</v>
      </c>
      <c r="I88" s="506">
        <f t="shared" si="14"/>
        <v>0</v>
      </c>
      <c r="J88" s="506">
        <f t="shared" si="14"/>
        <v>0</v>
      </c>
      <c r="K88" s="506">
        <f t="shared" si="14"/>
        <v>65000.099999999962</v>
      </c>
      <c r="L88" s="507"/>
      <c r="X88" s="383">
        <v>1619.15</v>
      </c>
    </row>
    <row r="89" spans="2:24" ht="15.75" thickBot="1" x14ac:dyDescent="0.3">
      <c r="D89" s="508"/>
      <c r="E89" s="509"/>
      <c r="F89" s="510">
        <f t="shared" ref="F89" si="15">IF(D89&gt;$K$24,"",IF(D89&lt;=$K$24,$G$20/$K$24,0))</f>
        <v>0</v>
      </c>
      <c r="G89" s="511">
        <f t="shared" si="7"/>
        <v>891.88135190651883</v>
      </c>
      <c r="H89" s="510">
        <f t="shared" si="2"/>
        <v>0</v>
      </c>
      <c r="I89" s="512">
        <f>I88-G16</f>
        <v>0</v>
      </c>
      <c r="J89" s="512">
        <f>J88-G21</f>
        <v>0</v>
      </c>
      <c r="K89" s="510">
        <f>$AA$17</f>
        <v>0</v>
      </c>
      <c r="L89" s="513"/>
    </row>
    <row r="90" spans="2:24" ht="32.25" customHeight="1" thickBot="1" x14ac:dyDescent="0.3">
      <c r="B90" s="795" t="s">
        <v>1689</v>
      </c>
      <c r="C90" s="796"/>
      <c r="D90" s="796"/>
      <c r="E90" s="796"/>
      <c r="F90" s="796"/>
      <c r="G90" s="796"/>
      <c r="H90" s="796"/>
      <c r="I90" s="796"/>
      <c r="J90" s="796"/>
      <c r="K90" s="796"/>
      <c r="L90" s="797"/>
    </row>
    <row r="91" spans="2:24" ht="31.5" customHeight="1" thickBot="1" x14ac:dyDescent="0.4">
      <c r="B91" s="787"/>
      <c r="C91" s="788"/>
      <c r="D91" s="788"/>
      <c r="E91" s="788"/>
      <c r="F91" s="788"/>
      <c r="G91" s="788"/>
      <c r="H91" s="788"/>
      <c r="I91" s="789"/>
      <c r="J91" s="790" t="s">
        <v>1634</v>
      </c>
      <c r="K91" s="791"/>
      <c r="L91" s="792"/>
    </row>
    <row r="92" spans="2:24" ht="31.5" customHeight="1" thickBot="1" x14ac:dyDescent="0.4">
      <c r="B92" s="787"/>
      <c r="C92" s="788"/>
      <c r="D92" s="788"/>
      <c r="E92" s="788"/>
      <c r="F92" s="788"/>
      <c r="G92" s="788"/>
      <c r="H92" s="788"/>
      <c r="I92" s="789"/>
      <c r="J92" s="790" t="s">
        <v>1690</v>
      </c>
      <c r="K92" s="791"/>
      <c r="L92" s="792"/>
    </row>
    <row r="93" spans="2:24" ht="31.5" customHeight="1" thickBot="1" x14ac:dyDescent="0.4">
      <c r="B93" s="787"/>
      <c r="C93" s="788"/>
      <c r="D93" s="788"/>
      <c r="E93" s="788"/>
      <c r="F93" s="788"/>
      <c r="G93" s="788"/>
      <c r="H93" s="788"/>
      <c r="I93" s="789"/>
      <c r="J93" s="790" t="s">
        <v>1691</v>
      </c>
      <c r="K93" s="791"/>
      <c r="L93" s="792"/>
    </row>
    <row r="100" spans="3:4" x14ac:dyDescent="0.25">
      <c r="C100" s="514" t="s">
        <v>1692</v>
      </c>
      <c r="D100" s="515"/>
    </row>
    <row r="101" spans="3:4" x14ac:dyDescent="0.25">
      <c r="C101" s="516" t="s">
        <v>1643</v>
      </c>
      <c r="D101" s="515"/>
    </row>
    <row r="102" spans="3:4" x14ac:dyDescent="0.25">
      <c r="C102" s="516" t="s">
        <v>1646</v>
      </c>
      <c r="D102" s="515"/>
    </row>
    <row r="103" spans="3:4" x14ac:dyDescent="0.25">
      <c r="C103" s="516" t="s">
        <v>1649</v>
      </c>
      <c r="D103" s="515"/>
    </row>
    <row r="104" spans="3:4" x14ac:dyDescent="0.25">
      <c r="C104" s="516">
        <v>3766</v>
      </c>
      <c r="D104" s="515"/>
    </row>
  </sheetData>
  <mergeCells count="15">
    <mergeCell ref="B93:I93"/>
    <mergeCell ref="J93:L93"/>
    <mergeCell ref="F10:J10"/>
    <mergeCell ref="G11:I11"/>
    <mergeCell ref="B90:L90"/>
    <mergeCell ref="B91:I91"/>
    <mergeCell ref="J91:L91"/>
    <mergeCell ref="B92:I92"/>
    <mergeCell ref="J92:L92"/>
    <mergeCell ref="F9:J9"/>
    <mergeCell ref="B3:D3"/>
    <mergeCell ref="B4:D4"/>
    <mergeCell ref="E5:K5"/>
    <mergeCell ref="F7:J7"/>
    <mergeCell ref="F8:J8"/>
  </mergeCells>
  <conditionalFormatting sqref="G19">
    <cfRule type="cellIs" dxfId="0" priority="1" operator="greaterThan">
      <formula>$AL$23</formula>
    </cfRule>
  </conditionalFormatting>
  <dataValidations count="4">
    <dataValidation type="decimal" errorStyle="information" operator="lessThanOrEqual" allowBlank="1" showInputMessage="1" showErrorMessage="1" prompt="Maximum Net APR excluding Fess &amp; Insurance is  &quot;&quot;&quot;  9.99% &quot;&quot;&quot;" sqref="G19" xr:uid="{6478447D-24AD-498E-B713-8F848A3B0320}">
      <formula1>AL23</formula1>
    </dataValidation>
    <dataValidation type="decimal" operator="lessThanOrEqual" allowBlank="1" showInputMessage="1" showErrorMessage="1" promptTitle="Max Fees 1.5%" prompt="Max Fees 1.5%" sqref="K23" xr:uid="{0571BEEC-06D5-44C8-8E5B-9357B7059C71}">
      <formula1>AL22</formula1>
    </dataValidation>
    <dataValidation type="list" allowBlank="1" showInputMessage="1" showErrorMessage="1" sqref="F10:J10" xr:uid="{DC9C10C3-4EF0-46F8-AECD-84FB173A06B2}">
      <formula1>$AA$8:$AA$9</formula1>
    </dataValidation>
    <dataValidation type="list" allowBlank="1" showInputMessage="1" showErrorMessage="1" sqref="G11 J11" xr:uid="{D20D0C28-1246-4175-B645-9239BBEB2565}">
      <formula1>$Y$8:$Y$10</formula1>
    </dataValidation>
  </dataValidations>
  <pageMargins left="0.7" right="0.7" top="0.75" bottom="0.75" header="0.3" footer="0.3"/>
  <pageSetup paperSize="9" orientation="portrait" r:id="rId1"/>
  <headerFooter>
    <oddFooter>&amp;L&amp;"Calibri Light,Regular"&amp;09&amp;K00C000Public</oddFooter>
    <evenFooter>&amp;L&amp;"Calibri Light,Regular"&amp;09&amp;K00C000Public</evenFooter>
    <firstFooter>&amp;L&amp;"Calibri Light,Regular"&amp;09&amp;K00C000Public</first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4FF9B-A985-4FF9-966B-5BAC111D46EC}">
  <sheetPr>
    <tabColor rgb="FFFFFF00"/>
    <pageSetUpPr autoPageBreaks="0"/>
  </sheetPr>
  <dimension ref="A1:D20"/>
  <sheetViews>
    <sheetView zoomScale="99" zoomScaleNormal="90" workbookViewId="0">
      <selection activeCell="B12" sqref="B12"/>
    </sheetView>
  </sheetViews>
  <sheetFormatPr defaultRowHeight="15" x14ac:dyDescent="0.25"/>
  <cols>
    <col min="1" max="1" width="59.85546875" style="624" customWidth="1"/>
    <col min="2" max="2" width="81.7109375" customWidth="1"/>
    <col min="3" max="3" width="18.7109375" bestFit="1" customWidth="1"/>
    <col min="4" max="4" width="24.85546875" style="624" bestFit="1" customWidth="1"/>
  </cols>
  <sheetData>
    <row r="1" spans="1:4" ht="18.75" x14ac:dyDescent="0.3">
      <c r="A1" s="755" t="s">
        <v>1553</v>
      </c>
      <c r="B1" s="756"/>
      <c r="C1" s="756"/>
      <c r="D1" s="756"/>
    </row>
    <row r="2" spans="1:4" ht="30" x14ac:dyDescent="0.25">
      <c r="A2" s="637" t="s">
        <v>1554</v>
      </c>
      <c r="B2" s="627" t="s">
        <v>1555</v>
      </c>
      <c r="C2" s="627" t="s">
        <v>1557</v>
      </c>
      <c r="D2" s="628" t="s">
        <v>1721</v>
      </c>
    </row>
    <row r="3" spans="1:4" x14ac:dyDescent="0.25">
      <c r="A3" s="638" t="s">
        <v>1536</v>
      </c>
      <c r="B3" s="626" t="s">
        <v>1556</v>
      </c>
      <c r="C3" s="626" t="s">
        <v>1714</v>
      </c>
      <c r="D3" s="631" t="s">
        <v>1722</v>
      </c>
    </row>
    <row r="4" spans="1:4" ht="13.5" customHeight="1" x14ac:dyDescent="0.25">
      <c r="A4" s="639" t="s">
        <v>1704</v>
      </c>
      <c r="B4" s="625" t="s">
        <v>1556</v>
      </c>
      <c r="C4" s="625" t="s">
        <v>1714</v>
      </c>
      <c r="D4" s="631" t="s">
        <v>1722</v>
      </c>
    </row>
    <row r="5" spans="1:4" ht="30" x14ac:dyDescent="0.25">
      <c r="A5" s="639" t="s">
        <v>1724</v>
      </c>
      <c r="B5" s="625" t="s">
        <v>1539</v>
      </c>
      <c r="C5" s="625" t="s">
        <v>1713</v>
      </c>
      <c r="D5" s="631" t="s">
        <v>1733</v>
      </c>
    </row>
    <row r="6" spans="1:4" ht="60" x14ac:dyDescent="0.25">
      <c r="A6" s="640" t="s">
        <v>1734</v>
      </c>
      <c r="B6" s="625" t="s">
        <v>1602</v>
      </c>
      <c r="C6" s="632" t="s">
        <v>1715</v>
      </c>
      <c r="D6" s="631" t="s">
        <v>1735</v>
      </c>
    </row>
    <row r="7" spans="1:4" ht="30" x14ac:dyDescent="0.25">
      <c r="A7" s="640" t="s">
        <v>1705</v>
      </c>
      <c r="B7" s="625" t="s">
        <v>1556</v>
      </c>
      <c r="C7" s="632" t="s">
        <v>1715</v>
      </c>
      <c r="D7" s="631" t="s">
        <v>1723</v>
      </c>
    </row>
    <row r="8" spans="1:4" ht="60" x14ac:dyDescent="0.25">
      <c r="A8" s="640" t="s">
        <v>1708</v>
      </c>
      <c r="B8" s="625" t="s">
        <v>1543</v>
      </c>
      <c r="C8" s="632" t="s">
        <v>1715</v>
      </c>
      <c r="D8" s="631" t="s">
        <v>1725</v>
      </c>
    </row>
    <row r="9" spans="1:4" ht="45.6" customHeight="1" x14ac:dyDescent="0.25">
      <c r="A9" s="639" t="s">
        <v>1540</v>
      </c>
      <c r="B9" s="625" t="s">
        <v>1579</v>
      </c>
      <c r="C9" s="625" t="s">
        <v>1713</v>
      </c>
      <c r="D9" s="631" t="s">
        <v>1732</v>
      </c>
    </row>
    <row r="10" spans="1:4" x14ac:dyDescent="0.25">
      <c r="A10" s="639" t="s">
        <v>1706</v>
      </c>
      <c r="B10" s="625" t="s">
        <v>1577</v>
      </c>
      <c r="C10" s="798" t="s">
        <v>1715</v>
      </c>
      <c r="D10" s="631" t="s">
        <v>1729</v>
      </c>
    </row>
    <row r="11" spans="1:4" x14ac:dyDescent="0.25">
      <c r="A11" s="639" t="s">
        <v>1707</v>
      </c>
      <c r="B11" s="625" t="s">
        <v>1577</v>
      </c>
      <c r="C11" s="798"/>
      <c r="D11" s="631" t="s">
        <v>1731</v>
      </c>
    </row>
    <row r="12" spans="1:4" ht="409.5" x14ac:dyDescent="0.25">
      <c r="A12" s="641" t="s">
        <v>1613</v>
      </c>
      <c r="B12" s="625" t="s">
        <v>1556</v>
      </c>
      <c r="C12" s="798"/>
      <c r="D12" s="631" t="s">
        <v>1730</v>
      </c>
    </row>
    <row r="13" spans="1:4" x14ac:dyDescent="0.25">
      <c r="A13" s="639" t="s">
        <v>1538</v>
      </c>
      <c r="B13" s="625" t="s">
        <v>1577</v>
      </c>
      <c r="C13" s="625" t="s">
        <v>1714</v>
      </c>
      <c r="D13" s="631" t="s">
        <v>1722</v>
      </c>
    </row>
    <row r="14" spans="1:4" x14ac:dyDescent="0.25">
      <c r="A14" s="639" t="s">
        <v>1541</v>
      </c>
      <c r="B14" s="630" t="s">
        <v>1556</v>
      </c>
      <c r="C14" s="629" t="s">
        <v>1715</v>
      </c>
      <c r="D14" s="631" t="s">
        <v>1722</v>
      </c>
    </row>
    <row r="15" spans="1:4" x14ac:dyDescent="0.25">
      <c r="A15" s="639" t="s">
        <v>1542</v>
      </c>
      <c r="B15" s="625" t="s">
        <v>1701</v>
      </c>
      <c r="C15" s="625" t="s">
        <v>1714</v>
      </c>
      <c r="D15" s="631" t="s">
        <v>1726</v>
      </c>
    </row>
    <row r="16" spans="1:4" x14ac:dyDescent="0.25">
      <c r="A16" s="639" t="s">
        <v>1702</v>
      </c>
      <c r="B16" s="625" t="s">
        <v>1703</v>
      </c>
      <c r="C16" s="625" t="s">
        <v>1714</v>
      </c>
      <c r="D16" s="631" t="s">
        <v>1726</v>
      </c>
    </row>
    <row r="17" spans="1:4" ht="30" x14ac:dyDescent="0.25">
      <c r="A17" s="642" t="s">
        <v>1625</v>
      </c>
      <c r="B17" s="633" t="s">
        <v>1624</v>
      </c>
      <c r="C17" s="633" t="s">
        <v>1716</v>
      </c>
      <c r="D17" s="634" t="s">
        <v>1722</v>
      </c>
    </row>
    <row r="18" spans="1:4" ht="60" x14ac:dyDescent="0.25">
      <c r="A18" s="636" t="s">
        <v>1720</v>
      </c>
      <c r="B18" s="635"/>
      <c r="C18" s="13"/>
      <c r="D18" s="635" t="s">
        <v>1727</v>
      </c>
    </row>
    <row r="19" spans="1:4" ht="30" x14ac:dyDescent="0.25">
      <c r="A19" s="636" t="s">
        <v>1718</v>
      </c>
      <c r="B19" s="635"/>
      <c r="C19" s="13"/>
      <c r="D19" s="635" t="s">
        <v>1719</v>
      </c>
    </row>
    <row r="20" spans="1:4" ht="208.9" customHeight="1" x14ac:dyDescent="0.25">
      <c r="A20" s="636" t="s">
        <v>1717</v>
      </c>
      <c r="B20" s="635"/>
      <c r="C20" s="13"/>
      <c r="D20" s="635" t="s">
        <v>1728</v>
      </c>
    </row>
  </sheetData>
  <mergeCells count="2">
    <mergeCell ref="C10:C12"/>
    <mergeCell ref="A1:D1"/>
  </mergeCells>
  <pageMargins left="0.7" right="0.7" top="0.75" bottom="0.75" header="0.3" footer="0.3"/>
  <pageSetup paperSize="9" orientation="portrait" r:id="rId1"/>
  <headerFooter>
    <oddFooter>&amp;L&amp;"Calibri Light,Regular"&amp;09&amp;K00C000Public</oddFooter>
    <evenFooter>&amp;L&amp;"Calibri Light,Regular"&amp;09&amp;K00C000Public</evenFooter>
    <firstFooter>&amp;L&amp;"Calibri Light,Regular"&amp;09&amp;K00C000Public</first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EC2D1-3CC9-4538-BE66-7535201BB459}">
  <sheetPr>
    <tabColor rgb="FFFFFF00"/>
    <pageSetUpPr autoPageBreaks="0"/>
  </sheetPr>
  <dimension ref="A1:M86"/>
  <sheetViews>
    <sheetView workbookViewId="0">
      <selection activeCell="I65" sqref="I65"/>
    </sheetView>
  </sheetViews>
  <sheetFormatPr defaultRowHeight="15" x14ac:dyDescent="0.25"/>
  <cols>
    <col min="1" max="1" width="20.140625" bestFit="1" customWidth="1"/>
    <col min="5" max="5" width="4.28515625" style="282" bestFit="1" customWidth="1"/>
    <col min="6" max="6" width="20.7109375" style="282" bestFit="1" customWidth="1"/>
    <col min="7" max="7" width="36.42578125" style="282" customWidth="1"/>
    <col min="8" max="8" width="39.7109375" style="282" customWidth="1"/>
    <col min="9" max="9" width="29" style="282" bestFit="1" customWidth="1"/>
    <col min="10" max="10" width="28.7109375" style="282" bestFit="1" customWidth="1"/>
    <col min="13" max="13" width="0" hidden="1" customWidth="1"/>
  </cols>
  <sheetData>
    <row r="1" spans="1:13" x14ac:dyDescent="0.25">
      <c r="A1" s="281" t="s">
        <v>1469</v>
      </c>
    </row>
    <row r="2" spans="1:13" x14ac:dyDescent="0.25">
      <c r="A2" t="s">
        <v>1470</v>
      </c>
      <c r="G2" s="283" t="s">
        <v>1471</v>
      </c>
    </row>
    <row r="3" spans="1:13" x14ac:dyDescent="0.25">
      <c r="A3" t="s">
        <v>1472</v>
      </c>
    </row>
    <row r="4" spans="1:13" x14ac:dyDescent="0.25">
      <c r="A4" t="s">
        <v>1473</v>
      </c>
      <c r="E4" s="284" t="s">
        <v>1474</v>
      </c>
      <c r="F4" s="284" t="s">
        <v>1475</v>
      </c>
      <c r="G4" s="285" t="s">
        <v>1476</v>
      </c>
      <c r="H4" s="285" t="s">
        <v>1477</v>
      </c>
      <c r="I4" s="285" t="s">
        <v>787</v>
      </c>
      <c r="J4" s="286" t="s">
        <v>1478</v>
      </c>
    </row>
    <row r="5" spans="1:13" x14ac:dyDescent="0.25">
      <c r="A5" t="s">
        <v>1479</v>
      </c>
      <c r="E5" s="287">
        <v>1</v>
      </c>
      <c r="F5" s="287" t="s">
        <v>1470</v>
      </c>
      <c r="G5" s="253" t="s">
        <v>1480</v>
      </c>
      <c r="H5" s="253" t="s">
        <v>1481</v>
      </c>
      <c r="I5" s="253"/>
      <c r="J5" s="288" t="s">
        <v>10</v>
      </c>
    </row>
    <row r="6" spans="1:13" x14ac:dyDescent="0.25">
      <c r="A6" t="s">
        <v>1482</v>
      </c>
      <c r="E6" s="287">
        <v>2</v>
      </c>
      <c r="F6" s="287" t="s">
        <v>1470</v>
      </c>
      <c r="G6" s="253" t="s">
        <v>1480</v>
      </c>
      <c r="H6" s="253" t="s">
        <v>1483</v>
      </c>
      <c r="I6" s="288" t="s">
        <v>7</v>
      </c>
      <c r="J6" s="253"/>
      <c r="M6">
        <v>1</v>
      </c>
    </row>
    <row r="7" spans="1:13" x14ac:dyDescent="0.25">
      <c r="A7" s="281" t="s">
        <v>1469</v>
      </c>
      <c r="E7" s="287">
        <v>3</v>
      </c>
      <c r="F7" s="287" t="s">
        <v>1470</v>
      </c>
      <c r="G7" s="253"/>
      <c r="H7" s="253"/>
      <c r="I7" s="288"/>
      <c r="J7" s="253"/>
    </row>
    <row r="8" spans="1:13" x14ac:dyDescent="0.25">
      <c r="A8" t="s">
        <v>1484</v>
      </c>
      <c r="E8" s="287">
        <v>4</v>
      </c>
      <c r="F8" s="287" t="s">
        <v>1470</v>
      </c>
      <c r="G8" s="253" t="s">
        <v>1485</v>
      </c>
      <c r="H8" s="253" t="s">
        <v>1486</v>
      </c>
      <c r="I8" s="253"/>
      <c r="J8" s="289">
        <v>1</v>
      </c>
    </row>
    <row r="9" spans="1:13" x14ac:dyDescent="0.25">
      <c r="A9" t="s">
        <v>1487</v>
      </c>
      <c r="E9" s="287">
        <v>5</v>
      </c>
      <c r="F9" s="287" t="s">
        <v>1470</v>
      </c>
      <c r="G9" s="253" t="s">
        <v>1485</v>
      </c>
      <c r="H9" s="253" t="s">
        <v>1488</v>
      </c>
      <c r="I9" s="253"/>
      <c r="J9" s="289">
        <v>1</v>
      </c>
    </row>
    <row r="10" spans="1:13" x14ac:dyDescent="0.25">
      <c r="A10" t="s">
        <v>1489</v>
      </c>
      <c r="E10" s="287">
        <v>6</v>
      </c>
      <c r="F10" s="287" t="s">
        <v>1470</v>
      </c>
      <c r="G10" s="253" t="s">
        <v>1485</v>
      </c>
      <c r="H10" s="253" t="s">
        <v>1490</v>
      </c>
      <c r="I10" s="253"/>
      <c r="J10" s="289">
        <v>1</v>
      </c>
    </row>
    <row r="11" spans="1:13" x14ac:dyDescent="0.25">
      <c r="A11" t="s">
        <v>1491</v>
      </c>
      <c r="E11" s="287">
        <v>7</v>
      </c>
      <c r="F11" s="287" t="s">
        <v>1470</v>
      </c>
      <c r="G11" s="253" t="s">
        <v>1485</v>
      </c>
      <c r="H11" s="253" t="s">
        <v>1492</v>
      </c>
      <c r="I11" s="253"/>
      <c r="J11" s="289">
        <v>1</v>
      </c>
    </row>
    <row r="12" spans="1:13" x14ac:dyDescent="0.25">
      <c r="A12" t="s">
        <v>1125</v>
      </c>
      <c r="E12" s="287">
        <v>8</v>
      </c>
      <c r="F12" s="287" t="s">
        <v>1470</v>
      </c>
      <c r="G12" s="253" t="s">
        <v>1485</v>
      </c>
      <c r="H12" s="253" t="s">
        <v>1493</v>
      </c>
      <c r="I12" s="253"/>
      <c r="J12" s="289">
        <v>1</v>
      </c>
    </row>
    <row r="13" spans="1:13" x14ac:dyDescent="0.25">
      <c r="A13" t="s">
        <v>1494</v>
      </c>
      <c r="E13" s="287">
        <v>9</v>
      </c>
      <c r="F13" s="287" t="s">
        <v>1470</v>
      </c>
      <c r="G13" s="253" t="s">
        <v>1485</v>
      </c>
      <c r="H13" s="253" t="s">
        <v>1495</v>
      </c>
      <c r="I13" s="289">
        <v>5</v>
      </c>
      <c r="J13" s="253"/>
    </row>
    <row r="14" spans="1:13" x14ac:dyDescent="0.25">
      <c r="A14" t="s">
        <v>1496</v>
      </c>
      <c r="E14" s="287">
        <v>10</v>
      </c>
      <c r="F14" s="287" t="s">
        <v>1470</v>
      </c>
      <c r="G14" s="253"/>
      <c r="H14" s="253"/>
      <c r="I14" s="288"/>
      <c r="J14" s="288"/>
    </row>
    <row r="15" spans="1:13" x14ac:dyDescent="0.25">
      <c r="A15" t="s">
        <v>1497</v>
      </c>
      <c r="E15" s="287">
        <v>11</v>
      </c>
      <c r="F15" s="287" t="s">
        <v>1470</v>
      </c>
      <c r="G15" s="253" t="s">
        <v>1498</v>
      </c>
      <c r="H15" s="253" t="s">
        <v>1486</v>
      </c>
      <c r="I15" s="289">
        <v>1</v>
      </c>
      <c r="J15" s="289"/>
    </row>
    <row r="16" spans="1:13" x14ac:dyDescent="0.25">
      <c r="A16" t="s">
        <v>1499</v>
      </c>
      <c r="E16" s="287">
        <v>12</v>
      </c>
      <c r="F16" s="287" t="s">
        <v>1470</v>
      </c>
      <c r="G16" s="253" t="s">
        <v>1498</v>
      </c>
      <c r="H16" s="253" t="s">
        <v>1500</v>
      </c>
      <c r="I16" s="289">
        <v>1</v>
      </c>
      <c r="J16" s="289"/>
    </row>
    <row r="17" spans="1:10" x14ac:dyDescent="0.25">
      <c r="A17" t="s">
        <v>1501</v>
      </c>
      <c r="E17" s="287">
        <v>13</v>
      </c>
      <c r="F17" s="287" t="s">
        <v>1470</v>
      </c>
      <c r="G17" s="253" t="s">
        <v>1498</v>
      </c>
      <c r="H17" s="253" t="s">
        <v>1502</v>
      </c>
      <c r="I17" s="289"/>
      <c r="J17" s="289">
        <v>2</v>
      </c>
    </row>
    <row r="18" spans="1:10" x14ac:dyDescent="0.25">
      <c r="A18" t="s">
        <v>1503</v>
      </c>
      <c r="E18" s="287">
        <v>14</v>
      </c>
      <c r="F18" s="287" t="s">
        <v>1470</v>
      </c>
      <c r="G18" s="253"/>
      <c r="H18" s="253"/>
      <c r="I18" s="288"/>
      <c r="J18" s="253"/>
    </row>
    <row r="19" spans="1:10" x14ac:dyDescent="0.25">
      <c r="E19" s="287">
        <v>15</v>
      </c>
      <c r="F19" s="287" t="s">
        <v>1470</v>
      </c>
      <c r="G19" s="253" t="s">
        <v>1504</v>
      </c>
      <c r="H19" s="253" t="s">
        <v>1495</v>
      </c>
      <c r="I19" s="253" t="s">
        <v>7</v>
      </c>
      <c r="J19" s="253"/>
    </row>
    <row r="20" spans="1:10" x14ac:dyDescent="0.25">
      <c r="E20" s="287">
        <v>16</v>
      </c>
      <c r="F20" s="287" t="s">
        <v>1470</v>
      </c>
      <c r="G20" s="253" t="s">
        <v>1504</v>
      </c>
      <c r="H20" s="253" t="s">
        <v>1505</v>
      </c>
      <c r="I20" s="253"/>
      <c r="J20" s="253" t="s">
        <v>10</v>
      </c>
    </row>
    <row r="21" spans="1:10" x14ac:dyDescent="0.25">
      <c r="E21" s="290">
        <v>17</v>
      </c>
      <c r="F21" s="290"/>
      <c r="G21" s="291"/>
      <c r="H21" s="291"/>
      <c r="I21" s="291"/>
      <c r="J21" s="292"/>
    </row>
    <row r="22" spans="1:10" x14ac:dyDescent="0.25">
      <c r="E22" s="287">
        <v>18</v>
      </c>
      <c r="F22" s="287" t="s">
        <v>1472</v>
      </c>
      <c r="G22" s="253" t="s">
        <v>1485</v>
      </c>
      <c r="H22" s="253" t="s">
        <v>1486</v>
      </c>
      <c r="I22" s="289" t="s">
        <v>1506</v>
      </c>
      <c r="J22" s="289">
        <v>1</v>
      </c>
    </row>
    <row r="23" spans="1:10" x14ac:dyDescent="0.25">
      <c r="E23" s="287">
        <v>19</v>
      </c>
      <c r="F23" s="287" t="s">
        <v>1472</v>
      </c>
      <c r="G23" s="253" t="s">
        <v>1485</v>
      </c>
      <c r="H23" s="253" t="s">
        <v>1488</v>
      </c>
      <c r="I23" s="289" t="s">
        <v>1506</v>
      </c>
      <c r="J23" s="289">
        <v>1</v>
      </c>
    </row>
    <row r="24" spans="1:10" x14ac:dyDescent="0.25">
      <c r="E24" s="287">
        <v>20</v>
      </c>
      <c r="F24" s="287" t="s">
        <v>1472</v>
      </c>
      <c r="G24" s="253" t="s">
        <v>1485</v>
      </c>
      <c r="H24" s="253" t="s">
        <v>1495</v>
      </c>
      <c r="I24" s="289">
        <v>2</v>
      </c>
      <c r="J24" s="289" t="s">
        <v>1506</v>
      </c>
    </row>
    <row r="25" spans="1:10" x14ac:dyDescent="0.25">
      <c r="E25" s="287">
        <v>21</v>
      </c>
      <c r="F25" s="287" t="s">
        <v>1472</v>
      </c>
      <c r="G25" s="253"/>
      <c r="H25" s="253"/>
      <c r="I25" s="289"/>
      <c r="J25" s="289"/>
    </row>
    <row r="26" spans="1:10" x14ac:dyDescent="0.25">
      <c r="E26" s="287">
        <v>22</v>
      </c>
      <c r="F26" s="287" t="s">
        <v>1472</v>
      </c>
      <c r="G26" s="253" t="s">
        <v>1504</v>
      </c>
      <c r="H26" s="253" t="s">
        <v>1493</v>
      </c>
      <c r="I26" s="289" t="s">
        <v>1506</v>
      </c>
      <c r="J26" s="289">
        <v>1</v>
      </c>
    </row>
    <row r="27" spans="1:10" x14ac:dyDescent="0.25">
      <c r="E27" s="287">
        <v>23</v>
      </c>
      <c r="F27" s="287" t="s">
        <v>1472</v>
      </c>
      <c r="G27" s="253" t="s">
        <v>1504</v>
      </c>
      <c r="H27" s="253" t="s">
        <v>1505</v>
      </c>
      <c r="I27" s="289" t="s">
        <v>1506</v>
      </c>
      <c r="J27" s="289">
        <v>1</v>
      </c>
    </row>
    <row r="28" spans="1:10" x14ac:dyDescent="0.25">
      <c r="E28" s="287">
        <v>24</v>
      </c>
      <c r="F28" s="287" t="s">
        <v>1472</v>
      </c>
      <c r="G28" s="253" t="s">
        <v>1504</v>
      </c>
      <c r="H28" s="253" t="s">
        <v>1495</v>
      </c>
      <c r="I28" s="289">
        <v>2</v>
      </c>
      <c r="J28" s="289" t="s">
        <v>1506</v>
      </c>
    </row>
    <row r="29" spans="1:10" x14ac:dyDescent="0.25">
      <c r="E29" s="287">
        <v>25</v>
      </c>
      <c r="F29" s="287" t="s">
        <v>1472</v>
      </c>
      <c r="G29" s="253"/>
      <c r="H29" s="253"/>
      <c r="I29" s="289"/>
      <c r="J29" s="289"/>
    </row>
    <row r="30" spans="1:10" x14ac:dyDescent="0.25">
      <c r="E30" s="287">
        <v>26</v>
      </c>
      <c r="F30" s="287" t="s">
        <v>1472</v>
      </c>
      <c r="G30" s="253" t="s">
        <v>1507</v>
      </c>
      <c r="H30" s="253" t="s">
        <v>1495</v>
      </c>
      <c r="I30" s="289" t="s">
        <v>1506</v>
      </c>
      <c r="J30" s="289">
        <v>1</v>
      </c>
    </row>
    <row r="31" spans="1:10" x14ac:dyDescent="0.25">
      <c r="E31" s="287">
        <v>27</v>
      </c>
      <c r="F31" s="287" t="s">
        <v>1472</v>
      </c>
      <c r="G31" s="253" t="s">
        <v>1507</v>
      </c>
      <c r="H31" s="253" t="s">
        <v>1502</v>
      </c>
      <c r="I31" s="289" t="s">
        <v>1506</v>
      </c>
      <c r="J31" s="289">
        <v>1</v>
      </c>
    </row>
    <row r="32" spans="1:10" x14ac:dyDescent="0.25">
      <c r="E32" s="287">
        <v>28</v>
      </c>
      <c r="F32" s="287" t="s">
        <v>1472</v>
      </c>
      <c r="G32" s="253" t="s">
        <v>1507</v>
      </c>
      <c r="H32" s="253" t="s">
        <v>1502</v>
      </c>
      <c r="I32" s="289" t="s">
        <v>1506</v>
      </c>
      <c r="J32" s="289">
        <v>1</v>
      </c>
    </row>
    <row r="33" spans="5:10" x14ac:dyDescent="0.25">
      <c r="E33" s="287">
        <v>29</v>
      </c>
      <c r="F33" s="287" t="s">
        <v>1472</v>
      </c>
      <c r="G33" s="253" t="s">
        <v>1507</v>
      </c>
      <c r="H33" s="253" t="s">
        <v>1495</v>
      </c>
      <c r="I33" s="289">
        <v>1</v>
      </c>
      <c r="J33" s="289" t="s">
        <v>1506</v>
      </c>
    </row>
    <row r="34" spans="5:10" x14ac:dyDescent="0.25">
      <c r="E34" s="287">
        <v>30</v>
      </c>
      <c r="F34" s="287" t="s">
        <v>1472</v>
      </c>
      <c r="G34" s="253" t="s">
        <v>1507</v>
      </c>
      <c r="H34" s="253" t="s">
        <v>1508</v>
      </c>
      <c r="I34" s="289">
        <v>1</v>
      </c>
      <c r="J34" s="289" t="s">
        <v>1506</v>
      </c>
    </row>
    <row r="35" spans="5:10" x14ac:dyDescent="0.25">
      <c r="E35" s="287">
        <v>31</v>
      </c>
      <c r="F35" s="287" t="s">
        <v>1472</v>
      </c>
      <c r="G35" s="253" t="s">
        <v>1507</v>
      </c>
      <c r="H35" s="253" t="s">
        <v>1486</v>
      </c>
      <c r="I35" s="289">
        <v>1</v>
      </c>
      <c r="J35" s="289" t="s">
        <v>1506</v>
      </c>
    </row>
    <row r="36" spans="5:10" x14ac:dyDescent="0.25">
      <c r="E36" s="287">
        <v>32</v>
      </c>
      <c r="F36" s="287" t="s">
        <v>1472</v>
      </c>
      <c r="G36" s="253"/>
      <c r="H36" s="253"/>
      <c r="I36" s="289"/>
      <c r="J36" s="289"/>
    </row>
    <row r="37" spans="5:10" x14ac:dyDescent="0.25">
      <c r="E37" s="287">
        <v>33</v>
      </c>
      <c r="F37" s="287" t="s">
        <v>1472</v>
      </c>
      <c r="G37" s="253" t="s">
        <v>1509</v>
      </c>
      <c r="H37" s="253" t="s">
        <v>1510</v>
      </c>
      <c r="I37" s="289" t="s">
        <v>1506</v>
      </c>
      <c r="J37" s="289">
        <v>1</v>
      </c>
    </row>
    <row r="38" spans="5:10" x14ac:dyDescent="0.25">
      <c r="E38" s="287">
        <v>34</v>
      </c>
      <c r="F38" s="287" t="s">
        <v>1472</v>
      </c>
      <c r="G38" s="253" t="s">
        <v>1509</v>
      </c>
      <c r="H38" s="253" t="s">
        <v>1495</v>
      </c>
      <c r="I38" s="289">
        <v>1</v>
      </c>
      <c r="J38" s="289" t="s">
        <v>1506</v>
      </c>
    </row>
    <row r="39" spans="5:10" x14ac:dyDescent="0.25">
      <c r="E39" s="287">
        <v>35</v>
      </c>
      <c r="F39" s="287" t="s">
        <v>1472</v>
      </c>
      <c r="G39" s="253"/>
      <c r="H39" s="253"/>
      <c r="I39" s="289"/>
      <c r="J39" s="289"/>
    </row>
    <row r="40" spans="5:10" x14ac:dyDescent="0.25">
      <c r="E40" s="287">
        <v>36</v>
      </c>
      <c r="F40" s="287" t="s">
        <v>1472</v>
      </c>
      <c r="G40" s="253" t="s">
        <v>1511</v>
      </c>
      <c r="H40" s="253" t="s">
        <v>1495</v>
      </c>
      <c r="I40" s="289" t="s">
        <v>1506</v>
      </c>
      <c r="J40" s="289">
        <v>1</v>
      </c>
    </row>
    <row r="41" spans="5:10" x14ac:dyDescent="0.25">
      <c r="E41" s="287">
        <v>37</v>
      </c>
      <c r="F41" s="287" t="s">
        <v>1472</v>
      </c>
      <c r="G41" s="253" t="s">
        <v>1511</v>
      </c>
      <c r="H41" s="253" t="s">
        <v>1512</v>
      </c>
      <c r="I41" s="289">
        <v>1</v>
      </c>
      <c r="J41" s="289" t="s">
        <v>1506</v>
      </c>
    </row>
    <row r="42" spans="5:10" x14ac:dyDescent="0.25">
      <c r="E42" s="287">
        <v>38</v>
      </c>
      <c r="F42" s="287" t="s">
        <v>1472</v>
      </c>
      <c r="G42" s="253"/>
      <c r="H42" s="253"/>
      <c r="I42" s="289"/>
      <c r="J42" s="289"/>
    </row>
    <row r="43" spans="5:10" x14ac:dyDescent="0.25">
      <c r="E43" s="287">
        <v>39</v>
      </c>
      <c r="F43" s="287" t="s">
        <v>1472</v>
      </c>
      <c r="G43" s="253" t="s">
        <v>1513</v>
      </c>
      <c r="H43" s="253" t="s">
        <v>1514</v>
      </c>
      <c r="I43" s="253"/>
      <c r="J43" s="289" t="s">
        <v>1515</v>
      </c>
    </row>
    <row r="44" spans="5:10" x14ac:dyDescent="0.25">
      <c r="E44" s="287">
        <v>40</v>
      </c>
      <c r="F44" s="287" t="s">
        <v>1472</v>
      </c>
      <c r="G44" s="253" t="s">
        <v>1513</v>
      </c>
      <c r="H44" s="253" t="s">
        <v>1495</v>
      </c>
      <c r="I44" s="289" t="s">
        <v>1516</v>
      </c>
      <c r="J44" s="253"/>
    </row>
    <row r="45" spans="5:10" x14ac:dyDescent="0.25">
      <c r="E45" s="287">
        <v>41</v>
      </c>
      <c r="F45" s="287" t="s">
        <v>1472</v>
      </c>
      <c r="G45" s="253"/>
      <c r="H45" s="253"/>
      <c r="I45" s="289"/>
      <c r="J45" s="289"/>
    </row>
    <row r="46" spans="5:10" x14ac:dyDescent="0.25">
      <c r="E46" s="287">
        <v>42</v>
      </c>
      <c r="F46" s="287" t="s">
        <v>1472</v>
      </c>
      <c r="G46" s="253" t="s">
        <v>1517</v>
      </c>
      <c r="H46" s="253" t="s">
        <v>1512</v>
      </c>
      <c r="I46" s="289"/>
      <c r="J46" s="289">
        <v>1</v>
      </c>
    </row>
    <row r="47" spans="5:10" x14ac:dyDescent="0.25">
      <c r="E47" s="287">
        <v>43</v>
      </c>
      <c r="F47" s="287" t="s">
        <v>1472</v>
      </c>
      <c r="G47" s="253" t="s">
        <v>1517</v>
      </c>
      <c r="H47" s="253" t="s">
        <v>1508</v>
      </c>
      <c r="I47" s="289"/>
      <c r="J47" s="289">
        <v>1</v>
      </c>
    </row>
    <row r="48" spans="5:10" x14ac:dyDescent="0.25">
      <c r="E48" s="287">
        <v>44</v>
      </c>
      <c r="F48" s="287" t="s">
        <v>1472</v>
      </c>
      <c r="G48" s="253" t="s">
        <v>1517</v>
      </c>
      <c r="H48" s="253" t="s">
        <v>1518</v>
      </c>
      <c r="I48" s="289">
        <v>2</v>
      </c>
      <c r="J48" s="289"/>
    </row>
    <row r="49" spans="5:10" x14ac:dyDescent="0.25">
      <c r="E49" s="287">
        <v>45</v>
      </c>
      <c r="F49" s="287" t="s">
        <v>1472</v>
      </c>
      <c r="G49" s="253"/>
      <c r="H49" s="253"/>
      <c r="I49" s="289"/>
      <c r="J49" s="289"/>
    </row>
    <row r="50" spans="5:10" x14ac:dyDescent="0.25">
      <c r="E50" s="293"/>
      <c r="F50" s="293"/>
      <c r="G50" s="293"/>
      <c r="H50" s="293"/>
      <c r="I50" s="293"/>
      <c r="J50" s="293"/>
    </row>
    <row r="51" spans="5:10" x14ac:dyDescent="0.25">
      <c r="E51" s="253">
        <v>46</v>
      </c>
      <c r="F51" s="253" t="s">
        <v>1473</v>
      </c>
      <c r="G51" s="253" t="s">
        <v>1498</v>
      </c>
      <c r="H51" s="253" t="s">
        <v>1486</v>
      </c>
      <c r="I51" s="288" t="s">
        <v>7</v>
      </c>
      <c r="J51" s="253"/>
    </row>
    <row r="52" spans="5:10" x14ac:dyDescent="0.25">
      <c r="E52" s="253">
        <v>47</v>
      </c>
      <c r="F52" s="253" t="s">
        <v>1473</v>
      </c>
      <c r="G52" s="253" t="s">
        <v>1498</v>
      </c>
      <c r="H52" s="253" t="s">
        <v>1502</v>
      </c>
      <c r="I52" s="253"/>
      <c r="J52" s="288" t="s">
        <v>10</v>
      </c>
    </row>
    <row r="53" spans="5:10" x14ac:dyDescent="0.25">
      <c r="E53" s="253">
        <v>48</v>
      </c>
      <c r="F53" s="253" t="s">
        <v>1473</v>
      </c>
      <c r="G53" s="253"/>
      <c r="H53" s="253"/>
      <c r="I53" s="253"/>
      <c r="J53" s="288"/>
    </row>
    <row r="54" spans="5:10" x14ac:dyDescent="0.25">
      <c r="E54" s="253">
        <v>49</v>
      </c>
      <c r="F54" s="253" t="s">
        <v>1473</v>
      </c>
      <c r="G54" s="253" t="s">
        <v>1485</v>
      </c>
      <c r="H54" s="253" t="s">
        <v>1495</v>
      </c>
      <c r="I54" s="289">
        <v>2</v>
      </c>
      <c r="J54" s="289"/>
    </row>
    <row r="55" spans="5:10" x14ac:dyDescent="0.25">
      <c r="E55" s="253">
        <v>50</v>
      </c>
      <c r="F55" s="253" t="s">
        <v>1473</v>
      </c>
      <c r="G55" s="253" t="s">
        <v>1485</v>
      </c>
      <c r="H55" s="253" t="s">
        <v>1486</v>
      </c>
      <c r="I55" s="289"/>
      <c r="J55" s="289">
        <v>2</v>
      </c>
    </row>
    <row r="56" spans="5:10" x14ac:dyDescent="0.25">
      <c r="E56" s="253">
        <v>51</v>
      </c>
      <c r="F56" s="253" t="s">
        <v>1473</v>
      </c>
      <c r="G56" s="253" t="s">
        <v>1485</v>
      </c>
      <c r="H56" s="253" t="s">
        <v>1519</v>
      </c>
      <c r="I56" s="289"/>
      <c r="J56" s="289">
        <v>2</v>
      </c>
    </row>
    <row r="57" spans="5:10" x14ac:dyDescent="0.25">
      <c r="E57" s="253">
        <v>52</v>
      </c>
      <c r="F57" s="253" t="s">
        <v>1473</v>
      </c>
      <c r="G57" s="253"/>
      <c r="H57" s="253"/>
      <c r="I57" s="253"/>
      <c r="J57" s="288"/>
    </row>
    <row r="58" spans="5:10" x14ac:dyDescent="0.25">
      <c r="E58" s="253">
        <v>53</v>
      </c>
      <c r="F58" s="253" t="s">
        <v>1473</v>
      </c>
      <c r="G58" s="253" t="s">
        <v>1509</v>
      </c>
      <c r="H58" s="253" t="s">
        <v>1510</v>
      </c>
      <c r="I58" s="289" t="s">
        <v>1506</v>
      </c>
      <c r="J58" s="289">
        <v>2</v>
      </c>
    </row>
    <row r="59" spans="5:10" x14ac:dyDescent="0.25">
      <c r="E59" s="253">
        <v>54</v>
      </c>
      <c r="F59" s="253" t="s">
        <v>1473</v>
      </c>
      <c r="G59" s="253" t="s">
        <v>1509</v>
      </c>
      <c r="H59" s="253" t="s">
        <v>1495</v>
      </c>
      <c r="I59" s="289">
        <v>2</v>
      </c>
      <c r="J59" s="289" t="s">
        <v>1506</v>
      </c>
    </row>
    <row r="60" spans="5:10" x14ac:dyDescent="0.25">
      <c r="E60" s="253">
        <v>55</v>
      </c>
      <c r="F60" s="253" t="s">
        <v>1473</v>
      </c>
      <c r="G60" s="253"/>
      <c r="H60" s="253"/>
      <c r="I60" s="289"/>
      <c r="J60" s="289"/>
    </row>
    <row r="61" spans="5:10" x14ac:dyDescent="0.25">
      <c r="E61" s="253">
        <v>56</v>
      </c>
      <c r="F61" s="253" t="s">
        <v>1473</v>
      </c>
      <c r="G61" s="253" t="s">
        <v>1520</v>
      </c>
      <c r="H61" s="253" t="s">
        <v>1521</v>
      </c>
      <c r="I61" s="289">
        <v>2</v>
      </c>
      <c r="J61" s="289"/>
    </row>
    <row r="62" spans="5:10" x14ac:dyDescent="0.25">
      <c r="E62" s="253">
        <v>57</v>
      </c>
      <c r="F62" s="253" t="s">
        <v>1473</v>
      </c>
      <c r="G62" s="253" t="s">
        <v>1520</v>
      </c>
      <c r="H62" s="253" t="s">
        <v>1495</v>
      </c>
      <c r="I62" s="289"/>
      <c r="J62" s="289">
        <v>2</v>
      </c>
    </row>
    <row r="63" spans="5:10" x14ac:dyDescent="0.25">
      <c r="E63" s="253">
        <v>58</v>
      </c>
      <c r="F63" s="253" t="s">
        <v>1473</v>
      </c>
      <c r="G63" s="253"/>
      <c r="H63" s="253"/>
      <c r="I63" s="253"/>
      <c r="J63" s="288"/>
    </row>
    <row r="64" spans="5:10" x14ac:dyDescent="0.25">
      <c r="E64" s="253">
        <v>59</v>
      </c>
      <c r="F64" s="253" t="s">
        <v>1473</v>
      </c>
      <c r="G64" s="253" t="s">
        <v>1513</v>
      </c>
      <c r="H64" s="253" t="s">
        <v>1514</v>
      </c>
      <c r="I64" s="253"/>
      <c r="J64" s="289" t="s">
        <v>1515</v>
      </c>
    </row>
    <row r="65" spans="5:10" x14ac:dyDescent="0.25">
      <c r="E65" s="253">
        <v>60</v>
      </c>
      <c r="F65" s="253" t="s">
        <v>1473</v>
      </c>
      <c r="G65" s="253" t="s">
        <v>1513</v>
      </c>
      <c r="H65" s="253" t="s">
        <v>1495</v>
      </c>
      <c r="I65" s="289" t="s">
        <v>1516</v>
      </c>
      <c r="J65" s="253"/>
    </row>
    <row r="66" spans="5:10" x14ac:dyDescent="0.25">
      <c r="E66" s="253">
        <v>61</v>
      </c>
      <c r="F66" s="253" t="s">
        <v>1473</v>
      </c>
      <c r="G66" s="253"/>
      <c r="H66" s="253"/>
      <c r="I66" s="253"/>
      <c r="J66" s="253"/>
    </row>
    <row r="67" spans="5:10" x14ac:dyDescent="0.25">
      <c r="E67" s="253">
        <v>62</v>
      </c>
      <c r="F67" s="253" t="s">
        <v>1473</v>
      </c>
      <c r="G67" s="253" t="s">
        <v>1517</v>
      </c>
      <c r="H67" s="253" t="s">
        <v>1512</v>
      </c>
      <c r="I67" s="289"/>
      <c r="J67" s="288" t="s">
        <v>10</v>
      </c>
    </row>
    <row r="68" spans="5:10" x14ac:dyDescent="0.25">
      <c r="E68" s="253">
        <v>63</v>
      </c>
      <c r="F68" s="253" t="s">
        <v>1473</v>
      </c>
      <c r="G68" s="253" t="s">
        <v>1517</v>
      </c>
      <c r="H68" s="253" t="s">
        <v>1518</v>
      </c>
      <c r="I68" s="289" t="s">
        <v>7</v>
      </c>
      <c r="J68" s="289"/>
    </row>
    <row r="69" spans="5:10" x14ac:dyDescent="0.25">
      <c r="E69" s="293"/>
      <c r="F69" s="293"/>
      <c r="G69" s="293"/>
      <c r="H69" s="293"/>
      <c r="I69" s="293"/>
      <c r="J69" s="293"/>
    </row>
    <row r="70" spans="5:10" x14ac:dyDescent="0.25">
      <c r="F70"/>
    </row>
    <row r="71" spans="5:10" x14ac:dyDescent="0.25">
      <c r="F71"/>
    </row>
    <row r="72" spans="5:10" x14ac:dyDescent="0.25">
      <c r="F72"/>
    </row>
    <row r="73" spans="5:10" x14ac:dyDescent="0.25">
      <c r="F73"/>
    </row>
    <row r="74" spans="5:10" x14ac:dyDescent="0.25">
      <c r="F74"/>
    </row>
    <row r="75" spans="5:10" x14ac:dyDescent="0.25">
      <c r="F75"/>
    </row>
    <row r="76" spans="5:10" x14ac:dyDescent="0.25">
      <c r="F76"/>
    </row>
    <row r="77" spans="5:10" x14ac:dyDescent="0.25">
      <c r="F77"/>
    </row>
    <row r="78" spans="5:10" x14ac:dyDescent="0.25">
      <c r="F78"/>
    </row>
    <row r="79" spans="5:10" x14ac:dyDescent="0.25">
      <c r="F79"/>
    </row>
    <row r="80" spans="5:10" x14ac:dyDescent="0.25">
      <c r="F80"/>
    </row>
    <row r="81" spans="6:6" x14ac:dyDescent="0.25">
      <c r="F81"/>
    </row>
    <row r="82" spans="6:6" x14ac:dyDescent="0.25">
      <c r="F82"/>
    </row>
    <row r="83" spans="6:6" x14ac:dyDescent="0.25">
      <c r="F83"/>
    </row>
    <row r="84" spans="6:6" x14ac:dyDescent="0.25">
      <c r="F84"/>
    </row>
    <row r="85" spans="6:6" x14ac:dyDescent="0.25">
      <c r="F85"/>
    </row>
    <row r="86" spans="6:6" x14ac:dyDescent="0.25">
      <c r="F86"/>
    </row>
  </sheetData>
  <conditionalFormatting sqref="I54">
    <cfRule type="iconSet" priority="24">
      <iconSet showValue="0">
        <cfvo type="percent" val="0"/>
        <cfvo type="num" val="0"/>
        <cfvo type="num" val="0"/>
      </iconSet>
    </cfRule>
  </conditionalFormatting>
  <conditionalFormatting sqref="I59">
    <cfRule type="iconSet" priority="12">
      <iconSet showValue="0">
        <cfvo type="percent" val="0"/>
        <cfvo type="num" val="0"/>
        <cfvo type="num" val="0"/>
      </iconSet>
    </cfRule>
  </conditionalFormatting>
  <conditionalFormatting sqref="I61">
    <cfRule type="iconSet" priority="8">
      <iconSet showValue="0">
        <cfvo type="percent" val="0"/>
        <cfvo type="num" val="0"/>
        <cfvo type="num" val="0"/>
      </iconSet>
    </cfRule>
  </conditionalFormatting>
  <conditionalFormatting sqref="I5:J42 I45:J49">
    <cfRule type="iconSet" priority="30">
      <iconSet showValue="0">
        <cfvo type="percent" val="0"/>
        <cfvo type="num" val="0"/>
        <cfvo type="num" val="0"/>
      </iconSet>
    </cfRule>
  </conditionalFormatting>
  <conditionalFormatting sqref="J55:J56">
    <cfRule type="iconSet" priority="20">
      <iconSet showValue="0">
        <cfvo type="percent" val="0"/>
        <cfvo type="num" val="0"/>
        <cfvo type="num" val="0"/>
      </iconSet>
    </cfRule>
  </conditionalFormatting>
  <conditionalFormatting sqref="J58">
    <cfRule type="iconSet" priority="16">
      <iconSet showValue="0">
        <cfvo type="percent" val="0"/>
        <cfvo type="num" val="0"/>
        <cfvo type="num" val="0"/>
      </iconSet>
    </cfRule>
  </conditionalFormatting>
  <conditionalFormatting sqref="J62">
    <cfRule type="iconSet" priority="4">
      <iconSet showValue="0">
        <cfvo type="percent" val="0"/>
        <cfvo type="num" val="0"/>
        <cfvo type="num" val="0"/>
      </iconSet>
    </cfRule>
  </conditionalFormatting>
  <dataValidations count="1">
    <dataValidation type="list" allowBlank="1" showInputMessage="1" showErrorMessage="1" sqref="I5:J42 I45:J49 I54 J55:J56 J58 I59 I61 J62" xr:uid="{FBA43B13-3CA4-4410-8160-80111AA74DE9}">
      <formula1>$M$6</formula1>
    </dataValidation>
  </dataValidations>
  <pageMargins left="0.7" right="0.7" top="0.75" bottom="0.75" header="0.3" footer="0.3"/>
  <pageSetup paperSize="9" orientation="portrait" r:id="rId1"/>
  <headerFooter>
    <oddFooter>&amp;L&amp;"Calibri Light,Regular"&amp;09&amp;K00C000Public</oddFooter>
    <evenFooter>&amp;L&amp;"Calibri Light,Regular"&amp;09&amp;K00C000Public</evenFooter>
    <firstFooter>&amp;L&amp;"Calibri Light,Regular"&amp;09&amp;K00C000Public</first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iconSet" priority="25" id="{1EF1EB75-8670-4A1E-836D-8D9E2E78428D}">
            <x14:iconSet showValue="0" custom="1">
              <x14:cfvo type="percent">
                <xm:f>0</xm:f>
              </x14:cfvo>
              <x14:cfvo type="num">
                <xm:f>0</xm:f>
              </x14:cfvo>
              <x14:cfvo type="num">
                <xm:f>1</xm:f>
              </x14:cfvo>
              <x14:cfIcon iconSet="3TrafficLights1" iconId="0"/>
              <x14:cfIcon iconSet="3TrafficLights1" iconId="1"/>
              <x14:cfIcon iconSet="3Symbols2" iconId="2"/>
            </x14:iconSet>
          </x14:cfRule>
          <xm:sqref>I6</xm:sqref>
        </x14:conditionalFormatting>
        <x14:conditionalFormatting xmlns:xm="http://schemas.microsoft.com/office/excel/2006/main">
          <x14:cfRule type="iconSet" priority="27" id="{59ED6B1C-5024-4334-9FE7-E18BEAB71C9B}">
            <x14:iconSet showValue="0" custom="1">
              <x14:cfvo type="percent">
                <xm:f>0</xm:f>
              </x14:cfvo>
              <x14:cfvo type="num">
                <xm:f>0</xm:f>
              </x14:cfvo>
              <x14:cfvo type="num">
                <xm:f>1</xm:f>
              </x14:cfvo>
              <x14:cfIcon iconSet="3TrafficLights1" iconId="0"/>
              <x14:cfIcon iconSet="3TrafficLights1" iconId="1"/>
              <x14:cfIcon iconSet="3Symbols2" iconId="2"/>
            </x14:iconSet>
          </x14:cfRule>
          <xm:sqref>I7:I38</xm:sqref>
        </x14:conditionalFormatting>
        <x14:conditionalFormatting xmlns:xm="http://schemas.microsoft.com/office/excel/2006/main">
          <x14:cfRule type="iconSet" priority="23" id="{E56F5CAE-6F24-45E9-8C48-BA25437B7C5A}">
            <x14:iconSet custom="1">
              <x14:cfvo type="percent">
                <xm:f>0</xm:f>
              </x14:cfvo>
              <x14:cfvo type="num">
                <xm:f>0</xm:f>
              </x14:cfvo>
              <x14:cfvo type="num">
                <xm:f>0</xm:f>
              </x14:cfvo>
              <x14:cfIcon iconSet="3TrafficLights1" iconId="0"/>
              <x14:cfIcon iconSet="3TrafficLights1" iconId="1"/>
              <x14:cfIcon iconSet="3Symbols2" iconId="2"/>
            </x14:iconSet>
          </x14:cfRule>
          <x14:cfRule type="iconSet" priority="22" id="{B24BDDA4-4427-4D6F-8528-99F179D19334}">
            <x14:iconSet showValue="0" custom="1">
              <x14:cfvo type="percent">
                <xm:f>0</xm:f>
              </x14:cfvo>
              <x14:cfvo type="num">
                <xm:f>0</xm:f>
              </x14:cfvo>
              <x14:cfvo type="num">
                <xm:f>0</xm:f>
              </x14:cfvo>
              <x14:cfIcon iconSet="3TrafficLights1" iconId="0"/>
              <x14:cfIcon iconSet="3TrafficLights1" iconId="1"/>
              <x14:cfIcon iconSet="3Symbols2" iconId="2"/>
            </x14:iconSet>
          </x14:cfRule>
          <x14:cfRule type="iconSet" priority="21" id="{691BC010-0763-4711-9FDD-A74DBAE1AE41}">
            <x14:iconSet showValue="0" custom="1">
              <x14:cfvo type="percent">
                <xm:f>0</xm:f>
              </x14:cfvo>
              <x14:cfvo type="num">
                <xm:f>0</xm:f>
              </x14:cfvo>
              <x14:cfvo type="num">
                <xm:f>1</xm:f>
              </x14:cfvo>
              <x14:cfIcon iconSet="3TrafficLights1" iconId="0"/>
              <x14:cfIcon iconSet="3TrafficLights1" iconId="1"/>
              <x14:cfIcon iconSet="3Symbols2" iconId="2"/>
            </x14:iconSet>
          </x14:cfRule>
          <xm:sqref>I54</xm:sqref>
        </x14:conditionalFormatting>
        <x14:conditionalFormatting xmlns:xm="http://schemas.microsoft.com/office/excel/2006/main">
          <x14:cfRule type="iconSet" priority="9" id="{32F92ED8-0996-4B9C-A97A-E0C2DCF80299}">
            <x14:iconSet showValue="0" custom="1">
              <x14:cfvo type="percent">
                <xm:f>0</xm:f>
              </x14:cfvo>
              <x14:cfvo type="num">
                <xm:f>0</xm:f>
              </x14:cfvo>
              <x14:cfvo type="num">
                <xm:f>1</xm:f>
              </x14:cfvo>
              <x14:cfIcon iconSet="3TrafficLights1" iconId="0"/>
              <x14:cfIcon iconSet="3TrafficLights1" iconId="1"/>
              <x14:cfIcon iconSet="3Symbols2" iconId="2"/>
            </x14:iconSet>
          </x14:cfRule>
          <x14:cfRule type="iconSet" priority="10" id="{B7DE689B-8128-4A76-AFAF-3C6B03F93F47}">
            <x14:iconSet showValue="0" custom="1">
              <x14:cfvo type="percent">
                <xm:f>0</xm:f>
              </x14:cfvo>
              <x14:cfvo type="num">
                <xm:f>0</xm:f>
              </x14:cfvo>
              <x14:cfvo type="num">
                <xm:f>0</xm:f>
              </x14:cfvo>
              <x14:cfIcon iconSet="3TrafficLights1" iconId="0"/>
              <x14:cfIcon iconSet="3TrafficLights1" iconId="1"/>
              <x14:cfIcon iconSet="3Symbols2" iconId="2"/>
            </x14:iconSet>
          </x14:cfRule>
          <x14:cfRule type="iconSet" priority="11" id="{7246117E-0267-4A3A-98D2-F042C0266AC4}">
            <x14:iconSet custom="1">
              <x14:cfvo type="percent">
                <xm:f>0</xm:f>
              </x14:cfvo>
              <x14:cfvo type="num">
                <xm:f>0</xm:f>
              </x14:cfvo>
              <x14:cfvo type="num">
                <xm:f>0</xm:f>
              </x14:cfvo>
              <x14:cfIcon iconSet="3TrafficLights1" iconId="0"/>
              <x14:cfIcon iconSet="3TrafficLights1" iconId="1"/>
              <x14:cfIcon iconSet="3Symbols2" iconId="2"/>
            </x14:iconSet>
          </x14:cfRule>
          <xm:sqref>I59</xm:sqref>
        </x14:conditionalFormatting>
        <x14:conditionalFormatting xmlns:xm="http://schemas.microsoft.com/office/excel/2006/main">
          <x14:cfRule type="iconSet" priority="5" id="{BD352FB3-1FEF-4B07-B009-C82727595645}">
            <x14:iconSet showValue="0" custom="1">
              <x14:cfvo type="percent">
                <xm:f>0</xm:f>
              </x14:cfvo>
              <x14:cfvo type="num">
                <xm:f>0</xm:f>
              </x14:cfvo>
              <x14:cfvo type="num">
                <xm:f>1</xm:f>
              </x14:cfvo>
              <x14:cfIcon iconSet="3TrafficLights1" iconId="0"/>
              <x14:cfIcon iconSet="3TrafficLights1" iconId="1"/>
              <x14:cfIcon iconSet="3Symbols2" iconId="2"/>
            </x14:iconSet>
          </x14:cfRule>
          <x14:cfRule type="iconSet" priority="6" id="{1E6ECA0D-8EDD-4053-B5D2-F7B81C45A2B5}">
            <x14:iconSet showValue="0" custom="1">
              <x14:cfvo type="percent">
                <xm:f>0</xm:f>
              </x14:cfvo>
              <x14:cfvo type="num">
                <xm:f>0</xm:f>
              </x14:cfvo>
              <x14:cfvo type="num">
                <xm:f>0</xm:f>
              </x14:cfvo>
              <x14:cfIcon iconSet="3TrafficLights1" iconId="0"/>
              <x14:cfIcon iconSet="3TrafficLights1" iconId="1"/>
              <x14:cfIcon iconSet="3Symbols2" iconId="2"/>
            </x14:iconSet>
          </x14:cfRule>
          <x14:cfRule type="iconSet" priority="7" id="{EDA4E0AD-6ECD-4463-841B-73F98D1B22A0}">
            <x14:iconSet custom="1">
              <x14:cfvo type="percent">
                <xm:f>0</xm:f>
              </x14:cfvo>
              <x14:cfvo type="num">
                <xm:f>0</xm:f>
              </x14:cfvo>
              <x14:cfvo type="num">
                <xm:f>0</xm:f>
              </x14:cfvo>
              <x14:cfIcon iconSet="3TrafficLights1" iconId="0"/>
              <x14:cfIcon iconSet="3TrafficLights1" iconId="1"/>
              <x14:cfIcon iconSet="3Symbols2" iconId="2"/>
            </x14:iconSet>
          </x14:cfRule>
          <xm:sqref>I61</xm:sqref>
        </x14:conditionalFormatting>
        <x14:conditionalFormatting xmlns:xm="http://schemas.microsoft.com/office/excel/2006/main">
          <x14:cfRule type="iconSet" priority="26" id="{A4DACCFD-62B6-4731-AED0-77DF76705715}">
            <x14:iconSet showValue="0" custom="1">
              <x14:cfvo type="percent">
                <xm:f>0</xm:f>
              </x14:cfvo>
              <x14:cfvo type="num">
                <xm:f>0</xm:f>
              </x14:cfvo>
              <x14:cfvo type="num">
                <xm:f>1</xm:f>
              </x14:cfvo>
              <x14:cfIcon iconSet="3TrafficLights1" iconId="0"/>
              <x14:cfIcon iconSet="3TrafficLights1" iconId="1"/>
              <x14:cfIcon iconSet="3Symbols2" iconId="2"/>
            </x14:iconSet>
          </x14:cfRule>
          <x14:cfRule type="iconSet" priority="28" id="{D20D4D05-335A-4E1C-9243-E3E74A408B81}">
            <x14:iconSet showValue="0" custom="1">
              <x14:cfvo type="percent">
                <xm:f>0</xm:f>
              </x14:cfvo>
              <x14:cfvo type="num">
                <xm:f>0</xm:f>
              </x14:cfvo>
              <x14:cfvo type="num">
                <xm:f>0</xm:f>
              </x14:cfvo>
              <x14:cfIcon iconSet="3TrafficLights1" iconId="0"/>
              <x14:cfIcon iconSet="3TrafficLights1" iconId="1"/>
              <x14:cfIcon iconSet="3Symbols2" iconId="2"/>
            </x14:iconSet>
          </x14:cfRule>
          <x14:cfRule type="iconSet" priority="29" id="{CCAEDFCC-CEFC-4133-BAB9-BD43D938CE88}">
            <x14:iconSet custom="1">
              <x14:cfvo type="percent">
                <xm:f>0</xm:f>
              </x14:cfvo>
              <x14:cfvo type="num">
                <xm:f>0</xm:f>
              </x14:cfvo>
              <x14:cfvo type="num">
                <xm:f>0</xm:f>
              </x14:cfvo>
              <x14:cfIcon iconSet="3TrafficLights1" iconId="0"/>
              <x14:cfIcon iconSet="3TrafficLights1" iconId="1"/>
              <x14:cfIcon iconSet="3Symbols2" iconId="2"/>
            </x14:iconSet>
          </x14:cfRule>
          <xm:sqref>I5:J42 I45:J49</xm:sqref>
        </x14:conditionalFormatting>
        <x14:conditionalFormatting xmlns:xm="http://schemas.microsoft.com/office/excel/2006/main">
          <x14:cfRule type="iconSet" priority="33" id="{EBD81C1B-C899-46FB-81B9-6116071CBAA1}">
            <x14:iconSet showValue="0" custom="1">
              <x14:cfvo type="percent">
                <xm:f>0</xm:f>
              </x14:cfvo>
              <x14:cfvo type="num">
                <xm:f>1</xm:f>
              </x14:cfvo>
              <x14:cfvo type="num">
                <xm:f>1</xm:f>
              </x14:cfvo>
              <x14:cfIcon iconSet="3TrafficLights1" iconId="0"/>
              <x14:cfIcon iconSet="3TrafficLights1" iconId="1"/>
              <x14:cfIcon iconSet="3TrafficLights1" iconId="0"/>
            </x14:iconSet>
          </x14:cfRule>
          <x14:cfRule type="iconSet" priority="31" id="{8EAE82AD-1C70-4A80-917C-59640C9ED7FC}">
            <x14:iconSet showValue="0" custom="1">
              <x14:cfvo type="percent">
                <xm:f>0</xm:f>
              </x14:cfvo>
              <x14:cfvo type="num">
                <xm:f>1</xm:f>
              </x14:cfvo>
              <x14:cfvo type="num">
                <xm:f>1</xm:f>
              </x14:cfvo>
              <x14:cfIcon iconSet="3TrafficLights1" iconId="0"/>
              <x14:cfIcon iconSet="3TrafficLights1" iconId="1"/>
              <x14:cfIcon iconSet="3TrafficLights1" iconId="0"/>
            </x14:iconSet>
          </x14:cfRule>
          <x14:cfRule type="iconSet" priority="32" id="{8A917143-B86B-426F-B97A-9A6DD236110A}">
            <x14:iconSet custom="1">
              <x14:cfvo type="percent">
                <xm:f>0</xm:f>
              </x14:cfvo>
              <x14:cfvo type="num">
                <xm:f>0</xm:f>
              </x14:cfvo>
              <x14:cfvo type="num">
                <xm:f>0</xm:f>
              </x14:cfvo>
              <x14:cfIcon iconSet="3TrafficLights1" iconId="0"/>
              <x14:cfIcon iconSet="3TrafficLights1" iconId="1"/>
              <x14:cfIcon iconSet="3TrafficLights1" iconId="0"/>
            </x14:iconSet>
          </x14:cfRule>
          <xm:sqref>J5:J42 J45:J49</xm:sqref>
        </x14:conditionalFormatting>
        <x14:conditionalFormatting xmlns:xm="http://schemas.microsoft.com/office/excel/2006/main">
          <x14:cfRule type="iconSet" priority="18" id="{32530D0F-07EC-46DA-9917-CA8430EDB9A9}">
            <x14:iconSet showValue="0" custom="1">
              <x14:cfvo type="percent">
                <xm:f>0</xm:f>
              </x14:cfvo>
              <x14:cfvo type="num">
                <xm:f>0</xm:f>
              </x14:cfvo>
              <x14:cfvo type="num">
                <xm:f>0</xm:f>
              </x14:cfvo>
              <x14:cfIcon iconSet="3TrafficLights1" iconId="0"/>
              <x14:cfIcon iconSet="3TrafficLights1" iconId="1"/>
              <x14:cfIcon iconSet="3Symbols2" iconId="2"/>
            </x14:iconSet>
          </x14:cfRule>
          <x14:cfRule type="iconSet" priority="19" id="{40B73F29-9B49-46F0-835C-51827323C637}">
            <x14:iconSet custom="1">
              <x14:cfvo type="percent">
                <xm:f>0</xm:f>
              </x14:cfvo>
              <x14:cfvo type="num">
                <xm:f>0</xm:f>
              </x14:cfvo>
              <x14:cfvo type="num">
                <xm:f>0</xm:f>
              </x14:cfvo>
              <x14:cfIcon iconSet="3TrafficLights1" iconId="0"/>
              <x14:cfIcon iconSet="3TrafficLights1" iconId="1"/>
              <x14:cfIcon iconSet="3Symbols2" iconId="2"/>
            </x14:iconSet>
          </x14:cfRule>
          <x14:cfRule type="iconSet" priority="17" id="{F4A029C0-A379-4564-BCCA-CC963A2A16AC}">
            <x14:iconSet showValue="0" custom="1">
              <x14:cfvo type="percent">
                <xm:f>0</xm:f>
              </x14:cfvo>
              <x14:cfvo type="num">
                <xm:f>0</xm:f>
              </x14:cfvo>
              <x14:cfvo type="num">
                <xm:f>1</xm:f>
              </x14:cfvo>
              <x14:cfIcon iconSet="3TrafficLights1" iconId="0"/>
              <x14:cfIcon iconSet="3TrafficLights1" iconId="1"/>
              <x14:cfIcon iconSet="3Symbols2" iconId="2"/>
            </x14:iconSet>
          </x14:cfRule>
          <xm:sqref>J55:J56</xm:sqref>
        </x14:conditionalFormatting>
        <x14:conditionalFormatting xmlns:xm="http://schemas.microsoft.com/office/excel/2006/main">
          <x14:cfRule type="iconSet" priority="15" id="{67D779A4-D334-49DD-99FE-C19F8449B578}">
            <x14:iconSet custom="1">
              <x14:cfvo type="percent">
                <xm:f>0</xm:f>
              </x14:cfvo>
              <x14:cfvo type="num">
                <xm:f>0</xm:f>
              </x14:cfvo>
              <x14:cfvo type="num">
                <xm:f>0</xm:f>
              </x14:cfvo>
              <x14:cfIcon iconSet="3TrafficLights1" iconId="0"/>
              <x14:cfIcon iconSet="3TrafficLights1" iconId="1"/>
              <x14:cfIcon iconSet="3Symbols2" iconId="2"/>
            </x14:iconSet>
          </x14:cfRule>
          <x14:cfRule type="iconSet" priority="14" id="{7D85121E-3307-4490-BCCB-932BB922254F}">
            <x14:iconSet showValue="0" custom="1">
              <x14:cfvo type="percent">
                <xm:f>0</xm:f>
              </x14:cfvo>
              <x14:cfvo type="num">
                <xm:f>0</xm:f>
              </x14:cfvo>
              <x14:cfvo type="num">
                <xm:f>0</xm:f>
              </x14:cfvo>
              <x14:cfIcon iconSet="3TrafficLights1" iconId="0"/>
              <x14:cfIcon iconSet="3TrafficLights1" iconId="1"/>
              <x14:cfIcon iconSet="3Symbols2" iconId="2"/>
            </x14:iconSet>
          </x14:cfRule>
          <x14:cfRule type="iconSet" priority="13" id="{04CCEB71-0D45-45CB-AF3B-917A24D07825}">
            <x14:iconSet showValue="0" custom="1">
              <x14:cfvo type="percent">
                <xm:f>0</xm:f>
              </x14:cfvo>
              <x14:cfvo type="num">
                <xm:f>0</xm:f>
              </x14:cfvo>
              <x14:cfvo type="num">
                <xm:f>1</xm:f>
              </x14:cfvo>
              <x14:cfIcon iconSet="3TrafficLights1" iconId="0"/>
              <x14:cfIcon iconSet="3TrafficLights1" iconId="1"/>
              <x14:cfIcon iconSet="3Symbols2" iconId="2"/>
            </x14:iconSet>
          </x14:cfRule>
          <xm:sqref>J58</xm:sqref>
        </x14:conditionalFormatting>
        <x14:conditionalFormatting xmlns:xm="http://schemas.microsoft.com/office/excel/2006/main">
          <x14:cfRule type="iconSet" priority="3" id="{9B9CEA6A-C9C0-43E7-BC31-65138075747C}">
            <x14:iconSet custom="1">
              <x14:cfvo type="percent">
                <xm:f>0</xm:f>
              </x14:cfvo>
              <x14:cfvo type="num">
                <xm:f>0</xm:f>
              </x14:cfvo>
              <x14:cfvo type="num">
                <xm:f>0</xm:f>
              </x14:cfvo>
              <x14:cfIcon iconSet="3TrafficLights1" iconId="0"/>
              <x14:cfIcon iconSet="3TrafficLights1" iconId="1"/>
              <x14:cfIcon iconSet="3Symbols2" iconId="2"/>
            </x14:iconSet>
          </x14:cfRule>
          <x14:cfRule type="iconSet" priority="2" id="{764E9A47-952D-412C-976A-D62AFBE801C7}">
            <x14:iconSet showValue="0" custom="1">
              <x14:cfvo type="percent">
                <xm:f>0</xm:f>
              </x14:cfvo>
              <x14:cfvo type="num">
                <xm:f>0</xm:f>
              </x14:cfvo>
              <x14:cfvo type="num">
                <xm:f>0</xm:f>
              </x14:cfvo>
              <x14:cfIcon iconSet="3TrafficLights1" iconId="0"/>
              <x14:cfIcon iconSet="3TrafficLights1" iconId="1"/>
              <x14:cfIcon iconSet="3Symbols2" iconId="2"/>
            </x14:iconSet>
          </x14:cfRule>
          <x14:cfRule type="iconSet" priority="1" id="{6AC4B8C1-81EA-4626-91CB-DE929C1CF031}">
            <x14:iconSet showValue="0" custom="1">
              <x14:cfvo type="percent">
                <xm:f>0</xm:f>
              </x14:cfvo>
              <x14:cfvo type="num">
                <xm:f>0</xm:f>
              </x14:cfvo>
              <x14:cfvo type="num">
                <xm:f>1</xm:f>
              </x14:cfvo>
              <x14:cfIcon iconSet="3TrafficLights1" iconId="0"/>
              <x14:cfIcon iconSet="3TrafficLights1" iconId="1"/>
              <x14:cfIcon iconSet="3Symbols2" iconId="2"/>
            </x14:iconSet>
          </x14:cfRule>
          <xm:sqref>J62</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B8B58-29B7-4D56-8197-B9CAF2A57E09}">
  <sheetPr>
    <tabColor rgb="FFFFFF00"/>
    <pageSetUpPr autoPageBreaks="0"/>
  </sheetPr>
  <dimension ref="A1:Q77"/>
  <sheetViews>
    <sheetView zoomScale="93" zoomScaleNormal="70" workbookViewId="0">
      <selection activeCell="I9" sqref="I9"/>
    </sheetView>
  </sheetViews>
  <sheetFormatPr defaultRowHeight="15" x14ac:dyDescent="0.25"/>
  <cols>
    <col min="1" max="1" width="15.42578125" bestFit="1" customWidth="1"/>
    <col min="2" max="2" width="9.5703125" bestFit="1" customWidth="1"/>
    <col min="3" max="3" width="8.7109375" bestFit="1" customWidth="1"/>
    <col min="4" max="4" width="17" bestFit="1" customWidth="1"/>
    <col min="5" max="5" width="18.7109375" bestFit="1" customWidth="1"/>
    <col min="6" max="6" width="28.28515625" customWidth="1"/>
    <col min="7" max="7" width="10.85546875" bestFit="1" customWidth="1"/>
    <col min="8" max="8" width="7.7109375" customWidth="1"/>
    <col min="9" max="9" width="15.140625" customWidth="1"/>
    <col min="10" max="10" width="24.7109375" customWidth="1"/>
    <col min="11" max="11" width="11.28515625" bestFit="1" customWidth="1"/>
    <col min="12" max="12" width="18.28515625" bestFit="1" customWidth="1"/>
    <col min="13" max="13" width="33.28515625" customWidth="1"/>
    <col min="14" max="14" width="32.28515625" bestFit="1" customWidth="1"/>
    <col min="15" max="15" width="37.42578125" bestFit="1" customWidth="1"/>
    <col min="16" max="16" width="16.28515625" style="379" bestFit="1" customWidth="1"/>
    <col min="17" max="17" width="15.5703125" style="379" bestFit="1" customWidth="1"/>
  </cols>
  <sheetData>
    <row r="1" spans="1:17" x14ac:dyDescent="0.25">
      <c r="A1" s="107" t="s">
        <v>361</v>
      </c>
      <c r="B1" s="108">
        <v>45320</v>
      </c>
      <c r="D1" s="13" t="s">
        <v>1614</v>
      </c>
      <c r="E1" s="13">
        <v>0</v>
      </c>
    </row>
    <row r="2" spans="1:17" x14ac:dyDescent="0.25">
      <c r="A2" s="107" t="s">
        <v>360</v>
      </c>
      <c r="B2" s="108">
        <f>+B1</f>
        <v>45320</v>
      </c>
      <c r="D2" s="13" t="s">
        <v>1615</v>
      </c>
      <c r="E2" s="13">
        <f>+(E3+F7)/E6</f>
        <v>2213.0896666666667</v>
      </c>
    </row>
    <row r="3" spans="1:17" x14ac:dyDescent="0.25">
      <c r="A3" s="107" t="s">
        <v>359</v>
      </c>
      <c r="B3" s="108" t="s">
        <v>358</v>
      </c>
      <c r="D3" s="13" t="s">
        <v>1544</v>
      </c>
      <c r="E3" s="181">
        <v>100000</v>
      </c>
      <c r="G3" t="s">
        <v>1768</v>
      </c>
    </row>
    <row r="4" spans="1:17" x14ac:dyDescent="0.25">
      <c r="A4" s="107" t="s">
        <v>357</v>
      </c>
      <c r="B4" s="108">
        <f>+B2+14</f>
        <v>45334</v>
      </c>
      <c r="D4" s="13" t="s">
        <v>1545</v>
      </c>
      <c r="E4" s="377">
        <f>+E5*12</f>
        <v>0.1177496365347704</v>
      </c>
    </row>
    <row r="5" spans="1:17" x14ac:dyDescent="0.25">
      <c r="A5" t="s">
        <v>102</v>
      </c>
      <c r="D5" s="13" t="s">
        <v>422</v>
      </c>
      <c r="E5" s="378">
        <f>+RATE(E6,E2,-E3,E1)</f>
        <v>9.8124697112308666E-3</v>
      </c>
      <c r="L5" t="s">
        <v>356</v>
      </c>
    </row>
    <row r="6" spans="1:17" x14ac:dyDescent="0.25">
      <c r="D6" s="13" t="s">
        <v>1616</v>
      </c>
      <c r="E6" s="13">
        <v>60</v>
      </c>
    </row>
    <row r="7" spans="1:17" x14ac:dyDescent="0.25">
      <c r="C7">
        <f>((F7/E3)/60)*12</f>
        <v>6.5570760000000006E-2</v>
      </c>
      <c r="D7" s="13" t="s">
        <v>1617</v>
      </c>
      <c r="E7" s="13">
        <v>6.5570760000000006E-2</v>
      </c>
      <c r="F7">
        <f>+E7*E3*E6/12</f>
        <v>32785.380000000005</v>
      </c>
    </row>
    <row r="8" spans="1:17" x14ac:dyDescent="0.25">
      <c r="D8" s="13" t="s">
        <v>1622</v>
      </c>
      <c r="E8" s="13">
        <f>+E9/5</f>
        <v>6557.0745880534978</v>
      </c>
    </row>
    <row r="9" spans="1:17" x14ac:dyDescent="0.25">
      <c r="D9" s="13" t="s">
        <v>1623</v>
      </c>
      <c r="E9" s="13">
        <f>SUM(F15:F76)</f>
        <v>32785.372940267487</v>
      </c>
    </row>
    <row r="10" spans="1:17" x14ac:dyDescent="0.25">
      <c r="D10" s="13" t="s">
        <v>412</v>
      </c>
      <c r="E10" s="538">
        <f>+XIRR(J16:J76,A16:A76)</f>
        <v>0.13247653841972348</v>
      </c>
    </row>
    <row r="15" spans="1:17" x14ac:dyDescent="0.25">
      <c r="A15" s="107" t="s">
        <v>104</v>
      </c>
      <c r="B15" s="107" t="s">
        <v>105</v>
      </c>
      <c r="C15" s="107" t="s">
        <v>106</v>
      </c>
      <c r="D15" s="107" t="s">
        <v>107</v>
      </c>
      <c r="E15" s="535" t="s">
        <v>1709</v>
      </c>
      <c r="F15" s="535" t="s">
        <v>1710</v>
      </c>
      <c r="G15" s="107" t="s">
        <v>110</v>
      </c>
      <c r="H15" s="107" t="s">
        <v>111</v>
      </c>
      <c r="I15" s="107" t="s">
        <v>112</v>
      </c>
      <c r="J15" s="535" t="s">
        <v>1711</v>
      </c>
      <c r="K15" s="107" t="s">
        <v>114</v>
      </c>
      <c r="L15" s="107" t="s">
        <v>115</v>
      </c>
      <c r="M15" s="536" t="s">
        <v>1712</v>
      </c>
      <c r="N15" s="536" t="s">
        <v>1618</v>
      </c>
      <c r="O15" s="536" t="s">
        <v>1619</v>
      </c>
      <c r="P15" s="380" t="s">
        <v>1620</v>
      </c>
      <c r="Q15" s="380" t="s">
        <v>1621</v>
      </c>
    </row>
    <row r="16" spans="1:17" x14ac:dyDescent="0.25">
      <c r="A16" s="102">
        <v>45334</v>
      </c>
      <c r="C16" s="103">
        <v>1150</v>
      </c>
      <c r="D16">
        <v>0</v>
      </c>
      <c r="E16" s="103">
        <v>100000</v>
      </c>
      <c r="F16" s="103"/>
      <c r="H16" s="103">
        <v>1000</v>
      </c>
      <c r="I16">
        <v>150</v>
      </c>
      <c r="J16" s="103">
        <f>-E16+C16</f>
        <v>-98850</v>
      </c>
      <c r="K16" s="103">
        <v>-100000</v>
      </c>
      <c r="L16" s="107"/>
      <c r="M16" s="204">
        <f>'Day2 - Simulated Schedule'!C9</f>
        <v>2213.09</v>
      </c>
    </row>
    <row r="17" spans="1:17" x14ac:dyDescent="0.25">
      <c r="A17" s="102">
        <v>45350</v>
      </c>
      <c r="C17" s="103">
        <v>2213.09</v>
      </c>
      <c r="D17">
        <v>0</v>
      </c>
      <c r="E17" s="103">
        <f>+C17-F17</f>
        <v>1231.8430288769136</v>
      </c>
      <c r="F17" s="103">
        <f t="shared" ref="F17:F48" si="0">+-K16*$E$5</f>
        <v>981.24697112308661</v>
      </c>
      <c r="H17">
        <v>0</v>
      </c>
      <c r="J17" s="103">
        <f>+C17</f>
        <v>2213.09</v>
      </c>
      <c r="K17" s="103">
        <f>+K16+E17</f>
        <v>-98768.156971123084</v>
      </c>
      <c r="M17" s="204">
        <f>'Day2 - Simulated Schedule'!C10</f>
        <v>2213.09</v>
      </c>
      <c r="N17" s="103">
        <f>+'Day2 - Simulated Schedule'!E9</f>
        <v>1719.94</v>
      </c>
      <c r="O17" s="103">
        <f>+'Day2 - Simulated Schedule'!F9</f>
        <v>493.15</v>
      </c>
      <c r="P17" s="381">
        <f>+N17-E17</f>
        <v>488.0969711230864</v>
      </c>
      <c r="Q17" s="381">
        <f>+O17-F17</f>
        <v>-488.09697112308663</v>
      </c>
    </row>
    <row r="18" spans="1:17" x14ac:dyDescent="0.25">
      <c r="A18" s="102">
        <v>45379</v>
      </c>
      <c r="C18" s="103">
        <v>2213.09</v>
      </c>
      <c r="D18">
        <v>0</v>
      </c>
      <c r="E18" s="103">
        <f t="shared" ref="E18:E76" si="1">+C18-F18</f>
        <v>1243.9304512867591</v>
      </c>
      <c r="F18" s="103">
        <f t="shared" si="0"/>
        <v>969.15954871324107</v>
      </c>
      <c r="H18">
        <v>0</v>
      </c>
      <c r="J18" s="103">
        <f t="shared" ref="J18:J76" si="2">+C18</f>
        <v>2213.09</v>
      </c>
      <c r="K18" s="103">
        <f t="shared" ref="K18:K76" si="3">+K17+E18</f>
        <v>-97524.226519836331</v>
      </c>
      <c r="M18" s="204">
        <f>'Day2 - Simulated Schedule'!C11</f>
        <v>2213.09</v>
      </c>
      <c r="N18" s="103">
        <f>+'Day2 - Simulated Schedule'!E10</f>
        <v>1276.06</v>
      </c>
      <c r="O18" s="103">
        <f>+'Day2 - Simulated Schedule'!F10</f>
        <v>937.03</v>
      </c>
      <c r="P18" s="381">
        <f>+N18-E18</f>
        <v>32.129548713240865</v>
      </c>
      <c r="Q18" s="381">
        <f>+O18-F18</f>
        <v>-32.129548713241093</v>
      </c>
    </row>
    <row r="19" spans="1:17" x14ac:dyDescent="0.25">
      <c r="A19" s="102">
        <v>45410</v>
      </c>
      <c r="C19" s="103">
        <v>2213.09</v>
      </c>
      <c r="D19">
        <v>0</v>
      </c>
      <c r="E19" s="103">
        <f t="shared" si="1"/>
        <v>1256.1364811628882</v>
      </c>
      <c r="F19" s="103">
        <f t="shared" si="0"/>
        <v>956.95351883711203</v>
      </c>
      <c r="H19">
        <v>0</v>
      </c>
      <c r="J19" s="103">
        <f t="shared" si="2"/>
        <v>2213.09</v>
      </c>
      <c r="K19" s="103">
        <f t="shared" si="3"/>
        <v>-96268.090038673443</v>
      </c>
      <c r="M19" s="204">
        <f>'Day2 - Simulated Schedule'!C12</f>
        <v>2213.09</v>
      </c>
      <c r="N19" s="103">
        <f>+'Day2 - Simulated Schedule'!E11</f>
        <v>1224.45</v>
      </c>
      <c r="O19" s="103">
        <f>+'Day2 - Simulated Schedule'!F11</f>
        <v>988.64</v>
      </c>
      <c r="P19" s="381">
        <f t="shared" ref="P19:P76" si="4">+N19-E19</f>
        <v>-31.686481162888185</v>
      </c>
      <c r="Q19" s="381">
        <f t="shared" ref="Q19:Q76" si="5">+O19-F19</f>
        <v>31.686481162887958</v>
      </c>
    </row>
    <row r="20" spans="1:17" x14ac:dyDescent="0.25">
      <c r="A20" s="102">
        <v>45440</v>
      </c>
      <c r="C20" s="103">
        <v>2213.09</v>
      </c>
      <c r="D20">
        <v>0</v>
      </c>
      <c r="E20" s="103">
        <f t="shared" si="1"/>
        <v>1268.4622823374712</v>
      </c>
      <c r="F20" s="103">
        <f t="shared" si="0"/>
        <v>944.62771766252911</v>
      </c>
      <c r="H20">
        <v>0</v>
      </c>
      <c r="J20" s="103">
        <f t="shared" si="2"/>
        <v>2213.09</v>
      </c>
      <c r="K20" s="103">
        <f t="shared" si="3"/>
        <v>-94999.627756335976</v>
      </c>
      <c r="M20" s="204">
        <f>'Day2 - Simulated Schedule'!C13</f>
        <v>2213.09</v>
      </c>
      <c r="N20" s="103">
        <f>+'Day2 - Simulated Schedule'!E12</f>
        <v>1268.42</v>
      </c>
      <c r="O20" s="103">
        <f>+'Day2 - Simulated Schedule'!F12</f>
        <v>944.67</v>
      </c>
      <c r="P20" s="381">
        <f t="shared" si="4"/>
        <v>-4.228233747107879E-2</v>
      </c>
      <c r="Q20" s="381">
        <f t="shared" si="5"/>
        <v>4.2282337470851417E-2</v>
      </c>
    </row>
    <row r="21" spans="1:17" x14ac:dyDescent="0.25">
      <c r="A21" s="102">
        <v>45471</v>
      </c>
      <c r="C21" s="103">
        <v>2213.09</v>
      </c>
      <c r="D21">
        <v>0</v>
      </c>
      <c r="E21" s="103">
        <f t="shared" si="1"/>
        <v>1280.9090300627463</v>
      </c>
      <c r="F21" s="103">
        <f t="shared" si="0"/>
        <v>932.18096993725385</v>
      </c>
      <c r="H21">
        <v>0</v>
      </c>
      <c r="J21" s="103">
        <f t="shared" si="2"/>
        <v>2213.09</v>
      </c>
      <c r="K21" s="103">
        <f t="shared" si="3"/>
        <v>-93718.718726273233</v>
      </c>
      <c r="M21" s="204">
        <f>'Day2 - Simulated Schedule'!C14</f>
        <v>2213.09</v>
      </c>
      <c r="N21" s="103">
        <f>+'Day2 - Simulated Schedule'!E13</f>
        <v>1249.8499999999999</v>
      </c>
      <c r="O21" s="103">
        <f>+'Day2 - Simulated Schedule'!F13</f>
        <v>963.24</v>
      </c>
      <c r="P21" s="381">
        <f t="shared" si="4"/>
        <v>-31.059030062746388</v>
      </c>
      <c r="Q21" s="381">
        <f t="shared" si="5"/>
        <v>31.05903006274616</v>
      </c>
    </row>
    <row r="22" spans="1:17" x14ac:dyDescent="0.25">
      <c r="A22" s="102">
        <v>45501</v>
      </c>
      <c r="C22" s="103">
        <v>2213.09</v>
      </c>
      <c r="D22">
        <v>0</v>
      </c>
      <c r="E22" s="103">
        <f t="shared" si="1"/>
        <v>1293.4779111230791</v>
      </c>
      <c r="F22" s="103">
        <f t="shared" si="0"/>
        <v>919.61208887692112</v>
      </c>
      <c r="H22">
        <v>0</v>
      </c>
      <c r="J22" s="103">
        <f t="shared" si="2"/>
        <v>2213.09</v>
      </c>
      <c r="K22" s="103">
        <f t="shared" si="3"/>
        <v>-92425.240815150159</v>
      </c>
      <c r="M22" s="204">
        <f>'Day2 - Simulated Schedule'!C15</f>
        <v>2213.09</v>
      </c>
      <c r="N22" s="103">
        <f>+'Day2 - Simulated Schedule'!E14</f>
        <v>1293.25</v>
      </c>
      <c r="O22" s="103">
        <f>+'Day2 - Simulated Schedule'!F14</f>
        <v>919.84</v>
      </c>
      <c r="P22" s="381">
        <f t="shared" si="4"/>
        <v>-0.22791112307913863</v>
      </c>
      <c r="Q22" s="381">
        <f t="shared" si="5"/>
        <v>0.22791112307891126</v>
      </c>
    </row>
    <row r="23" spans="1:17" x14ac:dyDescent="0.25">
      <c r="A23" s="102">
        <v>45532</v>
      </c>
      <c r="C23" s="103">
        <v>2213.09</v>
      </c>
      <c r="D23">
        <v>0</v>
      </c>
      <c r="E23" s="103">
        <f t="shared" si="1"/>
        <v>1306.1701239481204</v>
      </c>
      <c r="F23" s="103">
        <f t="shared" si="0"/>
        <v>906.91987605187978</v>
      </c>
      <c r="H23">
        <v>0</v>
      </c>
      <c r="J23" s="103">
        <f t="shared" si="2"/>
        <v>2213.09</v>
      </c>
      <c r="K23" s="103">
        <f t="shared" si="3"/>
        <v>-91119.07069120204</v>
      </c>
      <c r="M23" s="204">
        <f>'Day2 - Simulated Schedule'!C16</f>
        <v>2213.09</v>
      </c>
      <c r="N23" s="103">
        <f>+'Day2 - Simulated Schedule'!E15</f>
        <v>1275.77</v>
      </c>
      <c r="O23" s="103">
        <f>+'Day2 - Simulated Schedule'!F15</f>
        <v>937.32</v>
      </c>
      <c r="P23" s="381">
        <f t="shared" si="4"/>
        <v>-30.400123948120381</v>
      </c>
      <c r="Q23" s="381">
        <f t="shared" si="5"/>
        <v>30.400123948120267</v>
      </c>
    </row>
    <row r="24" spans="1:17" x14ac:dyDescent="0.25">
      <c r="A24" s="102">
        <v>45563</v>
      </c>
      <c r="C24" s="103">
        <v>2213.09</v>
      </c>
      <c r="D24">
        <v>0</v>
      </c>
      <c r="E24" s="103">
        <f t="shared" si="1"/>
        <v>1318.9868787270759</v>
      </c>
      <c r="F24" s="103">
        <f t="shared" si="0"/>
        <v>894.10312127292423</v>
      </c>
      <c r="H24">
        <v>0</v>
      </c>
      <c r="J24" s="103">
        <f t="shared" si="2"/>
        <v>2213.09</v>
      </c>
      <c r="K24" s="103">
        <f t="shared" si="3"/>
        <v>-89800.083812474957</v>
      </c>
      <c r="M24" s="204">
        <f>'Day2 - Simulated Schedule'!C17</f>
        <v>2213.09</v>
      </c>
      <c r="N24" s="103">
        <f>+'Day2 - Simulated Schedule'!E16</f>
        <v>1288.77</v>
      </c>
      <c r="O24" s="103">
        <f>+'Day2 - Simulated Schedule'!F16</f>
        <v>924.32</v>
      </c>
      <c r="P24" s="381">
        <f t="shared" si="4"/>
        <v>-30.216878727075937</v>
      </c>
      <c r="Q24" s="381">
        <f t="shared" si="5"/>
        <v>30.216878727075823</v>
      </c>
    </row>
    <row r="25" spans="1:17" x14ac:dyDescent="0.25">
      <c r="A25" s="102">
        <v>45593</v>
      </c>
      <c r="C25" s="103">
        <v>2213.09</v>
      </c>
      <c r="D25">
        <v>0</v>
      </c>
      <c r="E25" s="103">
        <f t="shared" si="1"/>
        <v>1331.9293975240964</v>
      </c>
      <c r="F25" s="103">
        <f t="shared" si="0"/>
        <v>881.16060247590372</v>
      </c>
      <c r="H25">
        <v>0</v>
      </c>
      <c r="J25" s="103">
        <f t="shared" si="2"/>
        <v>2213.09</v>
      </c>
      <c r="K25" s="103">
        <f t="shared" si="3"/>
        <v>-88468.154414950855</v>
      </c>
      <c r="M25" s="204">
        <f>'Day2 - Simulated Schedule'!C18</f>
        <v>2213.09</v>
      </c>
      <c r="N25" s="103">
        <f>+'Day2 - Simulated Schedule'!E17</f>
        <v>1331.3</v>
      </c>
      <c r="O25" s="103">
        <f>+'Day2 - Simulated Schedule'!F17</f>
        <v>881.79</v>
      </c>
      <c r="P25" s="381">
        <f t="shared" si="4"/>
        <v>-0.62939752409647554</v>
      </c>
      <c r="Q25" s="381">
        <f t="shared" si="5"/>
        <v>0.62939752409624816</v>
      </c>
    </row>
    <row r="26" spans="1:17" x14ac:dyDescent="0.25">
      <c r="A26" s="102">
        <v>45624</v>
      </c>
      <c r="C26" s="103">
        <v>2213.09</v>
      </c>
      <c r="D26">
        <v>0</v>
      </c>
      <c r="E26" s="103">
        <f t="shared" si="1"/>
        <v>1344.9989143947996</v>
      </c>
      <c r="F26" s="103">
        <f t="shared" si="0"/>
        <v>868.09108560520053</v>
      </c>
      <c r="H26">
        <v>0</v>
      </c>
      <c r="J26" s="103">
        <f t="shared" si="2"/>
        <v>2213.09</v>
      </c>
      <c r="K26" s="103">
        <f t="shared" si="3"/>
        <v>-87123.155500556051</v>
      </c>
      <c r="M26" s="204">
        <f>'Day2 - Simulated Schedule'!C19</f>
        <v>2213.09</v>
      </c>
      <c r="N26" s="103">
        <f>+'Day2 - Simulated Schedule'!E18</f>
        <v>1315.48</v>
      </c>
      <c r="O26" s="103">
        <f>+'Day2 - Simulated Schedule'!F18</f>
        <v>897.61</v>
      </c>
      <c r="P26" s="381">
        <f t="shared" si="4"/>
        <v>-29.518914394799594</v>
      </c>
      <c r="Q26" s="381">
        <f t="shared" si="5"/>
        <v>29.518914394799481</v>
      </c>
    </row>
    <row r="27" spans="1:17" x14ac:dyDescent="0.25">
      <c r="A27" s="102">
        <v>45654</v>
      </c>
      <c r="C27" s="103">
        <v>2213.09</v>
      </c>
      <c r="D27">
        <v>0</v>
      </c>
      <c r="E27" s="103">
        <f t="shared" si="1"/>
        <v>1358.1966755039371</v>
      </c>
      <c r="F27" s="103">
        <f t="shared" si="0"/>
        <v>854.89332449606309</v>
      </c>
      <c r="H27">
        <v>0</v>
      </c>
      <c r="J27" s="103">
        <f t="shared" si="2"/>
        <v>2213.09</v>
      </c>
      <c r="K27" s="103">
        <f t="shared" si="3"/>
        <v>-85764.958825052119</v>
      </c>
      <c r="M27" s="204">
        <f>'Day2 - Simulated Schedule'!C20</f>
        <v>2213.09</v>
      </c>
      <c r="N27" s="103">
        <f>+'Day2 - Simulated Schedule'!E19</f>
        <v>1357.41</v>
      </c>
      <c r="O27" s="103">
        <f>+'Day2 - Simulated Schedule'!F19</f>
        <v>855.68</v>
      </c>
      <c r="P27" s="381">
        <f t="shared" si="4"/>
        <v>-0.78667550393697638</v>
      </c>
      <c r="Q27" s="381">
        <f t="shared" si="5"/>
        <v>0.7866755039368627</v>
      </c>
    </row>
    <row r="28" spans="1:17" x14ac:dyDescent="0.25">
      <c r="A28" s="102">
        <v>45685</v>
      </c>
      <c r="C28" s="103">
        <v>2213.09</v>
      </c>
      <c r="D28">
        <v>0</v>
      </c>
      <c r="E28" s="103">
        <f t="shared" si="1"/>
        <v>1371.5239392442138</v>
      </c>
      <c r="F28" s="103">
        <f t="shared" si="0"/>
        <v>841.56606075578634</v>
      </c>
      <c r="H28">
        <v>0</v>
      </c>
      <c r="J28" s="103">
        <f t="shared" si="2"/>
        <v>2213.09</v>
      </c>
      <c r="K28" s="103">
        <f t="shared" si="3"/>
        <v>-84393.434885807903</v>
      </c>
      <c r="M28" s="204">
        <f>'Day2 - Simulated Schedule'!C21</f>
        <v>2213.09</v>
      </c>
      <c r="N28" s="103">
        <f>+'Day2 - Simulated Schedule'!E20</f>
        <v>1342.72</v>
      </c>
      <c r="O28" s="103">
        <f>+'Day2 - Simulated Schedule'!F20</f>
        <v>870.37</v>
      </c>
      <c r="P28" s="381">
        <f t="shared" si="4"/>
        <v>-28.80393924421378</v>
      </c>
      <c r="Q28" s="381">
        <f t="shared" si="5"/>
        <v>28.803939244213666</v>
      </c>
    </row>
    <row r="29" spans="1:17" x14ac:dyDescent="0.25">
      <c r="A29" s="102">
        <v>45716</v>
      </c>
      <c r="C29" s="103">
        <v>2213.09</v>
      </c>
      <c r="D29">
        <v>0</v>
      </c>
      <c r="E29" s="103">
        <f t="shared" si="1"/>
        <v>1384.9819763562757</v>
      </c>
      <c r="F29" s="103">
        <f t="shared" si="0"/>
        <v>828.10802364372444</v>
      </c>
      <c r="H29">
        <v>0</v>
      </c>
      <c r="J29" s="103">
        <f t="shared" si="2"/>
        <v>2213.09</v>
      </c>
      <c r="K29" s="103">
        <f t="shared" si="3"/>
        <v>-83008.452909451633</v>
      </c>
      <c r="M29" s="204">
        <f>'Day2 - Simulated Schedule'!C22</f>
        <v>2213.09</v>
      </c>
      <c r="N29" s="103">
        <f>+'Day2 - Simulated Schedule'!E21</f>
        <v>1356.4</v>
      </c>
      <c r="O29" s="103">
        <f>+'Day2 - Simulated Schedule'!F21</f>
        <v>856.69</v>
      </c>
      <c r="P29" s="381">
        <f t="shared" si="4"/>
        <v>-28.581976356275618</v>
      </c>
      <c r="Q29" s="381">
        <f t="shared" si="5"/>
        <v>28.581976356275618</v>
      </c>
    </row>
    <row r="30" spans="1:17" x14ac:dyDescent="0.25">
      <c r="A30" s="102">
        <v>45744</v>
      </c>
      <c r="C30" s="103">
        <v>2213.09</v>
      </c>
      <c r="D30">
        <v>0</v>
      </c>
      <c r="E30" s="103">
        <f t="shared" si="1"/>
        <v>1398.5720700498723</v>
      </c>
      <c r="F30" s="103">
        <f t="shared" si="0"/>
        <v>814.51792995012784</v>
      </c>
      <c r="H30">
        <v>0</v>
      </c>
      <c r="J30" s="103">
        <f t="shared" si="2"/>
        <v>2213.09</v>
      </c>
      <c r="K30" s="103">
        <f t="shared" si="3"/>
        <v>-81609.880839401754</v>
      </c>
      <c r="M30" s="204">
        <f>'Day2 - Simulated Schedule'!C23</f>
        <v>2213.09</v>
      </c>
      <c r="N30" s="103">
        <f>+'Day2 - Simulated Schedule'!E22</f>
        <v>1451.8</v>
      </c>
      <c r="O30" s="103">
        <f>+'Day2 - Simulated Schedule'!F22</f>
        <v>761.29</v>
      </c>
      <c r="P30" s="381">
        <f t="shared" si="4"/>
        <v>53.227929950127645</v>
      </c>
      <c r="Q30" s="381">
        <f t="shared" si="5"/>
        <v>-53.227929950127873</v>
      </c>
    </row>
    <row r="31" spans="1:17" x14ac:dyDescent="0.25">
      <c r="A31" s="102">
        <v>45775</v>
      </c>
      <c r="C31" s="103">
        <v>2213.09</v>
      </c>
      <c r="D31">
        <v>0</v>
      </c>
      <c r="E31" s="103">
        <f t="shared" si="1"/>
        <v>1412.2955161262103</v>
      </c>
      <c r="F31" s="103">
        <f t="shared" si="0"/>
        <v>800.79448387379</v>
      </c>
      <c r="H31">
        <v>0</v>
      </c>
      <c r="J31" s="103">
        <f t="shared" si="2"/>
        <v>2213.09</v>
      </c>
      <c r="K31" s="103">
        <f t="shared" si="3"/>
        <v>-80197.585323275547</v>
      </c>
      <c r="M31" s="204">
        <f>'Day2 - Simulated Schedule'!C24</f>
        <v>2213.09</v>
      </c>
      <c r="N31" s="103">
        <f>+'Day2 - Simulated Schedule'!E23</f>
        <v>1385.02</v>
      </c>
      <c r="O31" s="103">
        <f>+'Day2 - Simulated Schedule'!F23</f>
        <v>828.07</v>
      </c>
      <c r="P31" s="381">
        <f t="shared" si="4"/>
        <v>-27.275516126210277</v>
      </c>
      <c r="Q31" s="381">
        <f t="shared" si="5"/>
        <v>27.27551612621005</v>
      </c>
    </row>
    <row r="32" spans="1:17" x14ac:dyDescent="0.25">
      <c r="A32" s="102">
        <v>45805</v>
      </c>
      <c r="C32" s="103">
        <v>2213.09</v>
      </c>
      <c r="D32">
        <v>0</v>
      </c>
      <c r="E32" s="103">
        <f t="shared" si="1"/>
        <v>1426.1536231015057</v>
      </c>
      <c r="F32" s="103">
        <f t="shared" si="0"/>
        <v>786.93637689849436</v>
      </c>
      <c r="H32">
        <v>0</v>
      </c>
      <c r="J32" s="103">
        <f t="shared" si="2"/>
        <v>2213.09</v>
      </c>
      <c r="K32" s="103">
        <f t="shared" si="3"/>
        <v>-78771.431700174042</v>
      </c>
      <c r="M32" s="204">
        <f>'Day2 - Simulated Schedule'!C25</f>
        <v>2213.09</v>
      </c>
      <c r="N32" s="103">
        <f>+'Day2 - Simulated Schedule'!E24</f>
        <v>1425.4</v>
      </c>
      <c r="O32" s="103">
        <f>+'Day2 - Simulated Schedule'!F24</f>
        <v>787.69</v>
      </c>
      <c r="P32" s="381">
        <f t="shared" si="4"/>
        <v>-0.75362310150558187</v>
      </c>
      <c r="Q32" s="381">
        <f t="shared" si="5"/>
        <v>0.75362310150569556</v>
      </c>
    </row>
    <row r="33" spans="1:17" x14ac:dyDescent="0.25">
      <c r="A33" s="102">
        <v>45836</v>
      </c>
      <c r="C33" s="103">
        <v>2213.09</v>
      </c>
      <c r="D33">
        <v>0</v>
      </c>
      <c r="E33" s="103">
        <f t="shared" si="1"/>
        <v>1440.1477123317513</v>
      </c>
      <c r="F33" s="103">
        <f t="shared" si="0"/>
        <v>772.9422876682487</v>
      </c>
      <c r="H33">
        <v>0</v>
      </c>
      <c r="J33" s="103">
        <f t="shared" si="2"/>
        <v>2213.09</v>
      </c>
      <c r="K33" s="103">
        <f t="shared" si="3"/>
        <v>-77331.283987842296</v>
      </c>
      <c r="M33" s="204">
        <f>'Day2 - Simulated Schedule'!C26</f>
        <v>2213.09</v>
      </c>
      <c r="N33" s="103">
        <f>+'Day2 - Simulated Schedule'!E25</f>
        <v>1413.67</v>
      </c>
      <c r="O33" s="103">
        <f>+'Day2 - Simulated Schedule'!F25</f>
        <v>799.42</v>
      </c>
      <c r="P33" s="381">
        <f t="shared" si="4"/>
        <v>-26.477712331751263</v>
      </c>
      <c r="Q33" s="381">
        <f t="shared" si="5"/>
        <v>26.477712331751263</v>
      </c>
    </row>
    <row r="34" spans="1:17" x14ac:dyDescent="0.25">
      <c r="A34" s="102">
        <v>45866</v>
      </c>
      <c r="C34" s="103">
        <v>2213.09</v>
      </c>
      <c r="D34">
        <v>0</v>
      </c>
      <c r="E34" s="103">
        <f t="shared" si="1"/>
        <v>1454.2791181387051</v>
      </c>
      <c r="F34" s="103">
        <f t="shared" si="0"/>
        <v>758.810881861295</v>
      </c>
      <c r="H34">
        <v>0</v>
      </c>
      <c r="J34" s="103">
        <f t="shared" si="2"/>
        <v>2213.09</v>
      </c>
      <c r="K34" s="103">
        <f t="shared" si="3"/>
        <v>-75877.004869703596</v>
      </c>
      <c r="M34" s="204">
        <f>'Day2 - Simulated Schedule'!C27</f>
        <v>2213.09</v>
      </c>
      <c r="N34" s="103">
        <f>+'Day2 - Simulated Schedule'!E26</f>
        <v>1453.4</v>
      </c>
      <c r="O34" s="103">
        <f>+'Day2 - Simulated Schedule'!F26</f>
        <v>759.69</v>
      </c>
      <c r="P34" s="381">
        <f t="shared" si="4"/>
        <v>-0.87911813870505284</v>
      </c>
      <c r="Q34" s="381">
        <f t="shared" si="5"/>
        <v>0.87911813870505284</v>
      </c>
    </row>
    <row r="35" spans="1:17" x14ac:dyDescent="0.25">
      <c r="A35" s="102">
        <v>45897</v>
      </c>
      <c r="C35" s="103">
        <v>2213.09</v>
      </c>
      <c r="D35">
        <v>0</v>
      </c>
      <c r="E35" s="103">
        <f t="shared" si="1"/>
        <v>1468.5491879371166</v>
      </c>
      <c r="F35" s="103">
        <f t="shared" si="0"/>
        <v>744.54081206288356</v>
      </c>
      <c r="H35">
        <v>0</v>
      </c>
      <c r="J35" s="103">
        <f t="shared" si="2"/>
        <v>2213.09</v>
      </c>
      <c r="K35" s="103">
        <f t="shared" si="3"/>
        <v>-74408.455681766485</v>
      </c>
      <c r="M35" s="204">
        <f>'Day2 - Simulated Schedule'!C28</f>
        <v>2213.09</v>
      </c>
      <c r="N35" s="103">
        <f>+'Day2 - Simulated Schedule'!E27</f>
        <v>1442.89</v>
      </c>
      <c r="O35" s="103">
        <f>+'Day2 - Simulated Schedule'!F27</f>
        <v>770.2</v>
      </c>
      <c r="P35" s="381">
        <f t="shared" si="4"/>
        <v>-25.659187937116485</v>
      </c>
      <c r="Q35" s="381">
        <f t="shared" si="5"/>
        <v>25.659187937116485</v>
      </c>
    </row>
    <row r="36" spans="1:17" x14ac:dyDescent="0.25">
      <c r="A36" s="102">
        <v>45928</v>
      </c>
      <c r="C36" s="103">
        <v>2213.09</v>
      </c>
      <c r="D36">
        <v>0</v>
      </c>
      <c r="E36" s="103">
        <f t="shared" si="1"/>
        <v>1482.9592823632022</v>
      </c>
      <c r="F36" s="103">
        <f t="shared" si="0"/>
        <v>730.13071763679795</v>
      </c>
      <c r="H36">
        <v>0</v>
      </c>
      <c r="J36" s="103">
        <f t="shared" si="2"/>
        <v>2213.09</v>
      </c>
      <c r="K36" s="103">
        <f t="shared" si="3"/>
        <v>-72925.496399403288</v>
      </c>
      <c r="M36" s="204">
        <f>'Day2 - Simulated Schedule'!C29</f>
        <v>2213.09</v>
      </c>
      <c r="N36" s="103">
        <f>+'Day2 - Simulated Schedule'!E28</f>
        <v>1457.59</v>
      </c>
      <c r="O36" s="103">
        <f>+'Day2 - Simulated Schedule'!F28</f>
        <v>755.5</v>
      </c>
      <c r="P36" s="381">
        <f t="shared" si="4"/>
        <v>-25.369282363202274</v>
      </c>
      <c r="Q36" s="381">
        <f t="shared" si="5"/>
        <v>25.369282363202046</v>
      </c>
    </row>
    <row r="37" spans="1:17" x14ac:dyDescent="0.25">
      <c r="A37" s="102">
        <v>45958</v>
      </c>
      <c r="C37" s="103">
        <v>2213.09</v>
      </c>
      <c r="D37">
        <v>0</v>
      </c>
      <c r="E37" s="103">
        <f t="shared" si="1"/>
        <v>1497.5107754043797</v>
      </c>
      <c r="F37" s="103">
        <f t="shared" si="0"/>
        <v>715.57922459562042</v>
      </c>
      <c r="H37">
        <v>0</v>
      </c>
      <c r="J37" s="103">
        <f t="shared" si="2"/>
        <v>2213.09</v>
      </c>
      <c r="K37" s="103">
        <f t="shared" si="3"/>
        <v>-71427.985623998902</v>
      </c>
      <c r="M37" s="204">
        <f>'Day2 - Simulated Schedule'!C30</f>
        <v>2213.09</v>
      </c>
      <c r="N37" s="103">
        <f>+'Day2 - Simulated Schedule'!E29</f>
        <v>1496.34</v>
      </c>
      <c r="O37" s="103">
        <f>+'Day2 - Simulated Schedule'!F29</f>
        <v>716.75</v>
      </c>
      <c r="P37" s="381">
        <f t="shared" si="4"/>
        <v>-1.1707754043798104</v>
      </c>
      <c r="Q37" s="381">
        <f t="shared" si="5"/>
        <v>1.1707754043795831</v>
      </c>
    </row>
    <row r="38" spans="1:17" x14ac:dyDescent="0.25">
      <c r="A38" s="102">
        <v>45989</v>
      </c>
      <c r="C38" s="103">
        <v>2213.09</v>
      </c>
      <c r="D38">
        <v>0</v>
      </c>
      <c r="E38" s="103">
        <f t="shared" si="1"/>
        <v>1512.2050545302773</v>
      </c>
      <c r="F38" s="103">
        <f t="shared" si="0"/>
        <v>700.88494546972299</v>
      </c>
      <c r="H38">
        <v>0</v>
      </c>
      <c r="J38" s="103">
        <f t="shared" si="2"/>
        <v>2213.09</v>
      </c>
      <c r="K38" s="103">
        <f t="shared" si="3"/>
        <v>-69915.780569468625</v>
      </c>
      <c r="M38" s="204">
        <f>'Day2 - Simulated Schedule'!C31</f>
        <v>2213.09</v>
      </c>
      <c r="N38" s="103">
        <f>+'Day2 - Simulated Schedule'!E30</f>
        <v>1487.7</v>
      </c>
      <c r="O38" s="103">
        <f>+'Day2 - Simulated Schedule'!F30</f>
        <v>725.39</v>
      </c>
      <c r="P38" s="381">
        <f t="shared" si="4"/>
        <v>-24.505054530277221</v>
      </c>
      <c r="Q38" s="381">
        <f t="shared" si="5"/>
        <v>24.505054530276993</v>
      </c>
    </row>
    <row r="39" spans="1:17" x14ac:dyDescent="0.25">
      <c r="A39" s="102">
        <v>46019</v>
      </c>
      <c r="C39" s="103">
        <v>2213.09</v>
      </c>
      <c r="D39">
        <v>0</v>
      </c>
      <c r="E39" s="103">
        <f t="shared" si="1"/>
        <v>1527.0435208250256</v>
      </c>
      <c r="F39" s="103">
        <f t="shared" si="0"/>
        <v>686.04647917497448</v>
      </c>
      <c r="H39">
        <v>0</v>
      </c>
      <c r="J39" s="103">
        <f t="shared" si="2"/>
        <v>2213.09</v>
      </c>
      <c r="K39" s="103">
        <f t="shared" si="3"/>
        <v>-68388.737048643598</v>
      </c>
      <c r="M39" s="204">
        <f>'Day2 - Simulated Schedule'!C32</f>
        <v>2213.09</v>
      </c>
      <c r="N39" s="103">
        <f>+'Day2 - Simulated Schedule'!E31</f>
        <v>1525.77</v>
      </c>
      <c r="O39" s="103">
        <f>+'Day2 - Simulated Schedule'!F31</f>
        <v>687.32</v>
      </c>
      <c r="P39" s="381">
        <f t="shared" si="4"/>
        <v>-1.273520825025571</v>
      </c>
      <c r="Q39" s="381">
        <f t="shared" si="5"/>
        <v>1.273520825025571</v>
      </c>
    </row>
    <row r="40" spans="1:17" x14ac:dyDescent="0.25">
      <c r="A40" s="102">
        <v>46050</v>
      </c>
      <c r="C40" s="103">
        <v>2213.09</v>
      </c>
      <c r="D40">
        <v>0</v>
      </c>
      <c r="E40" s="103">
        <f t="shared" si="1"/>
        <v>1542.0275891208526</v>
      </c>
      <c r="F40" s="103">
        <f t="shared" si="0"/>
        <v>671.06241087914748</v>
      </c>
      <c r="H40">
        <v>0</v>
      </c>
      <c r="J40" s="103">
        <f t="shared" si="2"/>
        <v>2213.09</v>
      </c>
      <c r="K40" s="103">
        <f t="shared" si="3"/>
        <v>-66846.709459522739</v>
      </c>
      <c r="M40" s="204">
        <f>'Day2 - Simulated Schedule'!C33</f>
        <v>2213.09</v>
      </c>
      <c r="N40" s="103">
        <f>+'Day2 - Simulated Schedule'!E32</f>
        <v>1518.41</v>
      </c>
      <c r="O40" s="103">
        <f>+'Day2 - Simulated Schedule'!F32</f>
        <v>694.68</v>
      </c>
      <c r="P40" s="381">
        <f t="shared" si="4"/>
        <v>-23.617589120852472</v>
      </c>
      <c r="Q40" s="381">
        <f t="shared" si="5"/>
        <v>23.617589120852472</v>
      </c>
    </row>
    <row r="41" spans="1:17" x14ac:dyDescent="0.25">
      <c r="A41" s="102">
        <v>46081</v>
      </c>
      <c r="C41" s="103">
        <v>2213.09</v>
      </c>
      <c r="D41">
        <v>0</v>
      </c>
      <c r="E41" s="103">
        <f t="shared" si="1"/>
        <v>1557.1586881329836</v>
      </c>
      <c r="F41" s="103">
        <f t="shared" si="0"/>
        <v>655.93131186701669</v>
      </c>
      <c r="H41">
        <v>0</v>
      </c>
      <c r="J41" s="103">
        <f t="shared" si="2"/>
        <v>2213.09</v>
      </c>
      <c r="K41" s="103">
        <f t="shared" si="3"/>
        <v>-65289.550771389753</v>
      </c>
      <c r="M41" s="204">
        <f>'Day2 - Simulated Schedule'!C34</f>
        <v>2213.09</v>
      </c>
      <c r="N41" s="103">
        <f>+'Day2 - Simulated Schedule'!E33</f>
        <v>1533.89</v>
      </c>
      <c r="O41" s="103">
        <f>+'Day2 - Simulated Schedule'!F33</f>
        <v>679.2</v>
      </c>
      <c r="P41" s="381">
        <f t="shared" si="4"/>
        <v>-23.26868813298347</v>
      </c>
      <c r="Q41" s="381">
        <f t="shared" si="5"/>
        <v>23.268688132983357</v>
      </c>
    </row>
    <row r="42" spans="1:17" x14ac:dyDescent="0.25">
      <c r="A42" s="102">
        <v>46109</v>
      </c>
      <c r="C42" s="103">
        <v>2213.09</v>
      </c>
      <c r="D42">
        <v>0</v>
      </c>
      <c r="E42" s="103">
        <f t="shared" si="1"/>
        <v>1572.4382605958683</v>
      </c>
      <c r="F42" s="103">
        <f t="shared" si="0"/>
        <v>640.65173940413183</v>
      </c>
      <c r="H42">
        <v>0</v>
      </c>
      <c r="J42" s="103">
        <f t="shared" si="2"/>
        <v>2213.09</v>
      </c>
      <c r="K42" s="103">
        <f t="shared" si="3"/>
        <v>-63717.112510793886</v>
      </c>
      <c r="M42" s="204">
        <f>'Day2 - Simulated Schedule'!C35</f>
        <v>2213.09</v>
      </c>
      <c r="N42" s="103">
        <f>+'Day2 - Simulated Schedule'!E34</f>
        <v>1613.74</v>
      </c>
      <c r="O42" s="103">
        <f>+'Day2 - Simulated Schedule'!F34</f>
        <v>599.35</v>
      </c>
      <c r="P42" s="381">
        <f t="shared" si="4"/>
        <v>41.301739404131695</v>
      </c>
      <c r="Q42" s="381">
        <f t="shared" si="5"/>
        <v>-41.301739404131808</v>
      </c>
    </row>
    <row r="43" spans="1:17" x14ac:dyDescent="0.25">
      <c r="A43" s="102">
        <v>46140</v>
      </c>
      <c r="C43" s="103">
        <v>2213.09</v>
      </c>
      <c r="D43">
        <v>0</v>
      </c>
      <c r="E43" s="103">
        <f t="shared" si="1"/>
        <v>1587.8677634007458</v>
      </c>
      <c r="F43" s="103">
        <f t="shared" si="0"/>
        <v>625.2222365992543</v>
      </c>
      <c r="H43">
        <v>0</v>
      </c>
      <c r="J43" s="103">
        <f t="shared" si="2"/>
        <v>2213.09</v>
      </c>
      <c r="K43" s="103">
        <f t="shared" si="3"/>
        <v>-62129.244747393139</v>
      </c>
      <c r="M43" s="204">
        <f>'Day2 - Simulated Schedule'!C36</f>
        <v>2213.09</v>
      </c>
      <c r="N43" s="103">
        <f>+'Day2 - Simulated Schedule'!E35</f>
        <v>1565.97</v>
      </c>
      <c r="O43" s="103">
        <f>+'Day2 - Simulated Schedule'!F35</f>
        <v>647.12</v>
      </c>
      <c r="P43" s="381">
        <f t="shared" si="4"/>
        <v>-21.897763400745816</v>
      </c>
      <c r="Q43" s="381">
        <f t="shared" si="5"/>
        <v>21.897763400745703</v>
      </c>
    </row>
    <row r="44" spans="1:17" x14ac:dyDescent="0.25">
      <c r="A44" s="102">
        <v>46170</v>
      </c>
      <c r="C44" s="103">
        <v>2213.09</v>
      </c>
      <c r="D44">
        <v>0</v>
      </c>
      <c r="E44" s="103">
        <f t="shared" si="1"/>
        <v>1603.4486677345556</v>
      </c>
      <c r="F44" s="103">
        <f t="shared" si="0"/>
        <v>609.64133226544459</v>
      </c>
      <c r="H44">
        <v>0</v>
      </c>
      <c r="J44" s="103">
        <f t="shared" si="2"/>
        <v>2213.09</v>
      </c>
      <c r="K44" s="103">
        <f t="shared" si="3"/>
        <v>-60525.796079658583</v>
      </c>
      <c r="M44" s="204">
        <f>'Day2 - Simulated Schedule'!C37</f>
        <v>2213.09</v>
      </c>
      <c r="N44" s="103">
        <f>+'Day2 - Simulated Schedule'!E36</f>
        <v>1602.29</v>
      </c>
      <c r="O44" s="103">
        <f>+'Day2 - Simulated Schedule'!F36</f>
        <v>610.79999999999995</v>
      </c>
      <c r="P44" s="381">
        <f t="shared" si="4"/>
        <v>-1.1586677345555927</v>
      </c>
      <c r="Q44" s="381">
        <f t="shared" si="5"/>
        <v>1.1586677345553653</v>
      </c>
    </row>
    <row r="45" spans="1:17" x14ac:dyDescent="0.25">
      <c r="A45" s="102">
        <v>46201</v>
      </c>
      <c r="C45" s="103">
        <v>2213.09</v>
      </c>
      <c r="D45">
        <v>0</v>
      </c>
      <c r="E45" s="103">
        <f t="shared" si="1"/>
        <v>1619.1824592202142</v>
      </c>
      <c r="F45" s="103">
        <f t="shared" si="0"/>
        <v>593.90754077978579</v>
      </c>
      <c r="H45">
        <v>0</v>
      </c>
      <c r="J45" s="103">
        <f t="shared" si="2"/>
        <v>2213.09</v>
      </c>
      <c r="K45" s="103">
        <f t="shared" si="3"/>
        <v>-58906.613620438366</v>
      </c>
      <c r="M45" s="204">
        <f>'Day2 - Simulated Schedule'!C38</f>
        <v>2213.09</v>
      </c>
      <c r="N45" s="103">
        <f>+'Day2 - Simulated Schedule'!E37</f>
        <v>1598.26</v>
      </c>
      <c r="O45" s="103">
        <f>+'Day2 - Simulated Schedule'!F37</f>
        <v>614.83000000000004</v>
      </c>
      <c r="P45" s="381">
        <f t="shared" si="4"/>
        <v>-20.92245922021425</v>
      </c>
      <c r="Q45" s="381">
        <f t="shared" si="5"/>
        <v>20.92245922021425</v>
      </c>
    </row>
    <row r="46" spans="1:17" x14ac:dyDescent="0.25">
      <c r="A46" s="102">
        <v>46231</v>
      </c>
      <c r="C46" s="103">
        <v>2213.09</v>
      </c>
      <c r="D46">
        <v>0</v>
      </c>
      <c r="E46" s="103">
        <f t="shared" si="1"/>
        <v>1635.0706380582692</v>
      </c>
      <c r="F46" s="103">
        <f t="shared" si="0"/>
        <v>578.01936194173106</v>
      </c>
      <c r="H46">
        <v>0</v>
      </c>
      <c r="J46" s="103">
        <f t="shared" si="2"/>
        <v>2213.09</v>
      </c>
      <c r="K46" s="103">
        <f t="shared" si="3"/>
        <v>-57271.542982380095</v>
      </c>
      <c r="M46" s="204">
        <f>'Day2 - Simulated Schedule'!C39</f>
        <v>2213.09</v>
      </c>
      <c r="N46" s="103">
        <f>+'Day2 - Simulated Schedule'!E38</f>
        <v>1633.85</v>
      </c>
      <c r="O46" s="103">
        <f>+'Day2 - Simulated Schedule'!F38</f>
        <v>579.24</v>
      </c>
      <c r="P46" s="381">
        <f t="shared" si="4"/>
        <v>-1.2206380582692873</v>
      </c>
      <c r="Q46" s="381">
        <f t="shared" si="5"/>
        <v>1.2206380582689462</v>
      </c>
    </row>
    <row r="47" spans="1:17" x14ac:dyDescent="0.25">
      <c r="A47" s="102">
        <v>46262</v>
      </c>
      <c r="C47" s="103">
        <v>2213.09</v>
      </c>
      <c r="D47">
        <v>0</v>
      </c>
      <c r="E47" s="103">
        <f t="shared" si="1"/>
        <v>1651.1147191699388</v>
      </c>
      <c r="F47" s="103">
        <f t="shared" si="0"/>
        <v>561.97528083006137</v>
      </c>
      <c r="H47">
        <v>0</v>
      </c>
      <c r="J47" s="103">
        <f t="shared" si="2"/>
        <v>2213.09</v>
      </c>
      <c r="K47" s="103">
        <f t="shared" si="3"/>
        <v>-55620.428263210153</v>
      </c>
      <c r="M47" s="204">
        <f>'Day2 - Simulated Schedule'!C40</f>
        <v>2213.09</v>
      </c>
      <c r="N47" s="103">
        <f>+'Day2 - Simulated Schedule'!E39</f>
        <v>1631.2</v>
      </c>
      <c r="O47" s="103">
        <f>+'Day2 - Simulated Schedule'!F39</f>
        <v>581.89</v>
      </c>
      <c r="P47" s="381">
        <f t="shared" si="4"/>
        <v>-19.914719169938735</v>
      </c>
      <c r="Q47" s="381">
        <f t="shared" si="5"/>
        <v>19.914719169938621</v>
      </c>
    </row>
    <row r="48" spans="1:17" x14ac:dyDescent="0.25">
      <c r="A48" s="102">
        <v>46293</v>
      </c>
      <c r="C48" s="103">
        <v>2213.09</v>
      </c>
      <c r="D48">
        <v>0</v>
      </c>
      <c r="E48" s="103">
        <f t="shared" si="1"/>
        <v>1667.3162323415613</v>
      </c>
      <c r="F48" s="103">
        <f t="shared" si="0"/>
        <v>545.77376765843883</v>
      </c>
      <c r="H48">
        <v>0</v>
      </c>
      <c r="J48" s="103">
        <f t="shared" si="2"/>
        <v>2213.09</v>
      </c>
      <c r="K48" s="103">
        <f t="shared" si="3"/>
        <v>-53953.112030868593</v>
      </c>
      <c r="M48" s="204">
        <f>'Day2 - Simulated Schedule'!C41</f>
        <v>2213.09</v>
      </c>
      <c r="N48" s="103">
        <f>+'Day2 - Simulated Schedule'!E40</f>
        <v>1647.82</v>
      </c>
      <c r="O48" s="103">
        <f>+'Day2 - Simulated Schedule'!F40</f>
        <v>565.27</v>
      </c>
      <c r="P48" s="381">
        <f t="shared" si="4"/>
        <v>-19.496232341561381</v>
      </c>
      <c r="Q48" s="381">
        <f t="shared" si="5"/>
        <v>19.496232341561154</v>
      </c>
    </row>
    <row r="49" spans="1:17" x14ac:dyDescent="0.25">
      <c r="A49" s="102">
        <v>46323</v>
      </c>
      <c r="C49" s="103">
        <v>2213.09</v>
      </c>
      <c r="D49">
        <v>0</v>
      </c>
      <c r="E49" s="103">
        <f t="shared" si="1"/>
        <v>1683.6767223704564</v>
      </c>
      <c r="F49" s="103">
        <f t="shared" ref="F49:F76" si="6">+-K48*$E$5</f>
        <v>529.4132776295437</v>
      </c>
      <c r="H49">
        <v>0</v>
      </c>
      <c r="J49" s="103">
        <f t="shared" si="2"/>
        <v>2213.09</v>
      </c>
      <c r="K49" s="103">
        <f t="shared" si="3"/>
        <v>-52269.435308498134</v>
      </c>
      <c r="M49" s="204">
        <f>'Day2 - Simulated Schedule'!C42</f>
        <v>2213.09</v>
      </c>
      <c r="N49" s="103">
        <f>+'Day2 - Simulated Schedule'!E41</f>
        <v>1682.31</v>
      </c>
      <c r="O49" s="103">
        <f>+'Day2 - Simulated Schedule'!F41</f>
        <v>530.78</v>
      </c>
      <c r="P49" s="381">
        <f t="shared" si="4"/>
        <v>-1.3667223704565004</v>
      </c>
      <c r="Q49" s="381">
        <f t="shared" si="5"/>
        <v>1.366722370456273</v>
      </c>
    </row>
    <row r="50" spans="1:17" x14ac:dyDescent="0.25">
      <c r="A50" s="102">
        <v>46354</v>
      </c>
      <c r="C50" s="103">
        <v>2213.09</v>
      </c>
      <c r="D50">
        <v>0</v>
      </c>
      <c r="E50" s="103">
        <f t="shared" si="1"/>
        <v>1700.197749212221</v>
      </c>
      <c r="F50" s="103">
        <f t="shared" si="6"/>
        <v>512.89225078777918</v>
      </c>
      <c r="H50">
        <v>0</v>
      </c>
      <c r="J50" s="103">
        <f t="shared" si="2"/>
        <v>2213.09</v>
      </c>
      <c r="K50" s="103">
        <f t="shared" si="3"/>
        <v>-50569.23755928591</v>
      </c>
      <c r="M50" s="204">
        <f>'Day2 - Simulated Schedule'!C43</f>
        <v>2213.09</v>
      </c>
      <c r="N50" s="103">
        <f>+'Day2 - Simulated Schedule'!E42</f>
        <v>1681.76</v>
      </c>
      <c r="O50" s="103">
        <f>+'Day2 - Simulated Schedule'!F42</f>
        <v>531.33000000000004</v>
      </c>
      <c r="P50" s="381">
        <f t="shared" si="4"/>
        <v>-18.437749212220979</v>
      </c>
      <c r="Q50" s="381">
        <f t="shared" si="5"/>
        <v>18.437749212220865</v>
      </c>
    </row>
    <row r="51" spans="1:17" x14ac:dyDescent="0.25">
      <c r="A51" s="102">
        <v>46384</v>
      </c>
      <c r="C51" s="103">
        <v>2213.09</v>
      </c>
      <c r="D51">
        <v>0</v>
      </c>
      <c r="E51" s="103">
        <f t="shared" si="1"/>
        <v>1716.8808881294688</v>
      </c>
      <c r="F51" s="103">
        <f t="shared" si="6"/>
        <v>496.20911187053133</v>
      </c>
      <c r="H51">
        <v>0</v>
      </c>
      <c r="J51" s="103">
        <f t="shared" si="2"/>
        <v>2213.09</v>
      </c>
      <c r="K51" s="103">
        <f t="shared" si="3"/>
        <v>-48852.356671156442</v>
      </c>
      <c r="M51" s="204">
        <f>'Day2 - Simulated Schedule'!C44</f>
        <v>2213.09</v>
      </c>
      <c r="N51" s="103">
        <f>+'Day2 - Simulated Schedule'!E43</f>
        <v>1715.49</v>
      </c>
      <c r="O51" s="103">
        <f>+'Day2 - Simulated Schedule'!F43</f>
        <v>497.6</v>
      </c>
      <c r="P51" s="381">
        <f t="shared" si="4"/>
        <v>-1.390888129468749</v>
      </c>
      <c r="Q51" s="381">
        <f t="shared" si="5"/>
        <v>1.3908881294686921</v>
      </c>
    </row>
    <row r="52" spans="1:17" x14ac:dyDescent="0.25">
      <c r="A52" s="102">
        <v>46415</v>
      </c>
      <c r="C52" s="103">
        <v>2213.09</v>
      </c>
      <c r="D52">
        <v>0</v>
      </c>
      <c r="E52" s="103">
        <f t="shared" si="1"/>
        <v>1733.7277298420304</v>
      </c>
      <c r="F52" s="103">
        <f t="shared" si="6"/>
        <v>479.36227015796976</v>
      </c>
      <c r="H52">
        <v>0</v>
      </c>
      <c r="J52" s="103">
        <f t="shared" si="2"/>
        <v>2213.09</v>
      </c>
      <c r="K52" s="103">
        <f t="shared" si="3"/>
        <v>-47118.628941314411</v>
      </c>
      <c r="M52" s="204">
        <f>'Day2 - Simulated Schedule'!C45</f>
        <v>2213.09</v>
      </c>
      <c r="N52" s="103">
        <f>+'Day2 - Simulated Schedule'!E44</f>
        <v>1716.39</v>
      </c>
      <c r="O52" s="103">
        <f>+'Day2 - Simulated Schedule'!F44</f>
        <v>496.7</v>
      </c>
      <c r="P52" s="381">
        <f t="shared" si="4"/>
        <v>-17.337729842030285</v>
      </c>
      <c r="Q52" s="381">
        <f t="shared" si="5"/>
        <v>17.337729842030228</v>
      </c>
    </row>
    <row r="53" spans="1:17" x14ac:dyDescent="0.25">
      <c r="A53" s="102">
        <v>46446</v>
      </c>
      <c r="C53" s="103">
        <v>2213.09</v>
      </c>
      <c r="D53">
        <v>0</v>
      </c>
      <c r="E53" s="103">
        <f t="shared" si="1"/>
        <v>1750.7398806786264</v>
      </c>
      <c r="F53" s="103">
        <f t="shared" si="6"/>
        <v>462.35011932137377</v>
      </c>
      <c r="H53">
        <v>0</v>
      </c>
      <c r="J53" s="103">
        <f t="shared" si="2"/>
        <v>2213.09</v>
      </c>
      <c r="K53" s="103">
        <f t="shared" si="3"/>
        <v>-45367.889060635782</v>
      </c>
      <c r="M53" s="204">
        <f>'Day2 - Simulated Schedule'!C46</f>
        <v>2213.09</v>
      </c>
      <c r="N53" s="103">
        <f>+'Day2 - Simulated Schedule'!E45</f>
        <v>1733.88</v>
      </c>
      <c r="O53" s="103">
        <f>+'Day2 - Simulated Schedule'!F45</f>
        <v>479.21</v>
      </c>
      <c r="P53" s="381">
        <f t="shared" si="4"/>
        <v>-16.859880678626268</v>
      </c>
      <c r="Q53" s="381">
        <f t="shared" si="5"/>
        <v>16.859880678626212</v>
      </c>
    </row>
    <row r="54" spans="1:17" x14ac:dyDescent="0.25">
      <c r="A54" s="102">
        <v>46474</v>
      </c>
      <c r="C54" s="103">
        <v>2213.09</v>
      </c>
      <c r="D54">
        <v>0</v>
      </c>
      <c r="E54" s="103">
        <f t="shared" si="1"/>
        <v>1767.9189627300293</v>
      </c>
      <c r="F54" s="103">
        <f t="shared" si="6"/>
        <v>445.17103726997078</v>
      </c>
      <c r="H54">
        <v>0</v>
      </c>
      <c r="J54" s="103">
        <f t="shared" si="2"/>
        <v>2213.09</v>
      </c>
      <c r="K54" s="103">
        <f t="shared" si="3"/>
        <v>-43599.970097905752</v>
      </c>
      <c r="M54" s="204">
        <f>'Day2 - Simulated Schedule'!C47</f>
        <v>2213.09</v>
      </c>
      <c r="N54" s="103">
        <f>+'Day2 - Simulated Schedule'!E46</f>
        <v>1796.22</v>
      </c>
      <c r="O54" s="103">
        <f>+'Day2 - Simulated Schedule'!F46</f>
        <v>416.87</v>
      </c>
      <c r="P54" s="381">
        <f t="shared" si="4"/>
        <v>28.30103726997072</v>
      </c>
      <c r="Q54" s="381">
        <f t="shared" si="5"/>
        <v>-28.301037269970777</v>
      </c>
    </row>
    <row r="55" spans="1:17" x14ac:dyDescent="0.25">
      <c r="A55" s="102">
        <v>46505</v>
      </c>
      <c r="C55" s="103">
        <v>2213.09</v>
      </c>
      <c r="D55">
        <v>0</v>
      </c>
      <c r="E55" s="103">
        <f t="shared" si="1"/>
        <v>1785.2666140037286</v>
      </c>
      <c r="F55" s="103">
        <f t="shared" si="6"/>
        <v>427.82338599627167</v>
      </c>
      <c r="H55">
        <v>0</v>
      </c>
      <c r="J55" s="103">
        <f t="shared" si="2"/>
        <v>2213.09</v>
      </c>
      <c r="K55" s="103">
        <f t="shared" si="3"/>
        <v>-41814.703483902027</v>
      </c>
      <c r="M55" s="204">
        <f>'Day2 - Simulated Schedule'!C48</f>
        <v>2213.09</v>
      </c>
      <c r="N55" s="103">
        <f>+'Day2 - Simulated Schedule'!E47</f>
        <v>1769.86</v>
      </c>
      <c r="O55" s="103">
        <f>+'Day2 - Simulated Schedule'!F47</f>
        <v>443.23</v>
      </c>
      <c r="P55" s="381">
        <f t="shared" si="4"/>
        <v>-15.406614003728691</v>
      </c>
      <c r="Q55" s="381">
        <f t="shared" si="5"/>
        <v>15.40661400372835</v>
      </c>
    </row>
    <row r="56" spans="1:17" x14ac:dyDescent="0.25">
      <c r="A56" s="102">
        <v>46535</v>
      </c>
      <c r="C56" s="103">
        <v>2213.09</v>
      </c>
      <c r="D56">
        <v>0</v>
      </c>
      <c r="E56" s="103">
        <f t="shared" si="1"/>
        <v>1802.7844885801117</v>
      </c>
      <c r="F56" s="103">
        <f t="shared" si="6"/>
        <v>410.30551141988843</v>
      </c>
      <c r="H56">
        <v>0</v>
      </c>
      <c r="J56" s="103">
        <f t="shared" si="2"/>
        <v>2213.09</v>
      </c>
      <c r="K56" s="103">
        <f t="shared" si="3"/>
        <v>-40011.918995321917</v>
      </c>
      <c r="M56" s="204">
        <f>'Day2 - Simulated Schedule'!C49</f>
        <v>2213.09</v>
      </c>
      <c r="N56" s="103">
        <f>+'Day2 - Simulated Schedule'!E48</f>
        <v>1801.61</v>
      </c>
      <c r="O56" s="103">
        <f>+'Day2 - Simulated Schedule'!F48</f>
        <v>411.48</v>
      </c>
      <c r="P56" s="381">
        <f t="shared" si="4"/>
        <v>-1.1744885801117562</v>
      </c>
      <c r="Q56" s="381">
        <f t="shared" si="5"/>
        <v>1.1744885801115856</v>
      </c>
    </row>
    <row r="57" spans="1:17" x14ac:dyDescent="0.25">
      <c r="A57" s="102">
        <v>46566</v>
      </c>
      <c r="C57" s="103">
        <v>2213.09</v>
      </c>
      <c r="D57">
        <v>0</v>
      </c>
      <c r="E57" s="103">
        <f t="shared" si="1"/>
        <v>1820.474256770181</v>
      </c>
      <c r="F57" s="103">
        <f t="shared" si="6"/>
        <v>392.61574322981926</v>
      </c>
      <c r="H57">
        <v>0</v>
      </c>
      <c r="J57" s="103">
        <f t="shared" si="2"/>
        <v>2213.09</v>
      </c>
      <c r="K57" s="103">
        <f t="shared" si="3"/>
        <v>-38191.444738551734</v>
      </c>
      <c r="M57" s="204">
        <f>'Day2 - Simulated Schedule'!C50</f>
        <v>2213.09</v>
      </c>
      <c r="N57" s="103">
        <f>+'Day2 - Simulated Schedule'!E49</f>
        <v>1806.26</v>
      </c>
      <c r="O57" s="103">
        <f>+'Day2 - Simulated Schedule'!F49</f>
        <v>406.83</v>
      </c>
      <c r="P57" s="381">
        <f t="shared" si="4"/>
        <v>-14.214256770181009</v>
      </c>
      <c r="Q57" s="381">
        <f t="shared" si="5"/>
        <v>14.214256770180725</v>
      </c>
    </row>
    <row r="58" spans="1:17" x14ac:dyDescent="0.25">
      <c r="A58" s="102">
        <v>46596</v>
      </c>
      <c r="C58" s="103">
        <v>2213.09</v>
      </c>
      <c r="D58">
        <v>0</v>
      </c>
      <c r="E58" s="103">
        <f t="shared" si="1"/>
        <v>1838.3376052748138</v>
      </c>
      <c r="F58" s="103">
        <f t="shared" si="6"/>
        <v>374.75239472518632</v>
      </c>
      <c r="H58">
        <v>0</v>
      </c>
      <c r="J58" s="103">
        <f t="shared" si="2"/>
        <v>2213.09</v>
      </c>
      <c r="K58" s="103">
        <f t="shared" si="3"/>
        <v>-36353.107133276921</v>
      </c>
      <c r="M58" s="204">
        <f>'Day2 - Simulated Schedule'!C51</f>
        <v>2213.09</v>
      </c>
      <c r="N58" s="103">
        <f>+'Day2 - Simulated Schedule'!E50</f>
        <v>1837.2</v>
      </c>
      <c r="O58" s="103">
        <f>+'Day2 - Simulated Schedule'!F50</f>
        <v>375.89</v>
      </c>
      <c r="P58" s="381">
        <f t="shared" si="4"/>
        <v>-1.1376052748137226</v>
      </c>
      <c r="Q58" s="381">
        <f t="shared" si="5"/>
        <v>1.1376052748136658</v>
      </c>
    </row>
    <row r="59" spans="1:17" x14ac:dyDescent="0.25">
      <c r="A59" s="102">
        <v>46627</v>
      </c>
      <c r="C59" s="103">
        <v>2213.09</v>
      </c>
      <c r="D59">
        <v>0</v>
      </c>
      <c r="E59" s="103">
        <f t="shared" si="1"/>
        <v>1856.3762373455897</v>
      </c>
      <c r="F59" s="103">
        <f t="shared" si="6"/>
        <v>356.71376265441052</v>
      </c>
      <c r="H59">
        <v>0</v>
      </c>
      <c r="J59" s="103">
        <f t="shared" si="2"/>
        <v>2213.09</v>
      </c>
      <c r="K59" s="103">
        <f t="shared" si="3"/>
        <v>-34496.73089593133</v>
      </c>
      <c r="M59" s="204">
        <f>'Day2 - Simulated Schedule'!C52</f>
        <v>2213.09</v>
      </c>
      <c r="N59" s="103">
        <f>+'Day2 - Simulated Schedule'!E51</f>
        <v>1843.39</v>
      </c>
      <c r="O59" s="103">
        <f>+'Day2 - Simulated Schedule'!F51</f>
        <v>369.7</v>
      </c>
      <c r="P59" s="381">
        <f t="shared" si="4"/>
        <v>-12.986237345589643</v>
      </c>
      <c r="Q59" s="381">
        <f t="shared" si="5"/>
        <v>12.986237345589473</v>
      </c>
    </row>
    <row r="60" spans="1:17" x14ac:dyDescent="0.25">
      <c r="A60" s="102">
        <v>46658</v>
      </c>
      <c r="C60" s="103">
        <v>2213.09</v>
      </c>
      <c r="D60">
        <v>0</v>
      </c>
      <c r="E60" s="103">
        <f t="shared" si="1"/>
        <v>1874.5918729471919</v>
      </c>
      <c r="F60" s="103">
        <f t="shared" si="6"/>
        <v>338.49812705280823</v>
      </c>
      <c r="H60">
        <v>0</v>
      </c>
      <c r="J60" s="103">
        <f t="shared" si="2"/>
        <v>2213.09</v>
      </c>
      <c r="K60" s="103">
        <f t="shared" si="3"/>
        <v>-32622.139022984138</v>
      </c>
      <c r="M60" s="204">
        <f>'Day2 - Simulated Schedule'!C53</f>
        <v>2213.09</v>
      </c>
      <c r="N60" s="103">
        <f>+'Day2 - Simulated Schedule'!E52</f>
        <v>1862.18</v>
      </c>
      <c r="O60" s="103">
        <f>+'Day2 - Simulated Schedule'!F52</f>
        <v>350.91</v>
      </c>
      <c r="P60" s="381">
        <f t="shared" si="4"/>
        <v>-12.411872947191796</v>
      </c>
      <c r="Q60" s="381">
        <f t="shared" si="5"/>
        <v>12.411872947191796</v>
      </c>
    </row>
    <row r="61" spans="1:17" x14ac:dyDescent="0.25">
      <c r="A61" s="102">
        <v>46688</v>
      </c>
      <c r="C61" s="103">
        <v>2213.09</v>
      </c>
      <c r="D61">
        <v>0</v>
      </c>
      <c r="E61" s="103">
        <f t="shared" si="1"/>
        <v>1892.9862489214058</v>
      </c>
      <c r="F61" s="103">
        <f t="shared" si="6"/>
        <v>320.10375107859437</v>
      </c>
      <c r="H61">
        <v>0</v>
      </c>
      <c r="J61" s="103">
        <f t="shared" si="2"/>
        <v>2213.09</v>
      </c>
      <c r="K61" s="103">
        <f t="shared" si="3"/>
        <v>-30729.152774062732</v>
      </c>
      <c r="M61" s="204">
        <f>'Day2 - Simulated Schedule'!C54</f>
        <v>2213.09</v>
      </c>
      <c r="N61" s="103">
        <f>+'Day2 - Simulated Schedule'!E53</f>
        <v>1891.87</v>
      </c>
      <c r="O61" s="103">
        <f>+'Day2 - Simulated Schedule'!F53</f>
        <v>321.22000000000003</v>
      </c>
      <c r="P61" s="381">
        <f t="shared" si="4"/>
        <v>-1.1162489214059406</v>
      </c>
      <c r="Q61" s="381">
        <f t="shared" si="5"/>
        <v>1.1162489214056563</v>
      </c>
    </row>
    <row r="62" spans="1:17" x14ac:dyDescent="0.25">
      <c r="A62" s="102">
        <v>46719</v>
      </c>
      <c r="C62" s="103">
        <v>2213.09</v>
      </c>
      <c r="D62">
        <v>0</v>
      </c>
      <c r="E62" s="103">
        <f t="shared" si="1"/>
        <v>1911.5611191527237</v>
      </c>
      <c r="F62" s="103">
        <f t="shared" si="6"/>
        <v>301.52888084727653</v>
      </c>
      <c r="H62">
        <v>0</v>
      </c>
      <c r="J62" s="103">
        <f t="shared" si="2"/>
        <v>2213.09</v>
      </c>
      <c r="K62" s="103">
        <f t="shared" si="3"/>
        <v>-28817.591654910007</v>
      </c>
      <c r="M62" s="204">
        <f>'Day2 - Simulated Schedule'!C55</f>
        <v>2213.09</v>
      </c>
      <c r="N62" s="103">
        <f>+'Day2 - Simulated Schedule'!E54</f>
        <v>1900.44</v>
      </c>
      <c r="O62" s="103">
        <f>+'Day2 - Simulated Schedule'!F54</f>
        <v>312.64999999999998</v>
      </c>
      <c r="P62" s="381">
        <f t="shared" si="4"/>
        <v>-11.121119152723622</v>
      </c>
      <c r="Q62" s="381">
        <f t="shared" si="5"/>
        <v>11.121119152723452</v>
      </c>
    </row>
    <row r="63" spans="1:17" x14ac:dyDescent="0.25">
      <c r="A63" s="102">
        <v>46749</v>
      </c>
      <c r="C63" s="103">
        <v>2213.09</v>
      </c>
      <c r="D63">
        <v>0</v>
      </c>
      <c r="E63" s="103">
        <f t="shared" si="1"/>
        <v>1930.3182547355764</v>
      </c>
      <c r="F63" s="103">
        <f t="shared" si="6"/>
        <v>282.77174526442383</v>
      </c>
      <c r="H63">
        <v>0</v>
      </c>
      <c r="J63" s="103">
        <f t="shared" si="2"/>
        <v>2213.09</v>
      </c>
      <c r="K63" s="103">
        <f t="shared" si="3"/>
        <v>-26887.273400174432</v>
      </c>
      <c r="M63" s="204">
        <f>'Day2 - Simulated Schedule'!C56</f>
        <v>2213.09</v>
      </c>
      <c r="N63" s="103">
        <f>+'Day2 - Simulated Schedule'!E55</f>
        <v>1929.27</v>
      </c>
      <c r="O63" s="103">
        <f>+'Day2 - Simulated Schedule'!F55</f>
        <v>283.82</v>
      </c>
      <c r="P63" s="381">
        <f t="shared" si="4"/>
        <v>-1.0482547355763927</v>
      </c>
      <c r="Q63" s="381">
        <f t="shared" si="5"/>
        <v>1.0482547355761653</v>
      </c>
    </row>
    <row r="64" spans="1:17" x14ac:dyDescent="0.25">
      <c r="A64" s="102">
        <v>46780</v>
      </c>
      <c r="C64" s="103">
        <v>2213.09</v>
      </c>
      <c r="D64">
        <v>0</v>
      </c>
      <c r="E64" s="103">
        <f t="shared" si="1"/>
        <v>1949.2594441432052</v>
      </c>
      <c r="F64" s="103">
        <f t="shared" si="6"/>
        <v>263.83055585679494</v>
      </c>
      <c r="H64">
        <v>0</v>
      </c>
      <c r="J64" s="103">
        <f t="shared" si="2"/>
        <v>2213.09</v>
      </c>
      <c r="K64" s="103">
        <f t="shared" si="3"/>
        <v>-24938.013956031227</v>
      </c>
      <c r="M64" s="204">
        <f>'Day2 - Simulated Schedule'!C57</f>
        <v>2213.09</v>
      </c>
      <c r="N64" s="103">
        <f>+'Day2 - Simulated Schedule'!E56</f>
        <v>1939.47</v>
      </c>
      <c r="O64" s="103">
        <f>+'Day2 - Simulated Schedule'!F56</f>
        <v>273.62</v>
      </c>
      <c r="P64" s="381">
        <f t="shared" si="4"/>
        <v>-9.7894441432051735</v>
      </c>
      <c r="Q64" s="381">
        <f t="shared" si="5"/>
        <v>9.7894441432050598</v>
      </c>
    </row>
    <row r="65" spans="1:17" x14ac:dyDescent="0.25">
      <c r="A65" s="102">
        <v>46811</v>
      </c>
      <c r="C65" s="103">
        <v>2213.09</v>
      </c>
      <c r="D65">
        <v>0</v>
      </c>
      <c r="E65" s="103">
        <f t="shared" si="1"/>
        <v>1968.3864933981911</v>
      </c>
      <c r="F65" s="103">
        <f t="shared" si="6"/>
        <v>244.70350660180907</v>
      </c>
      <c r="H65">
        <v>0</v>
      </c>
      <c r="J65" s="103">
        <f t="shared" si="2"/>
        <v>2213.09</v>
      </c>
      <c r="K65" s="103">
        <f t="shared" si="3"/>
        <v>-22969.627462633038</v>
      </c>
      <c r="M65" s="204">
        <f>'Day2 - Simulated Schedule'!C58</f>
        <v>2213.09</v>
      </c>
      <c r="N65" s="103">
        <f>+'Day2 - Simulated Schedule'!E57</f>
        <v>1959.24</v>
      </c>
      <c r="O65" s="103">
        <f>+'Day2 - Simulated Schedule'!F57</f>
        <v>253.85</v>
      </c>
      <c r="P65" s="381">
        <f t="shared" si="4"/>
        <v>-9.146493398191069</v>
      </c>
      <c r="Q65" s="381">
        <f t="shared" si="5"/>
        <v>9.1464933981909269</v>
      </c>
    </row>
    <row r="66" spans="1:17" x14ac:dyDescent="0.25">
      <c r="A66" s="102">
        <v>46840</v>
      </c>
      <c r="C66" s="103">
        <v>2213.09</v>
      </c>
      <c r="D66">
        <v>0</v>
      </c>
      <c r="E66" s="103">
        <f t="shared" si="1"/>
        <v>1987.7012262446567</v>
      </c>
      <c r="F66" s="103">
        <f t="shared" si="6"/>
        <v>225.38877375534338</v>
      </c>
      <c r="H66">
        <v>0</v>
      </c>
      <c r="J66" s="103">
        <f t="shared" si="2"/>
        <v>2213.09</v>
      </c>
      <c r="K66" s="103">
        <f t="shared" si="3"/>
        <v>-20981.926236388383</v>
      </c>
      <c r="M66" s="204">
        <f>'Day2 - Simulated Schedule'!C59</f>
        <v>2213.09</v>
      </c>
      <c r="N66" s="103">
        <f>+'Day2 - Simulated Schedule'!E58</f>
        <v>1994.3</v>
      </c>
      <c r="O66" s="103">
        <f>+'Day2 - Simulated Schedule'!F58</f>
        <v>218.79</v>
      </c>
      <c r="P66" s="381">
        <f t="shared" si="4"/>
        <v>6.5987737553432453</v>
      </c>
      <c r="Q66" s="381">
        <f t="shared" si="5"/>
        <v>-6.5987737553433874</v>
      </c>
    </row>
    <row r="67" spans="1:17" x14ac:dyDescent="0.25">
      <c r="A67" s="102">
        <v>46871</v>
      </c>
      <c r="C67" s="103">
        <v>2213.09</v>
      </c>
      <c r="D67">
        <v>0</v>
      </c>
      <c r="E67" s="103">
        <f t="shared" si="1"/>
        <v>2007.205484322159</v>
      </c>
      <c r="F67" s="103">
        <f t="shared" si="6"/>
        <v>205.88451567784125</v>
      </c>
      <c r="H67">
        <v>0</v>
      </c>
      <c r="J67" s="103">
        <f t="shared" si="2"/>
        <v>2213.09</v>
      </c>
      <c r="K67" s="103">
        <f t="shared" si="3"/>
        <v>-18974.720752066223</v>
      </c>
      <c r="M67" s="204">
        <f>'Day2 - Simulated Schedule'!C60</f>
        <v>2213.09</v>
      </c>
      <c r="N67" s="103">
        <f>+'Day2 - Simulated Schedule'!E59</f>
        <v>1999.53</v>
      </c>
      <c r="O67" s="103">
        <f>+'Day2 - Simulated Schedule'!F59</f>
        <v>213.56</v>
      </c>
      <c r="P67" s="381">
        <f t="shared" si="4"/>
        <v>-7.6754843221590363</v>
      </c>
      <c r="Q67" s="381">
        <f t="shared" si="5"/>
        <v>7.6754843221587521</v>
      </c>
    </row>
    <row r="68" spans="1:17" x14ac:dyDescent="0.25">
      <c r="A68" s="102">
        <v>46901</v>
      </c>
      <c r="C68" s="103">
        <v>2213.09</v>
      </c>
      <c r="D68">
        <v>0</v>
      </c>
      <c r="E68" s="103">
        <f t="shared" si="1"/>
        <v>2026.9011273412866</v>
      </c>
      <c r="F68" s="103">
        <f t="shared" si="6"/>
        <v>186.18887265871359</v>
      </c>
      <c r="H68">
        <v>0</v>
      </c>
      <c r="J68" s="103">
        <f t="shared" si="2"/>
        <v>2213.09</v>
      </c>
      <c r="K68" s="103">
        <f t="shared" si="3"/>
        <v>-16947.819624724936</v>
      </c>
      <c r="M68" s="204">
        <f>'Day2 - Simulated Schedule'!C61</f>
        <v>2213.09</v>
      </c>
      <c r="N68" s="103">
        <f>+'Day2 - Simulated Schedule'!E60</f>
        <v>2026.14</v>
      </c>
      <c r="O68" s="103">
        <f>+'Day2 - Simulated Schedule'!F60</f>
        <v>186.95</v>
      </c>
      <c r="P68" s="381">
        <f t="shared" si="4"/>
        <v>-0.76112734128651027</v>
      </c>
      <c r="Q68" s="381">
        <f t="shared" si="5"/>
        <v>0.76112734128639659</v>
      </c>
    </row>
    <row r="69" spans="1:17" x14ac:dyDescent="0.25">
      <c r="A69" s="102">
        <v>46932</v>
      </c>
      <c r="C69" s="103">
        <v>2213.09</v>
      </c>
      <c r="D69">
        <v>0</v>
      </c>
      <c r="E69" s="103">
        <f t="shared" si="1"/>
        <v>2046.7900332609827</v>
      </c>
      <c r="F69" s="103">
        <f t="shared" si="6"/>
        <v>166.29996673901752</v>
      </c>
      <c r="H69">
        <v>0</v>
      </c>
      <c r="J69" s="103">
        <f t="shared" si="2"/>
        <v>2213.09</v>
      </c>
      <c r="K69" s="103">
        <f t="shared" si="3"/>
        <v>-14901.029591463954</v>
      </c>
      <c r="M69" s="204">
        <f>'Day2 - Simulated Schedule'!C62</f>
        <v>2213.09</v>
      </c>
      <c r="N69" s="103">
        <f>+'Day2 - Simulated Schedule'!E61</f>
        <v>2040.56</v>
      </c>
      <c r="O69" s="103">
        <f>+'Day2 - Simulated Schedule'!F61</f>
        <v>172.53</v>
      </c>
      <c r="P69" s="381">
        <f t="shared" si="4"/>
        <v>-6.2300332609827365</v>
      </c>
      <c r="Q69" s="381">
        <f t="shared" si="5"/>
        <v>6.2300332609824807</v>
      </c>
    </row>
    <row r="70" spans="1:17" x14ac:dyDescent="0.25">
      <c r="A70" s="102">
        <v>46962</v>
      </c>
      <c r="C70" s="103">
        <v>2213.09</v>
      </c>
      <c r="D70">
        <v>0</v>
      </c>
      <c r="E70" s="103">
        <f t="shared" si="1"/>
        <v>2066.8740984676051</v>
      </c>
      <c r="F70" s="103">
        <f t="shared" si="6"/>
        <v>146.21590153239489</v>
      </c>
      <c r="H70">
        <v>0</v>
      </c>
      <c r="J70" s="103">
        <f t="shared" si="2"/>
        <v>2213.09</v>
      </c>
      <c r="K70" s="103">
        <f t="shared" si="3"/>
        <v>-12834.155492996349</v>
      </c>
      <c r="M70" s="204">
        <f>'Day2 - Simulated Schedule'!C63</f>
        <v>2213.09</v>
      </c>
      <c r="N70" s="103">
        <f>+'Day2 - Simulated Schedule'!E62</f>
        <v>2066.25</v>
      </c>
      <c r="O70" s="103">
        <f>+'Day2 - Simulated Schedule'!F62</f>
        <v>146.84</v>
      </c>
      <c r="P70" s="381">
        <f t="shared" si="4"/>
        <v>-0.62409846760510845</v>
      </c>
      <c r="Q70" s="381">
        <f t="shared" si="5"/>
        <v>0.62409846760510845</v>
      </c>
    </row>
    <row r="71" spans="1:17" x14ac:dyDescent="0.25">
      <c r="A71" s="102">
        <v>46993</v>
      </c>
      <c r="C71" s="103">
        <v>2213.09</v>
      </c>
      <c r="D71">
        <v>0</v>
      </c>
      <c r="E71" s="103">
        <f t="shared" si="1"/>
        <v>2087.1552379557461</v>
      </c>
      <c r="F71" s="103">
        <f t="shared" si="6"/>
        <v>125.93476204425393</v>
      </c>
      <c r="H71">
        <v>0</v>
      </c>
      <c r="J71" s="103">
        <f t="shared" si="2"/>
        <v>2213.09</v>
      </c>
      <c r="K71" s="103">
        <f t="shared" si="3"/>
        <v>-10747.000255040602</v>
      </c>
      <c r="M71" s="204">
        <f>'Day2 - Simulated Schedule'!C64</f>
        <v>2213.09</v>
      </c>
      <c r="N71" s="103">
        <f>+'Day2 - Simulated Schedule'!E63</f>
        <v>2082.42</v>
      </c>
      <c r="O71" s="103">
        <f>+'Day2 - Simulated Schedule'!F63</f>
        <v>130.66999999999999</v>
      </c>
      <c r="P71" s="381">
        <f t="shared" si="4"/>
        <v>-4.7352379557460154</v>
      </c>
      <c r="Q71" s="381">
        <f t="shared" si="5"/>
        <v>4.735237955746058</v>
      </c>
    </row>
    <row r="72" spans="1:17" x14ac:dyDescent="0.25">
      <c r="A72" s="102">
        <v>47024</v>
      </c>
      <c r="C72" s="103">
        <v>2213.09</v>
      </c>
      <c r="D72">
        <v>0</v>
      </c>
      <c r="E72" s="103">
        <f t="shared" si="1"/>
        <v>2107.6353855108237</v>
      </c>
      <c r="F72" s="103">
        <f t="shared" si="6"/>
        <v>105.45461448917631</v>
      </c>
      <c r="H72">
        <v>0</v>
      </c>
      <c r="J72" s="103">
        <f t="shared" si="2"/>
        <v>2213.09</v>
      </c>
      <c r="K72" s="103">
        <f t="shared" si="3"/>
        <v>-8639.3648695297779</v>
      </c>
      <c r="M72" s="204">
        <f>'Day2 - Simulated Schedule'!C65</f>
        <v>2213.09</v>
      </c>
      <c r="N72" s="103">
        <f>+'Day2 - Simulated Schedule'!E64</f>
        <v>2103.64</v>
      </c>
      <c r="O72" s="103">
        <f>+'Day2 - Simulated Schedule'!F64</f>
        <v>109.45</v>
      </c>
      <c r="P72" s="381">
        <f t="shared" si="4"/>
        <v>-3.9953855108237804</v>
      </c>
      <c r="Q72" s="381">
        <f t="shared" si="5"/>
        <v>3.9953855108236951</v>
      </c>
    </row>
    <row r="73" spans="1:17" x14ac:dyDescent="0.25">
      <c r="A73" s="102">
        <v>47054</v>
      </c>
      <c r="C73" s="103">
        <v>2213.09</v>
      </c>
      <c r="D73">
        <v>0</v>
      </c>
      <c r="E73" s="103">
        <f t="shared" si="1"/>
        <v>2128.3164938934674</v>
      </c>
      <c r="F73" s="103">
        <f t="shared" si="6"/>
        <v>84.773506106532949</v>
      </c>
      <c r="H73">
        <v>0</v>
      </c>
      <c r="J73" s="103">
        <f t="shared" si="2"/>
        <v>2213.09</v>
      </c>
      <c r="K73" s="103">
        <f t="shared" si="3"/>
        <v>-6511.0483756363101</v>
      </c>
      <c r="M73" s="204">
        <f>'Day2 - Simulated Schedule'!C66</f>
        <v>2213.09</v>
      </c>
      <c r="N73" s="103">
        <f>+'Day2 - Simulated Schedule'!E65</f>
        <v>2127.92</v>
      </c>
      <c r="O73" s="103">
        <f>+'Day2 - Simulated Schedule'!F65</f>
        <v>85.17</v>
      </c>
      <c r="P73" s="381">
        <f t="shared" si="4"/>
        <v>-0.39649389346732278</v>
      </c>
      <c r="Q73" s="381">
        <f t="shared" si="5"/>
        <v>0.39649389346705277</v>
      </c>
    </row>
    <row r="74" spans="1:17" x14ac:dyDescent="0.25">
      <c r="A74" s="102">
        <v>47085</v>
      </c>
      <c r="C74" s="103">
        <v>2213.09</v>
      </c>
      <c r="D74">
        <v>0</v>
      </c>
      <c r="E74" s="103">
        <f t="shared" si="1"/>
        <v>2149.20053502571</v>
      </c>
      <c r="F74" s="103">
        <f t="shared" si="6"/>
        <v>63.889464974290227</v>
      </c>
      <c r="H74">
        <v>0</v>
      </c>
      <c r="J74" s="103">
        <f t="shared" si="2"/>
        <v>2213.09</v>
      </c>
      <c r="K74" s="103">
        <f t="shared" si="3"/>
        <v>-4361.8478406106005</v>
      </c>
      <c r="M74" s="204">
        <f>'Day2 - Simulated Schedule'!C67</f>
        <v>2213.09</v>
      </c>
      <c r="N74" s="103">
        <f>+'Day2 - Simulated Schedule'!E66</f>
        <v>2146.77</v>
      </c>
      <c r="O74" s="103">
        <f>+'Day2 - Simulated Schedule'!F66</f>
        <v>66.319999999999993</v>
      </c>
      <c r="P74" s="381">
        <f t="shared" si="4"/>
        <v>-2.4305350257100145</v>
      </c>
      <c r="Q74" s="381">
        <f t="shared" si="5"/>
        <v>2.4305350257097658</v>
      </c>
    </row>
    <row r="75" spans="1:17" x14ac:dyDescent="0.25">
      <c r="A75" s="102">
        <v>47115</v>
      </c>
      <c r="C75" s="103">
        <v>2213.09</v>
      </c>
      <c r="D75">
        <v>0</v>
      </c>
      <c r="E75" s="103">
        <f t="shared" si="1"/>
        <v>2170.2895001790107</v>
      </c>
      <c r="F75" s="103">
        <f t="shared" si="6"/>
        <v>42.80049982098928</v>
      </c>
      <c r="H75">
        <v>0</v>
      </c>
      <c r="J75" s="103">
        <f t="shared" si="2"/>
        <v>2213.09</v>
      </c>
      <c r="K75" s="103">
        <f t="shared" si="3"/>
        <v>-2191.5583404315898</v>
      </c>
      <c r="M75" s="204">
        <f>'Day2 - Simulated Schedule'!C68</f>
        <v>2213.0700000000002</v>
      </c>
      <c r="N75" s="103">
        <f>+'Day2 - Simulated Schedule'!E67</f>
        <v>2170.08</v>
      </c>
      <c r="O75" s="103">
        <f>+'Day2 - Simulated Schedule'!F67</f>
        <v>43.01</v>
      </c>
      <c r="P75" s="381">
        <f t="shared" si="4"/>
        <v>-0.20950017901077445</v>
      </c>
      <c r="Q75" s="381">
        <f t="shared" si="5"/>
        <v>0.2095001790107176</v>
      </c>
    </row>
    <row r="76" spans="1:17" x14ac:dyDescent="0.25">
      <c r="A76" s="102">
        <v>47146</v>
      </c>
      <c r="C76" s="103">
        <v>2213.0700000000002</v>
      </c>
      <c r="D76">
        <v>0</v>
      </c>
      <c r="E76" s="103">
        <f t="shared" si="1"/>
        <v>2191.5654001641196</v>
      </c>
      <c r="F76" s="103">
        <f t="shared" si="6"/>
        <v>21.504599835880359</v>
      </c>
      <c r="H76">
        <v>0</v>
      </c>
      <c r="J76" s="103">
        <f t="shared" si="2"/>
        <v>2213.0700000000002</v>
      </c>
      <c r="K76" s="103">
        <f t="shared" si="3"/>
        <v>7.0597325297967473E-3</v>
      </c>
      <c r="M76" s="204">
        <f>'Day2 - Simulated Schedule'!C69</f>
        <v>0</v>
      </c>
      <c r="N76" s="103">
        <f>+'Day2 - Simulated Schedule'!E68</f>
        <v>2190.7199999999998</v>
      </c>
      <c r="O76" s="103">
        <f>+'Day2 - Simulated Schedule'!F68</f>
        <v>22.35</v>
      </c>
      <c r="P76" s="381">
        <f t="shared" si="4"/>
        <v>-0.84540016411983743</v>
      </c>
      <c r="Q76" s="381">
        <f t="shared" si="5"/>
        <v>0.84540016411964203</v>
      </c>
    </row>
    <row r="77" spans="1:17" x14ac:dyDescent="0.25">
      <c r="F77" s="103">
        <f>SUM(F17:F76)</f>
        <v>32785.372940267487</v>
      </c>
      <c r="O77" s="103">
        <f>SUM(O17:O76)</f>
        <v>32785.379999999997</v>
      </c>
    </row>
  </sheetData>
  <pageMargins left="0.7" right="0.7" top="0.75" bottom="0.75" header="0.3" footer="0.3"/>
  <pageSetup paperSize="9" orientation="portrait" r:id="rId1"/>
  <headerFooter>
    <oddFooter>&amp;L&amp;"Calibri Light,Regular"&amp;09&amp;K00C000Public</oddFooter>
    <evenFooter>&amp;L&amp;"Calibri Light,Regular"&amp;09&amp;K00C000Public</evenFooter>
    <firstFooter>&amp;L&amp;"Calibri Light,Regular"&amp;09&amp;K00C000Public</first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D4AEC-B94F-4EB5-AE6D-F7630DF1F29B}">
  <sheetPr>
    <pageSetUpPr autoPageBreaks="0"/>
  </sheetPr>
  <dimension ref="A1"/>
  <sheetViews>
    <sheetView workbookViewId="0">
      <selection activeCell="K35" sqref="K35"/>
    </sheetView>
  </sheetViews>
  <sheetFormatPr defaultRowHeight="15" x14ac:dyDescent="0.25"/>
  <cols>
    <col min="2" max="2" width="8.7109375" customWidth="1"/>
  </cols>
  <sheetData/>
  <pageMargins left="0.7" right="0.7" top="0.75" bottom="0.75" header="0.3" footer="0.3"/>
  <pageSetup paperSize="9" orientation="portrait" r:id="rId1"/>
  <headerFooter>
    <oddFooter>&amp;L&amp;"Calibri Light,Regular"&amp;09&amp;K00C000Public</oddFooter>
    <evenFooter>&amp;L&amp;"Calibri Light,Regular"&amp;09&amp;K00C000Public</evenFooter>
    <firstFooter>&amp;L&amp;"Calibri Light,Regular"&amp;09&amp;K00C000Public</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sisl xmlns:xsd="http://www.w3.org/2001/XMLSchema" xmlns:xsi="http://www.w3.org/2001/XMLSchema-instance" xmlns="http://www.boldonjames.com/2008/01/sie/internal/label" sislVersion="0" policy="52439ff8-d87a-4373-8fdd-bcc2aadc5b60" origin="userSelected">
  <element uid="id_classification_nonbusiness" value=""/>
</sisl>
</file>

<file path=customXml/item2.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1MjQzOWZmOC1kODdhLTQzNzMtOGZkZC1iY2MyYWFkYzViNjAiIG9yaWdpbj0idXNlclNlbGVjdGVkIj48ZWxlbWVudCB1aWQ9ImlkX2NsYXNzaWZpY2F0aW9uX25vbmJ1c2luZXNzIiB2YWx1ZT0iIiB4bWxucz0iaHR0cDovL3d3dy5ib2xkb25qYW1lcy5jb20vMjAwOC8wMS9zaWUvaW50ZXJuYWwvbGFiZWwiIC8+PC9zaXNsPjxVc2VyTmFtZT5UQU1XRUVMLUFMT1VMQVxuYXJhc2ltaGEubXVydGh5PC9Vc2VyTmFtZT48RGF0ZVRpbWU+MTEvMTQvMjAyNCA4OjM4OjQxIEFNPC9EYXRlVGltZT48TGFiZWxTdHJpbmc+UHVibGljPC9MYWJlbFN0cmluZz48L2l0ZW0+PC9sYWJlbEhpc3Rvcnk+</Value>
</WrappedLabelHistory>
</file>

<file path=customXml/itemProps1.xml><?xml version="1.0" encoding="utf-8"?>
<ds:datastoreItem xmlns:ds="http://schemas.openxmlformats.org/officeDocument/2006/customXml" ds:itemID="{70B70A9F-C9B2-4424-8D3D-A287D03C3BE5}">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7B616648-A191-47DE-838E-5683A2B8244D}">
  <ds:schemaRefs>
    <ds:schemaRef ds:uri="http://www.w3.org/2001/XMLSchema"/>
    <ds:schemaRef ds:uri="http://www.boldonjames.com/2016/02/Classifier/internal/wrappedLabelHistory"/>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Day1 - E2E Accounting Entries</vt:lpstr>
      <vt:lpstr>Day2 - Simulated Schedule</vt:lpstr>
      <vt:lpstr>Day4-Cooling Period Cancelation</vt:lpstr>
      <vt:lpstr>Day4 - Deferment</vt:lpstr>
      <vt:lpstr>Day4 - Early Settlement</vt:lpstr>
      <vt:lpstr>Day4 - IRR &amp; Flat Rate</vt:lpstr>
      <vt:lpstr>Day4 - Product Setup</vt:lpstr>
      <vt:lpstr>Day4 - Partial Settlement</vt:lpstr>
      <vt:lpstr>Day4 - Partial Settlement (RT)</vt:lpstr>
      <vt:lpstr>Day4 - Principal Decrease - Ins</vt:lpstr>
      <vt:lpstr>Day4 - Principal Dec - Term</vt:lpstr>
      <vt:lpstr>DayN- APR with Flat Rate</vt:lpstr>
      <vt:lpstr>DayN - Proposed Acc Entries</vt:lpstr>
      <vt:lpstr>DayN - LOS - LMS Mapping Field</vt:lpstr>
      <vt:lpstr>DayN-File Upload</vt:lpstr>
      <vt:lpstr>DayN-DefermentWith Overdue</vt:lpstr>
      <vt:lpstr>SA Transact Grace Schedule</vt:lpstr>
      <vt:lpstr>VAT e-invoice temp</vt:lpstr>
      <vt:lpstr>513744</vt:lpstr>
      <vt:lpstr>financing department pending </vt:lpstr>
      <vt:lpstr>grace period calculation</vt:lpstr>
      <vt:lpstr>fekher</vt:lpstr>
      <vt:lpstr>Sheet4</vt:lpstr>
      <vt:lpstr>Day2 - Simulated Schedule (2)</vt:lpstr>
      <vt:lpstr>financing department pending 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Farhan Ullah Khan</dc:creator>
  <cp:keywords>Tamweel_Aloula_BJ_Public</cp:keywords>
  <cp:lastModifiedBy>Venkateshwaran T</cp:lastModifiedBy>
  <dcterms:created xsi:type="dcterms:W3CDTF">2024-08-12T14:06:32Z</dcterms:created>
  <dcterms:modified xsi:type="dcterms:W3CDTF">2025-11-08T14:58:32Z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cf18be91-9136-4c79-b6a2-8b83b16148a1</vt:lpwstr>
  </property>
  <property fmtid="{D5CDD505-2E9C-101B-9397-08002B2CF9AE}" pid="3" name="bjDocumentLabelXML">
    <vt:lpwstr>&lt;?xml version="1.0" encoding="us-ascii"?&gt;&lt;sisl xmlns:xsd="http://www.w3.org/2001/XMLSchema" xmlns:xsi="http://www.w3.org/2001/XMLSchema-instance" sislVersion="0" policy="52439ff8-d87a-4373-8fdd-bcc2aadc5b60" origin="userSelected" xmlns="http://www.boldonj</vt:lpwstr>
  </property>
  <property fmtid="{D5CDD505-2E9C-101B-9397-08002B2CF9AE}" pid="4" name="bjDocumentLabelXML-0">
    <vt:lpwstr>ames.com/2008/01/sie/internal/label"&gt;&lt;element uid="id_classification_nonbusiness" value="" /&gt;&lt;/sisl&gt;</vt:lpwstr>
  </property>
  <property fmtid="{D5CDD505-2E9C-101B-9397-08002B2CF9AE}" pid="5" name="bjDocumentSecurityLabel">
    <vt:lpwstr>Public</vt:lpwstr>
  </property>
  <property fmtid="{D5CDD505-2E9C-101B-9397-08002B2CF9AE}" pid="6" name="Classification">
    <vt:lpwstr>Tamweel_Aloula_BJ_Public</vt:lpwstr>
  </property>
  <property fmtid="{D5CDD505-2E9C-101B-9397-08002B2CF9AE}" pid="7" name="bjSaver">
    <vt:lpwstr>EG5I03SnRRbDtnvneVto4YqBIYItYL0R</vt:lpwstr>
  </property>
  <property fmtid="{D5CDD505-2E9C-101B-9397-08002B2CF9AE}" pid="8" name="bjClsUserRVM">
    <vt:lpwstr>[]</vt:lpwstr>
  </property>
  <property fmtid="{D5CDD505-2E9C-101B-9397-08002B2CF9AE}" pid="9" name="bjLabelHistoryID">
    <vt:lpwstr>{7B616648-A191-47DE-838E-5683A2B8244D}</vt:lpwstr>
  </property>
  <property fmtid="{D5CDD505-2E9C-101B-9397-08002B2CF9AE}" pid="10" name="bjLeftFooterLabel-first">
    <vt:lpwstr>&amp;"Calibri Light,Regular"&amp;09&amp;K00C000Public</vt:lpwstr>
  </property>
  <property fmtid="{D5CDD505-2E9C-101B-9397-08002B2CF9AE}" pid="11" name="bjLeftFooterLabel-even">
    <vt:lpwstr>&amp;"Calibri Light,Regular"&amp;09&amp;K00C000Public</vt:lpwstr>
  </property>
  <property fmtid="{D5CDD505-2E9C-101B-9397-08002B2CF9AE}" pid="12" name="bjLeftFooterLabel">
    <vt:lpwstr>&amp;"Calibri Light,Regular"&amp;09&amp;K00C000Public</vt:lpwstr>
  </property>
</Properties>
</file>