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600" windowWidth="19815" windowHeight="6855" activeTab="3"/>
  </bookViews>
  <sheets>
    <sheet name="Tax Invoice" sheetId="1" r:id="rId1"/>
    <sheet name="RA 02" sheetId="2" state="hidden" r:id="rId2"/>
    <sheet name="RA-01" sheetId="3" r:id="rId3"/>
    <sheet name="HUME PIPE" sheetId="4" r:id="rId4"/>
    <sheet name="ms angle1" sheetId="5" state="hidden" r:id="rId5"/>
    <sheet name="ms angle" sheetId="6" state="hidden" r:id="rId6"/>
    <sheet name="tray" sheetId="7" state="hidden" r:id="rId7"/>
    <sheet name="MS ANGLE (2)" sheetId="8" state="hidden" r:id="rId8"/>
    <sheet name="TRAY (2)" sheetId="9" state="hidden" r:id="rId9"/>
    <sheet name="B-1." sheetId="10" state="hidden" r:id="rId10"/>
    <sheet name="B3-T3 (2)" sheetId="11" state="hidden" r:id="rId11"/>
  </sheets>
  <definedNames>
    <definedName name="____________________DIA1">#REF!</definedName>
    <definedName name="____________________DIA2">#REF!</definedName>
    <definedName name="___________________DIA1">#REF!</definedName>
    <definedName name="___________________DIA2">#REF!</definedName>
    <definedName name="__________________afr1">#REF!</definedName>
    <definedName name="__________________DIA1">#REF!</definedName>
    <definedName name="__________________DIA2">#REF!</definedName>
    <definedName name="__________________lb1">#REF!</definedName>
    <definedName name="__________________lb2">#REF!</definedName>
    <definedName name="__________________mm1">#REF!</definedName>
    <definedName name="__________________mm2">#REF!</definedName>
    <definedName name="__________________mm3">#REF!</definedName>
    <definedName name="_________________afr1">#REF!</definedName>
    <definedName name="_________________DIA1">#REF!</definedName>
    <definedName name="_________________DIA2">#REF!</definedName>
    <definedName name="________________afr1">#REF!</definedName>
    <definedName name="________________DIA1">#REF!</definedName>
    <definedName name="________________DIA2">#REF!</definedName>
    <definedName name="________________lb1">#REF!</definedName>
    <definedName name="________________lb2">#REF!</definedName>
    <definedName name="________________mm1">#REF!</definedName>
    <definedName name="________________mm2">#REF!</definedName>
    <definedName name="________________mm3">#REF!</definedName>
    <definedName name="_______________afr1">#REF!</definedName>
    <definedName name="_______________DIA1">#REF!</definedName>
    <definedName name="_______________DIA2">#REF!</definedName>
    <definedName name="______________afr1">#REF!</definedName>
    <definedName name="______________DIA1">#REF!</definedName>
    <definedName name="______________DIA2">#REF!</definedName>
    <definedName name="______________lb1">#REF!</definedName>
    <definedName name="______________lb2">#REF!</definedName>
    <definedName name="______________mm1">#REF!</definedName>
    <definedName name="______________mm2">#REF!</definedName>
    <definedName name="______________mm3">#REF!</definedName>
    <definedName name="______________SIE1">#REF!</definedName>
    <definedName name="______________SIE2">#REF!</definedName>
    <definedName name="_____________afr1">#REF!</definedName>
    <definedName name="_____________DIA1">#REF!</definedName>
    <definedName name="_____________DIA2">#REF!</definedName>
    <definedName name="_____________SIE1">#REF!</definedName>
    <definedName name="_____________SIE2">#REF!</definedName>
    <definedName name="____________afr1">#REF!</definedName>
    <definedName name="____________DIA1">#REF!</definedName>
    <definedName name="____________DIA2">#REF!</definedName>
    <definedName name="____________SIE1">#REF!</definedName>
    <definedName name="____________SIE2">#REF!</definedName>
    <definedName name="___________afr1">#REF!</definedName>
    <definedName name="___________DIA1">#REF!</definedName>
    <definedName name="___________DIA2">#REF!</definedName>
    <definedName name="___________SIE1">#REF!</definedName>
    <definedName name="___________SIE2">#REF!</definedName>
    <definedName name="__________afr1">#REF!</definedName>
    <definedName name="__________DIA1">#REF!</definedName>
    <definedName name="__________DIA2">#REF!</definedName>
    <definedName name="__________lb1">#REF!</definedName>
    <definedName name="__________lb2">#REF!</definedName>
    <definedName name="__________mm1">#REF!</definedName>
    <definedName name="__________mm2">#REF!</definedName>
    <definedName name="__________mm3">#REF!</definedName>
    <definedName name="__________SIE1">#REF!</definedName>
    <definedName name="__________SIE2">#REF!</definedName>
    <definedName name="_________afr1">#REF!</definedName>
    <definedName name="_________bol1">#REF!</definedName>
    <definedName name="_________DIA1">#REF!</definedName>
    <definedName name="_________DIA2">#REF!</definedName>
    <definedName name="_________f1">#REF!</definedName>
    <definedName name="_________lb1">#REF!</definedName>
    <definedName name="_________lb2">#REF!</definedName>
    <definedName name="_________mm1">#REF!</definedName>
    <definedName name="_________mm2">#REF!</definedName>
    <definedName name="_________mm3">#REF!</definedName>
    <definedName name="_________SIE1">#REF!</definedName>
    <definedName name="_________SIE2">#REF!</definedName>
    <definedName name="________afr1">#REF!</definedName>
    <definedName name="________bol1">#REF!</definedName>
    <definedName name="________DIA1">#REF!</definedName>
    <definedName name="________DIA2">#REF!</definedName>
    <definedName name="________f1">#REF!</definedName>
    <definedName name="________SIE1">#REF!</definedName>
    <definedName name="________SIE2">#REF!</definedName>
    <definedName name="_______afr1">#REF!</definedName>
    <definedName name="_______bol1">#REF!</definedName>
    <definedName name="_______DIA1">#REF!</definedName>
    <definedName name="_______DIA2">#REF!</definedName>
    <definedName name="_______f1">#REF!</definedName>
    <definedName name="_______lb1">#REF!</definedName>
    <definedName name="_______lb2">#REF!</definedName>
    <definedName name="_______mm1">#REF!</definedName>
    <definedName name="_______mm2">#REF!</definedName>
    <definedName name="_______mm3">#REF!</definedName>
    <definedName name="_______SIE1">#REF!</definedName>
    <definedName name="_______SIE2">#REF!</definedName>
    <definedName name="______afr1">#REF!</definedName>
    <definedName name="______bol1">#REF!</definedName>
    <definedName name="______DIA1">#REF!</definedName>
    <definedName name="______DIA2">#REF!</definedName>
    <definedName name="______Excel_BuiltIn_Print_Area_3_1_1_1">#REF!</definedName>
    <definedName name="______f1">#REF!</definedName>
    <definedName name="______lb1">#REF!</definedName>
    <definedName name="______lb2">#REF!</definedName>
    <definedName name="______mm1">#REF!</definedName>
    <definedName name="______mm2">#REF!</definedName>
    <definedName name="______mm3">#REF!</definedName>
    <definedName name="______SIE1">#REF!</definedName>
    <definedName name="______SIE2">#REF!</definedName>
    <definedName name="_____A65539">#REF!</definedName>
    <definedName name="_____afr1">#REF!</definedName>
    <definedName name="_____bol1">#REF!</definedName>
    <definedName name="_____DIA1">#REF!</definedName>
    <definedName name="_____DIA2">#REF!</definedName>
    <definedName name="_____f1">#REF!</definedName>
    <definedName name="_____lb1">#REF!</definedName>
    <definedName name="_____lb2">#REF!</definedName>
    <definedName name="_____mm1">#REF!</definedName>
    <definedName name="_____mm2">#REF!</definedName>
    <definedName name="_____mm3">#REF!</definedName>
    <definedName name="_____SIE1">#REF!</definedName>
    <definedName name="_____SIE2">#REF!</definedName>
    <definedName name="____afr1">#REF!</definedName>
    <definedName name="____b111121">#REF!</definedName>
    <definedName name="____bol1">#REF!</definedName>
    <definedName name="____DIA1">#REF!</definedName>
    <definedName name="____DIA2">#REF!</definedName>
    <definedName name="____dim4">#REF!</definedName>
    <definedName name="____f1">#REF!</definedName>
    <definedName name="____KC139">#REF!</definedName>
    <definedName name="____Ki1">#REF!</definedName>
    <definedName name="____Ki2">#REF!</definedName>
    <definedName name="____lb1">#REF!</definedName>
    <definedName name="____lb2">#REF!</definedName>
    <definedName name="____MAN1">#REF!</definedName>
    <definedName name="____mm1">#REF!</definedName>
    <definedName name="____mm2">#REF!</definedName>
    <definedName name="____mm3">#REF!</definedName>
    <definedName name="____PB1">#REF!</definedName>
    <definedName name="____SIE1">#REF!</definedName>
    <definedName name="____SIE2">#REF!</definedName>
    <definedName name="____TB2">#REF!</definedName>
    <definedName name="___A65539">#REF!</definedName>
    <definedName name="___aaa5">#REF!</definedName>
    <definedName name="___afr1">#REF!</definedName>
    <definedName name="___b111121">#REF!</definedName>
    <definedName name="___bol1">#REF!</definedName>
    <definedName name="___BVD1">#REF!</definedName>
    <definedName name="___CON1">#REF!</definedName>
    <definedName name="___CON2">#REF!</definedName>
    <definedName name="___DIA1">#REF!</definedName>
    <definedName name="___DIA2">#REF!</definedName>
    <definedName name="___dim4">#REF!</definedName>
    <definedName name="___exc1">#REF!</definedName>
    <definedName name="___exc11">#REF!</definedName>
    <definedName name="___exc2">#REF!</definedName>
    <definedName name="___EXC3">#REF!</definedName>
    <definedName name="___EXC4">#REF!</definedName>
    <definedName name="___f1">#REF!</definedName>
    <definedName name="___Feb06">#REF!</definedName>
    <definedName name="___foo1">#REF!</definedName>
    <definedName name="___foo2">#REF!</definedName>
    <definedName name="___foo3">#REF!</definedName>
    <definedName name="___FOO4">#REF!</definedName>
    <definedName name="___hp10">#REF!</definedName>
    <definedName name="___KC139">#REF!</definedName>
    <definedName name="___Ki1">#REF!</definedName>
    <definedName name="___Ki2">#REF!</definedName>
    <definedName name="___lb1">#REF!</definedName>
    <definedName name="___lb2">#REF!</definedName>
    <definedName name="___MAN1">#REF!</definedName>
    <definedName name="___mm1">#REF!</definedName>
    <definedName name="___mm2">#REF!</definedName>
    <definedName name="___mm3">#REF!</definedName>
    <definedName name="___PB1">#REF!</definedName>
    <definedName name="___pcc1">#REF!</definedName>
    <definedName name="___pcc2">#REF!</definedName>
    <definedName name="___pcc3">#REF!</definedName>
    <definedName name="___PCC4">#REF!</definedName>
    <definedName name="___plb1">#REF!</definedName>
    <definedName name="___plb2">#REF!</definedName>
    <definedName name="___plb3">#REF!</definedName>
    <definedName name="___plb4">#REF!</definedName>
    <definedName name="___rm4">#REF!</definedName>
    <definedName name="___SIE1">#REF!</definedName>
    <definedName name="___SIE2">#REF!</definedName>
    <definedName name="___TB2">#REF!</definedName>
    <definedName name="___WO1">#REF!</definedName>
    <definedName name="__1Excel_BuiltIn_Print_Area_3_1_1">#REF!</definedName>
    <definedName name="__2Excel_BuiltIn_Print_Area_3_1_1_1">#REF!</definedName>
    <definedName name="__3Excel_BuiltIn_Print_Area_3_1_1_1_1">#REF!</definedName>
    <definedName name="__4Excel_BuiltIn_Print_Area_3_1_1_1_1_1">#REF!</definedName>
    <definedName name="__A65539">#REF!</definedName>
    <definedName name="__aaa10">#REF!</definedName>
    <definedName name="__aaa5">#REF!</definedName>
    <definedName name="__AAA51">#REF!</definedName>
    <definedName name="__aaa55">#REF!</definedName>
    <definedName name="__AAA6">#REF!</definedName>
    <definedName name="__AAA7">#REF!</definedName>
    <definedName name="__AAD5">#REF!</definedName>
    <definedName name="__aad55">#REF!</definedName>
    <definedName name="__afr1">#REF!</definedName>
    <definedName name="__aoc10">#REF!</definedName>
    <definedName name="__aoc11">#REF!</definedName>
    <definedName name="__aoc7">#REF!</definedName>
    <definedName name="__aoc8">#REF!</definedName>
    <definedName name="__aoc9">#REF!</definedName>
    <definedName name="__b111121">#REF!</definedName>
    <definedName name="__B98518">#REF!</definedName>
    <definedName name="__bol1">#REF!</definedName>
    <definedName name="__BVD1">#REF!</definedName>
    <definedName name="__BVD2">#REF!</definedName>
    <definedName name="__cat12">#REF!</definedName>
    <definedName name="__CON1">#REF!</definedName>
    <definedName name="__CON2">#REF!</definedName>
    <definedName name="__Ctr10">#REF!</definedName>
    <definedName name="__DIA1">#REF!</definedName>
    <definedName name="__DIA2">#REF!</definedName>
    <definedName name="__dim4">#REF!</definedName>
    <definedName name="__exc1">#REF!</definedName>
    <definedName name="__exc11">#REF!</definedName>
    <definedName name="__exc2">#REF!</definedName>
    <definedName name="__EXC3">#REF!</definedName>
    <definedName name="__EXC4">#REF!</definedName>
    <definedName name="__Excel_BuiltIn_Print_Area_3_1_1">#REF!</definedName>
    <definedName name="__Excel_BuiltIn_Print_Area_3_1_1_1_1">#REF!</definedName>
    <definedName name="__f1">#REF!</definedName>
    <definedName name="__Feb06">#REF!</definedName>
    <definedName name="__flx200">#REF!</definedName>
    <definedName name="__flx250">#REF!</definedName>
    <definedName name="__flx300">#REF!</definedName>
    <definedName name="__foo1">#REF!</definedName>
    <definedName name="__foo2">#REF!</definedName>
    <definedName name="__foo3">#REF!</definedName>
    <definedName name="__FOO4">#REF!</definedName>
    <definedName name="__hp10">#REF!</definedName>
    <definedName name="__Iri2">#REF!</definedName>
    <definedName name="__iv66666">#REF!</definedName>
    <definedName name="__jj300">#REF!</definedName>
    <definedName name="__KC139">#REF!</definedName>
    <definedName name="__Ki1">#REF!</definedName>
    <definedName name="__Ki2">#REF!</definedName>
    <definedName name="__kp1">#REF!</definedName>
    <definedName name="__lb1">#REF!</definedName>
    <definedName name="__lb2">#REF!</definedName>
    <definedName name="__MAN1">#REF!</definedName>
    <definedName name="__mm1">#REF!</definedName>
    <definedName name="__mm2">#REF!</definedName>
    <definedName name="__mm3">#REF!</definedName>
    <definedName name="__MN1">#REF!</definedName>
    <definedName name="__PB1">#REF!</definedName>
    <definedName name="__pcc1">#REF!</definedName>
    <definedName name="__pcc2">#REF!</definedName>
    <definedName name="__pcc3">#REF!</definedName>
    <definedName name="__PCC4">#REF!</definedName>
    <definedName name="__plb1">#REF!</definedName>
    <definedName name="__plb2">#REF!</definedName>
    <definedName name="__plb3">#REF!</definedName>
    <definedName name="__plb4">#REF!</definedName>
    <definedName name="__pqr1">#REF!</definedName>
    <definedName name="__pqr2">#REF!</definedName>
    <definedName name="__REM1">#REF!</definedName>
    <definedName name="__REM2">#REF!</definedName>
    <definedName name="__rim4">#REF!</definedName>
    <definedName name="__rm4">#REF!</definedName>
    <definedName name="__sa2">#REF!</definedName>
    <definedName name="__sdb2">#REF!</definedName>
    <definedName name="__SDB3">#REF!</definedName>
    <definedName name="__sec1">#REF!</definedName>
    <definedName name="__Sec2">#REF!</definedName>
    <definedName name="__sec3">#REF!</definedName>
    <definedName name="__Sec4">#REF!</definedName>
    <definedName name="__sec5">#REF!</definedName>
    <definedName name="__sec6">#REF!</definedName>
    <definedName name="__sec7">#REF!</definedName>
    <definedName name="__sec71">#REF!</definedName>
    <definedName name="__SEC77">#REF!</definedName>
    <definedName name="__sec8">#REF!</definedName>
    <definedName name="__sec81">#REF!</definedName>
    <definedName name="__SEC88">#REF!</definedName>
    <definedName name="__SEC9">#REF!</definedName>
    <definedName name="__SH1">#REF!</definedName>
    <definedName name="__SH2">#REF!</definedName>
    <definedName name="__SH3">#REF!</definedName>
    <definedName name="__SH4">#REF!</definedName>
    <definedName name="__SH5">#REF!</definedName>
    <definedName name="__SIE1">#REF!</definedName>
    <definedName name="__SIE2">#REF!</definedName>
    <definedName name="__tk1">#REF!</definedName>
    <definedName name="__tra1">#REF!</definedName>
    <definedName name="__tra2">#REF!</definedName>
    <definedName name="__WO1">#REF!</definedName>
    <definedName name="__xlnm._FilterDatabase">#REF!</definedName>
    <definedName name="__xlnm.Print_Area">#REF!</definedName>
    <definedName name="__xlnm.Print_Area_1">#REF!</definedName>
    <definedName name="_0">#REF!</definedName>
    <definedName name="_0___0">#REF!</definedName>
    <definedName name="_12Excel_BuiltIn_Print_Area_3_1_1_1_1">#REF!</definedName>
    <definedName name="_16Excel_BuiltIn_Print_Area_3_1_1_1_1_1">#REF!</definedName>
    <definedName name="_1Excel_BuiltIn_Print_Area_1_1_1">#REF!</definedName>
    <definedName name="_1Excel_BuiltIn_Print_Area_3_1_1">#REF!</definedName>
    <definedName name="_2Excel_BuiltIn_Print_Area_1_1_1_1">#REF!</definedName>
    <definedName name="_2Excel_BuiltIn_Print_Area_3_1_1_1">#REF!</definedName>
    <definedName name="_2m_100">#REF!</definedName>
    <definedName name="_2m_150">#REF!</definedName>
    <definedName name="_2m_200">#REF!</definedName>
    <definedName name="_2m_25">#REF!</definedName>
    <definedName name="_2m_250">#REF!</definedName>
    <definedName name="_2m_300">#REF!</definedName>
    <definedName name="_2m_32">#REF!</definedName>
    <definedName name="_2m_40">#REF!</definedName>
    <definedName name="_2m_50">#REF!</definedName>
    <definedName name="_2m_65">#REF!</definedName>
    <definedName name="_2m_80">#REF!</definedName>
    <definedName name="_3_1_1_1">#REF!</definedName>
    <definedName name="_3Excel_BuiltIn_Print_Area_3_1_1_1_1">#REF!</definedName>
    <definedName name="_3m_100">#REF!</definedName>
    <definedName name="_3m_150">#REF!</definedName>
    <definedName name="_3m_200">#REF!</definedName>
    <definedName name="_3m_25">#REF!</definedName>
    <definedName name="_3m_250">#REF!</definedName>
    <definedName name="_3m_300">#REF!</definedName>
    <definedName name="_3m_32">#REF!</definedName>
    <definedName name="_3m_40">#REF!</definedName>
    <definedName name="_3m_50">#REF!</definedName>
    <definedName name="_3m_65">#REF!</definedName>
    <definedName name="_3m_80">#REF!</definedName>
    <definedName name="_4Excel_BuiltIn_Print_Area_3_1_1">#REF!</definedName>
    <definedName name="_4Excel_BuiltIn_Print_Area_3_1_1_1_1_1">#REF!</definedName>
    <definedName name="_8Excel_BuiltIn_Print_Area_3_1_1_1">#REF!</definedName>
    <definedName name="_a">#REF!</definedName>
    <definedName name="_a_2">#REF!</definedName>
    <definedName name="_a65537">#REF!</definedName>
    <definedName name="_A65539">#REF!</definedName>
    <definedName name="_A65555">#REF!</definedName>
    <definedName name="_A65658">#REF!</definedName>
    <definedName name="_A65800">#REF!</definedName>
    <definedName name="_A66000">#REF!</definedName>
    <definedName name="_A99999">#REF!</definedName>
    <definedName name="_aaa10">#REF!</definedName>
    <definedName name="_aaa5">#REF!</definedName>
    <definedName name="_AAA51">#REF!</definedName>
    <definedName name="_aaa55">#REF!</definedName>
    <definedName name="_AAA6">#REF!</definedName>
    <definedName name="_AAA7">#REF!</definedName>
    <definedName name="_AAD5">#REF!</definedName>
    <definedName name="_aad55">#REF!</definedName>
    <definedName name="_afr1">#REF!</definedName>
    <definedName name="_aoc10">#REF!</definedName>
    <definedName name="_aoc11">#REF!</definedName>
    <definedName name="_aoc7">#REF!</definedName>
    <definedName name="_aoc8">#REF!</definedName>
    <definedName name="_aoc9">#REF!</definedName>
    <definedName name="_b">#REF!</definedName>
    <definedName name="_b111121">#REF!</definedName>
    <definedName name="_B98518">#REF!</definedName>
    <definedName name="_bol1">#REF!</definedName>
    <definedName name="_BVD1">#REF!</definedName>
    <definedName name="_BVD2">#REF!</definedName>
    <definedName name="_C">#REF!</definedName>
    <definedName name="_C___0">#REF!</definedName>
    <definedName name="_C___13">#REF!</definedName>
    <definedName name="_cat12">#REF!</definedName>
    <definedName name="_CON1">#REF!</definedName>
    <definedName name="_CON2">#REF!</definedName>
    <definedName name="_Ctr10">#REF!</definedName>
    <definedName name="_CY53__">#REF!</definedName>
    <definedName name="_DIA1">#REF!</definedName>
    <definedName name="_DIA2">#REF!</definedName>
    <definedName name="_dim4">#REF!</definedName>
    <definedName name="_exc1">#REF!</definedName>
    <definedName name="_exc11">#REF!</definedName>
    <definedName name="_exc2">#REF!</definedName>
    <definedName name="_EXC3">#REF!</definedName>
    <definedName name="_EXC4">#REF!</definedName>
    <definedName name="_f1">#REF!</definedName>
    <definedName name="_Fill">#REF!</definedName>
    <definedName name="_xlnm._FilterDatabase" localSheetId="10" hidden="1">'B3-T3 (2)'!$C$1:$C$345</definedName>
    <definedName name="_flx200">#REF!</definedName>
    <definedName name="_flx250">#REF!</definedName>
    <definedName name="_flx300">#REF!</definedName>
    <definedName name="_foo1">#REF!</definedName>
    <definedName name="_foo2">#REF!</definedName>
    <definedName name="_foo3">#REF!</definedName>
    <definedName name="_FOO4">#REF!</definedName>
    <definedName name="_GOTO_I10_">#REF!</definedName>
    <definedName name="_hmp100">#REF!</definedName>
    <definedName name="_hmp120">#REF!</definedName>
    <definedName name="_hp10">#REF!</definedName>
    <definedName name="_Ind1">#REF!</definedName>
    <definedName name="_Ind3">#REF!</definedName>
    <definedName name="_Ind4">#REF!</definedName>
    <definedName name="_Iri2">#REF!</definedName>
    <definedName name="_Iro2">#REF!</definedName>
    <definedName name="_iv66666">#REF!</definedName>
    <definedName name="_JCL1">#REF!</definedName>
    <definedName name="_jj300">#REF!</definedName>
    <definedName name="_KC139">#REF!</definedName>
    <definedName name="_Key1">#REF!</definedName>
    <definedName name="_Key2">#REF!</definedName>
    <definedName name="_Ki1">#REF!</definedName>
    <definedName name="_Ki2">#REF!</definedName>
    <definedName name="_kp1">#REF!</definedName>
    <definedName name="_L1">#REF!</definedName>
    <definedName name="_lb1">#REF!</definedName>
    <definedName name="_lb2">#REF!</definedName>
    <definedName name="_MAN1">#REF!</definedName>
    <definedName name="_MatInverse_In">#REF!</definedName>
    <definedName name="_mm1">#REF!</definedName>
    <definedName name="_mm2">#REF!</definedName>
    <definedName name="_mm3">#REF!</definedName>
    <definedName name="_MN1">#REF!</definedName>
    <definedName name="_obm1">#REF!</definedName>
    <definedName name="_obm2">#REF!</definedName>
    <definedName name="_obm3">#REF!</definedName>
    <definedName name="_obm4">#REF!</definedName>
    <definedName name="_Od1">#REF!</definedName>
    <definedName name="_Od3">#REF!</definedName>
    <definedName name="_Od4">#REF!</definedName>
    <definedName name="_osf1">#REF!</definedName>
    <definedName name="_osf2">#REF!</definedName>
    <definedName name="_osf3">#REF!</definedName>
    <definedName name="_osf4">#REF!</definedName>
    <definedName name="_Parse_Out">#REF!</definedName>
    <definedName name="_PB1">#REF!</definedName>
    <definedName name="_pcc1">#REF!</definedName>
    <definedName name="_pcc2">#REF!</definedName>
    <definedName name="_pcc3">#REF!</definedName>
    <definedName name="_PCC4">#REF!</definedName>
    <definedName name="_plb1">#REF!</definedName>
    <definedName name="_plb2">#REF!</definedName>
    <definedName name="_plb3">#REF!</definedName>
    <definedName name="_plb4">#REF!</definedName>
    <definedName name="_PPRN3..AF242">#REF!</definedName>
    <definedName name="_pqr1">#REF!</definedName>
    <definedName name="_pqr2">#REF!</definedName>
    <definedName name="_Regression_Out">#REF!</definedName>
    <definedName name="_Regression_X">#REF!</definedName>
    <definedName name="_Regression_Y">#REF!</definedName>
    <definedName name="_rim4">#REF!</definedName>
    <definedName name="_rm4">#REF!</definedName>
    <definedName name="_RVAE306___DOWN">#REF!</definedName>
    <definedName name="_RVAE358___DOWN">#REF!</definedName>
    <definedName name="_RVAE395___DOWN">#REF!</definedName>
    <definedName name="_RVY53..AE53__">#REF!</definedName>
    <definedName name="_sa2">#REF!</definedName>
    <definedName name="_sbm1">#REF!</definedName>
    <definedName name="_sbm2">#REF!</definedName>
    <definedName name="_sbm3">#REF!</definedName>
    <definedName name="_sbm4">#REF!</definedName>
    <definedName name="_sdb2">#REF!</definedName>
    <definedName name="_SDB3">#REF!</definedName>
    <definedName name="_sec1">#REF!</definedName>
    <definedName name="_Sec2">#REF!</definedName>
    <definedName name="_sec3">#REF!</definedName>
    <definedName name="_Sec4">#REF!</definedName>
    <definedName name="_sec5">#REF!</definedName>
    <definedName name="_sec6">#REF!</definedName>
    <definedName name="_sec7">#REF!</definedName>
    <definedName name="_sec71">#REF!</definedName>
    <definedName name="_SEC77">#REF!</definedName>
    <definedName name="_sec8">#REF!</definedName>
    <definedName name="_sec81">#REF!</definedName>
    <definedName name="_SEC88">#REF!</definedName>
    <definedName name="_SEC9">#REF!</definedName>
    <definedName name="_SH1">#REF!</definedName>
    <definedName name="_SH2">#REF!</definedName>
    <definedName name="_SH3">#REF!</definedName>
    <definedName name="_SH4">#REF!</definedName>
    <definedName name="_SH5">#REF!</definedName>
    <definedName name="_SIE1">#REF!</definedName>
    <definedName name="_SIE2">#REF!</definedName>
    <definedName name="_Sort">#REF!</definedName>
    <definedName name="_ssf1">#REF!</definedName>
    <definedName name="_ssf2">#REF!</definedName>
    <definedName name="_ssf3">#REF!</definedName>
    <definedName name="_ssf4">#REF!</definedName>
    <definedName name="_tab1">#REF!</definedName>
    <definedName name="_tab2">#REF!</definedName>
    <definedName name="_tk1">#REF!</definedName>
    <definedName name="_tm3">#REF!</definedName>
    <definedName name="_tra1">#REF!</definedName>
    <definedName name="_tra2">#REF!</definedName>
    <definedName name="_Val101">#REF!</definedName>
    <definedName name="_Val102">#REF!</definedName>
    <definedName name="_Val201">#REF!</definedName>
    <definedName name="_Val202">#REF!</definedName>
    <definedName name="_Val301">#REF!</definedName>
    <definedName name="_Val302">#REF!</definedName>
    <definedName name="_WGZY_">#REF!</definedName>
    <definedName name="_WO1">#REF!</definedName>
    <definedName name="_zz93">#REF!</definedName>
    <definedName name="A.1">#REF!</definedName>
    <definedName name="A.2.i">#REF!</definedName>
    <definedName name="A.5">#REF!</definedName>
    <definedName name="A.6.a">#REF!</definedName>
    <definedName name="A.6.b">#REF!</definedName>
    <definedName name="A.NOS">#REF!</definedName>
    <definedName name="a___0">#REF!</definedName>
    <definedName name="a___13">#REF!</definedName>
    <definedName name="A_1">#REF!</definedName>
    <definedName name="A_2">#REF!</definedName>
    <definedName name="A1_">#REF!</definedName>
    <definedName name="A1____0">#REF!</definedName>
    <definedName name="A1____13">#REF!</definedName>
    <definedName name="A10_">#REF!</definedName>
    <definedName name="A10____0">#REF!</definedName>
    <definedName name="A10____13">#REF!</definedName>
    <definedName name="A13_">#REF!</definedName>
    <definedName name="A13____0">#REF!</definedName>
    <definedName name="A13____13">#REF!</definedName>
    <definedName name="A1M170">#REF!</definedName>
    <definedName name="A2_">#REF!</definedName>
    <definedName name="A2____0">#REF!</definedName>
    <definedName name="A2____13">#REF!</definedName>
    <definedName name="A3_">#REF!</definedName>
    <definedName name="A3____0">#REF!</definedName>
    <definedName name="A3____13">#REF!</definedName>
    <definedName name="A4_">#REF!</definedName>
    <definedName name="A4____0">#REF!</definedName>
    <definedName name="A4____13">#REF!</definedName>
    <definedName name="A5_">#REF!</definedName>
    <definedName name="A5____0">#REF!</definedName>
    <definedName name="A5____13">#REF!</definedName>
    <definedName name="A6_">#REF!</definedName>
    <definedName name="A6____0">#REF!</definedName>
    <definedName name="A6____13">#REF!</definedName>
    <definedName name="A7_">#REF!</definedName>
    <definedName name="A7____0">#REF!</definedName>
    <definedName name="A7____13">#REF!</definedName>
    <definedName name="A8_">#REF!</definedName>
    <definedName name="A8____0">#REF!</definedName>
    <definedName name="A8____13">#REF!</definedName>
    <definedName name="A9_">#REF!</definedName>
    <definedName name="A9____0">#REF!</definedName>
    <definedName name="A9____13">#REF!</definedName>
    <definedName name="AAA">#REF!</definedName>
    <definedName name="aaaa">#REF!</definedName>
    <definedName name="aaaa5">#REF!</definedName>
    <definedName name="aaaaa">#REF!</definedName>
    <definedName name="aaaaaaaaa">#REF!</definedName>
    <definedName name="abc">#REF!</definedName>
    <definedName name="abcd">#REF!</definedName>
    <definedName name="Abs">#REF!</definedName>
    <definedName name="absbill">#REF!</definedName>
    <definedName name="abstract">#REF!</definedName>
    <definedName name="abstractEB">#REF!</definedName>
    <definedName name="Ac">#REF!</definedName>
    <definedName name="acab">#REF!</definedName>
    <definedName name="acabl">#REF!</definedName>
    <definedName name="ACB">#REF!</definedName>
    <definedName name="acBridge">#REF!</definedName>
    <definedName name="accab">#REF!</definedName>
    <definedName name="accomation">#REF!</definedName>
    <definedName name="AcctName">#REF!</definedName>
    <definedName name="AcctPrio">#REF!</definedName>
    <definedName name="AcctPrio_Text">#REF!</definedName>
    <definedName name="acon">#REF!</definedName>
    <definedName name="additional">#REF!</definedName>
    <definedName name="Address">#REF!</definedName>
    <definedName name="adhesive">#REF!</definedName>
    <definedName name="admixture">#REF!</definedName>
    <definedName name="admn_off">#REF!</definedName>
    <definedName name="admn_site">#REF!</definedName>
    <definedName name="adoch">#REF!</definedName>
    <definedName name="ADSAD">#REF!</definedName>
    <definedName name="Advance">#REF!</definedName>
    <definedName name="AFA">#REF!</definedName>
    <definedName name="AFAAFA">#REF!</definedName>
    <definedName name="AFR">#REF!</definedName>
    <definedName name="Ag___0">#REF!</definedName>
    <definedName name="Ag___13">#REF!</definedName>
    <definedName name="aggr10">#REF!</definedName>
    <definedName name="aggr11">#REF!</definedName>
    <definedName name="aggr13">#REF!</definedName>
    <definedName name="aggr2">#REF!</definedName>
    <definedName name="aggr20">#REF!</definedName>
    <definedName name="aggr22">#REF!</definedName>
    <definedName name="aggr26">#REF!</definedName>
    <definedName name="aggr40">#REF!</definedName>
    <definedName name="aggr53">#REF!</definedName>
    <definedName name="aggr6">#REF!</definedName>
    <definedName name="aggr63">#REF!</definedName>
    <definedName name="agrP">#REF!</definedName>
    <definedName name="AH">#REF!</definedName>
    <definedName name="ahu">#REF!</definedName>
    <definedName name="akhkgkas">#REF!</definedName>
    <definedName name="alloysteel">#REF!</definedName>
    <definedName name="alpha">#REF!</definedName>
    <definedName name="ALU_door_window">#REF!</definedName>
    <definedName name="alu_haerware">#REF!</definedName>
    <definedName name="alu_haerware1">#REF!</definedName>
    <definedName name="alu_hardware">#REF!</definedName>
    <definedName name="ALUMINIU">#REF!</definedName>
    <definedName name="Alw">#REF!</definedName>
    <definedName name="alwarsump">#REF!</definedName>
    <definedName name="amit">#REF!</definedName>
    <definedName name="ann">#REF!</definedName>
    <definedName name="anne">#REF!</definedName>
    <definedName name="annealing">#REF!</definedName>
    <definedName name="annealing1">#REF!</definedName>
    <definedName name="antiicpated">#REF!</definedName>
    <definedName name="apet">#REF!</definedName>
    <definedName name="app_q">#REF!</definedName>
    <definedName name="appndx">#REF!</definedName>
    <definedName name="apporx_quants">#REF!</definedName>
    <definedName name="Approachslab">#REF!</definedName>
    <definedName name="AR">#REF!</definedName>
    <definedName name="ARCHITECTURAL">#REF!</definedName>
    <definedName name="area">#REF!</definedName>
    <definedName name="AREAS_CA_CANOPY__WAREHOUSE">#REF!</definedName>
    <definedName name="AREAS_CB_Canteen_Building">#REF!</definedName>
    <definedName name="AREAS_CIPT_Tanker_CIP_Shed">#REF!</definedName>
    <definedName name="AREAS_CLRR_Contract_Labour_Rest_Room">#REF!</definedName>
    <definedName name="AREAS_CS_Chemical_Store">#REF!</definedName>
    <definedName name="AREAS_ETPC_ETP_Civil_Works">#REF!</definedName>
    <definedName name="AREAS_EX_EXTERNAL_WORKS">#REF!</definedName>
    <definedName name="AREAS_FC_Farmer_s_Conference">#REF!</definedName>
    <definedName name="AREAS_FU_Fumigation">#REF!</definedName>
    <definedName name="AREAS_GA_General_Area___Overall">#REF!</definedName>
    <definedName name="AREAS_GP_Guard_Posts">#REF!</definedName>
    <definedName name="AREAS_LS_LubeOil_Stores">#REF!</definedName>
    <definedName name="AREAS_MR_TB_Milk_Reception_Tanker_s_Bay">#REF!</definedName>
    <definedName name="AREAS_MTF_Milk_Tank_Foundations">#REF!</definedName>
    <definedName name="AREAS_PB_PROCESS_BUILDING">#REF!</definedName>
    <definedName name="AREAS_PR_Pipe_Racks">#REF!</definedName>
    <definedName name="AREAS_SR_2_Security_Room___2">#REF!</definedName>
    <definedName name="AREAS_SR_3_Store_Room">#REF!</definedName>
    <definedName name="AREAS_ST_Stacks_near_Utility_Buildings">#REF!</definedName>
    <definedName name="AREAS_SY_Scrap_Yard">#REF!</definedName>
    <definedName name="AREAS_TWW_Truck_Wheel_Wash">#REF!</definedName>
    <definedName name="AREAS_TY_Transformer_Yard">#REF!</definedName>
    <definedName name="AREAS_UB_UTILITY_BLOCK">#REF!</definedName>
    <definedName name="AREAS_WH_Ware_House_Area">#REF!</definedName>
    <definedName name="arif">#REF!</definedName>
    <definedName name="ARUN">#REF!</definedName>
    <definedName name="as">#REF!</definedName>
    <definedName name="AS_PER_TALLY_31_09_04_ONYX_List1">#REF!</definedName>
    <definedName name="asd">#REF!</definedName>
    <definedName name="asdfsa">#REF!</definedName>
    <definedName name="asdsda">#REF!</definedName>
    <definedName name="ase">#REF!</definedName>
    <definedName name="ASEF">#REF!</definedName>
    <definedName name="asg">#REF!</definedName>
    <definedName name="ASHOKA">#REF!</definedName>
    <definedName name="assadg">#REF!</definedName>
    <definedName name="assdd">#REF!</definedName>
    <definedName name="azx">#REF!</definedName>
    <definedName name="B.1">#REF!</definedName>
    <definedName name="B.2">#REF!</definedName>
    <definedName name="B.4">#REF!</definedName>
    <definedName name="B.5">#REF!</definedName>
    <definedName name="B.6">#REF!</definedName>
    <definedName name="b.nos">#REF!</definedName>
    <definedName name="B___0">#REF!</definedName>
    <definedName name="B___13">#REF!</definedName>
    <definedName name="B4a">#REF!</definedName>
    <definedName name="basic">#REF!</definedName>
    <definedName name="Batonite">#REF!</definedName>
    <definedName name="bbb">#REF!</definedName>
    <definedName name="bbbbbbbbbb">#REF!</definedName>
    <definedName name="bcpcc">#REF!</definedName>
    <definedName name="beam">#REF!</definedName>
    <definedName name="BeamLength">#REF!</definedName>
    <definedName name="BEAMS">#REF!</definedName>
    <definedName name="BED">#REF!</definedName>
    <definedName name="BED_WALL">#REF!</definedName>
    <definedName name="Beg_Bal">#REF!</definedName>
    <definedName name="BeginBorder">#REF!</definedName>
    <definedName name="beta">#REF!</definedName>
    <definedName name="BGrP">#REF!</definedName>
    <definedName name="bhistee">#REF!</definedName>
    <definedName name="BidClass">#REF!</definedName>
    <definedName name="BidClass_Text">#REF!</definedName>
    <definedName name="BILL">#REF!</definedName>
    <definedName name="BillingFreq">#REF!</definedName>
    <definedName name="BillingTiming">#REF!</definedName>
    <definedName name="bitpaper">#REF!</definedName>
    <definedName name="BITSPILANI">#REF!</definedName>
    <definedName name="bitumen6070">#REF!</definedName>
    <definedName name="bitumenboiler">#REF!</definedName>
    <definedName name="bitumenemul">#REF!</definedName>
    <definedName name="bjlc">#REF!</definedName>
    <definedName name="bl">#REF!</definedName>
    <definedName name="blacksmith">#REF!</definedName>
    <definedName name="blacksmithhelper">#REF!</definedName>
    <definedName name="blaster">#REF!</definedName>
    <definedName name="BldgQty">#REF!</definedName>
    <definedName name="Blinding">#REF!</definedName>
    <definedName name="BLL_Staff">#REF!</definedName>
    <definedName name="blv_100">#REF!</definedName>
    <definedName name="blv_150">#REF!</definedName>
    <definedName name="blv_200">#REF!</definedName>
    <definedName name="blv_25">#REF!</definedName>
    <definedName name="blv_250">#REF!</definedName>
    <definedName name="blv_300">#REF!</definedName>
    <definedName name="blv_32">#REF!</definedName>
    <definedName name="blv_40">#REF!</definedName>
    <definedName name="blv_400">#REF!</definedName>
    <definedName name="blv_50">#REF!</definedName>
    <definedName name="blv_500">#REF!</definedName>
    <definedName name="blv_65">#REF!</definedName>
    <definedName name="blv_80">#REF!</definedName>
    <definedName name="BMP">#REF!</definedName>
    <definedName name="bmpccrate">#REF!</definedName>
    <definedName name="BMS">#REF!</definedName>
    <definedName name="BMSFR">#REF!</definedName>
    <definedName name="bmsnew">#REF!</definedName>
    <definedName name="bo">#REF!</definedName>
    <definedName name="bol">#REF!</definedName>
    <definedName name="boml">#REF!</definedName>
    <definedName name="boml1">#REF!</definedName>
    <definedName name="bondstone">#REF!</definedName>
    <definedName name="boolean">#REF!</definedName>
    <definedName name="boq">#REF!</definedName>
    <definedName name="bose">#REF!</definedName>
    <definedName name="botl">#REF!</definedName>
    <definedName name="botl1">#REF!</definedName>
    <definedName name="botn">#REF!</definedName>
    <definedName name="boulder">#REF!</definedName>
    <definedName name="Bp">#REF!</definedName>
    <definedName name="bp20cum">#REF!</definedName>
    <definedName name="Breaks">#REF!</definedName>
    <definedName name="bricklead">#REF!</definedName>
    <definedName name="bricks">#REF!</definedName>
    <definedName name="broom">#REF!</definedName>
    <definedName name="bsec1">#REF!</definedName>
    <definedName name="bsec2">#REF!</definedName>
    <definedName name="bsec3">#REF!</definedName>
    <definedName name="bsec4">#REF!</definedName>
    <definedName name="bsec5">#REF!</definedName>
    <definedName name="bsec6">#REF!</definedName>
    <definedName name="bsslab10">#REF!</definedName>
    <definedName name="bua">#REF!</definedName>
    <definedName name="BUDDHA">#REF!</definedName>
    <definedName name="building">#REF!</definedName>
    <definedName name="building___0">#REF!</definedName>
    <definedName name="building___11">#REF!</definedName>
    <definedName name="building___12">#REF!</definedName>
    <definedName name="BuiltIn_Print_Area">#REF!</definedName>
    <definedName name="BuiltIn_Print_Area___0">#REF!</definedName>
    <definedName name="BuiltIn_Print_Area___0___0">#REF!</definedName>
    <definedName name="BuiltIn_Print_Titles">#REF!</definedName>
    <definedName name="BuiltIn_Print_Titles___0">#REF!</definedName>
    <definedName name="BuiltIn_Print_Titles___0___0">#REF!</definedName>
    <definedName name="BusType">#REF!</definedName>
    <definedName name="BusType_Text">#REF!</definedName>
    <definedName name="bvd">#REF!</definedName>
    <definedName name="bvdbvd">#REF!</definedName>
    <definedName name="bvdnvd">#REF!</definedName>
    <definedName name="Bx">#REF!</definedName>
    <definedName name="Bx___0">#REF!</definedName>
    <definedName name="Bx___13">#REF!</definedName>
    <definedName name="bxn">#REF!</definedName>
    <definedName name="C.1">#REF!</definedName>
    <definedName name="C.L.WALL">#REF!</definedName>
    <definedName name="c.nos">#REF!</definedName>
    <definedName name="C.S.WALL">#REF!</definedName>
    <definedName name="C_">#REF!</definedName>
    <definedName name="cab21.5tp">#REF!</definedName>
    <definedName name="cab21s">#REF!</definedName>
    <definedName name="cab21us">#REF!</definedName>
    <definedName name="cab31s">#REF!</definedName>
    <definedName name="cab31us">#REF!</definedName>
    <definedName name="cab41s">#REF!</definedName>
    <definedName name="cab41us">#REF!</definedName>
    <definedName name="caba">#REF!</definedName>
    <definedName name="caba_2">#REF!</definedName>
    <definedName name="cabd">#REF!</definedName>
    <definedName name="cabf">#REF!</definedName>
    <definedName name="cabinet">#REF!</definedName>
    <definedName name="cabl">#REF!</definedName>
    <definedName name="CABLE">#REF!</definedName>
    <definedName name="CABLE_2">#REF!</definedName>
    <definedName name="cablenew">#REF!</definedName>
    <definedName name="cabls">#REF!</definedName>
    <definedName name="CalcTerm">#REF!</definedName>
    <definedName name="cald">#REF!</definedName>
    <definedName name="CALf">#REF!</definedName>
    <definedName name="CALIMP_2">#REF!</definedName>
    <definedName name="cam">#REF!</definedName>
    <definedName name="capacity">#REF!</definedName>
    <definedName name="capacity1">#REF!</definedName>
    <definedName name="capacity2">#REF!</definedName>
    <definedName name="capacity3">#REF!</definedName>
    <definedName name="capital">#REF!</definedName>
    <definedName name="carpenter">#REF!</definedName>
    <definedName name="carpenterII">#REF!</definedName>
    <definedName name="carpet">#REF!</definedName>
    <definedName name="carpet___0">#REF!</definedName>
    <definedName name="carpet___11">#REF!</definedName>
    <definedName name="carpet___12">#REF!</definedName>
    <definedName name="cash_bank">#REF!</definedName>
    <definedName name="CASH_OUT">#REF!</definedName>
    <definedName name="category">#REF!</definedName>
    <definedName name="cbgl1">#REF!</definedName>
    <definedName name="cbgl2">#REF!</definedName>
    <definedName name="cbgl3">#REF!</definedName>
    <definedName name="cbgl4">#REF!</definedName>
    <definedName name="cc">#REF!</definedName>
    <definedName name="CC5a">#REF!</definedName>
    <definedName name="CC5a1">#REF!</definedName>
    <definedName name="cca">#REF!</definedName>
    <definedName name="ccc">#REF!</definedName>
    <definedName name="ccccc">#REF!</definedName>
    <definedName name="cccccc">#REF!</definedName>
    <definedName name="ccolagl">#REF!</definedName>
    <definedName name="Ceiling_Painting">#REF!</definedName>
    <definedName name="Cement">#REF!</definedName>
    <definedName name="cemlead">#REF!</definedName>
    <definedName name="CENTER">#REF!</definedName>
    <definedName name="cf">#REF!</definedName>
    <definedName name="cfb">#REF!</definedName>
    <definedName name="cfbeams">#REF!</definedName>
    <definedName name="cfsalb">#REF!</definedName>
    <definedName name="cfslab">#REF!</definedName>
    <definedName name="ch">#REF!</definedName>
    <definedName name="chandrel_ploes">#REF!</definedName>
    <definedName name="change">#REF!</definedName>
    <definedName name="ChangeBy">#REF!</definedName>
    <definedName name="ChangeDate">#REF!</definedName>
    <definedName name="charh">#REF!</definedName>
    <definedName name="checked">#REF!</definedName>
    <definedName name="chiller">#REF!</definedName>
    <definedName name="chiseler">#REF!</definedName>
    <definedName name="church">#REF!</definedName>
    <definedName name="church2">#REF!</definedName>
    <definedName name="City">#REF!</definedName>
    <definedName name="civil">#REF!</definedName>
    <definedName name="civilworks">#REF!</definedName>
    <definedName name="ckeck1">#REF!</definedName>
    <definedName name="claim">#REF!</definedName>
    <definedName name="claims">#REF!</definedName>
    <definedName name="ClientAddress1">#REF!</definedName>
    <definedName name="ClientAddress2">#REF!</definedName>
    <definedName name="ClientCity">#REF!</definedName>
    <definedName name="ClientCountry">#REF!</definedName>
    <definedName name="ClientEmail">#REF!</definedName>
    <definedName name="ClientFax">#REF!</definedName>
    <definedName name="ClientPhone">#REF!</definedName>
    <definedName name="ClientState">#REF!</definedName>
    <definedName name="ClientZip">#REF!</definedName>
    <definedName name="clintels">#REF!</definedName>
    <definedName name="cluster">#REF!</definedName>
    <definedName name="cm1.3">#REF!</definedName>
    <definedName name="Code">#REF!</definedName>
    <definedName name="coimbatore">#REF!</definedName>
    <definedName name="col">#REF!</definedName>
    <definedName name="col___0">#REF!</definedName>
    <definedName name="col___11">#REF!</definedName>
    <definedName name="col___12">#REF!</definedName>
    <definedName name="Colbgl">#REF!</definedName>
    <definedName name="colbgl2">#REF!</definedName>
    <definedName name="Columns">#REF!</definedName>
    <definedName name="Commisioning_Period">#REF!</definedName>
    <definedName name="Company">#REF!</definedName>
    <definedName name="CompDate">#REF!</definedName>
    <definedName name="compressor">#REF!</definedName>
    <definedName name="concbatch">#REF!</definedName>
    <definedName name="CONCRETE">#REF!</definedName>
    <definedName name="concrete_dept_lbr_productivity">#REF!</definedName>
    <definedName name="concretepump">#REF!</definedName>
    <definedName name="cond">#REF!</definedName>
    <definedName name="condu">#REF!</definedName>
    <definedName name="conf">#REF!</definedName>
    <definedName name="confli">#REF!</definedName>
    <definedName name="constrn">#REF!</definedName>
    <definedName name="Construction_Period">#REF!</definedName>
    <definedName name="Contact">#REF!</definedName>
    <definedName name="ContAmt">#REF!</definedName>
    <definedName name="ContWithAcct">#REF!</definedName>
    <definedName name="ContWithName">#REF!</definedName>
    <definedName name="ContWithPrio">#REF!</definedName>
    <definedName name="ContWithPrio_Text">#REF!</definedName>
    <definedName name="CONum">#REF!</definedName>
    <definedName name="copperplate">#REF!</definedName>
    <definedName name="cord">#REF!</definedName>
    <definedName name="core">#REF!</definedName>
    <definedName name="core1">#REF!</definedName>
    <definedName name="CorpClient">#REF!</definedName>
    <definedName name="CorpClient_Text">#REF!</definedName>
    <definedName name="Cost10">#REF!</definedName>
    <definedName name="COU">#REF!</definedName>
    <definedName name="COU___0">#REF!</definedName>
    <definedName name="COU___13">#REF!</definedName>
    <definedName name="Country">#REF!</definedName>
    <definedName name="cprop">#REF!</definedName>
    <definedName name="crane">#REF!</definedName>
    <definedName name="crane3t">#REF!</definedName>
    <definedName name="cre">#REF!</definedName>
    <definedName name="crm1.3pcc">#REF!</definedName>
    <definedName name="crmb">#REF!</definedName>
    <definedName name="Cs">#REF!</definedName>
    <definedName name="Cs___0">#REF!</definedName>
    <definedName name="Cs___13">#REF!</definedName>
    <definedName name="csshade">#REF!</definedName>
    <definedName name="cst">#REF!</definedName>
    <definedName name="CT">#REF!</definedName>
    <definedName name="ctl">#REF!</definedName>
    <definedName name="cumi">#REF!</definedName>
    <definedName name="curr_liab_prov">#REF!</definedName>
    <definedName name="CurrencyRate">#REF!</definedName>
    <definedName name="current1">#REF!</definedName>
    <definedName name="current2">#REF!</definedName>
    <definedName name="current3">#REF!</definedName>
    <definedName name="current4">#REF!</definedName>
    <definedName name="current5">#REF!</definedName>
    <definedName name="CustomDuty">#REF!</definedName>
    <definedName name="cutback">#REF!</definedName>
    <definedName name="cutoffwall">#REF!</definedName>
    <definedName name="cv_100">#REF!</definedName>
    <definedName name="cv_150">#REF!</definedName>
    <definedName name="cv_200">#REF!</definedName>
    <definedName name="cv_25">#REF!</definedName>
    <definedName name="cv_250">#REF!</definedName>
    <definedName name="cv_300">#REF!</definedName>
    <definedName name="cv_32">#REF!</definedName>
    <definedName name="cv_40">#REF!</definedName>
    <definedName name="cv_400">#REF!</definedName>
    <definedName name="cv_50">#REF!</definedName>
    <definedName name="cv_500">#REF!</definedName>
    <definedName name="cv_65">#REF!</definedName>
    <definedName name="cv_80">#REF!</definedName>
    <definedName name="CVXCVSA">#REF!</definedName>
    <definedName name="d.nos">#REF!</definedName>
    <definedName name="D_">#REF!</definedName>
    <definedName name="d___0">#REF!</definedName>
    <definedName name="d___13">#REF!</definedName>
    <definedName name="DASDASHJKAS">#REF!</definedName>
    <definedName name="Data">#REF!</definedName>
    <definedName name="data1">#REF!</definedName>
    <definedName name="DATA134110">#REF!</definedName>
    <definedName name="DATA134125">#REF!</definedName>
    <definedName name="DATA134140">#REF!</definedName>
    <definedName name="DATA134160">#REF!</definedName>
    <definedName name="DATA134180">#REF!</definedName>
    <definedName name="DATA134200">#REF!</definedName>
    <definedName name="DATA134225">#REF!</definedName>
    <definedName name="DATA134250">#REF!</definedName>
    <definedName name="DATA134280">#REF!</definedName>
    <definedName name="DATA134315">#REF!</definedName>
    <definedName name="DATA134355">#REF!</definedName>
    <definedName name="DATA134400">#REF!</definedName>
    <definedName name="DATA13450">#REF!</definedName>
    <definedName name="DATA13463">#REF!</definedName>
    <definedName name="DATA13475">#REF!</definedName>
    <definedName name="DATA13490">#REF!</definedName>
    <definedName name="DATA135110">#REF!</definedName>
    <definedName name="DATA135125">#REF!</definedName>
    <definedName name="DATA135140">#REF!</definedName>
    <definedName name="DATA135160">#REF!</definedName>
    <definedName name="DATA135180">#REF!</definedName>
    <definedName name="DATA135200">#REF!</definedName>
    <definedName name="DATA135225">#REF!</definedName>
    <definedName name="DATA135250">#REF!</definedName>
    <definedName name="DATA135280">#REF!</definedName>
    <definedName name="DATA135315">#REF!</definedName>
    <definedName name="DATA135355">#REF!</definedName>
    <definedName name="DATA135400">#REF!</definedName>
    <definedName name="DATA13550">#REF!</definedName>
    <definedName name="DATA13563">#REF!</definedName>
    <definedName name="DATA13575">#REF!</definedName>
    <definedName name="DATA13590">#REF!</definedName>
    <definedName name="DATA136A">#REF!</definedName>
    <definedName name="DATA136B">#REF!</definedName>
    <definedName name="DATA136C">#REF!</definedName>
    <definedName name="DATA136D">#REF!</definedName>
    <definedName name="DATA136E">#REF!</definedName>
    <definedName name="DATA136F">#REF!</definedName>
    <definedName name="DATA136G">#REF!</definedName>
    <definedName name="DATA136H">#REF!</definedName>
    <definedName name="DATA136I">#REF!</definedName>
    <definedName name="DATA136J">#REF!</definedName>
    <definedName name="DATA136K">#REF!</definedName>
    <definedName name="DATA136L">#REF!</definedName>
    <definedName name="DATA136M">#REF!</definedName>
    <definedName name="DATA136N">#REF!</definedName>
    <definedName name="DATA136O">#REF!</definedName>
    <definedName name="DATA136P">#REF!</definedName>
    <definedName name="DATA137I">#REF!</definedName>
    <definedName name="DATA137II">#REF!</definedName>
    <definedName name="DATA137III">#REF!</definedName>
    <definedName name="DATA137IV">#REF!</definedName>
    <definedName name="DATA137V">#REF!</definedName>
    <definedName name="DATA138I">#REF!</definedName>
    <definedName name="DATA138II">#REF!</definedName>
    <definedName name="DATA138III">#REF!</definedName>
    <definedName name="DATA138IV">#REF!</definedName>
    <definedName name="DATA138V">#REF!</definedName>
    <definedName name="DATA138VI">#REF!</definedName>
    <definedName name="DATA139IX">#REF!</definedName>
    <definedName name="DATA139V">#REF!</definedName>
    <definedName name="DATA139VI">#REF!</definedName>
    <definedName name="DATA139VII">#REF!</definedName>
    <definedName name="DATA139VIII">#REF!</definedName>
    <definedName name="DATA140I">#REF!</definedName>
    <definedName name="DATA140II">#REF!</definedName>
    <definedName name="DATA140III">#REF!</definedName>
    <definedName name="DATA140IV">#REF!</definedName>
    <definedName name="DATA140V">#REF!</definedName>
    <definedName name="DATA141I">#REF!</definedName>
    <definedName name="DATA141II">#REF!</definedName>
    <definedName name="DATA141III">#REF!</definedName>
    <definedName name="DATA141IV">#REF!</definedName>
    <definedName name="DATA141V">#REF!</definedName>
    <definedName name="DATA142I">#REF!</definedName>
    <definedName name="DATA142II">#REF!</definedName>
    <definedName name="DATA142III">#REF!</definedName>
    <definedName name="DATA142IV">#REF!</definedName>
    <definedName name="DATA142V">#REF!</definedName>
    <definedName name="data2">#REF!</definedName>
    <definedName name="data3">#REF!</definedName>
    <definedName name="Date">#REF!</definedName>
    <definedName name="datonators">#REF!</definedName>
    <definedName name="Daywork">#REF!</definedName>
    <definedName name="dayworktotal">#REF!</definedName>
    <definedName name="db">#REF!</definedName>
    <definedName name="db___0">#REF!</definedName>
    <definedName name="db___13">#REF!</definedName>
    <definedName name="DBC">#REF!</definedName>
    <definedName name="DBD">#REF!</definedName>
    <definedName name="DBE">#REF!</definedName>
    <definedName name="DBST1">#REF!</definedName>
    <definedName name="DBST2">#REF!</definedName>
    <definedName name="dc">#REF!</definedName>
    <definedName name="DCI">#REF!</definedName>
    <definedName name="dd">#REF!</definedName>
    <definedName name="ddd">#REF!</definedName>
    <definedName name="dddd">#REF!</definedName>
    <definedName name="dddddddd">#REF!</definedName>
    <definedName name="ddsddssd">#REF!</definedName>
    <definedName name="de">#REF!</definedName>
    <definedName name="deded">#REF!</definedName>
    <definedName name="delineators">#REF!</definedName>
    <definedName name="DELTA20">#REF!</definedName>
    <definedName name="DELTA20___0">#REF!</definedName>
    <definedName name="DELTA20___13">#REF!</definedName>
    <definedName name="den">#REF!</definedName>
    <definedName name="Depn">#REF!</definedName>
    <definedName name="depth">#REF!</definedName>
    <definedName name="DES">#REF!</definedName>
    <definedName name="Desc01">#REF!</definedName>
    <definedName name="Desc02">#REF!</definedName>
    <definedName name="Description">#REF!</definedName>
    <definedName name="designed">#REF!</definedName>
    <definedName name="Details">#REF!</definedName>
    <definedName name="Details_of_Bar_Cutting_Machines">#REF!</definedName>
    <definedName name="detonators">#REF!</definedName>
    <definedName name="df">#REF!</definedName>
    <definedName name="dfafdasdf">#REF!</definedName>
    <definedName name="dfg">#REF!</definedName>
    <definedName name="dg">#REF!</definedName>
    <definedName name="DG100kva">#REF!</definedName>
    <definedName name="DG125kva">#REF!</definedName>
    <definedName name="DG33kva">#REF!</definedName>
    <definedName name="dgbmpccrate">#REF!</definedName>
    <definedName name="Di">#REF!</definedName>
    <definedName name="Dia">#REF!</definedName>
    <definedName name="DIAMETER">#REF!</definedName>
    <definedName name="diesel">#REF!</definedName>
    <definedName name="dilse">#REF!</definedName>
    <definedName name="dim4e">#REF!</definedName>
    <definedName name="dimc">#REF!</definedName>
    <definedName name="DIN">#REF!</definedName>
    <definedName name="DIns">#REF!</definedName>
    <definedName name="Discount">#REF!</definedName>
    <definedName name="display_area_2">#REF!</definedName>
    <definedName name="div">#REF!</definedName>
    <definedName name="dk">#REF!</definedName>
    <definedName name="dl">#REF!</definedName>
    <definedName name="dl___0">#REF!</definedName>
    <definedName name="dl___13">#REF!</definedName>
    <definedName name="dlbm">#REF!</definedName>
    <definedName name="dlbx">#REF!</definedName>
    <definedName name="dm">#REF!</definedName>
    <definedName name="Do">#REF!</definedName>
    <definedName name="docu">#REF!</definedName>
    <definedName name="door">#REF!</definedName>
    <definedName name="DOOR_Painting">#REF!</definedName>
    <definedName name="DOW_CORNING_789_SILICONE_SEALANT">#REF!</definedName>
    <definedName name="dozer">#REF!</definedName>
    <definedName name="dozer200">#REF!</definedName>
    <definedName name="dozeroperator">#REF!</definedName>
    <definedName name="DP">#REF!</definedName>
    <definedName name="dq">#REF!</definedName>
    <definedName name="DR.33">#REF!</definedName>
    <definedName name="DR.46">#REF!</definedName>
    <definedName name="DR.56">#REF!</definedName>
    <definedName name="dresser">#REF!</definedName>
    <definedName name="driller">#REF!</definedName>
    <definedName name="drillingequipment">#REF!</definedName>
    <definedName name="driverhmv">#REF!</definedName>
    <definedName name="driverlmv">#REF!</definedName>
    <definedName name="Ds">#REF!</definedName>
    <definedName name="Ds___0">#REF!</definedName>
    <definedName name="Ds___13">#REF!</definedName>
    <definedName name="DSAFSDA">#REF!</definedName>
    <definedName name="dsd">#REF!</definedName>
    <definedName name="dsds">#REF!</definedName>
    <definedName name="dsdsd">#REF!</definedName>
    <definedName name="dsdsdd">#REF!</definedName>
    <definedName name="dsdsdsdsd">#REF!</definedName>
    <definedName name="dsfgf">#REF!</definedName>
    <definedName name="dsfj">#REF!</definedName>
    <definedName name="DSSDSADFS">#REF!</definedName>
    <definedName name="duct">#REF!</definedName>
    <definedName name="Duration">#REF!</definedName>
    <definedName name="Dust">#REF!</definedName>
    <definedName name="dwrl">#REF!</definedName>
    <definedName name="dwrm">#REF!</definedName>
    <definedName name="dwrp">#REF!</definedName>
    <definedName name="dzfwbe">#REF!</definedName>
    <definedName name="E.1">#REF!</definedName>
    <definedName name="e.nos">#REF!</definedName>
    <definedName name="ED">#REF!</definedName>
    <definedName name="edf">#REF!</definedName>
    <definedName name="EEC">#REF!</definedName>
    <definedName name="eeee">#REF!</definedName>
    <definedName name="eeeeeeeeeee">#REF!</definedName>
    <definedName name="elasto">#REF!</definedName>
    <definedName name="elec_cost">#REF!</definedName>
    <definedName name="elec_factor">#REF!</definedName>
    <definedName name="ELECTRICAL">#REF!</definedName>
    <definedName name="electrician">#REF!</definedName>
    <definedName name="electricpoles">#REF!</definedName>
    <definedName name="Em">#REF!</definedName>
    <definedName name="Em___0">#REF!</definedName>
    <definedName name="Em___13">#REF!</definedName>
    <definedName name="Email">#REF!</definedName>
    <definedName name="EMB">#REF!</definedName>
    <definedName name="emuldistr">#REF!</definedName>
    <definedName name="enamelpaint">#REF!</definedName>
    <definedName name="End_Bal">#REF!</definedName>
    <definedName name="EndBorder">#REF!</definedName>
    <definedName name="EngAddress">#REF!</definedName>
    <definedName name="EngCity">#REF!</definedName>
    <definedName name="EngName">#REF!</definedName>
    <definedName name="EngPostal">#REF!</definedName>
    <definedName name="EngPrio">#REF!</definedName>
    <definedName name="EngPrio_Text">#REF!</definedName>
    <definedName name="EngState">#REF!</definedName>
    <definedName name="environmentalcost">#REF!</definedName>
    <definedName name="epoxy">#REF!</definedName>
    <definedName name="eqp">#REF!</definedName>
    <definedName name="ER">#REF!</definedName>
    <definedName name="ERTU">#REF!</definedName>
    <definedName name="Es">#REF!</definedName>
    <definedName name="Es___0">#REF!</definedName>
    <definedName name="Es___13">#REF!</definedName>
    <definedName name="ESSR1">#REF!</definedName>
    <definedName name="ESSR10">#REF!</definedName>
    <definedName name="ESSR11">#REF!</definedName>
    <definedName name="ESSR12">#REF!</definedName>
    <definedName name="ESSR13">#REF!</definedName>
    <definedName name="ESSR2">#REF!</definedName>
    <definedName name="ESSR3">#REF!</definedName>
    <definedName name="ESSR4">#REF!</definedName>
    <definedName name="ESSR5">#REF!</definedName>
    <definedName name="ESSR6">#REF!</definedName>
    <definedName name="ESSR7">#REF!</definedName>
    <definedName name="ESSR8">#REF!</definedName>
    <definedName name="ESSR9">#REF!</definedName>
    <definedName name="EstCost">#REF!</definedName>
    <definedName name="Estimate">#REF!</definedName>
    <definedName name="Et">#REF!</definedName>
    <definedName name="Et___0">#REF!</definedName>
    <definedName name="Et___13">#REF!</definedName>
    <definedName name="eu">#REF!</definedName>
    <definedName name="EW">#REF!</definedName>
    <definedName name="Excavation">#REF!</definedName>
    <definedName name="excavator">#REF!</definedName>
    <definedName name="excavcl">#REF!</definedName>
    <definedName name="excavnosculvert">#REF!</definedName>
    <definedName name="Excel_BuiltIn__FilterDatabase">#REF!</definedName>
    <definedName name="Excel_BuiltIn__FilterDatabase_17">#REF!</definedName>
    <definedName name="Excel_BuiltIn__FilterDatabase_22">#REF!</definedName>
    <definedName name="Excel_BuiltIn__FilterDatabase_4">#REF!</definedName>
    <definedName name="Excel_BuiltIn_Database_0">#REF!</definedName>
    <definedName name="Excel_BuiltIn_Print_Area_1">#REF!</definedName>
    <definedName name="Excel_BuiltIn_Print_Area_1_1">#REF!</definedName>
    <definedName name="Excel_BuiltIn_Print_Area_1_1_1">#REF!</definedName>
    <definedName name="Excel_BuiltIn_Print_Area_1_1_1_1">#REF!</definedName>
    <definedName name="Excel_BuiltIn_Print_Area_1_1_1_1_1_1_1_1">#REF!</definedName>
    <definedName name="Excel_BuiltIn_Print_Area_1_1_1_1_2">#REF!</definedName>
    <definedName name="Excel_BuiltIn_Print_Area_1_1_1_2">#REF!</definedName>
    <definedName name="Excel_BuiltIn_Print_Area_1_1_2">#REF!</definedName>
    <definedName name="Excel_BuiltIn_Print_Area_1_2">#REF!</definedName>
    <definedName name="Excel_BuiltIn_Print_Area_1_4">#REF!</definedName>
    <definedName name="Excel_BuiltIn_Print_Area_1_5">#REF!</definedName>
    <definedName name="Excel_BuiltIn_Print_Area_1_6">#REF!</definedName>
    <definedName name="Excel_BuiltIn_Print_Area_10">#REF!</definedName>
    <definedName name="Excel_BuiltIn_Print_Area_11">#REF!</definedName>
    <definedName name="Excel_BuiltIn_Print_Area_12">#REF!</definedName>
    <definedName name="Excel_BuiltIn_Print_Area_12_1">#REF!</definedName>
    <definedName name="Excel_BuiltIn_Print_Area_12_1_1">#REF!</definedName>
    <definedName name="Excel_BuiltIn_Print_Area_13">#REF!</definedName>
    <definedName name="Excel_BuiltIn_Print_Area_14">#REF!</definedName>
    <definedName name="Excel_BuiltIn_Print_Area_15">#REF!</definedName>
    <definedName name="Excel_BuiltIn_Print_Area_16">#REF!</definedName>
    <definedName name="Excel_BuiltIn_Print_Area_2">#REF!</definedName>
    <definedName name="Excel_BuiltIn_Print_Area_2_1">#REF!</definedName>
    <definedName name="Excel_BuiltIn_Print_Area_2_1_1">#REF!</definedName>
    <definedName name="Excel_BuiltIn_Print_Area_3">#REF!</definedName>
    <definedName name="Excel_BuiltIn_Print_Area_3_1">#REF!</definedName>
    <definedName name="Excel_BuiltIn_Print_Area_3_1_1">#REF!</definedName>
    <definedName name="Excel_BuiltIn_Print_Area_3_1_1_1">#REF!</definedName>
    <definedName name="Excel_BuiltIn_Print_Area_3_1_1_1_1">#REF!</definedName>
    <definedName name="Excel_BuiltIn_Print_Area_4">#REF!</definedName>
    <definedName name="Excel_BuiltIn_Print_Area_4_1">#REF!</definedName>
    <definedName name="Excel_BuiltIn_Print_Area_5">#REF!</definedName>
    <definedName name="Excel_BuiltIn_Print_Area_5_1">#REF!</definedName>
    <definedName name="Excel_BuiltIn_Print_Area_6">#REF!</definedName>
    <definedName name="Excel_BuiltIn_Print_Area_69">#REF!</definedName>
    <definedName name="Excel_BuiltIn_Print_Area_7">#REF!</definedName>
    <definedName name="Excel_BuiltIn_Print_Area_8">#REF!</definedName>
    <definedName name="Excel_BuiltIn_Print_Area_9">#REF!</definedName>
    <definedName name="Excel_BuiltIn_Print_Titles_1">#REF!</definedName>
    <definedName name="Excel_BuiltIn_Print_Titles_1_1">#REF!</definedName>
    <definedName name="Excel_BuiltIn_Print_Titles_1_1_2">#REF!</definedName>
    <definedName name="Excel_BuiltIn_Print_Titles_10">#REF!</definedName>
    <definedName name="Excel_BuiltIn_Print_Titles_11">#REF!</definedName>
    <definedName name="Excel_BuiltIn_Print_Titles_12">#REF!</definedName>
    <definedName name="Excel_BuiltIn_Print_Titles_13">#REF!</definedName>
    <definedName name="Excel_BuiltIn_Print_Titles_14">#REF!</definedName>
    <definedName name="Excel_BuiltIn_Print_Titles_15">#REF!</definedName>
    <definedName name="Excel_BuiltIn_Print_Titles_2">#REF!</definedName>
    <definedName name="Excel_BuiltIn_Print_Titles_2_1">#REF!</definedName>
    <definedName name="Excel_BuiltIn_Print_Titles_2_1_3">#REF!</definedName>
    <definedName name="Excel_BuiltIn_Print_Titles_2_1_3_1">#REF!</definedName>
    <definedName name="Excel_BuiltIn_Print_Titles_3">#REF!</definedName>
    <definedName name="Excel_BuiltIn_Print_Titles_3_1">#REF!</definedName>
    <definedName name="Excel_BuiltIn_Print_Titles_4">#REF!</definedName>
    <definedName name="Excel_BuiltIn_Print_Titles_4_1">#REF!</definedName>
    <definedName name="Excel_BuiltIn_Print_Titles_5">#REF!</definedName>
    <definedName name="Excel_BuiltIn_Print_Titles_6">#REF!</definedName>
    <definedName name="Excel_BuiltIn_Print_Titles_7">#REF!</definedName>
    <definedName name="Excel_BuiltIn_Print_Titles_8">#REF!</definedName>
    <definedName name="Excel_BuiltIn_Print_Titles_9">#REF!</definedName>
    <definedName name="Excelnew">#REF!</definedName>
    <definedName name="excf">#REF!</definedName>
    <definedName name="ExciseDuty">#REF!</definedName>
    <definedName name="exec">#REF!</definedName>
    <definedName name="EXIT">#REF!</definedName>
    <definedName name="exp.joints">#REF!</definedName>
    <definedName name="Expded">#REF!</definedName>
    <definedName name="expnjntbitu20pcc">#REF!</definedName>
    <definedName name="External_paint">#REF!</definedName>
    <definedName name="Extra_Pay">#REF!</definedName>
    <definedName name="eyrc">#REF!</definedName>
    <definedName name="F">#REF!</definedName>
    <definedName name="f.nos">#REF!</definedName>
    <definedName name="fac">#REF!</definedName>
    <definedName name="facia">#REF!</definedName>
    <definedName name="Fax">#REF!</definedName>
    <definedName name="Fb">#REF!</definedName>
    <definedName name="fbeam">#REF!</definedName>
    <definedName name="FBEAM1">#REF!</definedName>
    <definedName name="fcf">#REF!</definedName>
    <definedName name="FCode">#REF!</definedName>
    <definedName name="fcompany">#REF!</definedName>
    <definedName name="FDAFD">#REF!</definedName>
    <definedName name="fdate">#REF!</definedName>
    <definedName name="fdevise">#REF!</definedName>
    <definedName name="fdrop">#REF!</definedName>
    <definedName name="fdrop1">#REF!</definedName>
    <definedName name="FDROP11">#REF!</definedName>
    <definedName name="FDROP2">#REF!</definedName>
    <definedName name="feeder">#REF!</definedName>
    <definedName name="FEEDERRATING">#REF!</definedName>
    <definedName name="fer">#REF!</definedName>
    <definedName name="FF">#REF!</definedName>
    <definedName name="fffds">#REF!</definedName>
    <definedName name="fffff">#REF!</definedName>
    <definedName name="FFGB5">#REF!</definedName>
    <definedName name="fg">#REF!</definedName>
    <definedName name="fgdfgfgfg">#REF!</definedName>
    <definedName name="fgf">#REF!</definedName>
    <definedName name="fgfdg">#REF!</definedName>
    <definedName name="fgh">#REF!</definedName>
    <definedName name="Fh">#REF!</definedName>
    <definedName name="fhdsgbh">#REF!</definedName>
    <definedName name="Fhwl">#REF!</definedName>
    <definedName name="fiberboard12">#REF!</definedName>
    <definedName name="fiberboard18">#REF!</definedName>
    <definedName name="fiberboard20">#REF!</definedName>
    <definedName name="fiberboard25">#REF!</definedName>
    <definedName name="fiberboard5">#REF!</definedName>
    <definedName name="filtermaterial">#REF!</definedName>
    <definedName name="filterpcc">#REF!</definedName>
    <definedName name="fin">#REF!</definedName>
    <definedName name="FINAL">#REF!</definedName>
    <definedName name="final_report">#REF!</definedName>
    <definedName name="final_report1">#REF!</definedName>
    <definedName name="finalre">#REF!</definedName>
    <definedName name="FINISHES">#REF!</definedName>
    <definedName name="FINISHING">#REF!</definedName>
    <definedName name="FIRE">#REF!</definedName>
    <definedName name="FIRST_ROW">#REF!</definedName>
    <definedName name="FiscalIDNum">#REF!</definedName>
    <definedName name="FIT">#REF!</definedName>
    <definedName name="FIT___0">#REF!</definedName>
    <definedName name="FIT___13">#REF!</definedName>
    <definedName name="fitter">#REF!</definedName>
    <definedName name="fixed_asset">#REF!</definedName>
    <definedName name="fj_100">#REF!</definedName>
    <definedName name="fj_150">#REF!</definedName>
    <definedName name="fj_200">#REF!</definedName>
    <definedName name="fj_25">#REF!</definedName>
    <definedName name="fj_250">#REF!</definedName>
    <definedName name="fj_300">#REF!</definedName>
    <definedName name="fj_32">#REF!</definedName>
    <definedName name="fj_40">#REF!</definedName>
    <definedName name="fj_400">#REF!</definedName>
    <definedName name="fj_50">#REF!</definedName>
    <definedName name="fj_500">#REF!</definedName>
    <definedName name="fj_65">#REF!</definedName>
    <definedName name="fj_80">#REF!</definedName>
    <definedName name="fl">#REF!</definedName>
    <definedName name="flag1">#REF!</definedName>
    <definedName name="flatstone">#REF!</definedName>
    <definedName name="Floor">#REF!</definedName>
    <definedName name="FLOORING">#REF!</definedName>
    <definedName name="Floorsqty">#REF!</definedName>
    <definedName name="fm">#REF!</definedName>
    <definedName name="FN">#REF!</definedName>
    <definedName name="fo">#REF!</definedName>
    <definedName name="Footings">#REF!</definedName>
    <definedName name="FORM">#REF!</definedName>
    <definedName name="FormTitle">#REF!</definedName>
    <definedName name="formu">#REF!</definedName>
    <definedName name="fp">#REF!</definedName>
    <definedName name="FRA">#REF!</definedName>
    <definedName name="fRANCIS">#REF!</definedName>
    <definedName name="frncis">#REF!</definedName>
    <definedName name="frswgtr">#REF!</definedName>
    <definedName name="Fs">#REF!</definedName>
    <definedName name="fsg">#REF!</definedName>
    <definedName name="fslab">#REF!</definedName>
    <definedName name="FSLAB1">#REF!</definedName>
    <definedName name="FT">#REF!</definedName>
    <definedName name="fuji">#REF!</definedName>
    <definedName name="Full_Print">#REF!</definedName>
    <definedName name="fullview">#REF!</definedName>
    <definedName name="furn">#REF!</definedName>
    <definedName name="furniture">#REF!</definedName>
    <definedName name="fusewire">#REF!</definedName>
    <definedName name="fv">#REF!</definedName>
    <definedName name="fxgj">#REF!</definedName>
    <definedName name="g">#REF!</definedName>
    <definedName name="G_ÿ_P_">#REF!</definedName>
    <definedName name="gama">#REF!</definedName>
    <definedName name="gamah">#REF!</definedName>
    <definedName name="gas_cost">#REF!</definedName>
    <definedName name="gas_factor">#REF!</definedName>
    <definedName name="gcl">#REF!</definedName>
    <definedName name="gelatine">#REF!</definedName>
    <definedName name="geo">#REF!</definedName>
    <definedName name="gf">#REF!</definedName>
    <definedName name="GFA">#REF!</definedName>
    <definedName name="GFAFA">#REF!</definedName>
    <definedName name="gffg">#REF!</definedName>
    <definedName name="ggg">#REF!</definedName>
    <definedName name="ggggggggggg">#REF!</definedName>
    <definedName name="gh">#REF!</definedName>
    <definedName name="GHJT">#REF!</definedName>
    <definedName name="GHK">#REF!</definedName>
    <definedName name="gi_100">#REF!</definedName>
    <definedName name="gi_150">#REF!</definedName>
    <definedName name="gi_200">#REF!</definedName>
    <definedName name="gi_25">#REF!</definedName>
    <definedName name="gi_250">#REF!</definedName>
    <definedName name="gi_300">#REF!</definedName>
    <definedName name="gi_32">#REF!</definedName>
    <definedName name="gi_40">#REF!</definedName>
    <definedName name="gi_400">#REF!</definedName>
    <definedName name="gi_50">#REF!</definedName>
    <definedName name="gi_500">#REF!</definedName>
    <definedName name="gi_600">#REF!</definedName>
    <definedName name="gi_65">#REF!</definedName>
    <definedName name="gi_80">#REF!</definedName>
    <definedName name="gif">#REF!</definedName>
    <definedName name="gjhk">#REF!</definedName>
    <definedName name="GL">#REF!</definedName>
    <definedName name="GLAND">#REF!</definedName>
    <definedName name="glassbeads">#REF!</definedName>
    <definedName name="glb_100">#REF!</definedName>
    <definedName name="glb_150">#REF!</definedName>
    <definedName name="glb_200">#REF!</definedName>
    <definedName name="glb_25">#REF!</definedName>
    <definedName name="glb_250">#REF!</definedName>
    <definedName name="glb_300">#REF!</definedName>
    <definedName name="glb_32">#REF!</definedName>
    <definedName name="glb_40">#REF!</definedName>
    <definedName name="glb_50">#REF!</definedName>
    <definedName name="glb_65">#REF!</definedName>
    <definedName name="glb_80">#REF!</definedName>
    <definedName name="GLs">#REF!</definedName>
    <definedName name="GMAmount">#REF!</definedName>
    <definedName name="GMPercent">#REF!</definedName>
    <definedName name="grader">#REF!</definedName>
    <definedName name="grinstone">#REF!</definedName>
    <definedName name="GRLvl">#REF!</definedName>
    <definedName name="groove">#REF!</definedName>
    <definedName name="Gross_Cost">#REF!</definedName>
    <definedName name="Group1">#REF!</definedName>
    <definedName name="Group2">#REF!</definedName>
    <definedName name="Group3">#REF!</definedName>
    <definedName name="Group4">#REF!</definedName>
    <definedName name="groutpump">#REF!</definedName>
    <definedName name="gs">#REF!</definedName>
    <definedName name="GSASFG">#REF!</definedName>
    <definedName name="gsbplantrate">#REF!</definedName>
    <definedName name="GSG">#REF!</definedName>
    <definedName name="gspllant">#REF!</definedName>
    <definedName name="gthy">#REF!</definedName>
    <definedName name="GTOT">#REF!</definedName>
    <definedName name="gty">#REF!</definedName>
    <definedName name="GV">#REF!</definedName>
    <definedName name="gv_100">#REF!</definedName>
    <definedName name="gv_150">#REF!</definedName>
    <definedName name="gv_200">#REF!</definedName>
    <definedName name="gv_25">#REF!</definedName>
    <definedName name="gv_250">#REF!</definedName>
    <definedName name="gv_300">#REF!</definedName>
    <definedName name="gv_32">#REF!</definedName>
    <definedName name="gv_40">#REF!</definedName>
    <definedName name="gv_400">#REF!</definedName>
    <definedName name="gv_50">#REF!</definedName>
    <definedName name="gv_500">#REF!</definedName>
    <definedName name="gv_65">#REF!</definedName>
    <definedName name="gv_80">#REF!</definedName>
    <definedName name="H">#REF!</definedName>
    <definedName name="H___0">#REF!</definedName>
    <definedName name="H___13">#REF!</definedName>
    <definedName name="H0___0">#REF!</definedName>
    <definedName name="H0___13">#REF!</definedName>
    <definedName name="Hafeez">#REF!</definedName>
    <definedName name="Hammerman">#REF!</definedName>
    <definedName name="HARI">#REF!</definedName>
    <definedName name="headblacksmith">#REF!</definedName>
    <definedName name="Header_Row">#REF!</definedName>
    <definedName name="headmason">#REF!</definedName>
    <definedName name="Height">#REF!</definedName>
    <definedName name="Height_1">#REF!</definedName>
    <definedName name="hf">#REF!</definedName>
    <definedName name="hh">#REF!</definedName>
    <definedName name="hh___0">#REF!</definedName>
    <definedName name="hh___13">#REF!</definedName>
    <definedName name="hi">#REF!</definedName>
    <definedName name="HiddenRows">#REF!</definedName>
    <definedName name="HINDHUSTAN">#REF!</definedName>
    <definedName name="HIns">#REF!</definedName>
    <definedName name="histogram_data">#REF!</definedName>
    <definedName name="hjuj">#REF!</definedName>
    <definedName name="hmplant">#REF!</definedName>
    <definedName name="ho">#REF!</definedName>
    <definedName name="ho___0">#REF!</definedName>
    <definedName name="ho___13">#REF!</definedName>
    <definedName name="hoi">#REF!</definedName>
    <definedName name="Hospitals">#REF!</definedName>
    <definedName name="hotmixplant">#REF!</definedName>
    <definedName name="hotmixsmall">#REF!</definedName>
    <definedName name="How_many_floors">#REF!</definedName>
    <definedName name="Hp">#REF!</definedName>
    <definedName name="hS">#REF!</definedName>
    <definedName name="hS___0">#REF!</definedName>
    <definedName name="hS___13">#REF!</definedName>
    <definedName name="Hu">#REF!</definedName>
    <definedName name="Hu___0">#REF!</definedName>
    <definedName name="Hu___13">#REF!</definedName>
    <definedName name="HV">#REF!</definedName>
    <definedName name="hvacrates">#REF!</definedName>
    <definedName name="Hw">#REF!</definedName>
    <definedName name="hxb">#REF!</definedName>
    <definedName name="hxi">#REF!</definedName>
    <definedName name="hy">#REF!</definedName>
    <definedName name="hydexcavator">#REF!</definedName>
    <definedName name="hysd">#REF!</definedName>
    <definedName name="hysdpcc">#REF!</definedName>
    <definedName name="I">#REF!</definedName>
    <definedName name="I.3.b.iii">#REF!</definedName>
    <definedName name="I.3.b.iv">#REF!</definedName>
    <definedName name="I.3.c">#REF!</definedName>
    <definedName name="I___0">#REF!</definedName>
    <definedName name="I___13">#REF!</definedName>
    <definedName name="IF">#REF!</definedName>
    <definedName name="Ig">#REF!</definedName>
    <definedName name="Ig___0">#REF!</definedName>
    <definedName name="Ig___13">#REF!</definedName>
    <definedName name="ii">#REF!</definedName>
    <definedName name="iiiiiiiiiii">#REF!</definedName>
    <definedName name="in_100">#REF!</definedName>
    <definedName name="in_150">#REF!</definedName>
    <definedName name="in_200">#REF!</definedName>
    <definedName name="in_25">#REF!</definedName>
    <definedName name="in_250">#REF!</definedName>
    <definedName name="in_300">#REF!</definedName>
    <definedName name="in_32">#REF!</definedName>
    <definedName name="in_40">#REF!</definedName>
    <definedName name="in_400">#REF!</definedName>
    <definedName name="in_50">#REF!</definedName>
    <definedName name="in_500">#REF!</definedName>
    <definedName name="in_600">#REF!</definedName>
    <definedName name="in_65">#REF!</definedName>
    <definedName name="in_80">#REF!</definedName>
    <definedName name="inAst1">#REF!</definedName>
    <definedName name="inAst3">#REF!</definedName>
    <definedName name="inAst4">#REF!</definedName>
    <definedName name="incgl">#REF!</definedName>
    <definedName name="income">#REF!</definedName>
    <definedName name="ind">#REF!</definedName>
    <definedName name="indf">#REF!</definedName>
    <definedName name="indf_2">#REF!</definedName>
    <definedName name="inexudl">#REF!</definedName>
    <definedName name="INFRASTRUCTURE_ENTRY">#REF!</definedName>
    <definedName name="InstBillingMethod">#REF!</definedName>
    <definedName name="Int">#REF!</definedName>
    <definedName name="Interest_Rate">#REF!</definedName>
    <definedName name="Interior">#REF!</definedName>
    <definedName name="INV_SCH">#REF!</definedName>
    <definedName name="investment">#REF!</definedName>
    <definedName name="ipc">#REF!</definedName>
    <definedName name="ipu">#REF!</definedName>
    <definedName name="ipu___0">#REF!</definedName>
    <definedName name="ipu___13">#REF!</definedName>
    <definedName name="IRMA">#REF!</definedName>
    <definedName name="Is">#REF!</definedName>
    <definedName name="ISEC77">#REF!</definedName>
    <definedName name="ISO">#REF!</definedName>
    <definedName name="IT">#REF!</definedName>
    <definedName name="ITT">#REF!</definedName>
    <definedName name="IWT">#REF!</definedName>
    <definedName name="J">#REF!</definedName>
    <definedName name="J.2">#REF!</definedName>
    <definedName name="J.5">#REF!</definedName>
    <definedName name="jack">#REF!</definedName>
    <definedName name="JEJS">#REF!</definedName>
    <definedName name="JEJS___0">#REF!</definedName>
    <definedName name="JEJS___11">#REF!</definedName>
    <definedName name="JEJS___12">#REF!</definedName>
    <definedName name="JEJS___13">#REF!</definedName>
    <definedName name="JEJS___4">#REF!</definedName>
    <definedName name="jhdsghghfh">#REF!</definedName>
    <definedName name="JJJ">#REF!</definedName>
    <definedName name="jjjjjjjjjj">#REF!</definedName>
    <definedName name="JJLall">#REF!</definedName>
    <definedName name="JJLALLL">#REF!</definedName>
    <definedName name="jk">#REF!</definedName>
    <definedName name="jkjkjkj">#REF!</definedName>
    <definedName name="JKK">#REF!</definedName>
    <definedName name="job">#REF!</definedName>
    <definedName name="job___0">#REF!</definedName>
    <definedName name="job___11">#REF!</definedName>
    <definedName name="job___12">#REF!</definedName>
    <definedName name="JobID">#REF!</definedName>
    <definedName name="johnson1">#REF!</definedName>
    <definedName name="june">#REF!</definedName>
    <definedName name="K">#REF!</definedName>
    <definedName name="K___0">#REF!</definedName>
    <definedName name="K___13">#REF!</definedName>
    <definedName name="k1_table">#REF!</definedName>
    <definedName name="ka">#REF!</definedName>
    <definedName name="KAPPA">#REF!</definedName>
    <definedName name="KARNA">#REF!</definedName>
    <definedName name="KAVITHA">#REF!</definedName>
    <definedName name="kb">#REF!</definedName>
    <definedName name="kc">#REF!</definedName>
    <definedName name="Kerbcast">#REF!</definedName>
    <definedName name="Kh">#REF!</definedName>
    <definedName name="Kh___0">#REF!</definedName>
    <definedName name="Kh___13">#REF!</definedName>
    <definedName name="khalasi">#REF!</definedName>
    <definedName name="khd">#REF!</definedName>
    <definedName name="khf">#REF!</definedName>
    <definedName name="khkjh">#REF!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i">#REF!</definedName>
    <definedName name="Kii___0">#REF!</definedName>
    <definedName name="Kii___13">#REF!</definedName>
    <definedName name="kj">#REF!</definedName>
    <definedName name="kk">#REF!</definedName>
    <definedName name="Km">#REF!</definedName>
    <definedName name="Km___0">#REF!</definedName>
    <definedName name="Km___13">#REF!</definedName>
    <definedName name="kp">#REF!</definedName>
    <definedName name="Ks">#REF!</definedName>
    <definedName name="Ks___0">#REF!</definedName>
    <definedName name="Ks___13">#REF!</definedName>
    <definedName name="ksd">#REF!</definedName>
    <definedName name="ksf">#REF!</definedName>
    <definedName name="ksr">#REF!</definedName>
    <definedName name="KWH">#REF!</definedName>
    <definedName name="l">#REF!</definedName>
    <definedName name="L___0">#REF!</definedName>
    <definedName name="L___13">#REF!</definedName>
    <definedName name="lab">#REF!</definedName>
    <definedName name="labor">#REF!</definedName>
    <definedName name="Labour_Code">#REF!</definedName>
    <definedName name="Labour_Per_Day">#REF!</definedName>
    <definedName name="Labour_Per_Hour">#REF!</definedName>
    <definedName name="Labour_Per_Month">#REF!</definedName>
    <definedName name="Labour_Per_Week">#REF!</definedName>
    <definedName name="labourrecon">#REF!</definedName>
    <definedName name="LAbrec">#REF!</definedName>
    <definedName name="lakshmi">#REF!</definedName>
    <definedName name="lala">#REF!</definedName>
    <definedName name="LAMP">#REF!</definedName>
    <definedName name="LAMP___0">#REF!</definedName>
    <definedName name="LAMP___13">#REF!</definedName>
    <definedName name="Land_adv">#REF!</definedName>
    <definedName name="landacqcost">#REF!</definedName>
    <definedName name="LC">#REF!</definedName>
    <definedName name="Lc___0">#REF!</definedName>
    <definedName name="Lc___13">#REF!</definedName>
    <definedName name="LCAR100">#REF!</definedName>
    <definedName name="le">#REF!</definedName>
    <definedName name="Lead">#REF!</definedName>
    <definedName name="lef">#REF!</definedName>
    <definedName name="lel">#REF!</definedName>
    <definedName name="len">#REF!</definedName>
    <definedName name="Length">#REF!</definedName>
    <definedName name="Length_1">#REF!</definedName>
    <definedName name="Leva">#REF!</definedName>
    <definedName name="levelling">#REF!</definedName>
    <definedName name="Lib">#REF!</definedName>
    <definedName name="library">#REF!</definedName>
    <definedName name="lk">#REF!</definedName>
    <definedName name="LKJ">#REF!</definedName>
    <definedName name="LKOU">#REF!</definedName>
    <definedName name="LKUY">#REF!</definedName>
    <definedName name="LLALALLA">#REF!</definedName>
    <definedName name="lll">#REF!</definedName>
    <definedName name="llll">#REF!</definedName>
    <definedName name="lmfa">#REF!</definedName>
    <definedName name="lmfr">#REF!</definedName>
    <definedName name="lo">#REF!</definedName>
    <definedName name="loader">#REF!</definedName>
    <definedName name="Loan_Amount">#REF!</definedName>
    <definedName name="Loan_Start">#REF!</definedName>
    <definedName name="Loan_Years">#REF!</definedName>
    <definedName name="loans_adv">#REF!</definedName>
    <definedName name="LOCAL_STAFF">#REF!</definedName>
    <definedName name="LOCAL_STAFF_ENTRY">#REF!</definedName>
    <definedName name="Location___0">#REF!</definedName>
    <definedName name="Location___10">#REF!</definedName>
    <definedName name="Location___11">#REF!</definedName>
    <definedName name="Location___16">#REF!</definedName>
    <definedName name="Location___17">#REF!</definedName>
    <definedName name="Location___20">#REF!</definedName>
    <definedName name="Location___22">#REF!</definedName>
    <definedName name="Location___23">#REF!</definedName>
    <definedName name="Location___24">#REF!</definedName>
    <definedName name="Location___25">#REF!</definedName>
    <definedName name="Location___31">#REF!</definedName>
    <definedName name="Location___6">#REF!</definedName>
    <definedName name="look">#REF!</definedName>
    <definedName name="LOP">#REF!</definedName>
    <definedName name="Lr">#REF!</definedName>
    <definedName name="Lr___0">#REF!</definedName>
    <definedName name="Lr___13">#REF!</definedName>
    <definedName name="lsec">#REF!</definedName>
    <definedName name="Lsec1">#REF!</definedName>
    <definedName name="Lsec2">#REF!</definedName>
    <definedName name="Lsec3">#REF!</definedName>
    <definedName name="Lsec4">#REF!</definedName>
    <definedName name="Lsec5">#REF!</definedName>
    <definedName name="Lsec6">#REF!</definedName>
    <definedName name="lsec7">#REF!</definedName>
    <definedName name="lstf">#REF!</definedName>
    <definedName name="ltf">#REF!</definedName>
    <definedName name="LUMEN">#REF!</definedName>
    <definedName name="LUMEN___0">#REF!</definedName>
    <definedName name="LUMEN___13">#REF!</definedName>
    <definedName name="Lutron">#REF!</definedName>
    <definedName name="LUX">#REF!</definedName>
    <definedName name="LUX___0">#REF!</definedName>
    <definedName name="LUX___13">#REF!</definedName>
    <definedName name="Lx">#REF!</definedName>
    <definedName name="Lx___0">#REF!</definedName>
    <definedName name="Lx___13">#REF!</definedName>
    <definedName name="m">#REF!</definedName>
    <definedName name="m___0">#REF!</definedName>
    <definedName name="m___13">#REF!</definedName>
    <definedName name="M_25_box_Culvert">#REF!</definedName>
    <definedName name="m15flooring">#REF!</definedName>
    <definedName name="m20deckpcc">#REF!</definedName>
    <definedName name="m35pile">#REF!</definedName>
    <definedName name="machine_Bdown">#REF!</definedName>
    <definedName name="MACHINE_EQUIPMENT">#REF!</definedName>
    <definedName name="MACHINE_EQUIPMENT_ENTRY">#REF!</definedName>
    <definedName name="mak">#REF!</definedName>
    <definedName name="man">#REF!</definedName>
    <definedName name="man___0">#REF!</definedName>
    <definedName name="man___11">#REF!</definedName>
    <definedName name="man___12">#REF!</definedName>
    <definedName name="manday1">#REF!</definedName>
    <definedName name="manday1___0">#REF!</definedName>
    <definedName name="manday1___11">#REF!</definedName>
    <definedName name="manday1___12">#REF!</definedName>
    <definedName name="manpower_details">#REF!</definedName>
    <definedName name="manure">#REF!</definedName>
    <definedName name="marble">#REF!</definedName>
    <definedName name="MarketType">#REF!</definedName>
    <definedName name="MarketType_Text">#REF!</definedName>
    <definedName name="markingmachine">#REF!</definedName>
    <definedName name="mason">#REF!</definedName>
    <definedName name="masonhelper">#REF!</definedName>
    <definedName name="MASONRY">#REF!</definedName>
    <definedName name="mastcooker">#REF!</definedName>
    <definedName name="mat">#REF!</definedName>
    <definedName name="Mate">#REF!</definedName>
    <definedName name="Material_rate_entry">#REF!</definedName>
    <definedName name="maxlim">#REF!</definedName>
    <definedName name="MAY03PH2">#REF!</definedName>
    <definedName name="Mazdoor">#REF!</definedName>
    <definedName name="mb">#REF!</definedName>
    <definedName name="MCB">#REF!</definedName>
    <definedName name="MCCB">#REF!</definedName>
    <definedName name="mcl">#REF!</definedName>
    <definedName name="MECHANICAL">#REF!</definedName>
    <definedName name="mechbroom">#REF!</definedName>
    <definedName name="MF">#REF!</definedName>
    <definedName name="MF___0">#REF!</definedName>
    <definedName name="MF___13">#REF!</definedName>
    <definedName name="mfl">#REF!</definedName>
    <definedName name="mgf">#REF!</definedName>
    <definedName name="minlim">#REF!</definedName>
    <definedName name="Mis">#REF!</definedName>
    <definedName name="MISCELLANEOUS">#REF!</definedName>
    <definedName name="mix_M30">#REF!</definedName>
    <definedName name="mixer">#REF!</definedName>
    <definedName name="mixer4028">#REF!</definedName>
    <definedName name="MLOKUY">#REF!</definedName>
    <definedName name="mmm">#REF!</definedName>
    <definedName name="mmmmmmmmmm">#REF!</definedName>
    <definedName name="mobi">#REF!</definedName>
    <definedName name="MODELE">#REF!</definedName>
    <definedName name="MONTH_CONDITION">#REF!</definedName>
    <definedName name="MONTH_DETAILS">#REF!</definedName>
    <definedName name="monthly_invoice_to_wc">#REF!</definedName>
    <definedName name="MOP">#REF!</definedName>
    <definedName name="mortar">#REF!</definedName>
    <definedName name="MP">#REF!</definedName>
    <definedName name="MPCB">#REF!</definedName>
    <definedName name="mr">#REF!</definedName>
    <definedName name="msbars">#REF!</definedName>
    <definedName name="msf">#REF!</definedName>
    <definedName name="mssplantrate">#REF!</definedName>
    <definedName name="Muram">#REF!</definedName>
    <definedName name="muramfillpcc">#REF!</definedName>
    <definedName name="muthu">#REF!</definedName>
    <definedName name="MV">#REF!</definedName>
    <definedName name="N">#REF!</definedName>
    <definedName name="N___0">#REF!</definedName>
    <definedName name="N___13">#REF!</definedName>
    <definedName name="nachi">#REF!</definedName>
    <definedName name="Name">#REF!</definedName>
    <definedName name="ncik">#REF!</definedName>
    <definedName name="ND">#REF!</definedName>
    <definedName name="NDR">#REF!</definedName>
    <definedName name="neoprene">#REF!</definedName>
    <definedName name="Nett_Construction_Period">#REF!</definedName>
    <definedName name="Nett_Cost">#REF!</definedName>
    <definedName name="new">#REF!</definedName>
    <definedName name="NEWNAME">#REF!</definedName>
    <definedName name="NH4hume600">#REF!</definedName>
    <definedName name="Nick">#REF!</definedName>
    <definedName name="NN">#REF!</definedName>
    <definedName name="NN___0">#REF!</definedName>
    <definedName name="NN___13">#REF!</definedName>
    <definedName name="nnn">#REF!</definedName>
    <definedName name="nnnnm">#REF!</definedName>
    <definedName name="NO.">#REF!</definedName>
    <definedName name="normal_chi">#REF!</definedName>
    <definedName name="NOS">#REF!</definedName>
    <definedName name="Nos.">#REF!</definedName>
    <definedName name="Notation">#REF!</definedName>
    <definedName name="notok">#REF!</definedName>
    <definedName name="np2hp300">#REF!</definedName>
    <definedName name="np3hp450">#REF!</definedName>
    <definedName name="NP3HP600">#REF!</definedName>
    <definedName name="NP3HP750">#REF!</definedName>
    <definedName name="NP4hume1.2">#REF!</definedName>
    <definedName name="NP4hume1000">#REF!</definedName>
    <definedName name="NP4hume300">#REF!</definedName>
    <definedName name="NP4hume450">#REF!</definedName>
    <definedName name="NP4hume900">#REF!</definedName>
    <definedName name="NS">#REF!</definedName>
    <definedName name="NSSR1">#REF!</definedName>
    <definedName name="NSSR10">#REF!</definedName>
    <definedName name="NSSR100">#REF!</definedName>
    <definedName name="NSSR101">#REF!</definedName>
    <definedName name="NSSR102">#REF!</definedName>
    <definedName name="NSSR103">#REF!</definedName>
    <definedName name="NSSR104">#REF!</definedName>
    <definedName name="NSSR105">#REF!</definedName>
    <definedName name="NSSR106">#REF!</definedName>
    <definedName name="NSSR107">#REF!</definedName>
    <definedName name="NSSR108">#REF!</definedName>
    <definedName name="NSSR109">#REF!</definedName>
    <definedName name="NSSR11">#REF!</definedName>
    <definedName name="NSSR110">#REF!</definedName>
    <definedName name="NSSR111">#REF!</definedName>
    <definedName name="NSSR112">#REF!</definedName>
    <definedName name="NSSR113">#REF!</definedName>
    <definedName name="NSSR114">#REF!</definedName>
    <definedName name="NSSR115">#REF!</definedName>
    <definedName name="NSSR116">#REF!</definedName>
    <definedName name="NSSR117">#REF!</definedName>
    <definedName name="NSSR118">#REF!</definedName>
    <definedName name="NSSR119">#REF!</definedName>
    <definedName name="NSSR12">#REF!</definedName>
    <definedName name="NSSR120">#REF!</definedName>
    <definedName name="NSSR121">#REF!</definedName>
    <definedName name="NSSR122">#REF!</definedName>
    <definedName name="NSSR123">#REF!</definedName>
    <definedName name="NSSR124">#REF!</definedName>
    <definedName name="NSSR125">#REF!</definedName>
    <definedName name="NSSR126">#REF!</definedName>
    <definedName name="NSSR127">#REF!</definedName>
    <definedName name="NSSR128">#REF!</definedName>
    <definedName name="NSSR129">#REF!</definedName>
    <definedName name="NSSR13">#REF!</definedName>
    <definedName name="NSSR130">#REF!</definedName>
    <definedName name="NSSR131">#REF!</definedName>
    <definedName name="NSSR132">#REF!</definedName>
    <definedName name="NSSR133">#REF!</definedName>
    <definedName name="NSSR134">#REF!</definedName>
    <definedName name="NSSR135">#REF!</definedName>
    <definedName name="NSSR136">#REF!</definedName>
    <definedName name="NSSR137">#REF!</definedName>
    <definedName name="NSSR138">#REF!</definedName>
    <definedName name="NSSR139">#REF!</definedName>
    <definedName name="NSSR14">#REF!</definedName>
    <definedName name="NSSR140">#REF!</definedName>
    <definedName name="NSSR141">#REF!</definedName>
    <definedName name="NSSR142">#REF!</definedName>
    <definedName name="NSSR143">#REF!</definedName>
    <definedName name="NSSR144">#REF!</definedName>
    <definedName name="NSSR145">#REF!</definedName>
    <definedName name="NSSR146">#REF!</definedName>
    <definedName name="NSSR147">#REF!</definedName>
    <definedName name="NSSR148">#REF!</definedName>
    <definedName name="NSSR149">#REF!</definedName>
    <definedName name="NSSR15">#REF!</definedName>
    <definedName name="NSSR150">#REF!</definedName>
    <definedName name="NSSR151">#REF!</definedName>
    <definedName name="NSSR152">#REF!</definedName>
    <definedName name="NSSR153">#REF!</definedName>
    <definedName name="NSSR154">#REF!</definedName>
    <definedName name="NSSR155">#REF!</definedName>
    <definedName name="NSSR156">#REF!</definedName>
    <definedName name="NSSR157">#REF!</definedName>
    <definedName name="NSSR158">#REF!</definedName>
    <definedName name="NSSR159">#REF!</definedName>
    <definedName name="NSSR16">#REF!</definedName>
    <definedName name="NSSR160">#REF!</definedName>
    <definedName name="NSSR161">#REF!</definedName>
    <definedName name="NSSR162">#REF!</definedName>
    <definedName name="NSSR163">#REF!</definedName>
    <definedName name="NSSR164">#REF!</definedName>
    <definedName name="NSSR165">#REF!</definedName>
    <definedName name="NSSR166">#REF!</definedName>
    <definedName name="NSSR167">#REF!</definedName>
    <definedName name="NSSR168">#REF!</definedName>
    <definedName name="NSSR169">#REF!</definedName>
    <definedName name="NSSR17">#REF!</definedName>
    <definedName name="NSSR170">#REF!</definedName>
    <definedName name="NSSR171">#REF!</definedName>
    <definedName name="NSSR172">#REF!</definedName>
    <definedName name="NSSR173">#REF!</definedName>
    <definedName name="NSSR174">#REF!</definedName>
    <definedName name="NSSR18">#REF!</definedName>
    <definedName name="NSSR19">#REF!</definedName>
    <definedName name="NSSR2">#REF!</definedName>
    <definedName name="NSSR20">#REF!</definedName>
    <definedName name="NSSR21">#REF!</definedName>
    <definedName name="NSSR22">#REF!</definedName>
    <definedName name="NSSR23">#REF!</definedName>
    <definedName name="NSSR24">#REF!</definedName>
    <definedName name="NSSR25">#REF!</definedName>
    <definedName name="NSSR26">#REF!</definedName>
    <definedName name="NSSR27">#REF!</definedName>
    <definedName name="NSSR28">#REF!</definedName>
    <definedName name="NSSR29">#REF!</definedName>
    <definedName name="NSSR3">#REF!</definedName>
    <definedName name="NSSR30">#REF!</definedName>
    <definedName name="NSSR31">#REF!</definedName>
    <definedName name="NSSR32">#REF!</definedName>
    <definedName name="NSSR33">#REF!</definedName>
    <definedName name="NSSR34">#REF!</definedName>
    <definedName name="NSSR35">#REF!</definedName>
    <definedName name="NSSR36">#REF!</definedName>
    <definedName name="NSSR37">#REF!</definedName>
    <definedName name="NSSR38">#REF!</definedName>
    <definedName name="NSSR39">#REF!</definedName>
    <definedName name="NSSR4">#REF!</definedName>
    <definedName name="NSSR40">#REF!</definedName>
    <definedName name="NSSR41">#REF!</definedName>
    <definedName name="NSSR42">#REF!</definedName>
    <definedName name="NSSR43">#REF!</definedName>
    <definedName name="NSSR44">#REF!</definedName>
    <definedName name="NSSR45">#REF!</definedName>
    <definedName name="NSSR46">#REF!</definedName>
    <definedName name="NSSR47">#REF!</definedName>
    <definedName name="NSSR48">#REF!</definedName>
    <definedName name="NSSR49">#REF!</definedName>
    <definedName name="NSSR5">#REF!</definedName>
    <definedName name="NSSR50">#REF!</definedName>
    <definedName name="NSSR51">#REF!</definedName>
    <definedName name="NSSR52">#REF!</definedName>
    <definedName name="NSSR53">#REF!</definedName>
    <definedName name="NSSR54">#REF!</definedName>
    <definedName name="NSSR55">#REF!</definedName>
    <definedName name="NSSR56">#REF!</definedName>
    <definedName name="NSSR57">#REF!</definedName>
    <definedName name="NSSR58">#REF!</definedName>
    <definedName name="NSSR59">#REF!</definedName>
    <definedName name="NSSR6">#REF!</definedName>
    <definedName name="NSSR60">#REF!</definedName>
    <definedName name="NSSR61">#REF!</definedName>
    <definedName name="NSSR62">#REF!</definedName>
    <definedName name="NSSR63">#REF!</definedName>
    <definedName name="NSSR64">#REF!</definedName>
    <definedName name="NSSR65">#REF!</definedName>
    <definedName name="NSSR66">#REF!</definedName>
    <definedName name="NSSR67">#REF!</definedName>
    <definedName name="NSSR68">#REF!</definedName>
    <definedName name="NSSR69">#REF!</definedName>
    <definedName name="NSSR7">#REF!</definedName>
    <definedName name="NSSR70">#REF!</definedName>
    <definedName name="NSSR71">#REF!</definedName>
    <definedName name="NSSR72">#REF!</definedName>
    <definedName name="NSSR73">#REF!</definedName>
    <definedName name="NSSR74">#REF!</definedName>
    <definedName name="NSSR75">#REF!</definedName>
    <definedName name="NSSR76">#REF!</definedName>
    <definedName name="NSSR77">#REF!</definedName>
    <definedName name="NSSR78">#REF!</definedName>
    <definedName name="NSSR79">#REF!</definedName>
    <definedName name="NSSR8">#REF!</definedName>
    <definedName name="NSSR80">#REF!</definedName>
    <definedName name="NSSR81">#REF!</definedName>
    <definedName name="NSSR82">#REF!</definedName>
    <definedName name="NSSR83">#REF!</definedName>
    <definedName name="NSSR84">#REF!</definedName>
    <definedName name="NSSR85">#REF!</definedName>
    <definedName name="NSSR86">#REF!</definedName>
    <definedName name="NSSR87">#REF!</definedName>
    <definedName name="NSSR88">#REF!</definedName>
    <definedName name="NSSR89">#REF!</definedName>
    <definedName name="NSSR9">#REF!</definedName>
    <definedName name="NSSR90">#REF!</definedName>
    <definedName name="NSSR91">#REF!</definedName>
    <definedName name="NSSR92">#REF!</definedName>
    <definedName name="NSSR93">#REF!</definedName>
    <definedName name="NSSR94">#REF!</definedName>
    <definedName name="NSSR95">#REF!</definedName>
    <definedName name="NSSR96">#REF!</definedName>
    <definedName name="NSSR97">#REF!</definedName>
    <definedName name="NSSR98">#REF!</definedName>
    <definedName name="NSSR99">#REF!</definedName>
    <definedName name="ntesu">#REF!</definedName>
    <definedName name="Num_Pmt_Per_Year">#REF!</definedName>
    <definedName name="numf">#REF!</definedName>
    <definedName name="nut">#REF!</definedName>
    <definedName name="NW">#REF!</definedName>
    <definedName name="Nx">#REF!</definedName>
    <definedName name="Nx___0">#REF!</definedName>
    <definedName name="Nx___13">#REF!</definedName>
    <definedName name="Ny">#REF!</definedName>
    <definedName name="Ny___0">#REF!</definedName>
    <definedName name="Ny___13">#REF!</definedName>
    <definedName name="oAst1">#REF!</definedName>
    <definedName name="oAst2">#REF!</definedName>
    <definedName name="oAst3">#REF!</definedName>
    <definedName name="oAst4">#REF!</definedName>
    <definedName name="obpl">#REF!</definedName>
    <definedName name="oc">#REF!</definedName>
    <definedName name="ocgl">#REF!</definedName>
    <definedName name="OCT_ALLSITES">#REF!</definedName>
    <definedName name="ODH">#REF!</definedName>
    <definedName name="oexudl">#REF!</definedName>
    <definedName name="ofcablescost">#REF!</definedName>
    <definedName name="oh">#REF!</definedName>
    <definedName name="ok">#REF!</definedName>
    <definedName name="OLE_LINK1_2">#REF!</definedName>
    <definedName name="OLE_LINK1_3">#REF!</definedName>
    <definedName name="OLE_LINK1_4">#REF!</definedName>
    <definedName name="OLE_LINK1_5">#REF!</definedName>
    <definedName name="OLE_LINK1_6">#REF!</definedName>
    <definedName name="OLE_LINK1_6_4">#REF!</definedName>
    <definedName name="OLE_LINK2">#REF!</definedName>
    <definedName name="OLE_LINK2___1">#REF!</definedName>
    <definedName name="OLE_LINK2___8">#REF!</definedName>
    <definedName name="OLE_LINK3_2">#REF!</definedName>
    <definedName name="omaxm1">#REF!</definedName>
    <definedName name="omaxm2">#REF!</definedName>
    <definedName name="omaxm3">#REF!</definedName>
    <definedName name="omaxm4">#REF!</definedName>
    <definedName name="ooooooooo">#REF!</definedName>
    <definedName name="Open">#REF!</definedName>
    <definedName name="OrderTable">#REF!</definedName>
    <definedName name="ordinary_blocks">#REF!</definedName>
    <definedName name="OrdinaryRodBinder">#REF!</definedName>
    <definedName name="oudl">#REF!</definedName>
    <definedName name="OVER_HEADS_ENTRY">#REF!</definedName>
    <definedName name="Overall_Summary_Title">#REF!</definedName>
    <definedName name="OVERHEADS">#REF!</definedName>
    <definedName name="OwnAcctNum">#REF!</definedName>
    <definedName name="OYI">#REF!</definedName>
    <definedName name="p">#REF!</definedName>
    <definedName name="p___0">#REF!</definedName>
    <definedName name="p___13">#REF!</definedName>
    <definedName name="P12_5PAGE266">#REF!</definedName>
    <definedName name="pa">#REF!</definedName>
    <definedName name="pa___0">#REF!</definedName>
    <definedName name="pa___13">#REF!</definedName>
    <definedName name="PAD">#REF!</definedName>
    <definedName name="Page3a">#REF!</definedName>
    <definedName name="painter">#REF!</definedName>
    <definedName name="painting">#REF!</definedName>
    <definedName name="Pane2">#REF!</definedName>
    <definedName name="Pane2___0">#REF!</definedName>
    <definedName name="Pane2___13">#REF!</definedName>
    <definedName name="parapet">#REF!</definedName>
    <definedName name="paver">#REF!</definedName>
    <definedName name="pavpaint">#REF!</definedName>
    <definedName name="Pay_Date">#REF!</definedName>
    <definedName name="Pay_Num">#REF!</definedName>
    <definedName name="pb">#REF!</definedName>
    <definedName name="pb___0">#REF!</definedName>
    <definedName name="pb___11">#REF!</definedName>
    <definedName name="pb___12">#REF!</definedName>
    <definedName name="pcc1.3.6pcc">#REF!</definedName>
    <definedName name="pccm15foundnpcc">#REF!</definedName>
    <definedName name="pccp">#REF!</definedName>
    <definedName name="pccproj">#REF!</definedName>
    <definedName name="pcct">#REF!</definedName>
    <definedName name="pccthk">#REF!</definedName>
    <definedName name="pccut">#REF!</definedName>
    <definedName name="pcl">#REF!</definedName>
    <definedName name="period">#REF!</definedName>
    <definedName name="pg">#REF!</definedName>
    <definedName name="pH">#REF!</definedName>
    <definedName name="pH___0">#REF!</definedName>
    <definedName name="pH___13">#REF!</definedName>
    <definedName name="PhaseCode">#REF!</definedName>
    <definedName name="Phone">#REF!</definedName>
    <definedName name="PhonesQty">#REF!</definedName>
    <definedName name="Pier">#REF!</definedName>
    <definedName name="piercap">#REF!</definedName>
    <definedName name="pile">#REF!</definedName>
    <definedName name="pilecap">#REF!</definedName>
    <definedName name="pileinraftCount">#REF!</definedName>
    <definedName name="pilingrig">#REF!</definedName>
    <definedName name="pitching">#REF!</definedName>
    <definedName name="place">#REF!</definedName>
    <definedName name="plan">#REF!</definedName>
    <definedName name="plast1.3pcc">#REF!</definedName>
    <definedName name="PLASTER">#REF!</definedName>
    <definedName name="plastering">#REF!</definedName>
    <definedName name="platecompactor">#REF!</definedName>
    <definedName name="plbeams">#REF!</definedName>
    <definedName name="plock">#REF!</definedName>
    <definedName name="plumber">#REF!</definedName>
    <definedName name="PM">#REF!</definedName>
    <definedName name="po">#REF!</definedName>
    <definedName name="points">#REF!</definedName>
    <definedName name="pot">#REF!</definedName>
    <definedName name="pp">#REF!</definedName>
    <definedName name="PPC">#REF!</definedName>
    <definedName name="pppppppppp">#REF!</definedName>
    <definedName name="pqr">#REF!</definedName>
    <definedName name="Pr">#REF!</definedName>
    <definedName name="PRA">#REF!</definedName>
    <definedName name="Prabakar">#REF!</definedName>
    <definedName name="PRADEEP">#REF!</definedName>
    <definedName name="Prelm_Exp">#REF!</definedName>
    <definedName name="premoulded">#REF!</definedName>
    <definedName name="prfProjectName">#REF!</definedName>
    <definedName name="PrimeAddress">#REF!</definedName>
    <definedName name="PrimeCity">#REF!</definedName>
    <definedName name="PrimeName">#REF!</definedName>
    <definedName name="PrimePostal">#REF!</definedName>
    <definedName name="PrimePrio">#REF!</definedName>
    <definedName name="PrimePrio_Text">#REF!</definedName>
    <definedName name="PrimeState">#REF!</definedName>
    <definedName name="Princ">#REF!</definedName>
    <definedName name="prince">#REF!</definedName>
    <definedName name="prince1">#REF!</definedName>
    <definedName name="Principal">#REF!</definedName>
    <definedName name="PRINT_AREA_MI">#REF!</definedName>
    <definedName name="PRINT_AREA_MI___0">#REF!</definedName>
    <definedName name="PRINT_AREA_MI_3">#REF!</definedName>
    <definedName name="Print_Checklist">#REF!</definedName>
    <definedName name="Print_Cover">#REF!</definedName>
    <definedName name="Print_ITR">#REF!</definedName>
    <definedName name="Print_Range">#REF!</definedName>
    <definedName name="Print_Settlement">#REF!</definedName>
    <definedName name="PRINT_TITLES_MI">#REF!</definedName>
    <definedName name="Print_TRA">#REF!</definedName>
    <definedName name="ProdCode1">#REF!</definedName>
    <definedName name="ProdCode1_Text">#REF!</definedName>
    <definedName name="ProdCode2">#REF!</definedName>
    <definedName name="ProdCode2_Text">#REF!</definedName>
    <definedName name="ProdCode3">#REF!</definedName>
    <definedName name="ProdCode3_Text">#REF!</definedName>
    <definedName name="ProdCode4">#REF!</definedName>
    <definedName name="ProdCode4_Text">#REF!</definedName>
    <definedName name="ProdCode5">#REF!</definedName>
    <definedName name="ProdCode5_Text">#REF!</definedName>
    <definedName name="ProdForm">#REF!</definedName>
    <definedName name="ProdPct1">#REF!</definedName>
    <definedName name="ProdPct2">#REF!</definedName>
    <definedName name="ProdPct3">#REF!</definedName>
    <definedName name="ProdPct4">#REF!</definedName>
    <definedName name="ProdPct5">#REF!</definedName>
    <definedName name="Product">#REF!</definedName>
    <definedName name="ProjAddress1">#REF!</definedName>
    <definedName name="ProjAddress2">#REF!</definedName>
    <definedName name="ProjCity">#REF!</definedName>
    <definedName name="ProjCountry">#REF!</definedName>
    <definedName name="ProjCounty">#REF!</definedName>
    <definedName name="project">#REF!</definedName>
    <definedName name="Project_Name">#REF!</definedName>
    <definedName name="Project_Number">#REF!</definedName>
    <definedName name="ProjectLocation">#REF!</definedName>
    <definedName name="ProjectNumber">#REF!</definedName>
    <definedName name="ProjectSubtitle">#REF!</definedName>
    <definedName name="ProjectTitle">#REF!</definedName>
    <definedName name="ProjName">#REF!</definedName>
    <definedName name="ProjNum">#REF!</definedName>
    <definedName name="ProjPostal">#REF!</definedName>
    <definedName name="ProjState">#REF!</definedName>
    <definedName name="prov_sums">#REF!</definedName>
    <definedName name="PS">#REF!</definedName>
    <definedName name="PS___0">#REF!</definedName>
    <definedName name="PS___13">#REF!</definedName>
    <definedName name="ps_app">#REF!</definedName>
    <definedName name="ps_est">#REF!</definedName>
    <definedName name="ps_max">#REF!</definedName>
    <definedName name="ps_paid">#REF!</definedName>
    <definedName name="ps_quo">#REF!</definedName>
    <definedName name="ps_rec">#REF!</definedName>
    <definedName name="PSABillingMethod">#REF!</definedName>
    <definedName name="PT">#REF!</definedName>
    <definedName name="Ptroller">#REF!</definedName>
    <definedName name="pvc_100">#REF!</definedName>
    <definedName name="pvc_15">#REF!</definedName>
    <definedName name="pvc_150">#REF!</definedName>
    <definedName name="pvc_20">#REF!</definedName>
    <definedName name="pvc_200">#REF!</definedName>
    <definedName name="pvc_25">#REF!</definedName>
    <definedName name="pvc_250">#REF!</definedName>
    <definedName name="pvc_300">#REF!</definedName>
    <definedName name="pvc_32">#REF!</definedName>
    <definedName name="pvc_40">#REF!</definedName>
    <definedName name="pvc_400">#REF!</definedName>
    <definedName name="pvc_50">#REF!</definedName>
    <definedName name="pvc_600">#REF!</definedName>
    <definedName name="pvc_65">#REF!</definedName>
    <definedName name="pvc_80">#REF!</definedName>
    <definedName name="pvcpipe100">#REF!</definedName>
    <definedName name="pvcpipe150">#REF!</definedName>
    <definedName name="pvcpipe50">#REF!</definedName>
    <definedName name="pvf">#REF!</definedName>
    <definedName name="Q">#REF!</definedName>
    <definedName name="Qc">#REF!</definedName>
    <definedName name="Qc___0">#REF!</definedName>
    <definedName name="Qc___13">#REF!</definedName>
    <definedName name="qdswad">#REF!</definedName>
    <definedName name="Qf">#REF!</definedName>
    <definedName name="Qf___0">#REF!</definedName>
    <definedName name="Qf___13">#REF!</definedName>
    <definedName name="Qi">#REF!</definedName>
    <definedName name="Qi___0">#REF!</definedName>
    <definedName name="Qi___13">#REF!</definedName>
    <definedName name="Ql">#REF!</definedName>
    <definedName name="Ql___0">#REF!</definedName>
    <definedName name="Ql___13">#REF!</definedName>
    <definedName name="QQQQQQQQQQQQQ">#REF!</definedName>
    <definedName name="Qspan">#REF!</definedName>
    <definedName name="qtyunitsum">#REF!</definedName>
    <definedName name="Quantity">#REF!</definedName>
    <definedName name="quarterly_report">#REF!</definedName>
    <definedName name="QUARTZ">#REF!</definedName>
    <definedName name="qw">#REF!</definedName>
    <definedName name="qwe">#REF!</definedName>
    <definedName name="qwqw">#REF!</definedName>
    <definedName name="r.1">#REF!</definedName>
    <definedName name="R_">#REF!</definedName>
    <definedName name="RA">#REF!</definedName>
    <definedName name="raams">#REF!</definedName>
    <definedName name="RaftD">#REF!</definedName>
    <definedName name="RaftSlbThk">#REF!</definedName>
    <definedName name="railing">#REF!</definedName>
    <definedName name="ram">#REF!</definedName>
    <definedName name="RANGE">#REF!</definedName>
    <definedName name="range_mix_M30">#REF!</definedName>
    <definedName name="RANGE1">#REF!</definedName>
    <definedName name="RANGE21">#REF!</definedName>
    <definedName name="range3">#REF!</definedName>
    <definedName name="range31">#REF!</definedName>
    <definedName name="range311">#REF!</definedName>
    <definedName name="RANGE4">#REF!</definedName>
    <definedName name="RANGE4_1">#REF!</definedName>
    <definedName name="range41">#REF!</definedName>
    <definedName name="range411">#REF!</definedName>
    <definedName name="range51">#REF!</definedName>
    <definedName name="range511">#REF!</definedName>
    <definedName name="range61">#REF!</definedName>
    <definedName name="range611">#REF!</definedName>
    <definedName name="range71">#REF!</definedName>
    <definedName name="range711">#REF!</definedName>
    <definedName name="RASH">#REF!</definedName>
    <definedName name="RatAna">#REF!</definedName>
    <definedName name="ratio_theorical_to_actual_weight_reinforcement">#REF!</definedName>
    <definedName name="ravi">#REF!</definedName>
    <definedName name="RCArea">#REF!</definedName>
    <definedName name="rccm20pcc">#REF!</definedName>
    <definedName name="rccm30pcc">#REF!</definedName>
    <definedName name="rcwbgl">#REF!</definedName>
    <definedName name="rcwbgl2">#REF!</definedName>
    <definedName name="Re">#REF!</definedName>
    <definedName name="Re___0">#REF!</definedName>
    <definedName name="Re___13">#REF!</definedName>
    <definedName name="rebar_10mm">#REF!</definedName>
    <definedName name="rebar_12mm">#REF!</definedName>
    <definedName name="Rebar_16mm">#REF!</definedName>
    <definedName name="rebar_8mm">#REF!</definedName>
    <definedName name="REC">#REF!</definedName>
    <definedName name="rect_4_415">#REF!</definedName>
    <definedName name="REG">#REF!</definedName>
    <definedName name="REGULAR_STAFF">#REF!</definedName>
    <definedName name="REGULAR_STAFF_ENTRY">#REF!</definedName>
    <definedName name="rel">#REF!</definedName>
    <definedName name="Report_Area">#REF!</definedName>
    <definedName name="rere">#REF!</definedName>
    <definedName name="results_range">#REF!</definedName>
    <definedName name="Rev">#REF!</definedName>
    <definedName name="Revision">#REF!</definedName>
    <definedName name="revision1">#REF!</definedName>
    <definedName name="RF">#REF!</definedName>
    <definedName name="RH">#REF!</definedName>
    <definedName name="RHS">#REF!</definedName>
    <definedName name="rig">#REF!</definedName>
    <definedName name="rimc">#REF!</definedName>
    <definedName name="RISHABH">#REF!</definedName>
    <definedName name="risk">#REF!</definedName>
    <definedName name="rl">#REF!</definedName>
    <definedName name="Rl___0">#REF!</definedName>
    <definedName name="Rl___13">#REF!</definedName>
    <definedName name="rm4e">#REF!</definedName>
    <definedName name="RMC">#REF!</definedName>
    <definedName name="Ro">#REF!</definedName>
    <definedName name="roadexcavation1pcc">#REF!</definedName>
    <definedName name="robot">#REF!</definedName>
    <definedName name="roller">#REF!</definedName>
    <definedName name="ROOFING">#REF!</definedName>
    <definedName name="Roofing1">#REF!</definedName>
    <definedName name="rosid">#REF!</definedName>
    <definedName name="roughstone">#REF!</definedName>
    <definedName name="rrcost">#REF!</definedName>
    <definedName name="rrrrrr">#REF!</definedName>
    <definedName name="rrrrrrrrr">#REF!</definedName>
    <definedName name="rrrrrrrrrr">#REF!</definedName>
    <definedName name="rrrrrrrrrrr">#REF!</definedName>
    <definedName name="Rs">#REF!</definedName>
    <definedName name="Rs___0">#REF!</definedName>
    <definedName name="Rs___13">#REF!</definedName>
    <definedName name="Rse">#REF!</definedName>
    <definedName name="Rse___0">#REF!</definedName>
    <definedName name="Rse___13">#REF!</definedName>
    <definedName name="rt">#REF!</definedName>
    <definedName name="rtr">#REF!</definedName>
    <definedName name="rtre">#REF!</definedName>
    <definedName name="rttretre">#REF!</definedName>
    <definedName name="RTV">#REF!</definedName>
    <definedName name="RTVD">#REF!</definedName>
    <definedName name="s">#REF!</definedName>
    <definedName name="S.L.WALL">#REF!</definedName>
    <definedName name="S.S.WALL">#REF!</definedName>
    <definedName name="sa">#REF!</definedName>
    <definedName name="saa">#REF!</definedName>
    <definedName name="SAD">#REF!</definedName>
    <definedName name="sadfdasf">#REF!</definedName>
    <definedName name="sai">#REF!</definedName>
    <definedName name="SALARY">#REF!</definedName>
    <definedName name="SALARY1">#REF!</definedName>
    <definedName name="salballies">#REF!</definedName>
    <definedName name="SalesMgr">#REF!</definedName>
    <definedName name="Sample">#REF!</definedName>
    <definedName name="sandeep">#REF!</definedName>
    <definedName name="sandlead">#REF!</definedName>
    <definedName name="sandstones">#REF!</definedName>
    <definedName name="SAS">#REF!</definedName>
    <definedName name="sasa">#REF!</definedName>
    <definedName name="satya">#REF!</definedName>
    <definedName name="saud">#REF!</definedName>
    <definedName name="sauf">#REF!</definedName>
    <definedName name="sauif">#REF!</definedName>
    <definedName name="SC">#REF!</definedName>
    <definedName name="scaff1">#REF!</definedName>
    <definedName name="SCAFFFFFFFFFF">#REF!</definedName>
    <definedName name="SCC">#REF!</definedName>
    <definedName name="scd">#REF!</definedName>
    <definedName name="SCE">#REF!</definedName>
    <definedName name="SCED">#REF!</definedName>
    <definedName name="Sched_Pay">#REF!</definedName>
    <definedName name="Scheduled_Extra_Payments">#REF!</definedName>
    <definedName name="Scheduled_Interest_Rate">#REF!</definedName>
    <definedName name="Scheduled_Monthly_Payment">#REF!</definedName>
    <definedName name="schools">#REF!</definedName>
    <definedName name="scraper">#REF!</definedName>
    <definedName name="sd">#REF!</definedName>
    <definedName name="Sdate">#REF!</definedName>
    <definedName name="SDD">#REF!</definedName>
    <definedName name="sdddsdsd">#REF!</definedName>
    <definedName name="SDF">#REF!</definedName>
    <definedName name="sdgsdht">#REF!</definedName>
    <definedName name="sdpl">#REF!</definedName>
    <definedName name="SDPLBS">#REF!</definedName>
    <definedName name="SDPLFA">#REF!</definedName>
    <definedName name="SDPLPL">#REF!</definedName>
    <definedName name="sds">#REF!</definedName>
    <definedName name="sdsd">#REF!</definedName>
    <definedName name="sdsddds">#REF!</definedName>
    <definedName name="sdsds">#REF!</definedName>
    <definedName name="sdsdsd">#REF!</definedName>
    <definedName name="sdsfds1a3f1ds32">#REF!</definedName>
    <definedName name="sdssd">#REF!</definedName>
    <definedName name="se">#REF!</definedName>
    <definedName name="sec">#REF!</definedName>
    <definedName name="sec_deposit">#REF!</definedName>
    <definedName name="SECTION">#REF!</definedName>
    <definedName name="Section_1_Title">#REF!</definedName>
    <definedName name="Section_2_Title">#REF!</definedName>
    <definedName name="Section_3_Title">#REF!</definedName>
    <definedName name="Section_4_Title">#REF!</definedName>
    <definedName name="Section_5_Title">#REF!</definedName>
    <definedName name="Section_6_Title">#REF!</definedName>
    <definedName name="Section_7_Title">#REF!</definedName>
    <definedName name="Section_8_Title">#REF!</definedName>
    <definedName name="secured">#REF!</definedName>
    <definedName name="see">#REF!</definedName>
    <definedName name="sef">#REF!</definedName>
    <definedName name="SegCharge">#REF!</definedName>
    <definedName name="segment">#REF!</definedName>
    <definedName name="SelectedLanguage">#REF!</definedName>
    <definedName name="SEPCONC">#REF!</definedName>
    <definedName name="ser">#REF!</definedName>
    <definedName name="serf">#REF!</definedName>
    <definedName name="set">#REF!</definedName>
    <definedName name="Setflag">#REF!</definedName>
    <definedName name="sets">#REF!</definedName>
    <definedName name="SF">#REF!</definedName>
    <definedName name="sfff">#REF!</definedName>
    <definedName name="sgh">#REF!</definedName>
    <definedName name="SGS">#REF!</definedName>
    <definedName name="sh0.5">#REF!</definedName>
    <definedName name="sh0.6">#REF!</definedName>
    <definedName name="sh0.8">#REF!</definedName>
    <definedName name="sh1.0">#REF!</definedName>
    <definedName name="sh1.2">#REF!</definedName>
    <definedName name="shape">#REF!</definedName>
    <definedName name="shd">#REF!</definedName>
    <definedName name="sheet1">#REF!</definedName>
    <definedName name="sheet1___0">#REF!</definedName>
    <definedName name="sheet1___13">#REF!</definedName>
    <definedName name="shf">#REF!</definedName>
    <definedName name="shi">#REF!</definedName>
    <definedName name="shiva">#REF!</definedName>
    <definedName name="shut">#REF!</definedName>
    <definedName name="shut_reqt">#REF!</definedName>
    <definedName name="shutter">#REF!</definedName>
    <definedName name="shutteringtimb">#REF!</definedName>
    <definedName name="si">#REF!</definedName>
    <definedName name="siba">#REF!</definedName>
    <definedName name="siba1">#REF!</definedName>
    <definedName name="sibabb">#REF!</definedName>
    <definedName name="SIE">#REF!</definedName>
    <definedName name="sigma0.2">#REF!</definedName>
    <definedName name="sigma0_2">#REF!</definedName>
    <definedName name="sigmab">#REF!</definedName>
    <definedName name="sigmah">#REF!</definedName>
    <definedName name="sigmat">#REF!</definedName>
    <definedName name="silty_lots">#REF!</definedName>
    <definedName name="Site_Workers">#REF!</definedName>
    <definedName name="SiteID">#REF!</definedName>
    <definedName name="SiteType">#REF!</definedName>
    <definedName name="SITEWORKS">#REF!</definedName>
    <definedName name="ska">#REF!</definedName>
    <definedName name="skilldresser">#REF!</definedName>
    <definedName name="skillmazdoor">#REF!</definedName>
    <definedName name="skq">#REF!</definedName>
    <definedName name="slab">#REF!</definedName>
    <definedName name="SLAB1">#REF!</definedName>
    <definedName name="SlabArea">#REF!</definedName>
    <definedName name="slabconArea">#REF!</definedName>
    <definedName name="slabconPerimeter">#REF!</definedName>
    <definedName name="SlabD">#REF!</definedName>
    <definedName name="SlabPerimeter">#REF!</definedName>
    <definedName name="SLOPE">#REF!</definedName>
    <definedName name="SmallProj">#REF!</definedName>
    <definedName name="SmallProj_Text">#REF!</definedName>
    <definedName name="sms">#REF!</definedName>
    <definedName name="smss">#REF!</definedName>
    <definedName name="soasia">#REF!</definedName>
    <definedName name="solid_blocks">#REF!</definedName>
    <definedName name="sonbf">#REF!</definedName>
    <definedName name="sond">#REF!</definedName>
    <definedName name="sonhf">#REF!</definedName>
    <definedName name="SONTF_2">#REF!</definedName>
    <definedName name="soo">#REF!</definedName>
    <definedName name="SP1Branch">#REF!</definedName>
    <definedName name="SP1Credit">#REF!</definedName>
    <definedName name="SP1Name">#REF!</definedName>
    <definedName name="SP1Number">#REF!</definedName>
    <definedName name="sp28p375ex1">#REF!</definedName>
    <definedName name="SP2Branch">#REF!</definedName>
    <definedName name="SP2Credit">#REF!</definedName>
    <definedName name="SP2Name">#REF!</definedName>
    <definedName name="SP2Number">#REF!</definedName>
    <definedName name="SP3Branch">#REF!</definedName>
    <definedName name="SP3Credit">#REF!</definedName>
    <definedName name="SP3Name">#REF!</definedName>
    <definedName name="SP3Number">#REF!</definedName>
    <definedName name="SP4Branch">#REF!</definedName>
    <definedName name="SP4Credit">#REF!</definedName>
    <definedName name="SP4Name">#REF!</definedName>
    <definedName name="SP4Number">#REF!</definedName>
    <definedName name="SP5Branch">#REF!</definedName>
    <definedName name="SP5Credit">#REF!</definedName>
    <definedName name="SP5Name">#REF!</definedName>
    <definedName name="SP5Number">#REF!</definedName>
    <definedName name="spd">#REF!</definedName>
    <definedName name="SpecClass">#REF!</definedName>
    <definedName name="SpecClass_Text">#REF!</definedName>
    <definedName name="SpecEnv1">#REF!</definedName>
    <definedName name="SpecEnv1_Text">#REF!</definedName>
    <definedName name="SpecEnv2">#REF!</definedName>
    <definedName name="SpecEnv2_Text">#REF!</definedName>
    <definedName name="SpecialPrice">#REF!</definedName>
    <definedName name="SPR">#REF!</definedName>
    <definedName name="sprayer">#REF!</definedName>
    <definedName name="SQRT__1___0.6___1.0">#REF!</definedName>
    <definedName name="SQRT__1___0_6___1_0">#REF!</definedName>
    <definedName name="SQRT__1___0_6___1_0___0">#REF!</definedName>
    <definedName name="SQRT__1___0_6___1_0___13">#REF!</definedName>
    <definedName name="sqw">#REF!</definedName>
    <definedName name="sree">#REF!</definedName>
    <definedName name="Srisha">#REF!</definedName>
    <definedName name="SRRRRR">#REF!</definedName>
    <definedName name="srs">#REF!</definedName>
    <definedName name="SrvcCode1">#REF!</definedName>
    <definedName name="SrvcCode1_Text">#REF!</definedName>
    <definedName name="SrvcCode2">#REF!</definedName>
    <definedName name="SrvcCode2_Text">#REF!</definedName>
    <definedName name="SrvcCode3">#REF!</definedName>
    <definedName name="SrvcCode3_Text">#REF!</definedName>
    <definedName name="SrvcCode4">#REF!</definedName>
    <definedName name="SrvcCode4_Text">#REF!</definedName>
    <definedName name="SrvcCode5">#REF!</definedName>
    <definedName name="SrvcCode5_Text">#REF!</definedName>
    <definedName name="srvf">#REF!</definedName>
    <definedName name="ss">#REF!</definedName>
    <definedName name="ssd">#REF!</definedName>
    <definedName name="ssdd">#REF!</definedName>
    <definedName name="Ssec1">#REF!</definedName>
    <definedName name="Ssec2">#REF!</definedName>
    <definedName name="Ssec3">#REF!</definedName>
    <definedName name="Ssec4">#REF!</definedName>
    <definedName name="Ssec5">#REF!</definedName>
    <definedName name="Ssec6">#REF!</definedName>
    <definedName name="ssf">#REF!</definedName>
    <definedName name="sssss">#REF!</definedName>
    <definedName name="sssssssssss">#REF!</definedName>
    <definedName name="ssssssssssss">#REF!</definedName>
    <definedName name="sstype3drop">#REF!</definedName>
    <definedName name="SSTYPE3DROP1">#REF!</definedName>
    <definedName name="sstype3slab">#REF!</definedName>
    <definedName name="SSTYPESLAB1">#REF!</definedName>
    <definedName name="SSWEWE">#REF!</definedName>
    <definedName name="st">#REF!</definedName>
    <definedName name="st_100">#REF!</definedName>
    <definedName name="st_150">#REF!</definedName>
    <definedName name="st_200">#REF!</definedName>
    <definedName name="st_25">#REF!</definedName>
    <definedName name="st_250">#REF!</definedName>
    <definedName name="st_300">#REF!</definedName>
    <definedName name="st_32">#REF!</definedName>
    <definedName name="st_40">#REF!</definedName>
    <definedName name="st_400">#REF!</definedName>
    <definedName name="st_50">#REF!</definedName>
    <definedName name="st_500">#REF!</definedName>
    <definedName name="st_65">#REF!</definedName>
    <definedName name="st_80">#REF!</definedName>
    <definedName name="Staff">#REF!</definedName>
    <definedName name="Stage">#REF!</definedName>
    <definedName name="Staircase">#REF!</definedName>
    <definedName name="Staircase2">#REF!</definedName>
    <definedName name="STANDARD_SPECIFICATION_FOR_HOSPITAL_STRUCTURES">#REF!</definedName>
    <definedName name="Start_Date">#REF!</definedName>
    <definedName name="StartDate">#REF!</definedName>
    <definedName name="State">#REF!</definedName>
    <definedName name="staticpaver">#REF!</definedName>
    <definedName name="steel">#REF!</definedName>
    <definedName name="steel2">#REF!</definedName>
    <definedName name="steelbars">#REF!</definedName>
    <definedName name="steellead">#REF!</definedName>
    <definedName name="steelwires">#REF!</definedName>
    <definedName name="strands">#REF!</definedName>
    <definedName name="StrID">#REF!</definedName>
    <definedName name="stripseal">#REF!</definedName>
    <definedName name="Strucsteel">#REF!</definedName>
    <definedName name="STRUCTURAL">#REF!</definedName>
    <definedName name="structuralsteel">#REF!</definedName>
    <definedName name="structure">#REF!</definedName>
    <definedName name="studs">#REF!</definedName>
    <definedName name="stype2drop">#REF!</definedName>
    <definedName name="STYPE2DROP1">#REF!</definedName>
    <definedName name="stype2slab">#REF!</definedName>
    <definedName name="STYPE2SLAB1">#REF!</definedName>
    <definedName name="stype3drop">#REF!</definedName>
    <definedName name="STYPE3DROP2">#REF!</definedName>
    <definedName name="stype3slab">#REF!</definedName>
    <definedName name="STYPE3SLAB1">#REF!</definedName>
    <definedName name="Subject">#REF!</definedName>
    <definedName name="subshoulderpcc">#REF!</definedName>
    <definedName name="substructure">#REF!</definedName>
    <definedName name="sum">#REF!</definedName>
    <definedName name="SUMFINAL">#REF!</definedName>
    <definedName name="summ">#REF!</definedName>
    <definedName name="SUMMARY">#REF!</definedName>
    <definedName name="summry">#REF!</definedName>
    <definedName name="sump">#REF!</definedName>
    <definedName name="SUNIL">#REF!</definedName>
    <definedName name="SUNIL1">#REF!</definedName>
    <definedName name="SUNIL3">#REF!</definedName>
    <definedName name="superstructure">#REF!</definedName>
    <definedName name="Supp_Auth">#REF!</definedName>
    <definedName name="suresh">#REF!</definedName>
    <definedName name="SURYA">#REF!</definedName>
    <definedName name="swf">#REF!</definedName>
    <definedName name="swf_2">#REF!</definedName>
    <definedName name="t">#REF!</definedName>
    <definedName name="T.A">#REF!</definedName>
    <definedName name="t.area">#REF!</definedName>
    <definedName name="t___0">#REF!</definedName>
    <definedName name="t___13">#REF!</definedName>
    <definedName name="Table">#REF!</definedName>
    <definedName name="TABLE2">#REF!</definedName>
    <definedName name="table250">#REF!</definedName>
    <definedName name="table275">#REF!</definedName>
    <definedName name="table300">#REF!</definedName>
    <definedName name="table325">#REF!</definedName>
    <definedName name="table350">#REF!</definedName>
    <definedName name="table375">#REF!</definedName>
    <definedName name="table400">#REF!</definedName>
    <definedName name="table425">#REF!</definedName>
    <definedName name="table450">#REF!</definedName>
    <definedName name="table475">#REF!</definedName>
    <definedName name="table500">#REF!</definedName>
    <definedName name="table525">#REF!</definedName>
    <definedName name="table550">#REF!</definedName>
    <definedName name="table575">#REF!</definedName>
    <definedName name="table600">#REF!</definedName>
    <definedName name="table625">#REF!</definedName>
    <definedName name="table650">#REF!</definedName>
    <definedName name="table675">#REF!</definedName>
    <definedName name="table700">#REF!</definedName>
    <definedName name="table725">#REF!</definedName>
    <definedName name="table750">#REF!</definedName>
    <definedName name="table775">#REF!</definedName>
    <definedName name="table800">#REF!</definedName>
    <definedName name="TableRange">#REF!</definedName>
    <definedName name="tackbetweenpcc">#REF!</definedName>
    <definedName name="TAF">#REF!</definedName>
    <definedName name="TAHOMA">#REF!</definedName>
    <definedName name="Tandrolr">#REF!</definedName>
    <definedName name="tarman">#REF!</definedName>
    <definedName name="TB">#REF!</definedName>
    <definedName name="tbl_ProdInfo">#REF!</definedName>
    <definedName name="TECHI">#REF!</definedName>
    <definedName name="TEI">#REF!</definedName>
    <definedName name="TEKNIC">#REF!</definedName>
    <definedName name="telephonepoles">#REF!</definedName>
    <definedName name="tem">#REF!</definedName>
    <definedName name="temp">#REF!</definedName>
    <definedName name="temp1">#REF!</definedName>
    <definedName name="TEs">#REF!</definedName>
    <definedName name="TEs___0">#REF!</definedName>
    <definedName name="TEs___13">#REF!</definedName>
    <definedName name="test">#REF!</definedName>
    <definedName name="TEST1">#REF!</definedName>
    <definedName name="TEt">#REF!</definedName>
    <definedName name="TEt___0">#REF!</definedName>
    <definedName name="TEt___13">#REF!</definedName>
    <definedName name="TF">#REF!</definedName>
    <definedName name="th">#REF!</definedName>
    <definedName name="theta">#REF!</definedName>
    <definedName name="Theta1">#REF!</definedName>
    <definedName name="Theta2">#REF!</definedName>
    <definedName name="TierCode">#REF!</definedName>
    <definedName name="TierCode_Text">#REF!</definedName>
    <definedName name="Tile_work">#REF!</definedName>
    <definedName name="tipper">#REF!</definedName>
    <definedName name="tipper5t">#REF!</definedName>
    <definedName name="Title1">#REF!</definedName>
    <definedName name="Title2">#REF!</definedName>
    <definedName name="TO.AR">#REF!</definedName>
    <definedName name="tol">#REF!</definedName>
    <definedName name="top">#REF!</definedName>
    <definedName name="topl">#REF!</definedName>
    <definedName name="topn">#REF!</definedName>
    <definedName name="TopSlbThk">#REF!</definedName>
    <definedName name="TOTAL_CONSUMPTION">#REF!</definedName>
    <definedName name="Total_Interest">#REF!</definedName>
    <definedName name="Total_Pay">#REF!</definedName>
    <definedName name="totalqtyfinal">#REF!</definedName>
    <definedName name="tr70r">#REF!</definedName>
    <definedName name="tractor">#REF!</definedName>
    <definedName name="TransInsu">#REF!</definedName>
    <definedName name="transitmixer">#REF!</definedName>
    <definedName name="tS">#REF!</definedName>
    <definedName name="tS___0">#REF!</definedName>
    <definedName name="tS___13">#REF!</definedName>
    <definedName name="tsc">#REF!</definedName>
    <definedName name="tsf">#REF!</definedName>
    <definedName name="tt">#REF!</definedName>
    <definedName name="TTStandard">#REF!</definedName>
    <definedName name="ttttt">#REF!</definedName>
    <definedName name="tttttttt">#REF!</definedName>
    <definedName name="ttttttttt">#REF!</definedName>
    <definedName name="TUES1">#REF!</definedName>
    <definedName name="tuffy">#REF!</definedName>
    <definedName name="TVM">#REF!</definedName>
    <definedName name="TY">#REF!</definedName>
    <definedName name="type">#REF!</definedName>
    <definedName name="Type1">#REF!</definedName>
    <definedName name="type11">#REF!</definedName>
    <definedName name="type1drop">#REF!</definedName>
    <definedName name="type1slab">#REF!</definedName>
    <definedName name="Type2">#REF!</definedName>
    <definedName name="type2drop">#REF!</definedName>
    <definedName name="type2slab">#REF!</definedName>
    <definedName name="Type3">#REF!</definedName>
    <definedName name="type3drop">#REF!</definedName>
    <definedName name="type3slab">#REF!</definedName>
    <definedName name="type4">#REF!</definedName>
    <definedName name="type44">#REF!</definedName>
    <definedName name="type4drop">#REF!</definedName>
    <definedName name="type4slab">#REF!</definedName>
    <definedName name="u">#REF!</definedName>
    <definedName name="UI">#REF!</definedName>
    <definedName name="ujt">#REF!</definedName>
    <definedName name="UNICOD">#REF!</definedName>
    <definedName name="unit">#REF!</definedName>
    <definedName name="UNITS">#REF!</definedName>
    <definedName name="unsecured">#REF!</definedName>
    <definedName name="UP">#REF!</definedName>
    <definedName name="usd">#REF!</definedName>
    <definedName name="Use_Alternates">#REF!</definedName>
    <definedName name="uuuuuuuu">#REF!</definedName>
    <definedName name="uyx">#REF!</definedName>
    <definedName name="V">#REF!</definedName>
    <definedName name="v_app">#REF!</definedName>
    <definedName name="v_est">#REF!</definedName>
    <definedName name="v_paid">#REF!</definedName>
    <definedName name="v_quo">#REF!</definedName>
    <definedName name="v_rec">#REF!</definedName>
    <definedName name="v_tot">#REF!</definedName>
    <definedName name="va">#REF!</definedName>
    <definedName name="va___0">#REF!</definedName>
    <definedName name="va___13">#REF!</definedName>
    <definedName name="vad">#REF!</definedName>
    <definedName name="vaf">#REF!</definedName>
    <definedName name="valve2">#REF!</definedName>
    <definedName name="valve3">#REF!</definedName>
    <definedName name="valves">#REF!</definedName>
    <definedName name="VANDEMATARAM">#REF!</definedName>
    <definedName name="vara">#REF!</definedName>
    <definedName name="vasu">#REF!</definedName>
    <definedName name="vatf">#REF!</definedName>
    <definedName name="VB">#REF!</definedName>
    <definedName name="VD">#REF!</definedName>
    <definedName name="ve">#REF!</definedName>
    <definedName name="Vend">#REF!</definedName>
    <definedName name="vender_1500KVA">#REF!</definedName>
    <definedName name="VENDOR">#REF!</definedName>
    <definedName name="vendor_500KVA">#REF!</definedName>
    <definedName name="Vf">#REF!</definedName>
    <definedName name="vibrator">#REF!</definedName>
    <definedName name="vibro">#REF!</definedName>
    <definedName name="viru">#REF!</definedName>
    <definedName name="VIVEKANANDA">#REF!</definedName>
    <definedName name="vjkdsfbisdhfk">#REF!</definedName>
    <definedName name="Vsigma">#REF!</definedName>
    <definedName name="vv">#REF!</definedName>
    <definedName name="vvv">#REF!</definedName>
    <definedName name="vvvvvv">#REF!</definedName>
    <definedName name="Vz">#REF!</definedName>
    <definedName name="W">#REF!</definedName>
    <definedName name="W_2">#REF!</definedName>
    <definedName name="Wall_Painting">#REF!</definedName>
    <definedName name="wallht">#REF!</definedName>
    <definedName name="wallthk">#REF!</definedName>
    <definedName name="water">#REF!</definedName>
    <definedName name="watertank">#REF!</definedName>
    <definedName name="watertanker">#REF!</definedName>
    <definedName name="wbeam">#REF!</definedName>
    <definedName name="WCV">#REF!</definedName>
    <definedName name="WCVD">#REF!</definedName>
    <definedName name="wdapr07">#REF!</definedName>
    <definedName name="wdjun07">#REF!</definedName>
    <definedName name="wdmay07">#REF!</definedName>
    <definedName name="WDW">#REF!</definedName>
    <definedName name="WE">#REF!</definedName>
    <definedName name="weekly_average_concrete_production">#REF!</definedName>
    <definedName name="weekly_total_concrete_production">#REF!</definedName>
    <definedName name="Welder">#REF!</definedName>
    <definedName name="welderhelper">#REF!</definedName>
    <definedName name="WELDINGGLAS">#REF!</definedName>
    <definedName name="WF">#REF!</definedName>
    <definedName name="wh">#REF!</definedName>
    <definedName name="wid">#REF!</definedName>
    <definedName name="wip">#REF!</definedName>
    <definedName name="wkjul07">#REF!</definedName>
    <definedName name="WLP">#REF!</definedName>
    <definedName name="wmmplant">#REF!</definedName>
    <definedName name="WO">#REF!</definedName>
    <definedName name="WOOD_DOOR">#REF!</definedName>
    <definedName name="Wooden_Poles">#REF!</definedName>
    <definedName name="Words">#REF!</definedName>
    <definedName name="work">#REF!</definedName>
    <definedName name="WP">#REF!</definedName>
    <definedName name="wqe">#REF!</definedName>
    <definedName name="WRITE">#REF!</definedName>
    <definedName name="wrn.AllVariances.">#REF!</definedName>
    <definedName name="wrn.BM.">#REF!</definedName>
    <definedName name="wrn.CAP.">#REF!</definedName>
    <definedName name="wrn.Full._.Report.">#REF!</definedName>
    <definedName name="wrn.Package.">#REF!</definedName>
    <definedName name="wrn.Process._.Graphs.">#REF!</definedName>
    <definedName name="wrn.Project._.Graphs.">#REF!</definedName>
    <definedName name="wrn.건물기초.">#REF!</definedName>
    <definedName name="wrnfulla">#REF!</definedName>
    <definedName name="WRNFULLA1">#REF!</definedName>
    <definedName name="wse">#REF!</definedName>
    <definedName name="WW">#REF!</definedName>
    <definedName name="wwwwww">#REF!</definedName>
    <definedName name="WWWWWWWW">#REF!</definedName>
    <definedName name="wwwwwwwww">#REF!</definedName>
    <definedName name="x">#REF!</definedName>
    <definedName name="X980210_payment_printing_List">#REF!</definedName>
    <definedName name="xdfghdfxhg">#REF!</definedName>
    <definedName name="Xl">#REF!</definedName>
    <definedName name="Xl___0">#REF!</definedName>
    <definedName name="Xl___13">#REF!</definedName>
    <definedName name="xsx">#REF!</definedName>
    <definedName name="xx">#REF!</definedName>
    <definedName name="XXX">#REF!</definedName>
    <definedName name="xxxxx">#REF!</definedName>
    <definedName name="xyz">#REF!</definedName>
    <definedName name="Y">#REF!</definedName>
    <definedName name="Yvdavdhavhdvahvd">#REF!</definedName>
    <definedName name="yy">#REF!</definedName>
    <definedName name="yyyy">#REF!</definedName>
    <definedName name="yyyyyyyyyyy">#REF!</definedName>
    <definedName name="z">#REF!</definedName>
    <definedName name="Z_01EEECA8_52E8_4BA6_B221_CB6D3C468C80_.wvu.Cols">#REF!</definedName>
    <definedName name="Z_1337E53C_970D_4073_B72A_371A64539D54_.wvu.Cols">#REF!</definedName>
    <definedName name="Z_1337E53C_970D_4073_B72A_371A64539D54_.wvu.PrintArea">#REF!</definedName>
    <definedName name="Z_1337E53C_970D_4073_B72A_371A64539D54_.wvu.Rows">#REF!</definedName>
    <definedName name="Z_8FCC9949_BB10_48DD_835F_9D6E68B3AE12_.wvu.PrintTitles">#REF!</definedName>
    <definedName name="Z_F56F135F_44F3_478B_BCC3_5E739B702BEF_.wvu.Cols">#REF!</definedName>
    <definedName name="Z_F56F135F_44F3_478B_BCC3_5E739B702BEF_.wvu.PrintTitles">#REF!</definedName>
    <definedName name="zcz">#REF!</definedName>
    <definedName name="Zip">#REF!</definedName>
    <definedName name="zitd">#REF!</definedName>
    <definedName name="zl">#REF!</definedName>
    <definedName name="zl___0">#REF!</definedName>
    <definedName name="zl___13">#REF!</definedName>
    <definedName name="zlpu">#REF!</definedName>
    <definedName name="zlpu___0">#REF!</definedName>
    <definedName name="zlpu___13">#REF!</definedName>
    <definedName name="zs">#REF!</definedName>
    <definedName name="zs___0">#REF!</definedName>
    <definedName name="zs___13">#REF!</definedName>
    <definedName name="zspu">#REF!</definedName>
    <definedName name="zspu___0">#REF!</definedName>
    <definedName name="zspu___13">#REF!</definedName>
    <definedName name="ZSS">#REF!</definedName>
    <definedName name="ZSS___0">#REF!</definedName>
    <definedName name="ZSS___13">#REF!</definedName>
    <definedName name="ztpu">#REF!</definedName>
    <definedName name="ztpu___0">#REF!</definedName>
    <definedName name="ztpu___13">#REF!</definedName>
    <definedName name="ZY">#REF!</definedName>
    <definedName name="ZY___0">#REF!</definedName>
    <definedName name="ZY___13">#REF!</definedName>
    <definedName name="ZZ">#REF!</definedName>
    <definedName name="zzz">#REF!</definedName>
    <definedName name="zzzz">#REF!</definedName>
    <definedName name="っｋ">#REF!</definedName>
    <definedName name="내부거래분">#REF!</definedName>
    <definedName name="도면외주">#REF!</definedName>
    <definedName name="도면용역비">#REF!</definedName>
    <definedName name="배관3">#REF!</definedName>
    <definedName name="부대공사">#REF!</definedName>
    <definedName name="전계장금액">#REF!</definedName>
    <definedName name="전체">#REF!</definedName>
    <definedName name="총괄표3">#REF!</definedName>
    <definedName name="ㅎㅎㅎ">#REF!</definedName>
    <definedName name="합계표">#REF!</definedName>
    <definedName name="현장">#REF!</definedName>
    <definedName name="掛率">#REF!</definedName>
  </definedNames>
  <calcPr calcId="125725"/>
</workbook>
</file>

<file path=xl/calcChain.xml><?xml version="1.0" encoding="utf-8"?>
<calcChain xmlns="http://schemas.openxmlformats.org/spreadsheetml/2006/main">
  <c r="C25" i="4"/>
  <c r="L8" i="3"/>
  <c r="D40" i="4"/>
  <c r="D41" s="1"/>
  <c r="H6" i="3" s="1"/>
  <c r="L6" s="1"/>
  <c r="N6" s="1"/>
  <c r="O6" s="1"/>
  <c r="F20" i="4"/>
  <c r="H12" i="3" s="1"/>
  <c r="L12" s="1"/>
  <c r="N12" s="1"/>
  <c r="O12" s="1"/>
  <c r="I344" i="11"/>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4"/>
  <c r="I283"/>
  <c r="I282"/>
  <c r="I281"/>
  <c r="I280"/>
  <c r="I279"/>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1"/>
  <c r="I170"/>
  <c r="I169"/>
  <c r="I168"/>
  <c r="I167"/>
  <c r="I166"/>
  <c r="I165"/>
  <c r="I164"/>
  <c r="I163"/>
  <c r="I162"/>
  <c r="I161"/>
  <c r="I160"/>
  <c r="I159"/>
  <c r="I158"/>
  <c r="I157"/>
  <c r="I156"/>
  <c r="I155"/>
  <c r="I154"/>
  <c r="I153"/>
  <c r="I152"/>
  <c r="I151"/>
  <c r="I150"/>
  <c r="I149"/>
  <c r="I148"/>
  <c r="I147"/>
  <c r="I146"/>
  <c r="I145"/>
  <c r="I144"/>
  <c r="I143"/>
  <c r="I142"/>
  <c r="I141"/>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345" s="1"/>
  <c r="H157" i="10"/>
  <c r="H156"/>
  <c r="H155"/>
  <c r="H154"/>
  <c r="H158" s="1"/>
  <c r="H146"/>
  <c r="H144"/>
  <c r="H143"/>
  <c r="H142"/>
  <c r="H141"/>
  <c r="H139"/>
  <c r="H138"/>
  <c r="H147" s="1"/>
  <c r="A138"/>
  <c r="A139" s="1"/>
  <c r="A140" s="1"/>
  <c r="A141" s="1"/>
  <c r="A142" s="1"/>
  <c r="A143" s="1"/>
  <c r="A144" s="1"/>
  <c r="A145" s="1"/>
  <c r="A146" s="1"/>
  <c r="H135"/>
  <c r="H134"/>
  <c r="H133"/>
  <c r="H132"/>
  <c r="H131"/>
  <c r="H130"/>
  <c r="H129"/>
  <c r="A129"/>
  <c r="A130" s="1"/>
  <c r="A131" s="1"/>
  <c r="A132" s="1"/>
  <c r="A133" s="1"/>
  <c r="A134" s="1"/>
  <c r="A135" s="1"/>
  <c r="H128"/>
  <c r="H136" s="1"/>
  <c r="H125"/>
  <c r="H124"/>
  <c r="H123"/>
  <c r="H122"/>
  <c r="H121"/>
  <c r="H120"/>
  <c r="H119"/>
  <c r="H117"/>
  <c r="H116"/>
  <c r="H115"/>
  <c r="H114"/>
  <c r="H113"/>
  <c r="H112"/>
  <c r="H111"/>
  <c r="H110"/>
  <c r="H109"/>
  <c r="H108"/>
  <c r="H107"/>
  <c r="A107"/>
  <c r="A108" s="1"/>
  <c r="A109" s="1"/>
  <c r="A110" s="1"/>
  <c r="A111" s="1"/>
  <c r="A112" s="1"/>
  <c r="A113" s="1"/>
  <c r="A114" s="1"/>
  <c r="A115" s="1"/>
  <c r="A116" s="1"/>
  <c r="A117" s="1"/>
  <c r="A118" s="1"/>
  <c r="A119" s="1"/>
  <c r="A120" s="1"/>
  <c r="A121" s="1"/>
  <c r="A122" s="1"/>
  <c r="A123" s="1"/>
  <c r="A124" s="1"/>
  <c r="A125" s="1"/>
  <c r="A126" s="1"/>
  <c r="H106"/>
  <c r="H126" s="1"/>
  <c r="H103"/>
  <c r="G103"/>
  <c r="H100"/>
  <c r="H99"/>
  <c r="G99"/>
  <c r="H98"/>
  <c r="H97"/>
  <c r="H96"/>
  <c r="H95"/>
  <c r="H94"/>
  <c r="G94"/>
  <c r="H89"/>
  <c r="H88"/>
  <c r="H87"/>
  <c r="H86"/>
  <c r="H85"/>
  <c r="H84"/>
  <c r="H83"/>
  <c r="H82"/>
  <c r="H81"/>
  <c r="H80"/>
  <c r="H79"/>
  <c r="H78"/>
  <c r="H77"/>
  <c r="H76"/>
  <c r="H75"/>
  <c r="H74"/>
  <c r="H73"/>
  <c r="H72"/>
  <c r="H71"/>
  <c r="H70"/>
  <c r="H69"/>
  <c r="A69"/>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H68"/>
  <c r="H104" s="1"/>
  <c r="A65"/>
  <c r="H63"/>
  <c r="A63"/>
  <c r="H62"/>
  <c r="H61"/>
  <c r="A61"/>
  <c r="H60"/>
  <c r="H59"/>
  <c r="A59"/>
  <c r="H58"/>
  <c r="H57"/>
  <c r="A57"/>
  <c r="H56"/>
  <c r="H55"/>
  <c r="A55"/>
  <c r="H54"/>
  <c r="H53"/>
  <c r="A53"/>
  <c r="H52"/>
  <c r="H51"/>
  <c r="A51"/>
  <c r="H50"/>
  <c r="H49"/>
  <c r="A49"/>
  <c r="H48"/>
  <c r="H47"/>
  <c r="A47"/>
  <c r="H46"/>
  <c r="H45"/>
  <c r="A45"/>
  <c r="H44"/>
  <c r="H43"/>
  <c r="A43"/>
  <c r="H42"/>
  <c r="H41"/>
  <c r="A41"/>
  <c r="H40"/>
  <c r="H39"/>
  <c r="A39"/>
  <c r="H38"/>
  <c r="H37"/>
  <c r="A37"/>
  <c r="H36"/>
  <c r="H35"/>
  <c r="A35"/>
  <c r="H34"/>
  <c r="H33"/>
  <c r="A33"/>
  <c r="H32"/>
  <c r="H31"/>
  <c r="A31"/>
  <c r="H30"/>
  <c r="H29"/>
  <c r="A29"/>
  <c r="H28"/>
  <c r="H27"/>
  <c r="A27"/>
  <c r="H25"/>
  <c r="A25"/>
  <c r="H24"/>
  <c r="H23"/>
  <c r="A23"/>
  <c r="H22"/>
  <c r="H21"/>
  <c r="A21"/>
  <c r="H20"/>
  <c r="H19"/>
  <c r="A19"/>
  <c r="H18"/>
  <c r="H17"/>
  <c r="A17"/>
  <c r="H16"/>
  <c r="H15"/>
  <c r="A15"/>
  <c r="H14"/>
  <c r="H13"/>
  <c r="A13"/>
  <c r="H12"/>
  <c r="H11"/>
  <c r="A11"/>
  <c r="H10"/>
  <c r="H9"/>
  <c r="A9"/>
  <c r="H8"/>
  <c r="H7"/>
  <c r="A7"/>
  <c r="H6"/>
  <c r="H5"/>
  <c r="A5"/>
  <c r="H4"/>
  <c r="H66" s="1"/>
  <c r="G15" i="9"/>
  <c r="H15" s="1"/>
  <c r="E15"/>
  <c r="H14"/>
  <c r="G14"/>
  <c r="E13"/>
  <c r="G13" s="1"/>
  <c r="H13" s="1"/>
  <c r="E11"/>
  <c r="G11" s="1"/>
  <c r="E10"/>
  <c r="G10" s="1"/>
  <c r="E9"/>
  <c r="G9" s="1"/>
  <c r="E8"/>
  <c r="G8" s="1"/>
  <c r="E7"/>
  <c r="G7" s="1"/>
  <c r="G6"/>
  <c r="E6"/>
  <c r="G5"/>
  <c r="E5"/>
  <c r="E4"/>
  <c r="G4" s="1"/>
  <c r="H4" s="1"/>
  <c r="L92" i="8"/>
  <c r="J92"/>
  <c r="M92" s="1"/>
  <c r="G92"/>
  <c r="E92"/>
  <c r="M91"/>
  <c r="J91"/>
  <c r="E91"/>
  <c r="G91" s="1"/>
  <c r="L91" s="1"/>
  <c r="J90"/>
  <c r="M90" s="1"/>
  <c r="G90"/>
  <c r="L90" s="1"/>
  <c r="E90"/>
  <c r="J89"/>
  <c r="M89" s="1"/>
  <c r="E89"/>
  <c r="G89" s="1"/>
  <c r="L89" s="1"/>
  <c r="L88"/>
  <c r="J88"/>
  <c r="M88" s="1"/>
  <c r="G88"/>
  <c r="E88"/>
  <c r="M87"/>
  <c r="J87"/>
  <c r="E87"/>
  <c r="G87" s="1"/>
  <c r="L87" s="1"/>
  <c r="M86"/>
  <c r="J86"/>
  <c r="G86"/>
  <c r="L86" s="1"/>
  <c r="E86"/>
  <c r="J85"/>
  <c r="M85" s="1"/>
  <c r="E85"/>
  <c r="G85" s="1"/>
  <c r="L85" s="1"/>
  <c r="L81"/>
  <c r="J81"/>
  <c r="M81" s="1"/>
  <c r="G81"/>
  <c r="E81"/>
  <c r="M80"/>
  <c r="J80"/>
  <c r="E80"/>
  <c r="G80" s="1"/>
  <c r="L80" s="1"/>
  <c r="M78"/>
  <c r="J78"/>
  <c r="G78"/>
  <c r="L78" s="1"/>
  <c r="E78"/>
  <c r="L77"/>
  <c r="J77"/>
  <c r="M77" s="1"/>
  <c r="G77"/>
  <c r="E77"/>
  <c r="C77"/>
  <c r="C78" s="1"/>
  <c r="M76"/>
  <c r="J76"/>
  <c r="G76"/>
  <c r="L76" s="1"/>
  <c r="E76"/>
  <c r="C76"/>
  <c r="L75"/>
  <c r="J75"/>
  <c r="M75" s="1"/>
  <c r="G75"/>
  <c r="E75"/>
  <c r="M73"/>
  <c r="J73"/>
  <c r="E73"/>
  <c r="G73" s="1"/>
  <c r="L73" s="1"/>
  <c r="J72"/>
  <c r="M72" s="1"/>
  <c r="E72"/>
  <c r="G72" s="1"/>
  <c r="L72" s="1"/>
  <c r="M71"/>
  <c r="J71"/>
  <c r="E71"/>
  <c r="G71" s="1"/>
  <c r="L71" s="1"/>
  <c r="C71"/>
  <c r="C72" s="1"/>
  <c r="C73" s="1"/>
  <c r="J70"/>
  <c r="M70" s="1"/>
  <c r="E70"/>
  <c r="G70" s="1"/>
  <c r="L70" s="1"/>
  <c r="L67"/>
  <c r="J67"/>
  <c r="M67" s="1"/>
  <c r="G67"/>
  <c r="E67"/>
  <c r="M66"/>
  <c r="J66"/>
  <c r="E66"/>
  <c r="G66" s="1"/>
  <c r="L66" s="1"/>
  <c r="M65"/>
  <c r="J65"/>
  <c r="G65"/>
  <c r="L65" s="1"/>
  <c r="E65"/>
  <c r="J64"/>
  <c r="M64" s="1"/>
  <c r="E64"/>
  <c r="G64" s="1"/>
  <c r="L64" s="1"/>
  <c r="L63"/>
  <c r="J63"/>
  <c r="M63" s="1"/>
  <c r="G63"/>
  <c r="E63"/>
  <c r="M62"/>
  <c r="J62"/>
  <c r="E62"/>
  <c r="G62" s="1"/>
  <c r="L62" s="1"/>
  <c r="M59"/>
  <c r="J59"/>
  <c r="G59"/>
  <c r="L59" s="1"/>
  <c r="E59"/>
  <c r="J58"/>
  <c r="M58" s="1"/>
  <c r="E58"/>
  <c r="G58" s="1"/>
  <c r="L58" s="1"/>
  <c r="L56"/>
  <c r="J56"/>
  <c r="M56" s="1"/>
  <c r="G56"/>
  <c r="M55"/>
  <c r="J55"/>
  <c r="E55"/>
  <c r="G55" s="1"/>
  <c r="L55" s="1"/>
  <c r="J54"/>
  <c r="M54" s="1"/>
  <c r="E54"/>
  <c r="G54" s="1"/>
  <c r="L54" s="1"/>
  <c r="M53"/>
  <c r="J53"/>
  <c r="E53"/>
  <c r="G53" s="1"/>
  <c r="L53" s="1"/>
  <c r="C53"/>
  <c r="C54" s="1"/>
  <c r="C55" s="1"/>
  <c r="C56" s="1"/>
  <c r="J52"/>
  <c r="M52" s="1"/>
  <c r="E52"/>
  <c r="G52" s="1"/>
  <c r="L52" s="1"/>
  <c r="L50"/>
  <c r="J50"/>
  <c r="M50" s="1"/>
  <c r="G50"/>
  <c r="E50"/>
  <c r="M49"/>
  <c r="J49"/>
  <c r="G49"/>
  <c r="L49" s="1"/>
  <c r="E49"/>
  <c r="L48"/>
  <c r="J48"/>
  <c r="M48" s="1"/>
  <c r="G48"/>
  <c r="E48"/>
  <c r="C48"/>
  <c r="C49" s="1"/>
  <c r="C50" s="1"/>
  <c r="M47"/>
  <c r="J47"/>
  <c r="G47"/>
  <c r="L47" s="1"/>
  <c r="E47"/>
  <c r="C47"/>
  <c r="L46"/>
  <c r="J46"/>
  <c r="M46" s="1"/>
  <c r="G46"/>
  <c r="E46"/>
  <c r="M42"/>
  <c r="J42"/>
  <c r="E42"/>
  <c r="G42" s="1"/>
  <c r="L42" s="1"/>
  <c r="J41"/>
  <c r="M41" s="1"/>
  <c r="E41"/>
  <c r="G41" s="1"/>
  <c r="L41" s="1"/>
  <c r="M40"/>
  <c r="J40"/>
  <c r="E40"/>
  <c r="G40" s="1"/>
  <c r="L40" s="1"/>
  <c r="C40"/>
  <c r="C41" s="1"/>
  <c r="C42" s="1"/>
  <c r="J39"/>
  <c r="M39" s="1"/>
  <c r="E39"/>
  <c r="G39" s="1"/>
  <c r="L39" s="1"/>
  <c r="L36"/>
  <c r="J36"/>
  <c r="M36" s="1"/>
  <c r="G36"/>
  <c r="E36"/>
  <c r="M34"/>
  <c r="J34"/>
  <c r="E34"/>
  <c r="G34" s="1"/>
  <c r="L34" s="1"/>
  <c r="J33"/>
  <c r="M33" s="1"/>
  <c r="E33"/>
  <c r="G33" s="1"/>
  <c r="L33" s="1"/>
  <c r="M32"/>
  <c r="J32"/>
  <c r="E32"/>
  <c r="G32" s="1"/>
  <c r="L32" s="1"/>
  <c r="J31"/>
  <c r="M31" s="1"/>
  <c r="E31"/>
  <c r="G31" s="1"/>
  <c r="L31" s="1"/>
  <c r="M30"/>
  <c r="J30"/>
  <c r="E30"/>
  <c r="G30" s="1"/>
  <c r="L30" s="1"/>
  <c r="J29"/>
  <c r="M29" s="1"/>
  <c r="E29"/>
  <c r="G29" s="1"/>
  <c r="L29" s="1"/>
  <c r="M28"/>
  <c r="J28"/>
  <c r="E28"/>
  <c r="G28" s="1"/>
  <c r="L28" s="1"/>
  <c r="J27"/>
  <c r="M27" s="1"/>
  <c r="E27"/>
  <c r="G27" s="1"/>
  <c r="L27" s="1"/>
  <c r="M26"/>
  <c r="J26"/>
  <c r="E26"/>
  <c r="G26" s="1"/>
  <c r="L26" s="1"/>
  <c r="C26"/>
  <c r="C27" s="1"/>
  <c r="C28" s="1"/>
  <c r="C29" s="1"/>
  <c r="C30" s="1"/>
  <c r="C31" s="1"/>
  <c r="C32" s="1"/>
  <c r="C33" s="1"/>
  <c r="C34" s="1"/>
  <c r="J25"/>
  <c r="M25" s="1"/>
  <c r="E25"/>
  <c r="G25" s="1"/>
  <c r="L25" s="1"/>
  <c r="L21"/>
  <c r="J21"/>
  <c r="M21" s="1"/>
  <c r="G21"/>
  <c r="E21"/>
  <c r="M20"/>
  <c r="J20"/>
  <c r="G20"/>
  <c r="L20" s="1"/>
  <c r="E20"/>
  <c r="L19"/>
  <c r="J19"/>
  <c r="M19" s="1"/>
  <c r="G19"/>
  <c r="E19"/>
  <c r="M18"/>
  <c r="J18"/>
  <c r="G18"/>
  <c r="L18" s="1"/>
  <c r="E18"/>
  <c r="L17"/>
  <c r="J17"/>
  <c r="M17" s="1"/>
  <c r="G17"/>
  <c r="E17"/>
  <c r="C17"/>
  <c r="C18" s="1"/>
  <c r="C19" s="1"/>
  <c r="C20" s="1"/>
  <c r="C21" s="1"/>
  <c r="M16"/>
  <c r="J16"/>
  <c r="G16"/>
  <c r="L16" s="1"/>
  <c r="E16"/>
  <c r="C16"/>
  <c r="L15"/>
  <c r="J15"/>
  <c r="M15" s="1"/>
  <c r="G15"/>
  <c r="E15"/>
  <c r="M11"/>
  <c r="J11"/>
  <c r="E11"/>
  <c r="G11" s="1"/>
  <c r="L11" s="1"/>
  <c r="J10"/>
  <c r="M10" s="1"/>
  <c r="E10"/>
  <c r="G10" s="1"/>
  <c r="L10" s="1"/>
  <c r="M9"/>
  <c r="J9"/>
  <c r="E9"/>
  <c r="G9" s="1"/>
  <c r="L9" s="1"/>
  <c r="J8"/>
  <c r="M8" s="1"/>
  <c r="E8"/>
  <c r="G8" s="1"/>
  <c r="L8" s="1"/>
  <c r="M7"/>
  <c r="J7"/>
  <c r="E7"/>
  <c r="G7" s="1"/>
  <c r="L7" s="1"/>
  <c r="C7"/>
  <c r="C8" s="1"/>
  <c r="C9" s="1"/>
  <c r="C10" s="1"/>
  <c r="C11" s="1"/>
  <c r="J6"/>
  <c r="M6" s="1"/>
  <c r="E6"/>
  <c r="G6" s="1"/>
  <c r="L6" s="1"/>
  <c r="H41" i="7"/>
  <c r="H40"/>
  <c r="G40"/>
  <c r="H39"/>
  <c r="G39"/>
  <c r="H38"/>
  <c r="H36"/>
  <c r="H33"/>
  <c r="G33"/>
  <c r="H28"/>
  <c r="G28"/>
  <c r="G27"/>
  <c r="H27" s="1"/>
  <c r="H26"/>
  <c r="G26"/>
  <c r="A26"/>
  <c r="A27" s="1"/>
  <c r="A28" s="1"/>
  <c r="G25"/>
  <c r="H25" s="1"/>
  <c r="H29" s="1"/>
  <c r="H31" s="1"/>
  <c r="K16" i="2" s="1"/>
  <c r="H23" i="7"/>
  <c r="H20"/>
  <c r="G20"/>
  <c r="H14"/>
  <c r="G14"/>
  <c r="G13"/>
  <c r="H13" s="1"/>
  <c r="H12"/>
  <c r="G12"/>
  <c r="G11"/>
  <c r="H11" s="1"/>
  <c r="H10"/>
  <c r="H9"/>
  <c r="G9"/>
  <c r="A9"/>
  <c r="A10" s="1"/>
  <c r="A11" s="1"/>
  <c r="A12" s="1"/>
  <c r="A13" s="1"/>
  <c r="A14" s="1"/>
  <c r="G8"/>
  <c r="H8" s="1"/>
  <c r="H16" s="1"/>
  <c r="H18" s="1"/>
  <c r="K12" i="2" s="1"/>
  <c r="G3" i="7"/>
  <c r="H3" s="1"/>
  <c r="G2"/>
  <c r="H2" s="1"/>
  <c r="H4" s="1"/>
  <c r="H6" s="1"/>
  <c r="K11" i="2" s="1"/>
  <c r="I49" i="6"/>
  <c r="F47"/>
  <c r="H47" s="1"/>
  <c r="J47" s="1"/>
  <c r="H46"/>
  <c r="J46" s="1"/>
  <c r="F46"/>
  <c r="F45"/>
  <c r="H45" s="1"/>
  <c r="J45" s="1"/>
  <c r="H44"/>
  <c r="J44" s="1"/>
  <c r="F44"/>
  <c r="F43"/>
  <c r="H43" s="1"/>
  <c r="J43" s="1"/>
  <c r="I39"/>
  <c r="H37"/>
  <c r="J37" s="1"/>
  <c r="F37"/>
  <c r="F36"/>
  <c r="H36" s="1"/>
  <c r="J36" s="1"/>
  <c r="H35"/>
  <c r="J35" s="1"/>
  <c r="F35"/>
  <c r="F34"/>
  <c r="H34" s="1"/>
  <c r="J34" s="1"/>
  <c r="H33"/>
  <c r="J33" s="1"/>
  <c r="F33"/>
  <c r="F32"/>
  <c r="H32" s="1"/>
  <c r="J32" s="1"/>
  <c r="H31"/>
  <c r="J31" s="1"/>
  <c r="F31"/>
  <c r="F30"/>
  <c r="H30" s="1"/>
  <c r="J30" s="1"/>
  <c r="H29"/>
  <c r="J29" s="1"/>
  <c r="F29"/>
  <c r="F28"/>
  <c r="H28" s="1"/>
  <c r="J28" s="1"/>
  <c r="H27"/>
  <c r="J27" s="1"/>
  <c r="F27"/>
  <c r="F26"/>
  <c r="H26" s="1"/>
  <c r="J26" s="1"/>
  <c r="I22"/>
  <c r="H21"/>
  <c r="J21" s="1"/>
  <c r="F21"/>
  <c r="F20"/>
  <c r="H20" s="1"/>
  <c r="J20" s="1"/>
  <c r="H19"/>
  <c r="J19" s="1"/>
  <c r="F19"/>
  <c r="F18"/>
  <c r="H18" s="1"/>
  <c r="J18" s="1"/>
  <c r="J22" s="1"/>
  <c r="I15"/>
  <c r="H14"/>
  <c r="J14" s="1"/>
  <c r="F14"/>
  <c r="F13"/>
  <c r="H13" s="1"/>
  <c r="J13" s="1"/>
  <c r="H12"/>
  <c r="J12" s="1"/>
  <c r="F12"/>
  <c r="F11"/>
  <c r="H11" s="1"/>
  <c r="J11" s="1"/>
  <c r="H10"/>
  <c r="J10" s="1"/>
  <c r="F10"/>
  <c r="I7"/>
  <c r="F5"/>
  <c r="H5" s="1"/>
  <c r="J5" s="1"/>
  <c r="H4"/>
  <c r="J4" s="1"/>
  <c r="F4"/>
  <c r="F3"/>
  <c r="H3" s="1"/>
  <c r="J3" s="1"/>
  <c r="H2"/>
  <c r="J2" s="1"/>
  <c r="F2"/>
  <c r="E24" i="5"/>
  <c r="J28" s="1"/>
  <c r="I21"/>
  <c r="H20"/>
  <c r="J20" s="1"/>
  <c r="F20"/>
  <c r="F19"/>
  <c r="H19" s="1"/>
  <c r="J19" s="1"/>
  <c r="H18"/>
  <c r="J18" s="1"/>
  <c r="F18"/>
  <c r="F17"/>
  <c r="H17" s="1"/>
  <c r="J17" s="1"/>
  <c r="H16"/>
  <c r="J16" s="1"/>
  <c r="F16"/>
  <c r="F15"/>
  <c r="H15" s="1"/>
  <c r="J15" s="1"/>
  <c r="H14"/>
  <c r="J14" s="1"/>
  <c r="F14"/>
  <c r="F13"/>
  <c r="H13" s="1"/>
  <c r="J13" s="1"/>
  <c r="H12"/>
  <c r="J12" s="1"/>
  <c r="F12"/>
  <c r="I9"/>
  <c r="F8"/>
  <c r="H8" s="1"/>
  <c r="J8" s="1"/>
  <c r="H7"/>
  <c r="J7" s="1"/>
  <c r="F7"/>
  <c r="F6"/>
  <c r="H6" s="1"/>
  <c r="J6" s="1"/>
  <c r="H5"/>
  <c r="J5" s="1"/>
  <c r="F5"/>
  <c r="F4"/>
  <c r="H4" s="1"/>
  <c r="J4" s="1"/>
  <c r="H3"/>
  <c r="J3" s="1"/>
  <c r="F3"/>
  <c r="F2"/>
  <c r="H2" s="1"/>
  <c r="J2" s="1"/>
  <c r="F16" i="4"/>
  <c r="H11" i="3" s="1"/>
  <c r="L11" s="1"/>
  <c r="N11" s="1"/>
  <c r="O11" s="1"/>
  <c r="K14"/>
  <c r="D19" i="1" s="1"/>
  <c r="G12" i="3"/>
  <c r="G11"/>
  <c r="L10"/>
  <c r="N10" s="1"/>
  <c r="O10" s="1"/>
  <c r="G10"/>
  <c r="L9"/>
  <c r="M9" s="1"/>
  <c r="G9"/>
  <c r="G8"/>
  <c r="L7"/>
  <c r="N7" s="1"/>
  <c r="O7" s="1"/>
  <c r="G7"/>
  <c r="G6"/>
  <c r="N33" i="2"/>
  <c r="P33" s="1"/>
  <c r="M33"/>
  <c r="J33"/>
  <c r="G33"/>
  <c r="P32"/>
  <c r="N32"/>
  <c r="M32"/>
  <c r="J32"/>
  <c r="G32"/>
  <c r="N31"/>
  <c r="P31" s="1"/>
  <c r="M31"/>
  <c r="J31"/>
  <c r="G31"/>
  <c r="P30"/>
  <c r="N30"/>
  <c r="M30"/>
  <c r="J30"/>
  <c r="G30"/>
  <c r="N29"/>
  <c r="P29" s="1"/>
  <c r="M29"/>
  <c r="J29"/>
  <c r="G29"/>
  <c r="P28"/>
  <c r="N28"/>
  <c r="M28"/>
  <c r="J28"/>
  <c r="G28"/>
  <c r="N27"/>
  <c r="P27" s="1"/>
  <c r="M27"/>
  <c r="J27"/>
  <c r="G27"/>
  <c r="P26"/>
  <c r="N26"/>
  <c r="M26"/>
  <c r="J26"/>
  <c r="G26"/>
  <c r="N25"/>
  <c r="P25" s="1"/>
  <c r="M25"/>
  <c r="J25"/>
  <c r="G25"/>
  <c r="P24"/>
  <c r="N24"/>
  <c r="M24"/>
  <c r="J24"/>
  <c r="G24"/>
  <c r="K23"/>
  <c r="N23" s="1"/>
  <c r="P23" s="1"/>
  <c r="J23"/>
  <c r="G23"/>
  <c r="N22"/>
  <c r="P22" s="1"/>
  <c r="K22"/>
  <c r="M22" s="1"/>
  <c r="J22"/>
  <c r="G22"/>
  <c r="N21"/>
  <c r="P21" s="1"/>
  <c r="M21"/>
  <c r="J21"/>
  <c r="G21"/>
  <c r="M20"/>
  <c r="K20"/>
  <c r="N20" s="1"/>
  <c r="P20" s="1"/>
  <c r="J20"/>
  <c r="G20"/>
  <c r="P19"/>
  <c r="N19"/>
  <c r="M19"/>
  <c r="K19"/>
  <c r="J19"/>
  <c r="G19"/>
  <c r="M18"/>
  <c r="K18"/>
  <c r="N18" s="1"/>
  <c r="P18" s="1"/>
  <c r="J18"/>
  <c r="G18"/>
  <c r="P17"/>
  <c r="N17"/>
  <c r="M17"/>
  <c r="K17"/>
  <c r="J17"/>
  <c r="G17"/>
  <c r="J16"/>
  <c r="G16"/>
  <c r="P15"/>
  <c r="N15"/>
  <c r="M15"/>
  <c r="J15"/>
  <c r="G15"/>
  <c r="N14"/>
  <c r="P14" s="1"/>
  <c r="M14"/>
  <c r="J14"/>
  <c r="G14"/>
  <c r="P13"/>
  <c r="N13"/>
  <c r="M13"/>
  <c r="J13"/>
  <c r="G13"/>
  <c r="J12"/>
  <c r="G12"/>
  <c r="J11"/>
  <c r="G11"/>
  <c r="J10"/>
  <c r="G10"/>
  <c r="J9"/>
  <c r="G9"/>
  <c r="N8"/>
  <c r="P8" s="1"/>
  <c r="M8"/>
  <c r="J8"/>
  <c r="G8"/>
  <c r="P7"/>
  <c r="N7"/>
  <c r="M7"/>
  <c r="K7"/>
  <c r="J7"/>
  <c r="G7"/>
  <c r="M6"/>
  <c r="K6"/>
  <c r="N6" s="1"/>
  <c r="P6" s="1"/>
  <c r="J6"/>
  <c r="J35" s="1"/>
  <c r="G6"/>
  <c r="G35" s="1"/>
  <c r="N8" i="3" l="1"/>
  <c r="O8" s="1"/>
  <c r="M8"/>
  <c r="M10"/>
  <c r="M6"/>
  <c r="N9"/>
  <c r="O9" s="1"/>
  <c r="M12"/>
  <c r="G14"/>
  <c r="J39" i="6"/>
  <c r="N11" i="2"/>
  <c r="P11" s="1"/>
  <c r="M11"/>
  <c r="L93" i="8"/>
  <c r="L95" s="1"/>
  <c r="M12" i="2"/>
  <c r="N12"/>
  <c r="P12" s="1"/>
  <c r="M16"/>
  <c r="N16"/>
  <c r="P16" s="1"/>
  <c r="J15" i="6"/>
  <c r="H6" i="9"/>
  <c r="J49" i="6"/>
  <c r="J50" s="1"/>
  <c r="J27" i="5" s="1"/>
  <c r="J9"/>
  <c r="J21"/>
  <c r="J26" s="1"/>
  <c r="J29" s="1"/>
  <c r="J7" i="6"/>
  <c r="M23" i="2"/>
  <c r="M7" i="3"/>
  <c r="M11"/>
  <c r="O14" l="1"/>
  <c r="E19" i="1" s="1"/>
  <c r="E21" s="1"/>
  <c r="M14" i="3"/>
  <c r="F19" i="1" s="1"/>
  <c r="L96" i="8"/>
  <c r="K9" i="2" s="1"/>
  <c r="L97" i="8"/>
  <c r="K10" i="2" s="1"/>
  <c r="N9" l="1"/>
  <c r="P9" s="1"/>
  <c r="P35" s="1"/>
  <c r="M9"/>
  <c r="M35" s="1"/>
  <c r="M10"/>
  <c r="N10"/>
  <c r="P10" s="1"/>
</calcChain>
</file>

<file path=xl/sharedStrings.xml><?xml version="1.0" encoding="utf-8"?>
<sst xmlns="http://schemas.openxmlformats.org/spreadsheetml/2006/main" count="2689" uniqueCount="1036">
  <si>
    <t>TAX INVOICE</t>
  </si>
  <si>
    <t>To,</t>
  </si>
  <si>
    <t>M/s Sobha Projects &amp; Trade Pvt Limited</t>
  </si>
  <si>
    <t>Invoice No:01</t>
  </si>
  <si>
    <t>No.23/1 Sonnenahalli, Brookefield,</t>
  </si>
  <si>
    <t>Mahadevapura post, Banalore-560048.</t>
  </si>
  <si>
    <t xml:space="preserve">GSTIN: </t>
  </si>
  <si>
    <t>Project: Godrej commercial hub,</t>
  </si>
  <si>
    <t>RAB-01</t>
  </si>
  <si>
    <t>Hebbal , Bangalore.</t>
  </si>
  <si>
    <t>WO NO:  SPTL/WO/ELE/23-24/23</t>
  </si>
  <si>
    <t>GSTIN/UlN: 29AAECS5022R1ZT</t>
  </si>
  <si>
    <t>PAN No: ATXPV6813G</t>
  </si>
  <si>
    <t>Sl.No</t>
  </si>
  <si>
    <t>Boq Sl.No</t>
  </si>
  <si>
    <t>Particulars</t>
  </si>
  <si>
    <t>Previous Bill</t>
  </si>
  <si>
    <t>Present Bill</t>
  </si>
  <si>
    <t>Cumulative Bill</t>
  </si>
  <si>
    <t>Grand Total</t>
  </si>
  <si>
    <t>For SRI SAI VIKRANTH PLUMING WORK</t>
  </si>
  <si>
    <t>Authorized Signatory</t>
  </si>
  <si>
    <t xml:space="preserve">Contractor Name </t>
  </si>
  <si>
    <t xml:space="preserve">JUTURU SIVAKUMAR </t>
  </si>
  <si>
    <t>Department</t>
  </si>
  <si>
    <t>ELECTRICAL</t>
  </si>
  <si>
    <t>Project</t>
  </si>
  <si>
    <t>GODREJ COMMERCIAL HUB</t>
  </si>
  <si>
    <t>To: SPTL</t>
  </si>
  <si>
    <t>Job No</t>
  </si>
  <si>
    <t>RA Bill No</t>
  </si>
  <si>
    <t>WO No</t>
  </si>
  <si>
    <t>SPTL/WO/ELE/21-22/119</t>
  </si>
  <si>
    <t>Description</t>
  </si>
  <si>
    <t>Unit</t>
  </si>
  <si>
    <t>As Per WO</t>
  </si>
  <si>
    <t>Remarks</t>
  </si>
  <si>
    <t>SAC</t>
  </si>
  <si>
    <t xml:space="preserve">Qty </t>
  </si>
  <si>
    <t>Rate</t>
  </si>
  <si>
    <t>Total Amount</t>
  </si>
  <si>
    <t>% Certified</t>
  </si>
  <si>
    <t>Amount</t>
  </si>
  <si>
    <t>Installation mts.20mm GI conduit</t>
  </si>
  <si>
    <t>Mtrs</t>
  </si>
  <si>
    <t>Installation mts.25mm GI conduit</t>
  </si>
  <si>
    <t>Installation in no.DB INSTALLATION</t>
  </si>
  <si>
    <t>Nos</t>
  </si>
  <si>
    <t>Installation in KGS,MS fabrication works75X75X6mm and installation</t>
  </si>
  <si>
    <t>Kgs</t>
  </si>
  <si>
    <t>Installation in KGS,MS fabrication works50X50X6mm and installation</t>
  </si>
  <si>
    <t>Installation mts.ladder type 1200X70mm</t>
  </si>
  <si>
    <t>Installation mts.ladder type 1000X70mm</t>
  </si>
  <si>
    <t>Installation mts.ladder type 750X70mm</t>
  </si>
  <si>
    <t>Installation mts.ladder type 600X70mm</t>
  </si>
  <si>
    <t>Installation mts.ladder type 450X50mm</t>
  </si>
  <si>
    <t>Installation mts.ladder type 300X50mm</t>
  </si>
  <si>
    <t>Installation mts.ladder type 200X50mm</t>
  </si>
  <si>
    <t>Installation mts.ladder type 150X50mm</t>
  </si>
  <si>
    <t>Installation mts.ladder type 100X50mm</t>
  </si>
  <si>
    <t>Installation mts.ladder type 50X50mm</t>
  </si>
  <si>
    <t>Installation mts.Perforated type 600X50mm</t>
  </si>
  <si>
    <t>Installation mts.Perforated type 450X50mm</t>
  </si>
  <si>
    <t>Installation mts.Perforated type 300X50mm</t>
  </si>
  <si>
    <t>Installation mts.Perforated type 200X50mm</t>
  </si>
  <si>
    <t>Installation mts.Perforated type 100X50mm</t>
  </si>
  <si>
    <t>Installation in mts.earth strip works 50X6mm GI strip</t>
  </si>
  <si>
    <t>Installation in mts.earth strip works 25X6mm GI strip</t>
  </si>
  <si>
    <t>Installation in mts.earth strip works 25X3mm GI strip</t>
  </si>
  <si>
    <t>Installation in mts.earth strip works 25X6mm CU strip</t>
  </si>
  <si>
    <t>Installation in mts.earth strip works 25X3mm CU strip</t>
  </si>
  <si>
    <t>Installation in mts.earth strip works 8SWG GI wire</t>
  </si>
  <si>
    <t>Installation in mts.earth strip works 8SWG CU wire</t>
  </si>
  <si>
    <t>Installation in mts.earth strip works 150X150 race way</t>
  </si>
  <si>
    <t>Total in Rs</t>
  </si>
  <si>
    <t>Checked by  Site In-Charge</t>
  </si>
  <si>
    <t xml:space="preserve"> Project Head</t>
  </si>
  <si>
    <t>Checked by Audit Dept</t>
  </si>
  <si>
    <t>Contractor's Signature&amp;Seal</t>
  </si>
  <si>
    <t>SRI SAI VIKRANTH PLUMING WORKS(V VIKRANTH)</t>
  </si>
  <si>
    <t>19/07/23</t>
  </si>
  <si>
    <t>SPTL/WO/ELE/23-24/23</t>
  </si>
  <si>
    <t>Site Quantity</t>
  </si>
  <si>
    <t>Qty</t>
  </si>
  <si>
    <t>UOM</t>
  </si>
  <si>
    <t>INSTALLATION OF ,RCC CABLE PULL CHAMBER WITH BRICK MASONARY ,WITH  PLASTERING AND FIXING OF CHAMBER COVER ,NECESSARY BACK FILLING ,CABLE PULL CHAMBER WITH COVER -0.7M X 0.75M X 1.2M</t>
  </si>
  <si>
    <t>INSTALLATION OF SAFE EARTHING ELECTRODE SHALL COMPRISE OF A GI PIPE WITH OUTER DIA OF 50MM ,AND INNER DIA OF 25MM WITH 450 X450 X350MM THICK HEAVY DUTY,RCC REDAY MADE CHAMBER AND COVER .THE ELECTRODE SHALL NOT BE THAN 3.0MTR,LONG BURIED VERTICALLY IN A PIT AND FILLED WITH BACK FILL COMPOUND AND CONNECTED AT THE TOP TO A MEDIUM GREAD GI PIPE OF 19MM DIA , CLAMPED TO THE PIPE ELECTRODE WITH BRASS BOLTS,NUTS AND WASHER,(75 X6 GI EARTHING STRIP  TO BE LEFT UP TO THE EARTHINGPIT FOR CONNECTION)</t>
  </si>
  <si>
    <t xml:space="preserve">INSTALLATION OF PLATE EARTH ELECTRODE USING 19MM DIA CLASS B COPPER PLATE OF SIZE 600 X 600 X3 MM THICK FILLING WITH SALT AND CHARCAOL,WITH 450 X450 X 350MM HEAVY DUTY RCC CHAMBER WITH COVER </t>
  </si>
  <si>
    <t>INSTALLATION OF 100MM DIA HDPE PIPE</t>
  </si>
  <si>
    <t>INSTALLATION OF 50MM DIA HDPE PIPE</t>
  </si>
  <si>
    <t>INSTALLATION OF 300MM DIA HUME PIPE LAYING WITH COLLAR PAKCING</t>
  </si>
  <si>
    <t>Mtr</t>
  </si>
  <si>
    <t>EXCAVATION WORK, ECAVATION AND REMOVING EXTRA SOIL</t>
  </si>
  <si>
    <t xml:space="preserve">TOTAL AMOUNT </t>
  </si>
  <si>
    <t>PROJECT: GODREJ CENTURY (1.17.1)</t>
  </si>
  <si>
    <t>SUBJ : HUME PIPE INSTALLATION</t>
  </si>
  <si>
    <t>Sr No</t>
  </si>
  <si>
    <t>DESCRIPTION</t>
  </si>
  <si>
    <t>SIZE</t>
  </si>
  <si>
    <t>FROM</t>
  </si>
  <si>
    <t>TO</t>
  </si>
  <si>
    <t>QTY</t>
  </si>
  <si>
    <t>HUME PIPE LINE - 1</t>
  </si>
  <si>
    <t>300 MM</t>
  </si>
  <si>
    <t>MAIN ROAD</t>
  </si>
  <si>
    <t>CHAMBER 1</t>
  </si>
  <si>
    <t>CHAMBER 2</t>
  </si>
  <si>
    <t>CHAMBER 3</t>
  </si>
  <si>
    <t>HUME PIPE LINE - 2</t>
  </si>
  <si>
    <t>CHAMBER 4</t>
  </si>
  <si>
    <t>CHAMBER 5</t>
  </si>
  <si>
    <t>CHAMBER 6</t>
  </si>
  <si>
    <t>CHAMBER 7</t>
  </si>
  <si>
    <t>CHAMBER 8</t>
  </si>
  <si>
    <t>CHAMBER 9</t>
  </si>
  <si>
    <t>CHAMBER 10</t>
  </si>
  <si>
    <t>TOTAL</t>
  </si>
  <si>
    <t>SNO</t>
  </si>
  <si>
    <t>SUPPORT BREAKUP</t>
  </si>
  <si>
    <t>SUPPORT IN MTRS</t>
  </si>
  <si>
    <t>1 MTR ANGLE IN KGS</t>
  </si>
  <si>
    <t>EACH SUPPORT</t>
  </si>
  <si>
    <t>TOTAL SUPPORT</t>
  </si>
  <si>
    <t>TOTAL QTY KGS</t>
  </si>
  <si>
    <t>TAG 1 DG CABLES(3 TIER)</t>
  </si>
  <si>
    <t>ELE ROOM(1200 MM)</t>
  </si>
  <si>
    <t>75X75X6</t>
  </si>
  <si>
    <t>1.29+1.3+1.3+1.3+1.29</t>
  </si>
  <si>
    <t>1.37+1.3+1.3+1.3+1.37</t>
  </si>
  <si>
    <t>1.63+1.3+1.3+1.3+1.63</t>
  </si>
  <si>
    <t>0.85+1.3+1.3+1.3+0.85</t>
  </si>
  <si>
    <t>1.09+1.3+1.3+1.3+1.09</t>
  </si>
  <si>
    <t>0.75+1.3+1.3+1.3+0.75</t>
  </si>
  <si>
    <t>1.8+1.3+1.3+1.3+1.8</t>
  </si>
  <si>
    <t>TAG 1 DG CABLES(2 TIER)</t>
  </si>
  <si>
    <t>1.06+1.3+1.3+1.06</t>
  </si>
  <si>
    <t>0.52+1.3+1.3+0.52</t>
  </si>
  <si>
    <t>1.4+1.3+1.3+1.4</t>
  </si>
  <si>
    <t>0.91+1.3+1.3+0.91</t>
  </si>
  <si>
    <t>1.25+1.3+1.3+1.25</t>
  </si>
  <si>
    <t>0.64+1.3+1.3+0.64</t>
  </si>
  <si>
    <t>1.37+1.3+1.3+1.37</t>
  </si>
  <si>
    <t>0.87+1.3+1.3+0.87</t>
  </si>
  <si>
    <t>sno</t>
  </si>
  <si>
    <t>description</t>
  </si>
  <si>
    <t>wieght in kgs(1 plate)</t>
  </si>
  <si>
    <t>total qty (nos)</t>
  </si>
  <si>
    <t>total wieght</t>
  </si>
  <si>
    <t>150*150*6MM base plate</t>
  </si>
  <si>
    <t>total weight</t>
  </si>
  <si>
    <t>TOTAL BASE PLATE WIGHT</t>
  </si>
  <si>
    <t>total angle wieght kgs</t>
  </si>
  <si>
    <t>t</t>
  </si>
  <si>
    <t>TRAY ROUTE</t>
  </si>
  <si>
    <t>SIZE OF THE TRAY</t>
  </si>
  <si>
    <t>EACH SUPPORT IN KGS</t>
  </si>
  <si>
    <t>TAG7</t>
  </si>
  <si>
    <t xml:space="preserve">3 TIER X 1000MM </t>
  </si>
  <si>
    <t>0.95+1.1+1.1+0.95</t>
  </si>
  <si>
    <t>1.3+1.1+1.1+1.33</t>
  </si>
  <si>
    <t>TAG6</t>
  </si>
  <si>
    <t>50X50X6</t>
  </si>
  <si>
    <t>1.6+1.1+1.6</t>
  </si>
  <si>
    <t>1.6+1.1+1.35</t>
  </si>
  <si>
    <t>RETAINING WALL  STRIPS</t>
  </si>
  <si>
    <t>TENANT SH1 AND SH2(2 TIER)</t>
  </si>
  <si>
    <t>1.04+1.1+1.1+1.04</t>
  </si>
  <si>
    <t>1.5+1.1+1.1+1.5</t>
  </si>
  <si>
    <t>1.2+1.1+1.1+1.2</t>
  </si>
  <si>
    <t>0.78+1.1+0.78</t>
  </si>
  <si>
    <t>0.2+1.1+0.2</t>
  </si>
  <si>
    <t>ANGLE SIZE</t>
  </si>
  <si>
    <t>TAG3</t>
  </si>
  <si>
    <t>1.6+1.1+1.1+1.1+1.6</t>
  </si>
  <si>
    <t>1.7+1.1+1.1+1.1+1.7</t>
  </si>
  <si>
    <t>1.35+1.1+1.1+1.1+1.35</t>
  </si>
  <si>
    <t>1.165+1.1+1.1+1.1+1.165</t>
  </si>
  <si>
    <t>TENANT SH3 AND SH4(2 TIER)</t>
  </si>
  <si>
    <t>1+1.1+1.1+1</t>
  </si>
  <si>
    <t>1+1.1+1</t>
  </si>
  <si>
    <t>0.61+1.1+0.61</t>
  </si>
  <si>
    <t>0.15+1.1+0.15</t>
  </si>
  <si>
    <t>0.71+1.1+0.71</t>
  </si>
  <si>
    <t>0.88+1.1+0.88</t>
  </si>
  <si>
    <t>0.33+1.1+0.33</t>
  </si>
  <si>
    <t>.810+1.1+.810</t>
  </si>
  <si>
    <t>.2+1.1+0.2</t>
  </si>
  <si>
    <t>.510+1.1+.510</t>
  </si>
  <si>
    <t>1.02+1.1+1.02</t>
  </si>
  <si>
    <t>.310+1.1+.810</t>
  </si>
  <si>
    <t xml:space="preserve">PANEL ROOM </t>
  </si>
  <si>
    <t>TAG 2</t>
  </si>
  <si>
    <t>ELECTRICAL ROOM</t>
  </si>
  <si>
    <t>1+1.3+1.3+1</t>
  </si>
  <si>
    <t>.5+1.3+1.3+.5</t>
  </si>
  <si>
    <t>1+1.3+1.3+1.3+1</t>
  </si>
  <si>
    <t>TAG 6</t>
  </si>
  <si>
    <t>.5+1.1+1.1+0.5</t>
  </si>
  <si>
    <t>TAG 3</t>
  </si>
  <si>
    <t>TOTAL WIGHT</t>
  </si>
  <si>
    <t xml:space="preserve">TRAY SIZE </t>
  </si>
  <si>
    <t>NO OF TIERS</t>
  </si>
  <si>
    <t>BREAKE UP</t>
  </si>
  <si>
    <t>RMT</t>
  </si>
  <si>
    <t>TOTAL QTY</t>
  </si>
  <si>
    <t>TAG1</t>
  </si>
  <si>
    <t>ELE ROOM</t>
  </si>
  <si>
    <t>30+0.8+10+30.6+24</t>
  </si>
  <si>
    <t>TAG2</t>
  </si>
  <si>
    <t xml:space="preserve"> </t>
  </si>
  <si>
    <t>TOTAL QTY INSTALLED</t>
  </si>
  <si>
    <t xml:space="preserve">PREVIOUS CLIAMED </t>
  </si>
  <si>
    <t>TOATL PRESENT QTY</t>
  </si>
  <si>
    <t>5.3+1+10.4+25+15+6.5</t>
  </si>
  <si>
    <t>ELESHAFT</t>
  </si>
  <si>
    <t>23.6+1+25+18.3+2</t>
  </si>
  <si>
    <t>ELE SHAFT TENANT STRIPS SH1 AND SH2</t>
  </si>
  <si>
    <t>4.8+25.2+22.1</t>
  </si>
  <si>
    <t>30.3+15.4+16.3</t>
  </si>
  <si>
    <t>ELE SHAFT TENANT STRIPS SH4 AND SH5</t>
  </si>
  <si>
    <t>30+9+0.6</t>
  </si>
  <si>
    <t>ELE SHAFT TENANT STRIPS SH4 AND SH6</t>
  </si>
  <si>
    <t>15.5+15.3+11+1.8+28.2</t>
  </si>
  <si>
    <t>LIFT LOBBY</t>
  </si>
  <si>
    <t>NORTH SIDE DRIVE WAY</t>
  </si>
  <si>
    <t>450 PERPORATED</t>
  </si>
  <si>
    <t>16.6+14.8+.5+30.2+26.2+21+11.6+1.5+22+2.5+1.3+31+18.4+11.2+11.6+10+30.6+2.5+16.6+3</t>
  </si>
  <si>
    <t>FROM 1200MM TRAY</t>
  </si>
  <si>
    <t>SERVICE ROOM</t>
  </si>
  <si>
    <t>300 LADDER</t>
  </si>
  <si>
    <t>30+2+18.6+30+28.3</t>
  </si>
  <si>
    <t>FROM 1000MM TRAY</t>
  </si>
  <si>
    <t>30.6+20+3.8+30</t>
  </si>
  <si>
    <t>FROM 3 TIER</t>
  </si>
  <si>
    <t>19+5+20+6</t>
  </si>
  <si>
    <t>STR1 B2</t>
  </si>
  <si>
    <t>DRIVE WAY NORTH</t>
  </si>
  <si>
    <t>30+7.8+9.3</t>
  </si>
  <si>
    <t>BASEMENT 2</t>
  </si>
  <si>
    <t>STR1</t>
  </si>
  <si>
    <t>300 PERPORATED</t>
  </si>
  <si>
    <t>7.5+30.3+30+30+8.5+7.5</t>
  </si>
  <si>
    <t>FROM LIFT LOBBY</t>
  </si>
  <si>
    <t>200 LADDER</t>
  </si>
  <si>
    <t>150 LADDER</t>
  </si>
  <si>
    <t>21+30+8.5</t>
  </si>
  <si>
    <t>50 LADDER</t>
  </si>
  <si>
    <t>3.3+3.3+2.5+3.3+2.7+5+1.5+1.5</t>
  </si>
  <si>
    <t>100 LADDER</t>
  </si>
  <si>
    <t>BREAK-UP Details</t>
  </si>
  <si>
    <t>NO OF SUPPORTS</t>
  </si>
  <si>
    <t>TOTAL IN  MTR</t>
  </si>
  <si>
    <t>1 MTR ANGLE IN KG</t>
  </si>
  <si>
    <t xml:space="preserve">BASE PATE </t>
  </si>
  <si>
    <t>NO BASE PLATE</t>
  </si>
  <si>
    <t>BASE PLATE PER KG</t>
  </si>
  <si>
    <t xml:space="preserve">TOTAL KG IN MS ANGLE </t>
  </si>
  <si>
    <t>TOTAL IN BASE PLATE</t>
  </si>
  <si>
    <t>75*75MM MS ANGLE</t>
  </si>
  <si>
    <t>TAG-1</t>
  </si>
  <si>
    <t>1.290+1.3+1.3+1.3+1.290</t>
  </si>
  <si>
    <t>1.630+1.3+1.3+1.3+1.630</t>
  </si>
  <si>
    <t>1.350+1.3+1.3+1.3+1.350</t>
  </si>
  <si>
    <t>0.750+1.3+1.3+1.3+0.750</t>
  </si>
  <si>
    <t>0.850+1.3+1.3+1.3+0.85</t>
  </si>
  <si>
    <t xml:space="preserve">DG CHILLER </t>
  </si>
  <si>
    <t>1.06+1.3+1.3+1.060</t>
  </si>
  <si>
    <t>0.620+1.3+1.3+0.620</t>
  </si>
  <si>
    <t>1.12+1.3+1.3+1.12</t>
  </si>
  <si>
    <t>EARTHING STRIP</t>
  </si>
  <si>
    <t>0.310+1.1+0.810</t>
  </si>
  <si>
    <t>1.020+1.1+1.020</t>
  </si>
  <si>
    <t>0.510+1.1+0.510</t>
  </si>
  <si>
    <t>0.20+1.1+0.2</t>
  </si>
  <si>
    <t>0.810+1.1+0.810</t>
  </si>
  <si>
    <t>0.710+1.1+0.710</t>
  </si>
  <si>
    <t>0.150+1.1+0.150</t>
  </si>
  <si>
    <t>0.610+1.1+0.610</t>
  </si>
  <si>
    <t>1.41+1.1+1.10</t>
  </si>
  <si>
    <t>1.170+1.1+1.41</t>
  </si>
  <si>
    <t>1.6+1.1+1.3</t>
  </si>
  <si>
    <t>0.78+1.1+0.780</t>
  </si>
  <si>
    <t>1.25+1.1+1</t>
  </si>
  <si>
    <t>1.250+1.1+1.250</t>
  </si>
  <si>
    <t>0.750+1.1+0.750</t>
  </si>
  <si>
    <t>0.990+1.1+1.1+0.990</t>
  </si>
  <si>
    <t>1.040+1.1+1.1+1.040</t>
  </si>
  <si>
    <t>1.3+1.1+1.3</t>
  </si>
  <si>
    <t>TAG-3</t>
  </si>
  <si>
    <t>1.620+1.1+1.1+1.1+1.620</t>
  </si>
  <si>
    <t>1.350+1.1+1.1+1.1+1.350</t>
  </si>
  <si>
    <t>1.350+1.1+1.1+1.350</t>
  </si>
  <si>
    <t>1.7+1.1+1.1+1.7</t>
  </si>
  <si>
    <t>1.165+1.1+1.165</t>
  </si>
  <si>
    <t>TAG-6</t>
  </si>
  <si>
    <t>1.55+1.1+1.1+1.1+1.55</t>
  </si>
  <si>
    <t>1.2+1.1+1.1+1.1+1.2</t>
  </si>
  <si>
    <t>1.250+1.1+1.1+1.250</t>
  </si>
  <si>
    <t>0.890+1.1+1.1+1.140</t>
  </si>
  <si>
    <t>1.190+1.1+1.1+1.190</t>
  </si>
  <si>
    <t>0.940+1.1+1.1+1.190</t>
  </si>
  <si>
    <t>1.010+1.1+1.1+1.010</t>
  </si>
  <si>
    <t>TAG-7</t>
  </si>
  <si>
    <t>0.90+1.1+1.1+0.950</t>
  </si>
  <si>
    <t>1.330+1.1+1.1+1.330</t>
  </si>
  <si>
    <t>TAG-2</t>
  </si>
  <si>
    <t>0.5+1.3+1.3+0.5</t>
  </si>
  <si>
    <t>TAG-5</t>
  </si>
  <si>
    <t>0.5+1.1+1.1+0.5</t>
  </si>
  <si>
    <t>0.65+1.1+1.1+0.65</t>
  </si>
  <si>
    <t>TOTAL Installation Qty</t>
  </si>
  <si>
    <t>Present Bill Qty N0.4</t>
  </si>
  <si>
    <t>Present Bill Qty N0.5</t>
  </si>
  <si>
    <t>TRAY DETAILS</t>
  </si>
  <si>
    <t>LOCATION</t>
  </si>
  <si>
    <t>TRAY</t>
  </si>
  <si>
    <t>BREAK UP</t>
  </si>
  <si>
    <t>NO  OF TIRE</t>
  </si>
  <si>
    <t xml:space="preserve">TAG-1 TO ELE ROOM </t>
  </si>
  <si>
    <t>31+9.7+15+15+17+10.8</t>
  </si>
  <si>
    <t>CHILLER AND DG CABLE T OELE ROOM OUT SIDE</t>
  </si>
  <si>
    <t>31+8.61+15+15+17+10.8</t>
  </si>
  <si>
    <t xml:space="preserve"> TENANT EARTH STRIP(SH060&amp;05)</t>
  </si>
  <si>
    <t>5.6+23+11.4+13.7+16</t>
  </si>
  <si>
    <t>17.5+12+8</t>
  </si>
  <si>
    <t>TAG -2 TO ELE SHAFT ROOM</t>
  </si>
  <si>
    <t>5.8+18+23+12.5</t>
  </si>
  <si>
    <t>26.5+43.3+3.3</t>
  </si>
  <si>
    <t xml:space="preserve"> TENANT EARTH STRIP(SH030&amp;04)</t>
  </si>
  <si>
    <t>15.3+16.5+29.1</t>
  </si>
  <si>
    <t>21.6+26.5+4.7</t>
  </si>
  <si>
    <t xml:space="preserve">LADDER TYPE </t>
  </si>
  <si>
    <t>15.3+22+19.8+15.1+7.4+10.7+19+19.2+3.5+3.5+2.7+22+15+14.2+3.9+30</t>
  </si>
  <si>
    <t>Perforated</t>
  </si>
  <si>
    <t>4.5+18.9+3.4+28+9.2+28+9.2+12+8.3+17.4+31.5+3.1+13+3+3+5.3+21.5+21+10.5+37.5+14.6+18.6</t>
  </si>
  <si>
    <t>BASEMENT-01</t>
  </si>
  <si>
    <t>LDB-1</t>
  </si>
  <si>
    <t xml:space="preserve"> MEASURMENT BREAK UP</t>
  </si>
  <si>
    <t>B-1 , LDB-1</t>
  </si>
  <si>
    <t xml:space="preserve">PS-1 </t>
  </si>
  <si>
    <t>R1</t>
  </si>
  <si>
    <t>4.8+19.1+1.7+10.5+1+4.1</t>
  </si>
  <si>
    <t>4.5+6+4</t>
  </si>
  <si>
    <t>PS4(S1)</t>
  </si>
  <si>
    <t>R2</t>
  </si>
  <si>
    <t>4.8+18.6+18+22.5+3.2</t>
  </si>
  <si>
    <t>PS4(S2)</t>
  </si>
  <si>
    <t>14.6+4.3+5.6</t>
  </si>
  <si>
    <t>LOOP</t>
  </si>
  <si>
    <t>26+18</t>
  </si>
  <si>
    <t>PS7</t>
  </si>
  <si>
    <t>R3</t>
  </si>
  <si>
    <t>4.8+11.1</t>
  </si>
  <si>
    <t>PS7(S1)</t>
  </si>
  <si>
    <t>PS7(S2)</t>
  </si>
  <si>
    <t>PS7(S3)</t>
  </si>
  <si>
    <t>PS7(S4)</t>
  </si>
  <si>
    <t>PS7(S5)</t>
  </si>
  <si>
    <t>LOOPING</t>
  </si>
  <si>
    <t>17+(6*4)</t>
  </si>
  <si>
    <t>DS1</t>
  </si>
  <si>
    <t>R4</t>
  </si>
  <si>
    <t>5+5+5+5</t>
  </si>
  <si>
    <t>DS4(S1)</t>
  </si>
  <si>
    <t>R5</t>
  </si>
  <si>
    <t>4.8+19.1+1.7+10.5+1+10.6+3+15.2+2.4+10.9+3+15+4</t>
  </si>
  <si>
    <t>DS4(S2)</t>
  </si>
  <si>
    <t>10.1+2.5</t>
  </si>
  <si>
    <t>DS4</t>
  </si>
  <si>
    <t>5+5+5</t>
  </si>
  <si>
    <t>DS7(S1)</t>
  </si>
  <si>
    <t>R6</t>
  </si>
  <si>
    <t>4.8+3.9+8.9</t>
  </si>
  <si>
    <t>DS7(S2)</t>
  </si>
  <si>
    <t>10+14.5</t>
  </si>
  <si>
    <t>DS7(S3)</t>
  </si>
  <si>
    <t>10.2+15.8</t>
  </si>
  <si>
    <t>DS7(S4)</t>
  </si>
  <si>
    <t>20+12.5</t>
  </si>
  <si>
    <t>BH1</t>
  </si>
  <si>
    <t>R8</t>
  </si>
  <si>
    <t>4.5+7.8+12</t>
  </si>
  <si>
    <t>P1</t>
  </si>
  <si>
    <t>R9</t>
  </si>
  <si>
    <t>4.8+18+8.3</t>
  </si>
  <si>
    <t>SPARE</t>
  </si>
  <si>
    <t>R10</t>
  </si>
  <si>
    <t>PS2</t>
  </si>
  <si>
    <t>Y1</t>
  </si>
  <si>
    <t>PS5(S1)</t>
  </si>
  <si>
    <t>Y2</t>
  </si>
  <si>
    <t>3.5+15.3+6.3</t>
  </si>
  <si>
    <t>PS5(S2)</t>
  </si>
  <si>
    <t>25.3+3.2</t>
  </si>
  <si>
    <t>PS5(S3)</t>
  </si>
  <si>
    <t>10.3+12.5</t>
  </si>
  <si>
    <t>PS8(S1)</t>
  </si>
  <si>
    <t>Y3</t>
  </si>
  <si>
    <t>4.3+14+8+14.8</t>
  </si>
  <si>
    <t>PS8(S2)</t>
  </si>
  <si>
    <t>15.4+2.5</t>
  </si>
  <si>
    <t>PS8(S3)</t>
  </si>
  <si>
    <t>10.7+2.5+12.5</t>
  </si>
  <si>
    <t>DS2</t>
  </si>
  <si>
    <t>Y4</t>
  </si>
  <si>
    <t>4.8+19.1+1.7+10.5+1+4.1+13.5+4.5</t>
  </si>
  <si>
    <t>DS5(S1)</t>
  </si>
  <si>
    <t>Y5</t>
  </si>
  <si>
    <t>4.8+2.1+13.5</t>
  </si>
  <si>
    <t>DS5(S2)</t>
  </si>
  <si>
    <t>11+13.5</t>
  </si>
  <si>
    <t>DS5(S3)</t>
  </si>
  <si>
    <t>7.5+12.5</t>
  </si>
  <si>
    <t>DS5</t>
  </si>
  <si>
    <t>5+5+5+12.5+6</t>
  </si>
  <si>
    <t>DS8(S1)</t>
  </si>
  <si>
    <t>Y6</t>
  </si>
  <si>
    <t>4.3+14+10.8+2.5</t>
  </si>
  <si>
    <t>DS8(S2)</t>
  </si>
  <si>
    <t>2.8+3.7</t>
  </si>
  <si>
    <t>DS8(S3)</t>
  </si>
  <si>
    <t>8.8+2</t>
  </si>
  <si>
    <t>DS8(S4)</t>
  </si>
  <si>
    <t>15.6+3</t>
  </si>
  <si>
    <t>Y7</t>
  </si>
  <si>
    <t>5+5+5+5+7.4</t>
  </si>
  <si>
    <t>BH10</t>
  </si>
  <si>
    <t>Y8</t>
  </si>
  <si>
    <t>4.3+14+10.8+17.2</t>
  </si>
  <si>
    <t>P2</t>
  </si>
  <si>
    <t>Y9</t>
  </si>
  <si>
    <t>3.3+2+9.1+12.5</t>
  </si>
  <si>
    <t>PS3</t>
  </si>
  <si>
    <t>B1</t>
  </si>
  <si>
    <t>PS6(S1)</t>
  </si>
  <si>
    <t>B2</t>
  </si>
  <si>
    <t>7+5.2+6.9+4.6+8.9</t>
  </si>
  <si>
    <t>PS6(S2)</t>
  </si>
  <si>
    <t>13.4+12.2</t>
  </si>
  <si>
    <t>PS6(S3)</t>
  </si>
  <si>
    <t>2.6+7+7.9+5.6</t>
  </si>
  <si>
    <t>PS9(S1)</t>
  </si>
  <si>
    <t>B3</t>
  </si>
  <si>
    <t>4.3+13.5+5.5+27+10.6+6.6+2</t>
  </si>
  <si>
    <t>PS9(S2)</t>
  </si>
  <si>
    <t>16.6+3.9+13.2+8</t>
  </si>
  <si>
    <t>DS3(1)</t>
  </si>
  <si>
    <t>B4</t>
  </si>
  <si>
    <t>4.8+19.1+1.7+10.5+1+10.6+3+8.6+5.7</t>
  </si>
  <si>
    <t>DS3(2)</t>
  </si>
  <si>
    <t>15.2+2.4+15.8</t>
  </si>
  <si>
    <t>DS3(3)</t>
  </si>
  <si>
    <t>10.4+3+8.9</t>
  </si>
  <si>
    <t>15+2.5+7.8+8+9.5+14.2</t>
  </si>
  <si>
    <t>DS6(1)</t>
  </si>
  <si>
    <t>B5</t>
  </si>
  <si>
    <t>4.8+13.4+8.4+8.7+9.2</t>
  </si>
  <si>
    <t>DS6(2)</t>
  </si>
  <si>
    <t>10+13.5</t>
  </si>
  <si>
    <t>DS6(3)</t>
  </si>
  <si>
    <t>20.8+12.5</t>
  </si>
  <si>
    <t>DS6(4)</t>
  </si>
  <si>
    <t>10.2+1.7+2.8+5.7</t>
  </si>
  <si>
    <t>DS9(1)</t>
  </si>
  <si>
    <t>B6</t>
  </si>
  <si>
    <t>4.3+13.5+27+5.5+8.7+1.5+9.7</t>
  </si>
  <si>
    <t>DS9(2)</t>
  </si>
  <si>
    <t>10.5+2+7.5+12</t>
  </si>
  <si>
    <t>DS9(3)</t>
  </si>
  <si>
    <t>2.5+9.8+8.7+8.9</t>
  </si>
  <si>
    <t>ST5</t>
  </si>
  <si>
    <t>B7</t>
  </si>
  <si>
    <t>4.8+19.1+1.7+10.5+1+4.1+7.5+6</t>
  </si>
  <si>
    <t>DG ROOM</t>
  </si>
  <si>
    <t>B8</t>
  </si>
  <si>
    <t>B9</t>
  </si>
  <si>
    <t>B1-LDB-2</t>
  </si>
  <si>
    <t>B1-LDB-2-R1</t>
  </si>
  <si>
    <t>MCB</t>
  </si>
  <si>
    <t>SENSOR</t>
  </si>
  <si>
    <t>4.5+7+8+15+15+15+12.5+15+9.8</t>
  </si>
  <si>
    <t>PS10</t>
  </si>
  <si>
    <t>7.5+6+6</t>
  </si>
  <si>
    <t>B1-LDB-2-R2</t>
  </si>
  <si>
    <t>4.5+15+15+12.+8.5+2.6</t>
  </si>
  <si>
    <t>PS13</t>
  </si>
  <si>
    <t>4.5+6.7+2+11+5</t>
  </si>
  <si>
    <t>B1-LDB-2-R3</t>
  </si>
  <si>
    <t>4.5+15+8.7+12.4+5.3+6.7</t>
  </si>
  <si>
    <t>DS11</t>
  </si>
  <si>
    <t>5+5+5+6</t>
  </si>
  <si>
    <t>B1-LDB-2-R4</t>
  </si>
  <si>
    <t>5+32</t>
  </si>
  <si>
    <t>DS14</t>
  </si>
  <si>
    <t>B1-LDB-2-R5</t>
  </si>
  <si>
    <t>SB-14</t>
  </si>
  <si>
    <t>4.5+7+5.5+10</t>
  </si>
  <si>
    <t>B1-LDB-2-R6</t>
  </si>
  <si>
    <t>SB-(19-20)</t>
  </si>
  <si>
    <t>32+8+5</t>
  </si>
  <si>
    <t>B3-LDB-2-R7</t>
  </si>
  <si>
    <t>12+15+15+17</t>
  </si>
  <si>
    <t>B3-LDB-2-R8</t>
  </si>
  <si>
    <t>P3</t>
  </si>
  <si>
    <t>4.5+7+15+7</t>
  </si>
  <si>
    <t>B1-LDB-2-Y1</t>
  </si>
  <si>
    <t>4.5+20+20+15+15+7.8</t>
  </si>
  <si>
    <t>PS11</t>
  </si>
  <si>
    <t>24+25+4</t>
  </si>
  <si>
    <t>B1-LDB-2-Y2</t>
  </si>
  <si>
    <t>13+48</t>
  </si>
  <si>
    <t>PS14</t>
  </si>
  <si>
    <t>5+6+14</t>
  </si>
  <si>
    <t>B1-LDB-2-Y3</t>
  </si>
  <si>
    <t>22+21</t>
  </si>
  <si>
    <t>DS12</t>
  </si>
  <si>
    <t>5+5+13</t>
  </si>
  <si>
    <t>B1-LDB-2-Y4</t>
  </si>
  <si>
    <t>4.5+2.5+7</t>
  </si>
  <si>
    <t>DS15</t>
  </si>
  <si>
    <t>9+10</t>
  </si>
  <si>
    <t>B1-LDB-2-Y5</t>
  </si>
  <si>
    <t>SB-(15-16)</t>
  </si>
  <si>
    <t>36+7+13</t>
  </si>
  <si>
    <t>B1-LDB-2-Y6</t>
  </si>
  <si>
    <t>SB-(21-22)</t>
  </si>
  <si>
    <t>26+28</t>
  </si>
  <si>
    <t>B3-LDB-2-Y8</t>
  </si>
  <si>
    <t>P4</t>
  </si>
  <si>
    <t>B1-LDB-2-B1</t>
  </si>
  <si>
    <t>PS12</t>
  </si>
  <si>
    <t>19+19</t>
  </si>
  <si>
    <t>B1-LDB-2-B2</t>
  </si>
  <si>
    <t>37+42</t>
  </si>
  <si>
    <t>DS10</t>
  </si>
  <si>
    <t>B1-LDB-2-B3</t>
  </si>
  <si>
    <t>DS13</t>
  </si>
  <si>
    <t>B1-LDB-2-B4</t>
  </si>
  <si>
    <t>SB-(17-18)</t>
  </si>
  <si>
    <t>30+11</t>
  </si>
  <si>
    <t>B1-LDB-2-B5</t>
  </si>
  <si>
    <t>SB-27</t>
  </si>
  <si>
    <t>ELDB-1</t>
  </si>
  <si>
    <t>B-1 , ELDB-1</t>
  </si>
  <si>
    <t>DLE1</t>
  </si>
  <si>
    <t>4.8+19.1+1.7+10.5+1+3+</t>
  </si>
  <si>
    <t>DLE1(1)</t>
  </si>
  <si>
    <t>DLE1(2)</t>
  </si>
  <si>
    <t>15.5+4.5+5.5+7+12.4</t>
  </si>
  <si>
    <t>DLE1(3)</t>
  </si>
  <si>
    <t>26.4+7+13.5+7</t>
  </si>
  <si>
    <t>E3(1)</t>
  </si>
  <si>
    <t>3.3+2+12+3.8+1.6+2.4</t>
  </si>
  <si>
    <t>E3(2)</t>
  </si>
  <si>
    <t>2+4.5</t>
  </si>
  <si>
    <t>E3(3)</t>
  </si>
  <si>
    <t>2.4+25.3+4.3</t>
  </si>
  <si>
    <t>STE5</t>
  </si>
  <si>
    <t>4.8+19.1+14.6+1.6</t>
  </si>
  <si>
    <t>DLE2(1)</t>
  </si>
  <si>
    <t>DLE2(2)</t>
  </si>
  <si>
    <t>28+7.7</t>
  </si>
  <si>
    <t>DLE2(3)</t>
  </si>
  <si>
    <t>DLE2(4)</t>
  </si>
  <si>
    <t>11.8+17+1.5</t>
  </si>
  <si>
    <t>DLE2(5)</t>
  </si>
  <si>
    <t>DLE2(6)</t>
  </si>
  <si>
    <t>DLE2(7)</t>
  </si>
  <si>
    <t>12.6+3.1+1.4</t>
  </si>
  <si>
    <t>DLE2(8)</t>
  </si>
  <si>
    <t>0.4+4.9+1</t>
  </si>
  <si>
    <t>DLE2(9)</t>
  </si>
  <si>
    <t>DLE2(10)</t>
  </si>
  <si>
    <t>3.6+0.3+17+6.1+3.6</t>
  </si>
  <si>
    <t>DLE2(11)</t>
  </si>
  <si>
    <t>21.4+4.1+1.1+3.6</t>
  </si>
  <si>
    <t>EBH1</t>
  </si>
  <si>
    <t>20.4+2.5+1.4</t>
  </si>
  <si>
    <t>EBH2</t>
  </si>
  <si>
    <t>20.4+2.5</t>
  </si>
  <si>
    <t>B1-ELDB-2</t>
  </si>
  <si>
    <t>PRI</t>
  </si>
  <si>
    <t>DLE3</t>
  </si>
  <si>
    <t>4.5+7.5+3</t>
  </si>
  <si>
    <t>SEC</t>
  </si>
  <si>
    <t>4.5+15+7.5+2.9+15+15+15+15+7.5+4.6+7+15+15+30+12</t>
  </si>
  <si>
    <t>E10</t>
  </si>
  <si>
    <t>4.5+11.5</t>
  </si>
  <si>
    <t>E8-E12</t>
  </si>
  <si>
    <t>4.5+30+22+18+12+5+30+15+12</t>
  </si>
  <si>
    <t>E13</t>
  </si>
  <si>
    <t>4.5+15+8.5</t>
  </si>
  <si>
    <t>E13-E16</t>
  </si>
  <si>
    <t>4+8+30+30+18</t>
  </si>
  <si>
    <t>4.5+15+15+7.5+9.5+12</t>
  </si>
  <si>
    <t>4.5+15+15+7.2+5.7+15+3</t>
  </si>
  <si>
    <t>B2-ELDB-2</t>
  </si>
  <si>
    <t>B2-ELDB-2-C2</t>
  </si>
  <si>
    <t>DLE4</t>
  </si>
  <si>
    <t>4+8+7+4.2</t>
  </si>
  <si>
    <t>5+20+20+20+15+15+17</t>
  </si>
  <si>
    <t>B2-LDB-2</t>
  </si>
  <si>
    <t>B2-LDB-2-R7</t>
  </si>
  <si>
    <t>BH5</t>
  </si>
  <si>
    <t>4+20+20+24.5</t>
  </si>
  <si>
    <t>5+15+6+17</t>
  </si>
  <si>
    <t>5+8+12</t>
  </si>
  <si>
    <t>15+15+17+19.8+14.5+20+22+14.7</t>
  </si>
  <si>
    <t>P-1</t>
  </si>
  <si>
    <t>DLE2</t>
  </si>
  <si>
    <t>5+17+15+18+14.7+3.8</t>
  </si>
  <si>
    <t>PREVIOUS CLAIMED QTY</t>
  </si>
  <si>
    <t>PRESENT CLAIMING QTY</t>
  </si>
  <si>
    <t>BASEMENT -1</t>
  </si>
  <si>
    <t xml:space="preserve">25MM G.I CONDUIT </t>
  </si>
  <si>
    <t>Sl.no</t>
  </si>
  <si>
    <t>RPDB</t>
  </si>
  <si>
    <t>R1 TO R4</t>
  </si>
  <si>
    <t>R5 TO R8</t>
  </si>
  <si>
    <t>2.7+1.2+14.9+7+7+7+7+7+7+1.2</t>
  </si>
  <si>
    <t>R9 TO R12</t>
  </si>
  <si>
    <t>2.7+1.2+14.9+7+7+7+7+7+4.5+4.5+4.3+4+1.2</t>
  </si>
  <si>
    <t>R13 TO R16</t>
  </si>
  <si>
    <t>2.7+1.2+14.9+7+7+7+7+7+4.5+8+11+6.8+6.8+1.2</t>
  </si>
  <si>
    <t xml:space="preserve">R17 TO R20 </t>
  </si>
  <si>
    <t>2+1.2+14.9+7+7+7+7+7+4.5+4</t>
  </si>
  <si>
    <t>SL.NO</t>
  </si>
  <si>
    <t>D.N</t>
  </si>
  <si>
    <t>CABLE DRAM NO</t>
  </si>
  <si>
    <t>CABLE SIZE</t>
  </si>
  <si>
    <t>STARTING</t>
  </si>
  <si>
    <t>ENDINIG</t>
  </si>
  <si>
    <t>QTY IN MTRS</t>
  </si>
  <si>
    <t>METERING PANEL-1/TOWER-3 (BUILDINIG-3)</t>
  </si>
  <si>
    <t>AX21/4582</t>
  </si>
  <si>
    <t>METERING PANEL-1/TOWER-3</t>
  </si>
  <si>
    <t>UNIT-7/1BHK/CONNECTOR BOX/22F</t>
  </si>
  <si>
    <t>2C*10 sqmm</t>
  </si>
  <si>
    <t>UNIT-8/1BHK/CONNECTOR BOX/22F</t>
  </si>
  <si>
    <t>AX21/4664</t>
  </si>
  <si>
    <t>UNIT-9/1BHK/CONNECTOR BOX/22F</t>
  </si>
  <si>
    <t>UNIT-10/1BHK/CONNECTOR BOX/22F</t>
  </si>
  <si>
    <t>UNIT-11/1BHK/CONNECTOR BOX/22F</t>
  </si>
  <si>
    <t>UNIT-7/1BHK/CONNECTOR BOX/21F</t>
  </si>
  <si>
    <t>UNIT-8/1BHK/CONNECTOR BOX/21F</t>
  </si>
  <si>
    <t>UNIT-9/1BHK/CONNECTOR BOX/21F</t>
  </si>
  <si>
    <t>UNIT-10/1BHK/CONNECTOR BOX/21F</t>
  </si>
  <si>
    <t>UNIT-11/1BHK/CONNECTOR BOX/21F</t>
  </si>
  <si>
    <t>UNIT-12/1BHK/CONNECTOR BOX/21F</t>
  </si>
  <si>
    <t>UNIT-7/1BHK/CONNECTOR BOX/20F</t>
  </si>
  <si>
    <t>UNIT-8/1BHK/CONNECTOR BOX/20F</t>
  </si>
  <si>
    <t>AX21/3078(1009)</t>
  </si>
  <si>
    <t>UNIT-9/1BHK/CONNECTOR BOX/20F</t>
  </si>
  <si>
    <t>UNIT-10/1BHK/CONNECTOR BOX/20F</t>
  </si>
  <si>
    <t>UNIT-11/1BHK/CONNECTOR BOX/20F</t>
  </si>
  <si>
    <t>UNIT-12/1BHK/CONNECTOR BOX/20F</t>
  </si>
  <si>
    <t>UNIT-7/1BHK/CONNECTOR BOX/19F</t>
  </si>
  <si>
    <t>UNIT-8/1BHK/CONNECTOR BOX/19F</t>
  </si>
  <si>
    <t>UNIT-9/1BHK/CONNECTOR BOX/19F</t>
  </si>
  <si>
    <t>UNIT-10/1BHK/CONNECTOR BOX/19F</t>
  </si>
  <si>
    <t>UNIT-11/1BHK/CONNECTOR BOX/19F</t>
  </si>
  <si>
    <t>UNIT-12/1BHK/CONNECTOR BOX/19F</t>
  </si>
  <si>
    <t>AX21/4698(1000)</t>
  </si>
  <si>
    <t>UNIT-7/1BHK/CONNECTOR BOX/18F</t>
  </si>
  <si>
    <t>UNIT-8/1BHK/CONNECTOR BOX/18F</t>
  </si>
  <si>
    <t>UNIT-9/1BHK/CONNECTOR BOX/18F</t>
  </si>
  <si>
    <t>UNIT-10/1BHK/CONNECTOR BOX/18F</t>
  </si>
  <si>
    <t>UNIT-11/1BHK/CONNECTOR BOX/18F</t>
  </si>
  <si>
    <t>UNIT-12/1BHK/CONNECTOR BOX/18F</t>
  </si>
  <si>
    <t>UNIT-7/1BHK/CONNECTOR BOX/17F</t>
  </si>
  <si>
    <t>UNIT-8/1BHK/CONNECTOR BOX/17F</t>
  </si>
  <si>
    <t>UNIT-9/1BHK/CONNECTOR BOX/17F</t>
  </si>
  <si>
    <t>UNIT-10/1BHK/CONNECTOR BOX/17F</t>
  </si>
  <si>
    <t>UNIT-11/1BHK/CONNECTOR BOX/17F</t>
  </si>
  <si>
    <t>AX21/4638(1009)</t>
  </si>
  <si>
    <t>UNIT-12/1BHK/CONNECTOR BOX/17F</t>
  </si>
  <si>
    <t xml:space="preserve">                                      </t>
  </si>
  <si>
    <t>UNIT-7/1BHK/CONNECTOR BOX/16F</t>
  </si>
  <si>
    <t>UNIT-8/1BHK/CONNECTOR BOX/16F</t>
  </si>
  <si>
    <t>UNIT-9/1BHK/CONNECTOR BOX/16F</t>
  </si>
  <si>
    <t>UNIT-10/1BHK/CONNECTOR BOX/16F</t>
  </si>
  <si>
    <t>UNIT-11/1BHK/CONNECTOR BOX/16F</t>
  </si>
  <si>
    <t>UNIT-12/1BHK/CONNECTOR BOX/16F</t>
  </si>
  <si>
    <t>UNIT-7/1BHK/CONNECTOR BOX/15F</t>
  </si>
  <si>
    <t>UNIT-8/1BHK/CONNECTOR BOX/15F</t>
  </si>
  <si>
    <t>UNIT-9/1BHK/CONNECTOR BOX/15F</t>
  </si>
  <si>
    <t>UNIT-10/1BHK/CONNECTOR BOX/15F</t>
  </si>
  <si>
    <t>UNIT-11/1BHK/CONNECTOR BOX/15F</t>
  </si>
  <si>
    <t>AX21/4346(1004)</t>
  </si>
  <si>
    <t>UNIT-12/1BHK/CONNECTOR BOX/15F</t>
  </si>
  <si>
    <t>UNIT-7/1BHK/CONNECTOR BOX/14F</t>
  </si>
  <si>
    <t>UNIT-8/1BHK/CONNECTOR BOX/14F</t>
  </si>
  <si>
    <t>UNIT-9/1BHK/CONNECTOR BOX/14F</t>
  </si>
  <si>
    <t>UNIT-10/1BHK/CONNECTOR BOX/14F</t>
  </si>
  <si>
    <t>UNIT-11/1BHK/CONNECTOR BOX/14F</t>
  </si>
  <si>
    <t>UNIT-12/1BHK/CONNECTOR BOX/14F</t>
  </si>
  <si>
    <t>AX21/4663(1005)</t>
  </si>
  <si>
    <t>UNIT-7/1BHK/CONNECTOR BOX/13F</t>
  </si>
  <si>
    <t>UNIT-8/1BHK/CONNECTOR BOX/13F</t>
  </si>
  <si>
    <t>AX21/3700(1004)</t>
  </si>
  <si>
    <t>UNIT-9/1BHK/CONNECTOR BOX/13F</t>
  </si>
  <si>
    <t>UNIT-10/1BHK/CONNECTOR BOX/13F</t>
  </si>
  <si>
    <t>UNIT-11/1BHK/CONNECTOR BOX/13F</t>
  </si>
  <si>
    <t>UNIT-12/1BHK/CONNECTOR BOX/13F</t>
  </si>
  <si>
    <t>UNIT-7/1BHK/CONNECTOR BOX/12F</t>
  </si>
  <si>
    <t>UNIT-8/1BHK/CONNECTOR BOX/12F</t>
  </si>
  <si>
    <t>UNIT-9/1BHK/CONNECTOR BOX/12F</t>
  </si>
  <si>
    <t>UNIT-10/1BHK/CONNECTOR BOX/12F</t>
  </si>
  <si>
    <t>UNIT-11/1BHK/CONNECTOR BOX/12F</t>
  </si>
  <si>
    <t>UNIT-12/1BHK/CONNECTOR BOX/12F</t>
  </si>
  <si>
    <t>UNIT-7/1BHK/CONNECTOR BOX/11F</t>
  </si>
  <si>
    <t>UNIT-8/1BHK/CONNECTOR BOX/11F</t>
  </si>
  <si>
    <t>METERING PANEL-2/TOWER-3</t>
  </si>
  <si>
    <t>UNIT-9/1BHK/CONNECTOR BOX/11F</t>
  </si>
  <si>
    <t>AX21/4700(1007)</t>
  </si>
  <si>
    <t>UNIT-10/1BHK/CONNECTOR BOX/11F</t>
  </si>
  <si>
    <t>UNIT-11/1BHK/CONNECTOR BOX/11F</t>
  </si>
  <si>
    <t>UNIT-12/1BHK/CONNECTOR BOX/11F</t>
  </si>
  <si>
    <t>UNIT-7/1BHK/CONNECTOR BOX/10F</t>
  </si>
  <si>
    <t>UNIT-8/1BHK/CONNECTOR BOX/10F</t>
  </si>
  <si>
    <t>UNIT-9/1BHK/CONNECTOR BOX/10F</t>
  </si>
  <si>
    <t>UNIT-10/1BHK/CONNECTOR BOX/10F</t>
  </si>
  <si>
    <t>UNIT-11/1BHK/CONNECTOR BOX/10F</t>
  </si>
  <si>
    <t>UNIT-12/1BHK/CONNECTOR BOX/10F</t>
  </si>
  <si>
    <t>UNIT-7/1BHK/CONNECTOR BOX/9F</t>
  </si>
  <si>
    <t>UNIT-8/1BHK/CONNECTOR BOX/9F</t>
  </si>
  <si>
    <t>UNIT-9/1BHK/CONNECTOR BOX/9F</t>
  </si>
  <si>
    <t>UNIT-10/1BHK/CONNECTOR BOX/9F</t>
  </si>
  <si>
    <t>UNIT-11/1BHK/CONNECTOR BOX/9F</t>
  </si>
  <si>
    <t>UNIT-12/1BHK/CONNECTOR BOX/9F</t>
  </si>
  <si>
    <t>UNIT-7/1BHK/CONNECTOR BOX/8F</t>
  </si>
  <si>
    <t>UNIT-8/1BHK/CONNECTOR BOX/8F</t>
  </si>
  <si>
    <t>UNIT-9/1BHK/CONNECTOR BOX/8F</t>
  </si>
  <si>
    <t>AX21/4664(1007)</t>
  </si>
  <si>
    <t>UNIT-10/1BHK/CONNECTOR BOX/8F</t>
  </si>
  <si>
    <t>UNIT-11/1BHK/CONNECTOR BOX/8F</t>
  </si>
  <si>
    <t>UNIT-12/1BHK/CONNECTOR BOX/8F</t>
  </si>
  <si>
    <t>UNIT-7/1BHK/CONNECTOR BOX/7F</t>
  </si>
  <si>
    <t>UNIT-8/1BHK/CONNECTOR BOX/7F</t>
  </si>
  <si>
    <t>UNIT-9/1BHK/CONNECTOR BOX/7F</t>
  </si>
  <si>
    <t>UNIT-10/1BHK/CONNECTOR BOX/7F</t>
  </si>
  <si>
    <t>UNIT-11/1BHK/CONNECTOR BOX/7F</t>
  </si>
  <si>
    <t>UNIT-12/1BHK/CONNECTOR BOX/7F</t>
  </si>
  <si>
    <t>UNIT-7/1BHK/CONNECTOR BOX/6F</t>
  </si>
  <si>
    <t>UNIT-8/1BHK/CONNECTOR BOX/6F</t>
  </si>
  <si>
    <t>UNIT-9/1BHK/CONNECTOR BOX/6F</t>
  </si>
  <si>
    <t>UNIT-10/1BHK/CONNECTOR BOX/6F</t>
  </si>
  <si>
    <t>UNIT-11/1BHK/CONNECTOR BOX/6F</t>
  </si>
  <si>
    <t>UNIT-12/1BHK/CONNECTOR BOX/6F</t>
  </si>
  <si>
    <t>AX21/4660</t>
  </si>
  <si>
    <t>UNIT-7/1BHK/CONNECTOR BOX/5F</t>
  </si>
  <si>
    <t>UNIT-8/1BHK/CONNECTOR BOX/5F</t>
  </si>
  <si>
    <t>UNIT-9/1BHK/CONNECTOR BOX/5F</t>
  </si>
  <si>
    <t>UNIT-10/1BHK/CONNECTOR BOX/5F</t>
  </si>
  <si>
    <t>UNIT-11/1BHK/CONNECTOR BOX/5F</t>
  </si>
  <si>
    <t>UNIT-12/1BHK/CONNECTOR BOX/5F</t>
  </si>
  <si>
    <t>UNIT-7/1BHK/CONNECTOR BOX/4F</t>
  </si>
  <si>
    <t>UNIT-8/1BHK/CONNECTOR BOX/4F</t>
  </si>
  <si>
    <t>UNIT-9/1BHK/CONNECTOR BOX/4F</t>
  </si>
  <si>
    <t>UNIT-10/1BHK/CONNECTOR BOX/4F</t>
  </si>
  <si>
    <t>UNIT-11/1BHK/CONNECTOR BOX/4F</t>
  </si>
  <si>
    <t>UNIT-12/1BHK/CONNECTOR BOX/4F</t>
  </si>
  <si>
    <t>UNIT-7/1BHK/CONNECTOR BOX/3F</t>
  </si>
  <si>
    <t>UNIT-8/1BHK/CONNECTOR BOX/3F</t>
  </si>
  <si>
    <t>UNIT-9/1BHK/CONNECTOR BOX/3F</t>
  </si>
  <si>
    <t>UNIT-10/1BHK/CONNECTOR BOX/3F</t>
  </si>
  <si>
    <t>UNIT-11/1BHK/CONNECTOR BOX/3F</t>
  </si>
  <si>
    <t>UNIT-12/1BHK/CONNECTOR BOX/3F</t>
  </si>
  <si>
    <t>UNIT-7/1BHK/CONNECTOR BOX/2F</t>
  </si>
  <si>
    <t>AX21/3708</t>
  </si>
  <si>
    <t>UNIT-8/1BHK/CONNECTOR BOX/2F</t>
  </si>
  <si>
    <t>AX21/4663</t>
  </si>
  <si>
    <t>UNIT-9/1BHK/CONNECTOR BOX/2F</t>
  </si>
  <si>
    <t>UNIT-10/1BHK/CONNECTOR BOX/2F</t>
  </si>
  <si>
    <t>UNIT-11/1BHK/CONNECTOR BOX/2F</t>
  </si>
  <si>
    <t>UNIT-12/1BHK/CONNECTOR BOX/2F</t>
  </si>
  <si>
    <t>UNIT-7/1BHK/CONNECTOR BOX/1F</t>
  </si>
  <si>
    <t>UNIT-8/1BHK/CONNECTOR BOX/1F</t>
  </si>
  <si>
    <t>UNIT-9/1BHK/CONNECTOR BOX/1F</t>
  </si>
  <si>
    <t>UNIT-10/1BHK/CONNECTOR BOX/1F</t>
  </si>
  <si>
    <t>UNIT-11/1BHK/CONNECTOR BOX/1F</t>
  </si>
  <si>
    <t>UNIT-7/1BHK/CONNECTOR BOX/GF</t>
  </si>
  <si>
    <t>AX21/4345</t>
  </si>
  <si>
    <t>UNIT-8/1BHK/CONNECTOR BOX/GF</t>
  </si>
  <si>
    <t>UNIT-9/1BHK/CONNECTOR BOX/GF</t>
  </si>
  <si>
    <t>UNIT-10/1BHK/CONNECTOR BOX/GF</t>
  </si>
  <si>
    <t>METERING PANEL-4/TOWER-3 (BUILDINIG-3)</t>
  </si>
  <si>
    <t>AX/21/3709_STR (1012 MTR)</t>
  </si>
  <si>
    <t>METERING PANEL-3/TOWER-3</t>
  </si>
  <si>
    <t>UNIT-7/1BHK/CONNECTOR BOX/27F</t>
  </si>
  <si>
    <t>UNIT-8/1BHK/CONNECTOR BOX/27F</t>
  </si>
  <si>
    <t>UNIT-9/1BHK/CONNECTOR BOX/27F</t>
  </si>
  <si>
    <t>UNIT-10/1BHK/CONNECTOR BOX/27F</t>
  </si>
  <si>
    <t>UNIT-11/1BHK/CONNECTOR BOX/27F</t>
  </si>
  <si>
    <t>UNIT-12/1BHK/CONNECTOR BOX/27F</t>
  </si>
  <si>
    <t>AX/21/3707_STR (1000 MTR)</t>
  </si>
  <si>
    <t>UNIT-7/1BHK/CONNECTOR BOX/26F</t>
  </si>
  <si>
    <t>UNIT-8/1BHK/CONNECTOR BOX/26F</t>
  </si>
  <si>
    <t>AX/21/4346_STR (1004 MTR)</t>
  </si>
  <si>
    <t>UNIT-9/1BHK/CONNECTOR BOX/26F</t>
  </si>
  <si>
    <t>UNIT-10/1BHK/CONNECTOR BOX/26F</t>
  </si>
  <si>
    <t>UNIT-11/1BHK/CONNECTOR BOX/26F</t>
  </si>
  <si>
    <t>UNIT-12/1BHK/CONNECTOR BOX/26F</t>
  </si>
  <si>
    <t>UNIT-7/1BHK/CONNECTOR BOX/25F</t>
  </si>
  <si>
    <t>UNIT-8/1BHK/CONNECTOR BOX/25F</t>
  </si>
  <si>
    <t>UNIT-9/1BHK/CONNECTOR BOX/25F</t>
  </si>
  <si>
    <t>UNIT-10/1BHK/CONNECTOR BOX/25F</t>
  </si>
  <si>
    <t>UNIT-11/1BHK/CONNECTOR BOX/25F</t>
  </si>
  <si>
    <t>UNIT-12/1BHK/CONNECTOR BOX/25F</t>
  </si>
  <si>
    <t>AX/21/4345_STR (999 MTR)</t>
  </si>
  <si>
    <t>UNIT-7/1BHK/CONNECTOR BOX/24F</t>
  </si>
  <si>
    <t>UNIT-8/1BHK/CONNECTOR BOX/24F</t>
  </si>
  <si>
    <t>UNIT-9/1BHK/CONNECTOR BOX/24F</t>
  </si>
  <si>
    <t>UNIT-10/1BHK/CONNECTOR BOX/24F</t>
  </si>
  <si>
    <t>UNIT-11/1BHK/CONNECTOR BOX/24F</t>
  </si>
  <si>
    <t>UNIT-12/1BHK/CONNECTOR BOX/24F</t>
  </si>
  <si>
    <t>UNIT-7/1BHK/CONNECTOR BOX/23F</t>
  </si>
  <si>
    <t>UNIT-8/1BHK/CONNECTOR BOX/23F</t>
  </si>
  <si>
    <t>UNIT-9/1BHK/CONNECTOR BOX/23F</t>
  </si>
  <si>
    <t>UNIT-10/1BHK/CONNECTOR BOX/23F</t>
  </si>
  <si>
    <t>UNIT-11/1BHK/CONNECTOR BOX/23F</t>
  </si>
  <si>
    <t>UNIT-12/1BHK/CONNECTOR BOX/23F</t>
  </si>
  <si>
    <t>UNIT-12/1BHK/CONNECTOR BOX/22F</t>
  </si>
  <si>
    <t>AX21/4660_STR(1005 MTR)</t>
  </si>
  <si>
    <t>METERING PANEL-4/TOWER-3</t>
  </si>
  <si>
    <t>UNIT-1/1BHK/CONNECTOR BOX/27F</t>
  </si>
  <si>
    <t>AX21/4629_STR(1005 MTR)</t>
  </si>
  <si>
    <t>UNIT-2/1BHK/CONNECTOR BOX/27F</t>
  </si>
  <si>
    <t>UNIT-3/1BHK/CONNECTOR BOX/27F</t>
  </si>
  <si>
    <t>UNIT-4/1BHK/CONNECTOR BOX/27F</t>
  </si>
  <si>
    <t>UNIT-5/1BHK/CONNECTOR BOX/27F</t>
  </si>
  <si>
    <t>UNIT-6/1BHK/CONNECTOR BOX/27F</t>
  </si>
  <si>
    <t>UNIT-1/1BHK/CONNECTOR BOX/26F</t>
  </si>
  <si>
    <t>UNIT-2/1BHK/CONNECTOR BOX/26F</t>
  </si>
  <si>
    <t>AX21/4352_STR(1000 MTR)</t>
  </si>
  <si>
    <t>UNIT-3/1BHK/CONNECTOR BOX/26F</t>
  </si>
  <si>
    <t>UNIT-4/1BHK/CONNECTOR BOX/26F</t>
  </si>
  <si>
    <t>UNIT-5/1BHK/CONNECTOR BOX/26F</t>
  </si>
  <si>
    <t>UNIT-6/1BHK/CONNECTOR BOX/26F</t>
  </si>
  <si>
    <t>UNIT-1/1BHK/CONNECTOR BOX/25F</t>
  </si>
  <si>
    <t>UNIT-2/1BHK/CONNECTOR BOX/25F</t>
  </si>
  <si>
    <t>UNIT-3/1BHK/CONNECTOR BOX/25F</t>
  </si>
  <si>
    <t>UNIT-4/1BHK/CONNECTOR BOX/25F</t>
  </si>
  <si>
    <t>AX21/3718_STR(1006 MTR)</t>
  </si>
  <si>
    <t>UNIT-5/1BHK/CONNECTOR BOX/25F</t>
  </si>
  <si>
    <t>UNIT-6/1BHK/CONNECTOR BOX/25F</t>
  </si>
  <si>
    <t>UNIT-1/1BHK/CONNECTOR BOX/24F</t>
  </si>
  <si>
    <t>UNIT-2/1BHK/CONNECTOR BOX/24F</t>
  </si>
  <si>
    <t>UNIT-3/1BHK/CONNECTOR BOX/24F</t>
  </si>
  <si>
    <t>UNIT-4/1BHK/CONNECTOR BOX/24F</t>
  </si>
  <si>
    <t>UNIT-5/1BHK/CONNECTOR BOX/24F</t>
  </si>
  <si>
    <t>UNIT-6/1BHK/CONNECTOR BOX/24F</t>
  </si>
  <si>
    <t>AX21/4538_STR(1006 MTR)</t>
  </si>
  <si>
    <t>UNIT-1/1BHK/CONNECTOR BOX/23F</t>
  </si>
  <si>
    <t>UNIT-2/1BHK/CONNECTOR BOX/23F</t>
  </si>
  <si>
    <t>UNIT-3/1BHK/CONNECTOR BOX/23F</t>
  </si>
  <si>
    <t>UNIT-4/1BHK/CONNECTOR BOX/23F</t>
  </si>
  <si>
    <t>UNIT-5/1BHK/CONNECTOR BOX/23F</t>
  </si>
  <si>
    <t>UNIT-6/1BHK/CONNECTOR BOX/23F</t>
  </si>
  <si>
    <t>UNIT-1/1BHK/CONNECTOR BOX/22F</t>
  </si>
  <si>
    <t>UNIT-2/1BHK/CONNECTOR BOX/22F</t>
  </si>
  <si>
    <t>UNIT-3/1BHK/CONNECTOR BOX/22F</t>
  </si>
  <si>
    <t>UNIT-4/1BHK/CONNECTOR BOX/22F</t>
  </si>
  <si>
    <t>UNIT-5/1BHK/CONNECTOR BOX/22F</t>
  </si>
  <si>
    <t>METERING PANEL-5/TOWER-3 (BUILDINIG-3)</t>
  </si>
  <si>
    <t>METERING PANEL-5/TOWER-3</t>
  </si>
  <si>
    <t>UNIT-6/1BHK/CONNECTOR BOX/22F</t>
  </si>
  <si>
    <t>AX21/3084</t>
  </si>
  <si>
    <t>UNIT-1/2BHK/CONNECTOR BOX/21F</t>
  </si>
  <si>
    <t>UNIT-2/2BHK/CONNECTOR BOX/21F</t>
  </si>
  <si>
    <t>AX21/3706</t>
  </si>
  <si>
    <t>UNIT-3/2BHK/CONNECTOR BOX/21F</t>
  </si>
  <si>
    <t>UNIT-4/2BHK/CONNECTOR BOX/21F</t>
  </si>
  <si>
    <t>UNIT-5/1BHK/CONNECTOR BOX/21F</t>
  </si>
  <si>
    <t>AX21/4322</t>
  </si>
  <si>
    <t>UNIT-6/1BHK/CONNECTOR BOX/21F</t>
  </si>
  <si>
    <t>UNIT-1/2BHK/CONNECTOR BOX/20F</t>
  </si>
  <si>
    <t>UNIT-2/2BHK/CONNECTOR BOX/20F</t>
  </si>
  <si>
    <t>UNIT-3/2BHK/CONNECTOR BOX/20F</t>
  </si>
  <si>
    <t>UNIT-4/2BHK/CONNECTOR BOX/20F</t>
  </si>
  <si>
    <t>UNIT-5/1BHK/CONNECTOR BOX/20F</t>
  </si>
  <si>
    <t>UNIT-6/1BHK/CONNECTOR BOX/20F</t>
  </si>
  <si>
    <t>UNIT-1/2BHK/CONNECTOR BOX/19F</t>
  </si>
  <si>
    <t>UNIT-2/2BHK/CONNECTOR BOX/19F</t>
  </si>
  <si>
    <t>UNIT-3/2BHK/CONNECTOR BOX/19F</t>
  </si>
  <si>
    <t>UNIT-4/2BHK/CONNECTOR BOX/19F</t>
  </si>
  <si>
    <t>UNIT-5/1BHK/CONNECTOR BOX/19F</t>
  </si>
  <si>
    <t>UNIT-6/1BHK/CONNECTOR BOX/19F</t>
  </si>
  <si>
    <t>UNIT-1/1BHK/CONNECTOR BOX/18F</t>
  </si>
  <si>
    <t>UNIT-2/2BHK/CONNECTOR BOX/18F</t>
  </si>
  <si>
    <t>UNIT-3/2BHK/CONNECTOR BOX/18F</t>
  </si>
  <si>
    <t>UNIT-4/2BHK/CONNECTOR BOX/18F</t>
  </si>
  <si>
    <t>UNIT-5/1BHK/CONNECTOR BOX/18F</t>
  </si>
  <si>
    <t>UNIT-6/1BHK/CONNECTOR BOX/18F</t>
  </si>
  <si>
    <t>AX21/8290(995 MTR)</t>
  </si>
  <si>
    <t>UNIT-1/1BHK/CONNECTOR BOX/17F</t>
  </si>
  <si>
    <t>UNIT-2/2BHK/CONNECTOR BOX/17F</t>
  </si>
  <si>
    <t>UNIT-3/2BHK/CONNECTOR BOX/17F</t>
  </si>
  <si>
    <t>UNIT-4/2BHK/CONNECTOR BOX/17F</t>
  </si>
  <si>
    <t>AX21/8250</t>
  </si>
  <si>
    <t>UNIT-5/1BHK/CONNECTOR BOX/17F</t>
  </si>
  <si>
    <t>UNIT-6/1BHK/CONNECTOR BOX/17F</t>
  </si>
  <si>
    <t>UNIT-1/2BHK/CONNECTOR BOX/16F</t>
  </si>
  <si>
    <t>UNIT-2/2BHK/CONNECTOR BOX/16F</t>
  </si>
  <si>
    <t>UNIT-3/2BHK/CONNECTOR BOX/16F</t>
  </si>
  <si>
    <t>AX21/8342</t>
  </si>
  <si>
    <t>UNIT-4/2BHK/CONNECTOR BOX/16F</t>
  </si>
  <si>
    <t>UNIT-5/1BHK/CONNECTOR BOX/16F</t>
  </si>
  <si>
    <t>UNIT-6/1BHK/CONNECTOR BOX/16F</t>
  </si>
  <si>
    <t>UNIT-1/1BHK/CONNECTOR BOX/15F</t>
  </si>
  <si>
    <t>UNIT-2/1BHK/CONNECTOR BOX/15F</t>
  </si>
  <si>
    <t>UNIT-3/1BHK/CONNECTOR BOX/15F</t>
  </si>
  <si>
    <t>UNIT-4/1BHK/CONNECTOR BOX/15F</t>
  </si>
  <si>
    <t>UNIT-5/1BHK/CONNECTOR BOX/15F</t>
  </si>
  <si>
    <t>UNIT-6/1BHK/CONNECTOR BOX/15F</t>
  </si>
  <si>
    <t>UNIT-1/1BHK/CONNECTOR BOX/14F</t>
  </si>
  <si>
    <t>UNIT-2/1BHK/CONNECTOR BOX/14F</t>
  </si>
  <si>
    <t>UNIT-3/1BHK/CONNECTOR BOX/14F</t>
  </si>
  <si>
    <t>AX21/8344</t>
  </si>
  <si>
    <t>UNIT-4/1BHK/CONNECTOR BOX/14F</t>
  </si>
  <si>
    <t>UNIT-5/1BHK/CONNECTOR BOX/14F</t>
  </si>
  <si>
    <t>UNIT-6/1BHK/CONNECTOR BOX/14F</t>
  </si>
  <si>
    <t>UNIT-1/1BHK/CONNECTOR BOX/13F</t>
  </si>
  <si>
    <t>UNIT-2/1BHK/CONNECTOR BOX/13F</t>
  </si>
  <si>
    <t>UNIT-3/1BHK/CONNECTOR BOX/13F</t>
  </si>
  <si>
    <t>UNIT-4/1BHK/CONNECTOR BOX/13F</t>
  </si>
  <si>
    <t>UNIT-5/1BHK/CONNECTOR BOX/13F</t>
  </si>
  <si>
    <t>UNIT-6/1BHK/CONNECTOR BOX/13F</t>
  </si>
  <si>
    <t>UNIT-1/1BHK/CONNECTOR BOX/12F</t>
  </si>
  <si>
    <t>UNIT-2/1BHK/CONNECTOR BOX/12F</t>
  </si>
  <si>
    <t>UNIT-3/1BHK/CONNECTOR BOX/12F</t>
  </si>
  <si>
    <t>AX21/8290</t>
  </si>
  <si>
    <t>UNIT-4/1BHK/CONNECTOR BOX/12F</t>
  </si>
  <si>
    <t>UNIT-5/1BHK/CONNECTOR BOX/12F</t>
  </si>
  <si>
    <t>UNIT-6/1BHK/CONNECTOR BOX/12F</t>
  </si>
  <si>
    <t>UNIT-1/1BHK/CONNECTOR BOX/11F</t>
  </si>
  <si>
    <t>UNIT-2/1BHK/CONNECTOR BOX/11F</t>
  </si>
  <si>
    <t>UNIT-3/1BHK/CONNECTOR BOX/11F</t>
  </si>
  <si>
    <t>UNIT-4/1BHK/CONNECTOR BOX/11F</t>
  </si>
  <si>
    <t>UNIT-5/1BHK/CONNECTOR BOX/11F</t>
  </si>
  <si>
    <t>METERING PANEL-3/TOWER-3 (BUILDINIG-3)</t>
  </si>
  <si>
    <t>AX21/8345</t>
  </si>
  <si>
    <t>UNIT-6/1BHK/CONNECTOR BOX/11F</t>
  </si>
  <si>
    <t>AX21/8281</t>
  </si>
  <si>
    <t>UNIT-1/1BHK/CONNECTOR BOX/10F</t>
  </si>
  <si>
    <t>UNIT-2/1BHK/CONNECTOR BOX/10F</t>
  </si>
  <si>
    <t>UNIT-3/1BHK/CONNECTOR BOX/10F</t>
  </si>
  <si>
    <t>UNIT-4/1BHK/CONNECTOR BOX/10F</t>
  </si>
  <si>
    <t>UNIT-5/1BHK/CONNECTOR BOX/10F</t>
  </si>
  <si>
    <t>UNIT-6/1BHK/CONNECTOR BOX/10F</t>
  </si>
  <si>
    <t>UNIT-1/1BHK/CONNECTOR BOX/9F</t>
  </si>
  <si>
    <t>AX21/8280</t>
  </si>
  <si>
    <t>UNIT-2/1BHK/CONNECTOR BOX/9F</t>
  </si>
  <si>
    <t>UNIT-3/1BHK/CONNECTOR BOX/9F</t>
  </si>
  <si>
    <t>UNIT-4/1BHK/CONNECTOR BOX/9F</t>
  </si>
  <si>
    <t>UNIT-5/1BHK/CONNECTOR BOX/9F</t>
  </si>
  <si>
    <t>UNIT-6/1BHK/CONNECTOR BOX/9F</t>
  </si>
  <si>
    <t>UNIT-1/1BHK/CONNECTOR BOX/8F</t>
  </si>
  <si>
    <t>UNIT-2/1BHK/CONNECTOR BOX/8F</t>
  </si>
  <si>
    <t>UNIT-3/1BHK/CONNECTOR BOX/8F</t>
  </si>
  <si>
    <t>UNIT-4/1BHK/CONNECTOR BOX/8F</t>
  </si>
  <si>
    <t>UNIT-5/1BHK/CONNECTOR BOX/8F</t>
  </si>
  <si>
    <t>UNIT-6/1BHK/CONNECTOR BOX/8F</t>
  </si>
  <si>
    <t>UNIT-1/1BHK/CONNECTOR BOX/7F</t>
  </si>
  <si>
    <t>UNIT-2/1BHK/CONNECTOR BOX/7F</t>
  </si>
  <si>
    <t>UNIT-3/1BHK/CONNECTOR BOX/7F</t>
  </si>
  <si>
    <t>UNIT-4/1BHK/CONNECTOR BOX/7F</t>
  </si>
  <si>
    <t>UNIT-5/1BHK/CONNECTOR BOX/7F</t>
  </si>
  <si>
    <t>UNIT-6/1BHK/CONNECTOR BOX/7F</t>
  </si>
  <si>
    <t>UNIT-1/1BHK/CONNECTOR BOX/6F</t>
  </si>
  <si>
    <t>UNIT-2/1BHK/CONNECTOR BOX/6F</t>
  </si>
  <si>
    <t>UNIT-3/1BHK/CONNECTOR BOX/6F</t>
  </si>
  <si>
    <t>UNIT-4/1BHK/CONNECTOR BOX/6F</t>
  </si>
  <si>
    <t>UNIT-5/1BHK/CONNECTOR BOX/6F</t>
  </si>
  <si>
    <t>UNIT-6/1BHK/CONNECTOR BOX/6F</t>
  </si>
  <si>
    <t>UNIT-1/1BHK/CONNECTOR BOX/5F</t>
  </si>
  <si>
    <t>UNIT-2/1BHK/CONNECTOR BOX/5F</t>
  </si>
  <si>
    <t>UNIT-3/1BHK/CONNECTOR BOX/5F</t>
  </si>
  <si>
    <t>UNIT-4/1BHK/CONNECTOR BOX/5F</t>
  </si>
  <si>
    <t>UNIT-5/1BHK/CONNECTOR BOX/5F</t>
  </si>
  <si>
    <t>UNIT-6/1BHK/CONNECTOR BOX/5F</t>
  </si>
  <si>
    <t>UNIT-1/1BHK/CONNECTOR BOX/4F</t>
  </si>
  <si>
    <t>UNIT-2/1BHK/CONNECTOR BOX/4F</t>
  </si>
  <si>
    <t>UNIT-3/1BHK/CONNECTOR BOX/4F</t>
  </si>
  <si>
    <t>UNIT-4/1BHK/CONNECTOR BOX/4F</t>
  </si>
  <si>
    <t>UNIT-5/1BHK/CONNECTOR BOX/4F</t>
  </si>
  <si>
    <t>UNIT-6/1BHK/CONNECTOR BOX/4F</t>
  </si>
  <si>
    <t>UNIT-1/1BHK/CONNECTOR BOX/3F</t>
  </si>
  <si>
    <t>UNIT-2/1BHK/CONNECTOR BOX/3F</t>
  </si>
  <si>
    <t>UNIT-3/1BHK/CONNECTOR BOX/3F</t>
  </si>
  <si>
    <t>UNIT-4/1BHK/CONNECTOR BOX/3F</t>
  </si>
  <si>
    <t>UNIT-5/1BHK/CONNECTOR BOX/3F</t>
  </si>
  <si>
    <t>UNIT-6/1BHK/CONNECTOR BOX/3F</t>
  </si>
  <si>
    <t>UNIT-1/1BHK/CONNECTOR BOX/2F</t>
  </si>
  <si>
    <t>UNIT-2/1BHK/CONNECTOR BOX/2F</t>
  </si>
  <si>
    <t>UNIT-3/1BHK/CONNECTOR BOX/2F</t>
  </si>
  <si>
    <t>UNIT-4/1BHK/CONNECTOR BOX/2F</t>
  </si>
  <si>
    <t>AX21/4700</t>
  </si>
  <si>
    <t>UNIT-5/1BHK/CONNECTOR BOX/2F</t>
  </si>
  <si>
    <t>AX21/3707</t>
  </si>
  <si>
    <t>UNIT-6/1BHK/CONNECTOR BOX/2F</t>
  </si>
  <si>
    <t>UNIT-1/1BHK/CONNECTOR BOX/1F</t>
  </si>
  <si>
    <t>UNIT-2/1BHK/CONNECTOR BOX/1F</t>
  </si>
  <si>
    <t>UNIT-3/1BHK/CONNECTOR BOX/1F</t>
  </si>
  <si>
    <t>UNIT-4/1BHK/CONNECTOR BOX/1F</t>
  </si>
  <si>
    <t>UNIT-5/1BHK/CONNECTOR BOX/1F</t>
  </si>
  <si>
    <t>UNIT-6/1BHK/CONNECTOR BOX/1F</t>
  </si>
  <si>
    <t>UNIT-1/1BHK/CONNECTOR BOX/GF</t>
  </si>
  <si>
    <t>UNIT-2/1BHK/CONNECTOR BOX/GF</t>
  </si>
  <si>
    <t>UNIT-3/1BHK/CONNECTOR BOX/GF</t>
  </si>
  <si>
    <t>UNIT-4/1BHK/CONNECTOR BOX/GF</t>
  </si>
  <si>
    <t>UNIT-5/1BHK/CONNECTOR BOX/GF</t>
  </si>
  <si>
    <t>SUBJ : 0.7M X 0.75M X 1.2M chamber installation</t>
  </si>
  <si>
    <t xml:space="preserve">HUME PIPE -1 </t>
  </si>
  <si>
    <t>NOS</t>
  </si>
  <si>
    <t>HUME PIPE -2</t>
  </si>
  <si>
    <t>EXCAVATION WORK</t>
  </si>
  <si>
    <t>0.9*1.2*14.7</t>
  </si>
  <si>
    <t>CU.M</t>
  </si>
  <si>
    <t xml:space="preserve">19MM DIA CLASS B COPPER PLATE OF SIZE 600 X 600 X3 MM THICK FILLING WITH SALT AND CHARCAOL,WITH 450 X450 X 350MM </t>
  </si>
  <si>
    <t xml:space="preserve">SIZE 600 X 600 X3 MM </t>
  </si>
  <si>
    <t>Bill Qty</t>
  </si>
  <si>
    <t xml:space="preserve">DATE </t>
  </si>
  <si>
    <t xml:space="preserve">QTY </t>
  </si>
  <si>
    <t xml:space="preserve">300MM HUME PIPE </t>
  </si>
  <si>
    <t>13.07.23</t>
  </si>
  <si>
    <t>ISSUE SLIP N0</t>
  </si>
  <si>
    <t>CU PLATE</t>
  </si>
  <si>
    <t>15.07.23</t>
  </si>
  <si>
    <t xml:space="preserve">   ISSUSED SLIP </t>
  </si>
  <si>
    <t>Date: 10/07/23</t>
  </si>
  <si>
    <t>Date: 20/07/2023</t>
  </si>
  <si>
    <t>PAN No: AAECS5022R</t>
  </si>
  <si>
    <t>Civil  Installation Work</t>
  </si>
  <si>
    <t>Rupees Fifty Nine Thousand Six Hundred Twenty Seven only.</t>
  </si>
  <si>
    <t>26.07-23</t>
  </si>
</sst>
</file>

<file path=xl/styles.xml><?xml version="1.0" encoding="utf-8"?>
<styleSheet xmlns="http://schemas.openxmlformats.org/spreadsheetml/2006/main">
  <numFmts count="1">
    <numFmt numFmtId="164" formatCode="_ * #,##0.00_ ;_ * \-#,##0.00_ ;_ * &quot;-&quot;??_ ;_ @_ "/>
  </numFmts>
  <fonts count="30">
    <font>
      <sz val="11"/>
      <color rgb="FF000000"/>
      <name val="Calibri"/>
    </font>
    <font>
      <b/>
      <i/>
      <sz val="12"/>
      <color rgb="FF000000"/>
      <name val="Calibri"/>
    </font>
    <font>
      <sz val="11"/>
      <name val="Calibri"/>
    </font>
    <font>
      <i/>
      <sz val="11"/>
      <color rgb="FF000000"/>
      <name val="Calibri"/>
    </font>
    <font>
      <b/>
      <i/>
      <sz val="11"/>
      <color rgb="FF000000"/>
      <name val="Calibri"/>
    </font>
    <font>
      <b/>
      <sz val="11"/>
      <color rgb="FF000000"/>
      <name val="Calibri"/>
    </font>
    <font>
      <i/>
      <u/>
      <sz val="11"/>
      <color rgb="FF000000"/>
      <name val="Calibri"/>
    </font>
    <font>
      <i/>
      <sz val="12"/>
      <color rgb="FF000000"/>
      <name val="Calibri"/>
    </font>
    <font>
      <b/>
      <sz val="11"/>
      <color rgb="FFFF0000"/>
      <name val="Calibri"/>
    </font>
    <font>
      <sz val="14"/>
      <color rgb="FF000000"/>
      <name val="Calibri"/>
    </font>
    <font>
      <sz val="14"/>
      <color rgb="FFFF0000"/>
      <name val="Calibri"/>
    </font>
    <font>
      <b/>
      <sz val="12"/>
      <color rgb="FF000000"/>
      <name val="Calibri"/>
    </font>
    <font>
      <sz val="12"/>
      <color rgb="FF000000"/>
      <name val="Calibri"/>
    </font>
    <font>
      <sz val="10"/>
      <color rgb="FF000000"/>
      <name val="Calibri"/>
    </font>
    <font>
      <sz val="20"/>
      <color rgb="FF000000"/>
      <name val="Calibri"/>
    </font>
    <font>
      <b/>
      <sz val="20"/>
      <color rgb="FF000000"/>
      <name val="Calibri"/>
    </font>
    <font>
      <b/>
      <sz val="20"/>
      <color rgb="FF000000"/>
      <name val="Century Gothic"/>
    </font>
    <font>
      <sz val="20"/>
      <color rgb="FF000000"/>
      <name val="Century Gothic"/>
    </font>
    <font>
      <b/>
      <sz val="11"/>
      <color rgb="FF000000"/>
      <name val="Calibri"/>
      <family val="2"/>
    </font>
    <font>
      <b/>
      <sz val="12"/>
      <color rgb="FF000000"/>
      <name val="Calibri"/>
      <family val="2"/>
    </font>
    <font>
      <sz val="11"/>
      <color rgb="FF000000"/>
      <name val="Calibri"/>
      <family val="2"/>
    </font>
    <font>
      <sz val="12"/>
      <color rgb="FF000000"/>
      <name val="Calibri"/>
      <family val="2"/>
    </font>
    <font>
      <b/>
      <i/>
      <sz val="16"/>
      <color rgb="FF000000"/>
      <name val="Calibri"/>
      <family val="2"/>
    </font>
    <font>
      <sz val="16"/>
      <name val="Calibri"/>
      <family val="2"/>
    </font>
    <font>
      <sz val="16"/>
      <color rgb="FF000000"/>
      <name val="Calibri"/>
      <family val="2"/>
    </font>
    <font>
      <sz val="16"/>
      <color rgb="FF000000"/>
      <name val="Century Gothic"/>
      <family val="2"/>
    </font>
    <font>
      <b/>
      <sz val="20"/>
      <color rgb="FF000000"/>
      <name val="Century Gothic"/>
      <family val="2"/>
    </font>
    <font>
      <sz val="20"/>
      <name val="Calibri"/>
      <family val="2"/>
    </font>
    <font>
      <sz val="20"/>
      <color rgb="FF000000"/>
      <name val="Calibri"/>
      <family val="2"/>
    </font>
    <font>
      <i/>
      <sz val="11"/>
      <color rgb="FF000000"/>
      <name val="Calibri"/>
      <family val="2"/>
    </font>
  </fonts>
  <fills count="11">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ADB9CA"/>
        <bgColor rgb="FFADB9CA"/>
      </patternFill>
    </fill>
    <fill>
      <patternFill patternType="solid">
        <fgColor rgb="FFFFFF00"/>
        <bgColor rgb="FFFFFF00"/>
      </patternFill>
    </fill>
    <fill>
      <patternFill patternType="solid">
        <fgColor rgb="FFB4C6E7"/>
        <bgColor rgb="FFB4C6E7"/>
      </patternFill>
    </fill>
    <fill>
      <patternFill patternType="solid">
        <fgColor rgb="FFBDD6EE"/>
        <bgColor rgb="FFBDD6EE"/>
      </patternFill>
    </fill>
    <fill>
      <patternFill patternType="solid">
        <fgColor rgb="FF92D050"/>
        <bgColor rgb="FF92D050"/>
      </patternFill>
    </fill>
    <fill>
      <patternFill patternType="solid">
        <fgColor rgb="FFC8C8C8"/>
        <bgColor rgb="FFC8C8C8"/>
      </patternFill>
    </fill>
    <fill>
      <patternFill patternType="solid">
        <fgColor rgb="FFE2EFD9"/>
        <bgColor rgb="FFE2EFD9"/>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5">
    <xf numFmtId="0" fontId="0" fillId="0" borderId="0" xfId="0" applyFont="1" applyAlignment="1"/>
    <xf numFmtId="0" fontId="3" fillId="0" borderId="7" xfId="0" applyFont="1" applyBorder="1" applyAlignment="1">
      <alignment vertical="top" wrapText="1"/>
    </xf>
    <xf numFmtId="0" fontId="3" fillId="0" borderId="7" xfId="0" applyFont="1" applyBorder="1" applyAlignment="1">
      <alignment horizontal="left" vertical="top" wrapText="1"/>
    </xf>
    <xf numFmtId="0" fontId="3" fillId="0" borderId="0" xfId="0" applyFont="1" applyAlignment="1">
      <alignment vertical="top" wrapText="1"/>
    </xf>
    <xf numFmtId="0" fontId="3" fillId="0" borderId="8" xfId="0" applyFont="1" applyBorder="1" applyAlignment="1">
      <alignment vertical="top" wrapText="1"/>
    </xf>
    <xf numFmtId="0" fontId="3" fillId="0" borderId="0" xfId="0" applyFont="1" applyAlignment="1">
      <alignment horizontal="left" vertical="top"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xf>
    <xf numFmtId="0" fontId="3" fillId="0" borderId="9" xfId="0" applyFont="1" applyBorder="1" applyAlignment="1">
      <alignment vertical="top" wrapText="1"/>
    </xf>
    <xf numFmtId="0" fontId="3" fillId="0" borderId="12" xfId="0" applyFont="1" applyBorder="1" applyAlignment="1">
      <alignment vertical="top" wrapText="1"/>
    </xf>
    <xf numFmtId="0" fontId="6" fillId="0" borderId="10" xfId="0" applyFont="1" applyBorder="1" applyAlignment="1">
      <alignment horizontal="center" vertical="top" wrapText="1"/>
    </xf>
    <xf numFmtId="0" fontId="3" fillId="0" borderId="10" xfId="0" applyFont="1" applyBorder="1" applyAlignment="1">
      <alignment vertical="top" wrapText="1"/>
    </xf>
    <xf numFmtId="0" fontId="3" fillId="0" borderId="11" xfId="0" applyFont="1" applyBorder="1" applyAlignment="1">
      <alignment vertical="top" wrapText="1"/>
    </xf>
    <xf numFmtId="0" fontId="3" fillId="0" borderId="9" xfId="0" applyFont="1" applyBorder="1" applyAlignment="1">
      <alignment horizontal="center" vertical="center" wrapText="1"/>
    </xf>
    <xf numFmtId="0" fontId="7" fillId="2" borderId="10" xfId="0" applyFont="1" applyFill="1" applyBorder="1" applyAlignment="1">
      <alignment horizontal="center" vertical="center"/>
    </xf>
    <xf numFmtId="0" fontId="3" fillId="0" borderId="10" xfId="0" applyFont="1" applyBorder="1" applyAlignment="1">
      <alignment horizontal="center" vertical="center" wrapText="1"/>
    </xf>
    <xf numFmtId="164" fontId="3" fillId="0" borderId="10" xfId="0" applyNumberFormat="1" applyFont="1" applyBorder="1" applyAlignment="1">
      <alignment horizontal="center" vertical="center" wrapText="1"/>
    </xf>
    <xf numFmtId="164" fontId="3" fillId="0" borderId="11" xfId="0" applyNumberFormat="1" applyFont="1" applyBorder="1" applyAlignment="1">
      <alignment horizontal="center" vertical="center" wrapText="1"/>
    </xf>
    <xf numFmtId="0" fontId="7" fillId="2" borderId="13" xfId="0" applyFont="1" applyFill="1" applyBorder="1" applyAlignment="1">
      <alignment horizontal="center" vertical="center"/>
    </xf>
    <xf numFmtId="0" fontId="3" fillId="0" borderId="11" xfId="0" applyFont="1" applyBorder="1" applyAlignment="1">
      <alignment horizontal="center" vertical="center" wrapText="1"/>
    </xf>
    <xf numFmtId="0" fontId="1" fillId="3" borderId="10" xfId="0" applyFont="1" applyFill="1" applyBorder="1"/>
    <xf numFmtId="164" fontId="1" fillId="3" borderId="10" xfId="0" applyNumberFormat="1" applyFont="1" applyFill="1" applyBorder="1" applyAlignment="1">
      <alignment horizontal="center"/>
    </xf>
    <xf numFmtId="0" fontId="1" fillId="3" borderId="11" xfId="0" applyFont="1" applyFill="1" applyBorder="1"/>
    <xf numFmtId="0" fontId="1" fillId="4" borderId="10" xfId="0" applyFont="1" applyFill="1" applyBorder="1" applyAlignment="1">
      <alignment horizontal="center" vertical="center"/>
    </xf>
    <xf numFmtId="0" fontId="3" fillId="0" borderId="10" xfId="0" applyFont="1" applyBorder="1" applyAlignment="1">
      <alignment horizontal="center" vertical="center"/>
    </xf>
    <xf numFmtId="9" fontId="7" fillId="2" borderId="10" xfId="0" applyNumberFormat="1" applyFont="1" applyFill="1" applyBorder="1" applyAlignment="1">
      <alignment horizontal="center" vertical="center"/>
    </xf>
    <xf numFmtId="0" fontId="7" fillId="0" borderId="10" xfId="0" applyFont="1" applyBorder="1" applyAlignment="1">
      <alignment horizontal="center" vertical="center"/>
    </xf>
    <xf numFmtId="0" fontId="8" fillId="0" borderId="10" xfId="0" applyFont="1" applyBorder="1" applyAlignment="1">
      <alignment horizontal="left" vertical="top" wrapText="1"/>
    </xf>
    <xf numFmtId="0" fontId="9" fillId="0" borderId="10" xfId="0" applyFont="1" applyBorder="1" applyAlignment="1">
      <alignment horizontal="center" vertical="center"/>
    </xf>
    <xf numFmtId="0" fontId="10" fillId="0" borderId="10" xfId="0" applyFont="1" applyBorder="1" applyAlignment="1">
      <alignment horizontal="center" vertical="center"/>
    </xf>
    <xf numFmtId="0" fontId="11" fillId="0" borderId="10" xfId="0" applyFont="1" applyBorder="1" applyAlignment="1">
      <alignment horizontal="center" vertical="center"/>
    </xf>
    <xf numFmtId="0" fontId="0" fillId="0" borderId="10" xfId="0" applyFont="1" applyBorder="1" applyAlignment="1">
      <alignment horizontal="center" vertical="center"/>
    </xf>
    <xf numFmtId="0" fontId="1" fillId="0" borderId="10" xfId="0" applyFont="1" applyBorder="1" applyAlignment="1">
      <alignment horizontal="center" vertical="center"/>
    </xf>
    <xf numFmtId="0" fontId="8" fillId="0" borderId="0" xfId="0" applyFont="1"/>
    <xf numFmtId="0" fontId="12" fillId="0" borderId="0" xfId="0" applyFont="1"/>
    <xf numFmtId="0" fontId="12" fillId="0" borderId="0" xfId="0" applyFont="1" applyAlignment="1">
      <alignment horizontal="center"/>
    </xf>
    <xf numFmtId="0" fontId="13" fillId="0" borderId="0" xfId="0" applyFont="1"/>
    <xf numFmtId="0" fontId="0" fillId="0" borderId="10" xfId="0" applyFont="1" applyBorder="1"/>
    <xf numFmtId="164" fontId="0" fillId="0" borderId="0" xfId="0" applyNumberFormat="1" applyFont="1"/>
    <xf numFmtId="0" fontId="5" fillId="0" borderId="0" xfId="0" applyFont="1"/>
    <xf numFmtId="0" fontId="5" fillId="0" borderId="10" xfId="0" applyFont="1" applyBorder="1" applyAlignment="1">
      <alignment horizontal="center" vertical="center"/>
    </xf>
    <xf numFmtId="0" fontId="0" fillId="0" borderId="0" xfId="0" applyFont="1" applyAlignment="1">
      <alignment horizontal="center" vertical="center"/>
    </xf>
    <xf numFmtId="0" fontId="5" fillId="0" borderId="10" xfId="0" applyFont="1" applyBorder="1"/>
    <xf numFmtId="0" fontId="0" fillId="0" borderId="10" xfId="0" applyFont="1" applyBorder="1" applyAlignment="1">
      <alignment wrapText="1"/>
    </xf>
    <xf numFmtId="0" fontId="0" fillId="5" borderId="10" xfId="0" applyFont="1" applyFill="1" applyBorder="1"/>
    <xf numFmtId="0" fontId="0" fillId="6" borderId="39" xfId="0" applyFont="1" applyFill="1" applyBorder="1"/>
    <xf numFmtId="0" fontId="0" fillId="6" borderId="40" xfId="0" applyFont="1" applyFill="1" applyBorder="1"/>
    <xf numFmtId="0" fontId="0" fillId="6" borderId="40" xfId="0" applyFont="1" applyFill="1" applyBorder="1" applyAlignment="1">
      <alignment wrapText="1"/>
    </xf>
    <xf numFmtId="0" fontId="0" fillId="6" borderId="41" xfId="0" applyFont="1" applyFill="1" applyBorder="1" applyAlignment="1">
      <alignment wrapText="1"/>
    </xf>
    <xf numFmtId="0" fontId="0" fillId="2" borderId="42" xfId="0" applyFont="1" applyFill="1" applyBorder="1"/>
    <xf numFmtId="0" fontId="0" fillId="2" borderId="9" xfId="0" applyFont="1" applyFill="1" applyBorder="1"/>
    <xf numFmtId="0" fontId="0" fillId="2" borderId="10" xfId="0" applyFont="1" applyFill="1" applyBorder="1"/>
    <xf numFmtId="0" fontId="0" fillId="2" borderId="11" xfId="0" applyFont="1" applyFill="1" applyBorder="1"/>
    <xf numFmtId="0" fontId="5" fillId="2" borderId="10" xfId="0" applyFont="1" applyFill="1" applyBorder="1"/>
    <xf numFmtId="0" fontId="5" fillId="2" borderId="11" xfId="0" applyFont="1" applyFill="1" applyBorder="1"/>
    <xf numFmtId="0" fontId="0" fillId="2" borderId="10" xfId="0" applyFont="1" applyFill="1" applyBorder="1" applyAlignment="1">
      <alignment wrapText="1"/>
    </xf>
    <xf numFmtId="0" fontId="0" fillId="2" borderId="11" xfId="0" applyFont="1" applyFill="1" applyBorder="1" applyAlignment="1">
      <alignment wrapText="1"/>
    </xf>
    <xf numFmtId="0" fontId="0" fillId="2" borderId="43" xfId="0" applyFont="1" applyFill="1" applyBorder="1"/>
    <xf numFmtId="0" fontId="0" fillId="2" borderId="44" xfId="0" applyFont="1" applyFill="1" applyBorder="1"/>
    <xf numFmtId="0" fontId="5" fillId="2" borderId="44" xfId="0" applyFont="1" applyFill="1" applyBorder="1"/>
    <xf numFmtId="0" fontId="5" fillId="2" borderId="45" xfId="0" applyFont="1" applyFill="1" applyBorder="1"/>
    <xf numFmtId="0" fontId="0" fillId="0" borderId="39" xfId="0" applyFont="1" applyBorder="1" applyAlignment="1">
      <alignment horizontal="center"/>
    </xf>
    <xf numFmtId="0" fontId="0" fillId="0" borderId="40" xfId="0" applyFont="1" applyBorder="1" applyAlignment="1">
      <alignment horizontal="center"/>
    </xf>
    <xf numFmtId="0" fontId="0" fillId="0" borderId="41" xfId="0"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0" fillId="0" borderId="11"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0" fillId="0" borderId="10" xfId="0" applyFont="1" applyBorder="1" applyAlignment="1">
      <alignment horizontal="center" wrapText="1"/>
    </xf>
    <xf numFmtId="0" fontId="0" fillId="0" borderId="43" xfId="0" applyFont="1" applyBorder="1" applyAlignment="1">
      <alignment horizontal="center"/>
    </xf>
    <xf numFmtId="0" fontId="0" fillId="0" borderId="44" xfId="0" applyFont="1" applyBorder="1" applyAlignment="1">
      <alignment horizontal="center"/>
    </xf>
    <xf numFmtId="0" fontId="5" fillId="0" borderId="45" xfId="0" applyFont="1" applyBorder="1" applyAlignment="1">
      <alignment horizontal="center"/>
    </xf>
    <xf numFmtId="0" fontId="11" fillId="0" borderId="10" xfId="0" applyFont="1" applyBorder="1" applyAlignment="1">
      <alignment vertical="center"/>
    </xf>
    <xf numFmtId="0" fontId="11" fillId="0" borderId="10" xfId="0" applyFont="1" applyBorder="1" applyAlignment="1">
      <alignment vertical="center" wrapText="1"/>
    </xf>
    <xf numFmtId="0" fontId="11" fillId="0" borderId="10" xfId="0" applyFont="1" applyBorder="1"/>
    <xf numFmtId="0" fontId="11" fillId="0" borderId="0" xfId="0" applyFont="1"/>
    <xf numFmtId="0" fontId="0" fillId="0" borderId="10" xfId="0" applyFont="1" applyBorder="1" applyAlignment="1">
      <alignment vertical="center"/>
    </xf>
    <xf numFmtId="0" fontId="14" fillId="0" borderId="0" xfId="0" applyFont="1" applyAlignment="1">
      <alignment horizontal="left"/>
    </xf>
    <xf numFmtId="0" fontId="15" fillId="0" borderId="19" xfId="0" applyFont="1" applyBorder="1" applyAlignment="1">
      <alignment horizontal="left"/>
    </xf>
    <xf numFmtId="0" fontId="15" fillId="0" borderId="10" xfId="0" applyFont="1" applyBorder="1" applyAlignment="1">
      <alignment horizontal="left"/>
    </xf>
    <xf numFmtId="0" fontId="14" fillId="0" borderId="10" xfId="0" applyFont="1" applyBorder="1" applyAlignment="1">
      <alignment horizontal="left"/>
    </xf>
    <xf numFmtId="0" fontId="14" fillId="2" borderId="10" xfId="0" applyFont="1" applyFill="1" applyBorder="1" applyAlignment="1">
      <alignment horizontal="left"/>
    </xf>
    <xf numFmtId="0" fontId="15" fillId="8" borderId="10" xfId="0" applyFont="1" applyFill="1" applyBorder="1" applyAlignment="1">
      <alignment horizontal="left"/>
    </xf>
    <xf numFmtId="0" fontId="16" fillId="2" borderId="36" xfId="0" applyFont="1" applyFill="1" applyBorder="1" applyAlignment="1">
      <alignment horizontal="left" vertical="center" wrapText="1"/>
    </xf>
    <xf numFmtId="0" fontId="16" fillId="2" borderId="37" xfId="0" applyFont="1" applyFill="1" applyBorder="1" applyAlignment="1">
      <alignment horizontal="left" vertical="center" wrapText="1"/>
    </xf>
    <xf numFmtId="0" fontId="16" fillId="2" borderId="13" xfId="0" applyFont="1" applyFill="1" applyBorder="1" applyAlignment="1">
      <alignment horizontal="left" vertical="center" wrapText="1"/>
    </xf>
    <xf numFmtId="0" fontId="15" fillId="0" borderId="0" xfId="0" applyFont="1" applyAlignment="1">
      <alignment horizontal="left"/>
    </xf>
    <xf numFmtId="0" fontId="17" fillId="2" borderId="10" xfId="0" applyFont="1" applyFill="1" applyBorder="1" applyAlignment="1">
      <alignment horizontal="left" vertical="center"/>
    </xf>
    <xf numFmtId="0" fontId="17" fillId="2" borderId="42" xfId="0" applyFont="1" applyFill="1" applyBorder="1" applyAlignment="1">
      <alignment horizontal="left" vertical="center"/>
    </xf>
    <xf numFmtId="0" fontId="17" fillId="2" borderId="10" xfId="0" applyFont="1" applyFill="1" applyBorder="1" applyAlignment="1">
      <alignment horizontal="left" vertical="top"/>
    </xf>
    <xf numFmtId="0" fontId="17" fillId="2" borderId="47" xfId="0" applyFont="1" applyFill="1" applyBorder="1" applyAlignment="1">
      <alignment horizontal="left" vertical="top"/>
    </xf>
    <xf numFmtId="1" fontId="16" fillId="2" borderId="10" xfId="0" applyNumberFormat="1" applyFont="1" applyFill="1" applyBorder="1" applyAlignment="1">
      <alignment horizontal="left" vertical="center"/>
    </xf>
    <xf numFmtId="0" fontId="14" fillId="0" borderId="10" xfId="0" applyFont="1" applyBorder="1" applyAlignment="1">
      <alignment horizontal="left" vertical="center"/>
    </xf>
    <xf numFmtId="0" fontId="14" fillId="2" borderId="10" xfId="0" applyFont="1" applyFill="1" applyBorder="1" applyAlignment="1">
      <alignment horizontal="left" vertical="center"/>
    </xf>
    <xf numFmtId="1" fontId="14" fillId="2" borderId="10" xfId="0" applyNumberFormat="1" applyFont="1" applyFill="1" applyBorder="1" applyAlignment="1">
      <alignment horizontal="left" vertical="center"/>
    </xf>
    <xf numFmtId="0" fontId="16" fillId="2" borderId="10" xfId="0" applyFont="1" applyFill="1" applyBorder="1" applyAlignment="1">
      <alignment horizontal="left" vertical="center"/>
    </xf>
    <xf numFmtId="1" fontId="16" fillId="8" borderId="10" xfId="0" applyNumberFormat="1" applyFont="1" applyFill="1" applyBorder="1" applyAlignment="1">
      <alignment horizontal="left" vertical="center"/>
    </xf>
    <xf numFmtId="0" fontId="17" fillId="2" borderId="10" xfId="0" applyFont="1" applyFill="1" applyBorder="1" applyAlignment="1">
      <alignment horizontal="left"/>
    </xf>
    <xf numFmtId="0" fontId="5" fillId="9" borderId="10" xfId="0" applyFont="1" applyFill="1" applyBorder="1" applyAlignment="1">
      <alignment vertical="center"/>
    </xf>
    <xf numFmtId="0" fontId="5" fillId="9" borderId="10" xfId="0" applyFont="1" applyFill="1" applyBorder="1" applyAlignment="1">
      <alignment horizontal="center" vertical="center"/>
    </xf>
    <xf numFmtId="0" fontId="5" fillId="9" borderId="37" xfId="0" applyFont="1" applyFill="1" applyBorder="1" applyAlignment="1">
      <alignment horizontal="center" vertical="center"/>
    </xf>
    <xf numFmtId="0" fontId="5" fillId="9" borderId="13" xfId="0" applyFont="1" applyFill="1" applyBorder="1" applyAlignment="1">
      <alignment horizontal="center" vertical="center"/>
    </xf>
    <xf numFmtId="0" fontId="5" fillId="10" borderId="36" xfId="0" applyFont="1" applyFill="1" applyBorder="1"/>
    <xf numFmtId="0" fontId="5" fillId="10" borderId="37" xfId="0" applyFont="1" applyFill="1" applyBorder="1"/>
    <xf numFmtId="0" fontId="5" fillId="10" borderId="37" xfId="0" applyFont="1" applyFill="1" applyBorder="1" applyAlignment="1">
      <alignment horizontal="center" vertical="center"/>
    </xf>
    <xf numFmtId="0" fontId="0" fillId="2" borderId="36" xfId="0" applyFont="1" applyFill="1" applyBorder="1" applyAlignment="1">
      <alignment vertical="center"/>
    </xf>
    <xf numFmtId="0" fontId="0" fillId="2" borderId="36" xfId="0" applyFont="1" applyFill="1" applyBorder="1" applyAlignment="1">
      <alignment horizontal="left" vertical="center"/>
    </xf>
    <xf numFmtId="0" fontId="0" fillId="2" borderId="10" xfId="0" applyFont="1" applyFill="1" applyBorder="1" applyAlignment="1">
      <alignment horizontal="center"/>
    </xf>
    <xf numFmtId="0" fontId="0" fillId="2" borderId="10" xfId="0" applyFont="1" applyFill="1" applyBorder="1" applyAlignment="1">
      <alignment horizontal="center" vertical="center"/>
    </xf>
    <xf numFmtId="0" fontId="0" fillId="2" borderId="10" xfId="0" applyFont="1" applyFill="1" applyBorder="1" applyAlignment="1">
      <alignment horizontal="left" vertical="center"/>
    </xf>
    <xf numFmtId="0" fontId="0" fillId="2" borderId="36" xfId="0" applyFont="1" applyFill="1" applyBorder="1" applyAlignment="1">
      <alignment horizontal="center" vertical="center"/>
    </xf>
    <xf numFmtId="0" fontId="0" fillId="5" borderId="37" xfId="0" applyFont="1" applyFill="1" applyBorder="1"/>
    <xf numFmtId="0" fontId="5" fillId="2" borderId="37" xfId="0" applyFont="1" applyFill="1" applyBorder="1"/>
    <xf numFmtId="0" fontId="0" fillId="5" borderId="10" xfId="0" applyFont="1" applyFill="1" applyBorder="1" applyAlignment="1">
      <alignment horizontal="center" vertical="center"/>
    </xf>
    <xf numFmtId="0" fontId="5" fillId="2" borderId="36" xfId="0" applyFont="1" applyFill="1" applyBorder="1"/>
    <xf numFmtId="0" fontId="0" fillId="2" borderId="36" xfId="0" applyFont="1" applyFill="1" applyBorder="1"/>
    <xf numFmtId="0" fontId="0" fillId="2" borderId="37" xfId="0" applyFont="1" applyFill="1" applyBorder="1"/>
    <xf numFmtId="0" fontId="0" fillId="7" borderId="10" xfId="0" applyFont="1" applyFill="1" applyBorder="1"/>
    <xf numFmtId="0" fontId="0" fillId="7" borderId="10" xfId="0" applyFont="1" applyFill="1" applyBorder="1" applyAlignment="1">
      <alignment horizontal="center"/>
    </xf>
    <xf numFmtId="0" fontId="0" fillId="7" borderId="10" xfId="0" applyFont="1" applyFill="1" applyBorder="1" applyAlignment="1">
      <alignment horizontal="center" vertical="center"/>
    </xf>
    <xf numFmtId="0" fontId="0" fillId="7" borderId="42" xfId="0" applyFont="1" applyFill="1" applyBorder="1"/>
    <xf numFmtId="0" fontId="0" fillId="0" borderId="0" xfId="0" applyFont="1" applyAlignment="1"/>
    <xf numFmtId="0" fontId="0" fillId="0" borderId="48" xfId="0" applyFont="1" applyBorder="1" applyAlignment="1"/>
    <xf numFmtId="0" fontId="0" fillId="0" borderId="48" xfId="0" applyBorder="1" applyAlignment="1">
      <alignment horizontal="center" vertical="center"/>
    </xf>
    <xf numFmtId="0" fontId="0" fillId="0" borderId="48" xfId="0" applyFont="1" applyBorder="1" applyAlignment="1">
      <alignment horizontal="center" vertical="center"/>
    </xf>
    <xf numFmtId="0" fontId="0" fillId="0" borderId="10" xfId="0" applyBorder="1" applyAlignment="1">
      <alignment horizontal="center" vertical="center"/>
    </xf>
    <xf numFmtId="0" fontId="0" fillId="0" borderId="48" xfId="0" applyFont="1" applyBorder="1" applyAlignment="1">
      <alignment horizontal="center"/>
    </xf>
    <xf numFmtId="0" fontId="18" fillId="0" borderId="48" xfId="0" applyFont="1" applyBorder="1" applyAlignment="1">
      <alignment horizontal="center" vertical="center"/>
    </xf>
    <xf numFmtId="0" fontId="19" fillId="0" borderId="48" xfId="0" applyFont="1" applyBorder="1" applyAlignment="1">
      <alignment horizontal="center" vertical="center"/>
    </xf>
    <xf numFmtId="0" fontId="19" fillId="0" borderId="0" xfId="0" applyFont="1" applyAlignment="1"/>
    <xf numFmtId="0" fontId="18" fillId="0" borderId="48" xfId="0" applyFont="1" applyBorder="1" applyAlignment="1">
      <alignment vertical="center"/>
    </xf>
    <xf numFmtId="0" fontId="5" fillId="0" borderId="48" xfId="0" applyFont="1" applyBorder="1" applyAlignment="1">
      <alignment horizontal="center" vertical="center"/>
    </xf>
    <xf numFmtId="0" fontId="20" fillId="0" borderId="48" xfId="0" applyFont="1" applyBorder="1" applyAlignment="1"/>
    <xf numFmtId="0" fontId="0" fillId="0" borderId="48" xfId="0" applyFont="1" applyFill="1" applyBorder="1" applyAlignment="1">
      <alignment horizontal="center" vertical="center"/>
    </xf>
    <xf numFmtId="0" fontId="20" fillId="0" borderId="48" xfId="0" applyFont="1" applyBorder="1" applyAlignment="1">
      <alignment horizontal="center" vertical="center"/>
    </xf>
    <xf numFmtId="0" fontId="18" fillId="0" borderId="48" xfId="0" applyFont="1" applyBorder="1" applyAlignment="1"/>
    <xf numFmtId="0" fontId="21" fillId="0" borderId="48" xfId="0" applyFont="1" applyBorder="1" applyAlignment="1">
      <alignment horizontal="center" vertical="center"/>
    </xf>
    <xf numFmtId="0" fontId="5" fillId="0" borderId="42" xfId="0" applyFont="1" applyBorder="1" applyAlignment="1">
      <alignment horizontal="center" vertical="center"/>
    </xf>
    <xf numFmtId="0" fontId="18" fillId="0" borderId="42" xfId="0" applyFont="1" applyBorder="1" applyAlignment="1">
      <alignment horizontal="center" vertical="center"/>
    </xf>
    <xf numFmtId="0" fontId="0" fillId="0" borderId="42" xfId="0" applyFont="1" applyBorder="1" applyAlignment="1"/>
    <xf numFmtId="0" fontId="19" fillId="0" borderId="0" xfId="0" applyFont="1" applyAlignment="1">
      <alignment horizontal="center"/>
    </xf>
    <xf numFmtId="0" fontId="18" fillId="0" borderId="48" xfId="0" applyFont="1" applyBorder="1" applyAlignment="1">
      <alignment horizontal="center"/>
    </xf>
    <xf numFmtId="0" fontId="22" fillId="4" borderId="36" xfId="0" applyFont="1" applyFill="1" applyBorder="1"/>
    <xf numFmtId="0" fontId="22" fillId="4" borderId="37" xfId="0" applyFont="1" applyFill="1" applyBorder="1"/>
    <xf numFmtId="0" fontId="22" fillId="4" borderId="10" xfId="0" applyFont="1" applyFill="1" applyBorder="1" applyAlignment="1">
      <alignment horizontal="left"/>
    </xf>
    <xf numFmtId="0" fontId="22" fillId="4" borderId="10" xfId="0" applyFont="1" applyFill="1" applyBorder="1" applyAlignment="1">
      <alignment horizontal="center" vertical="center"/>
    </xf>
    <xf numFmtId="164" fontId="22" fillId="4" borderId="10" xfId="0" applyNumberFormat="1" applyFont="1" applyFill="1" applyBorder="1" applyAlignment="1">
      <alignment horizontal="center" vertical="center"/>
    </xf>
    <xf numFmtId="0" fontId="24" fillId="0" borderId="0" xfId="0" applyFont="1" applyAlignment="1"/>
    <xf numFmtId="164" fontId="24" fillId="0" borderId="0" xfId="0" applyNumberFormat="1" applyFont="1"/>
    <xf numFmtId="0" fontId="24" fillId="0" borderId="10" xfId="0" applyFont="1" applyBorder="1" applyAlignment="1">
      <alignment vertical="center"/>
    </xf>
    <xf numFmtId="0" fontId="25" fillId="0" borderId="10" xfId="0" applyFont="1" applyBorder="1" applyAlignment="1">
      <alignment vertical="center" wrapText="1"/>
    </xf>
    <xf numFmtId="0" fontId="25" fillId="0" borderId="10" xfId="0" applyFont="1" applyBorder="1" applyAlignment="1">
      <alignment vertical="center"/>
    </xf>
    <xf numFmtId="164" fontId="25" fillId="0" borderId="10" xfId="0" applyNumberFormat="1" applyFont="1" applyBorder="1" applyAlignment="1">
      <alignment vertical="center"/>
    </xf>
    <xf numFmtId="164" fontId="26" fillId="0" borderId="10" xfId="0" applyNumberFormat="1" applyFont="1" applyBorder="1" applyAlignment="1">
      <alignment vertical="center"/>
    </xf>
    <xf numFmtId="0" fontId="28" fillId="0" borderId="10" xfId="0" applyFont="1" applyBorder="1" applyAlignment="1">
      <alignment vertical="center"/>
    </xf>
    <xf numFmtId="0" fontId="20" fillId="0" borderId="48" xfId="0" applyFont="1" applyBorder="1" applyAlignment="1">
      <alignment horizontal="center"/>
    </xf>
    <xf numFmtId="0" fontId="20" fillId="0" borderId="48" xfId="0" applyFont="1" applyFill="1" applyBorder="1" applyAlignment="1">
      <alignment horizontal="center"/>
    </xf>
    <xf numFmtId="0" fontId="0" fillId="0" borderId="48" xfId="0" applyFont="1" applyFill="1" applyBorder="1" applyAlignment="1">
      <alignment horizontal="center"/>
    </xf>
    <xf numFmtId="0" fontId="18" fillId="0" borderId="48" xfId="0" applyFont="1" applyFill="1" applyBorder="1" applyAlignment="1">
      <alignment horizontal="center"/>
    </xf>
    <xf numFmtId="0" fontId="20" fillId="0" borderId="48" xfId="0" applyFont="1" applyBorder="1" applyAlignment="1">
      <alignment horizontal="left" vertical="center"/>
    </xf>
    <xf numFmtId="0" fontId="1" fillId="3" borderId="14" xfId="0" applyFont="1" applyFill="1" applyBorder="1" applyAlignment="1">
      <alignment horizontal="center" vertical="top" wrapText="1"/>
    </xf>
    <xf numFmtId="0" fontId="2" fillId="0" borderId="15" xfId="0" applyFont="1" applyBorder="1"/>
    <xf numFmtId="0" fontId="2" fillId="0" borderId="12" xfId="0" applyFont="1" applyBorder="1"/>
    <xf numFmtId="0" fontId="4" fillId="0" borderId="16" xfId="0" applyFont="1" applyBorder="1" applyAlignment="1">
      <alignment horizontal="left" vertical="top" wrapText="1"/>
    </xf>
    <xf numFmtId="0" fontId="2" fillId="0" borderId="17" xfId="0" applyFont="1" applyBorder="1"/>
    <xf numFmtId="0" fontId="2" fillId="0" borderId="18" xfId="0" applyFont="1" applyBorder="1"/>
    <xf numFmtId="0" fontId="2" fillId="0" borderId="7" xfId="0" applyFont="1" applyBorder="1"/>
    <xf numFmtId="0" fontId="0" fillId="0" borderId="0" xfId="0" applyFont="1" applyAlignment="1"/>
    <xf numFmtId="0" fontId="2" fillId="0" borderId="21" xfId="0" applyFont="1" applyBorder="1"/>
    <xf numFmtId="0" fontId="2" fillId="0" borderId="28" xfId="0" applyFont="1" applyBorder="1"/>
    <xf numFmtId="0" fontId="2" fillId="0" borderId="29" xfId="0" applyFont="1" applyBorder="1"/>
    <xf numFmtId="0" fontId="2" fillId="0" borderId="30" xfId="0" applyFont="1" applyBorder="1"/>
    <xf numFmtId="0" fontId="0" fillId="0" borderId="19" xfId="0" applyFont="1" applyBorder="1" applyAlignment="1">
      <alignment horizontal="center"/>
    </xf>
    <xf numFmtId="0" fontId="2" fillId="0" borderId="20" xfId="0" applyFont="1" applyBorder="1"/>
    <xf numFmtId="0" fontId="0" fillId="0" borderId="22" xfId="0" applyFont="1" applyBorder="1" applyAlignment="1">
      <alignment horizontal="center"/>
    </xf>
    <xf numFmtId="0" fontId="2" fillId="0" borderId="23" xfId="0" applyFont="1" applyBorder="1"/>
    <xf numFmtId="0" fontId="2" fillId="0" borderId="24" xfId="0" applyFont="1" applyBorder="1"/>
    <xf numFmtId="0" fontId="2" fillId="0" borderId="8" xfId="0" applyFont="1" applyBorder="1"/>
    <xf numFmtId="0" fontId="2" fillId="0" borderId="25" xfId="0" applyFont="1" applyBorder="1"/>
    <xf numFmtId="0" fontId="2" fillId="0" borderId="26" xfId="0" applyFont="1" applyBorder="1"/>
    <xf numFmtId="0" fontId="2" fillId="0" borderId="27" xfId="0" applyFont="1" applyBorder="1"/>
    <xf numFmtId="0" fontId="0" fillId="0" borderId="31" xfId="0" applyFont="1" applyBorder="1" applyAlignment="1">
      <alignment horizontal="center"/>
    </xf>
    <xf numFmtId="0" fontId="2" fillId="0" borderId="32" xfId="0" applyFont="1" applyBorder="1"/>
    <xf numFmtId="0" fontId="2" fillId="0" borderId="33" xfId="0" applyFont="1" applyBorder="1"/>
    <xf numFmtId="0" fontId="3" fillId="0" borderId="7" xfId="0" applyFont="1" applyBorder="1" applyAlignment="1">
      <alignment vertical="top" wrapText="1"/>
    </xf>
    <xf numFmtId="0" fontId="3" fillId="0" borderId="7" xfId="0" applyFont="1" applyBorder="1" applyAlignment="1">
      <alignment horizontal="center" vertical="top" wrapText="1"/>
    </xf>
    <xf numFmtId="0" fontId="3" fillId="0" borderId="7" xfId="0" applyFont="1" applyBorder="1" applyAlignment="1">
      <alignment horizontal="left" vertical="top" wrapText="1"/>
    </xf>
    <xf numFmtId="0" fontId="29" fillId="0" borderId="7" xfId="0" applyFont="1" applyBorder="1" applyAlignment="1">
      <alignment horizontal="left" vertical="top" wrapText="1"/>
    </xf>
    <xf numFmtId="0" fontId="1" fillId="0" borderId="1" xfId="0" applyFont="1" applyBorder="1" applyAlignment="1">
      <alignment horizontal="center" vertical="top" wrapText="1"/>
    </xf>
    <xf numFmtId="0" fontId="2" fillId="0" borderId="2" xfId="0" applyFont="1" applyBorder="1"/>
    <xf numFmtId="0" fontId="2" fillId="0" borderId="3" xfId="0" applyFont="1" applyBorder="1"/>
    <xf numFmtId="0" fontId="3" fillId="0" borderId="4" xfId="0" applyFont="1" applyBorder="1" applyAlignment="1">
      <alignment vertical="top" wrapText="1"/>
    </xf>
    <xf numFmtId="0" fontId="2" fillId="0" borderId="5" xfId="0" applyFont="1" applyBorder="1"/>
    <xf numFmtId="0" fontId="2" fillId="0" borderId="6" xfId="0" applyFont="1" applyBorder="1"/>
    <xf numFmtId="0" fontId="4" fillId="0" borderId="7" xfId="0" applyFont="1" applyBorder="1" applyAlignment="1">
      <alignment vertical="top" wrapText="1"/>
    </xf>
    <xf numFmtId="0" fontId="1" fillId="4" borderId="19" xfId="0" applyFont="1" applyFill="1" applyBorder="1" applyAlignment="1">
      <alignment horizontal="left"/>
    </xf>
    <xf numFmtId="0" fontId="1" fillId="4" borderId="19" xfId="0" applyFont="1" applyFill="1" applyBorder="1" applyAlignment="1">
      <alignment horizontal="center" vertical="center"/>
    </xf>
    <xf numFmtId="14" fontId="1" fillId="4" borderId="19" xfId="0" applyNumberFormat="1" applyFont="1" applyFill="1" applyBorder="1" applyAlignment="1">
      <alignment horizontal="center"/>
    </xf>
    <xf numFmtId="0" fontId="1" fillId="4" borderId="19" xfId="0" applyFont="1" applyFill="1" applyBorder="1" applyAlignment="1">
      <alignment horizontal="center"/>
    </xf>
    <xf numFmtId="0" fontId="1" fillId="4" borderId="34" xfId="0" applyFont="1" applyFill="1" applyBorder="1" applyAlignment="1">
      <alignment horizontal="center" vertical="center"/>
    </xf>
    <xf numFmtId="0" fontId="2" fillId="0" borderId="35" xfId="0" applyFont="1" applyBorder="1"/>
    <xf numFmtId="0" fontId="12" fillId="0" borderId="0" xfId="0" applyFont="1" applyAlignment="1">
      <alignment horizontal="right"/>
    </xf>
    <xf numFmtId="0" fontId="22" fillId="4" borderId="19" xfId="0" applyFont="1" applyFill="1" applyBorder="1" applyAlignment="1">
      <alignment horizontal="center"/>
    </xf>
    <xf numFmtId="0" fontId="23" fillId="0" borderId="15" xfId="0" applyFont="1" applyBorder="1"/>
    <xf numFmtId="0" fontId="23" fillId="0" borderId="12" xfId="0" applyFont="1" applyBorder="1"/>
    <xf numFmtId="0" fontId="22" fillId="4" borderId="34" xfId="0" applyFont="1" applyFill="1" applyBorder="1" applyAlignment="1">
      <alignment horizontal="center" vertical="center"/>
    </xf>
    <xf numFmtId="0" fontId="23" fillId="0" borderId="35" xfId="0" applyFont="1" applyBorder="1"/>
    <xf numFmtId="0" fontId="22" fillId="4" borderId="19" xfId="0" applyFont="1" applyFill="1" applyBorder="1" applyAlignment="1">
      <alignment horizontal="center" vertical="center"/>
    </xf>
    <xf numFmtId="0" fontId="26" fillId="0" borderId="19" xfId="0" applyFont="1" applyBorder="1" applyAlignment="1">
      <alignment horizontal="center" vertical="center" wrapText="1"/>
    </xf>
    <xf numFmtId="0" fontId="27" fillId="0" borderId="15" xfId="0" applyFont="1" applyBorder="1" applyAlignment="1">
      <alignment vertical="center"/>
    </xf>
    <xf numFmtId="0" fontId="27" fillId="0" borderId="12" xfId="0" applyFont="1" applyBorder="1" applyAlignment="1">
      <alignment vertical="center"/>
    </xf>
    <xf numFmtId="0" fontId="22" fillId="4" borderId="19" xfId="0" applyFont="1" applyFill="1" applyBorder="1" applyAlignment="1">
      <alignment horizontal="left"/>
    </xf>
    <xf numFmtId="14" fontId="22" fillId="4" borderId="19" xfId="0" applyNumberFormat="1" applyFont="1" applyFill="1" applyBorder="1" applyAlignment="1">
      <alignment horizontal="center"/>
    </xf>
    <xf numFmtId="0" fontId="18" fillId="0" borderId="48" xfId="0" applyFont="1" applyBorder="1" applyAlignment="1">
      <alignment horizontal="center" vertical="center"/>
    </xf>
    <xf numFmtId="0" fontId="5" fillId="0" borderId="48" xfId="0" applyFont="1" applyBorder="1" applyAlignment="1">
      <alignment horizontal="center" vertical="center"/>
    </xf>
    <xf numFmtId="0" fontId="19" fillId="0" borderId="48" xfId="0" applyFont="1" applyBorder="1" applyAlignment="1">
      <alignment horizontal="center"/>
    </xf>
    <xf numFmtId="0" fontId="0" fillId="0" borderId="47" xfId="0" applyFont="1" applyBorder="1" applyAlignment="1">
      <alignment horizontal="center" vertical="center"/>
    </xf>
    <xf numFmtId="0" fontId="0" fillId="0" borderId="38" xfId="0" applyFont="1" applyBorder="1" applyAlignment="1">
      <alignment horizontal="center" vertical="center"/>
    </xf>
    <xf numFmtId="0" fontId="0" fillId="0" borderId="35" xfId="0" applyFont="1" applyBorder="1" applyAlignment="1">
      <alignment horizontal="center" vertical="center"/>
    </xf>
    <xf numFmtId="0" fontId="5" fillId="0" borderId="19" xfId="0" applyFont="1" applyBorder="1" applyAlignment="1">
      <alignment horizontal="center"/>
    </xf>
    <xf numFmtId="0" fontId="2" fillId="0" borderId="47" xfId="0" applyFont="1" applyBorder="1" applyAlignment="1">
      <alignment horizontal="center" vertical="center"/>
    </xf>
    <xf numFmtId="0" fontId="2" fillId="0" borderId="38" xfId="0" applyFont="1" applyBorder="1" applyAlignment="1">
      <alignment horizontal="center" vertical="center"/>
    </xf>
    <xf numFmtId="0" fontId="2" fillId="0" borderId="35" xfId="0" applyFont="1" applyBorder="1" applyAlignment="1">
      <alignment horizontal="center" vertical="center"/>
    </xf>
    <xf numFmtId="0" fontId="0" fillId="0" borderId="47" xfId="0" applyBorder="1" applyAlignment="1">
      <alignment horizontal="center" vertical="center"/>
    </xf>
    <xf numFmtId="0" fontId="0" fillId="0" borderId="38" xfId="0" applyBorder="1" applyAlignment="1">
      <alignment horizontal="center" vertical="center"/>
    </xf>
    <xf numFmtId="0" fontId="0" fillId="0" borderId="52" xfId="0" applyBorder="1" applyAlignment="1">
      <alignment horizontal="center" vertical="center"/>
    </xf>
    <xf numFmtId="0" fontId="0" fillId="0" borderId="51" xfId="0" applyBorder="1" applyAlignment="1">
      <alignment horizontal="center" vertical="center"/>
    </xf>
    <xf numFmtId="0" fontId="0" fillId="0" borderId="53" xfId="0" applyBorder="1" applyAlignment="1">
      <alignment horizontal="center" vertical="center"/>
    </xf>
    <xf numFmtId="0" fontId="18" fillId="0" borderId="49" xfId="0" applyFont="1" applyBorder="1" applyAlignment="1">
      <alignment horizontal="center"/>
    </xf>
    <xf numFmtId="0" fontId="18" fillId="0" borderId="50" xfId="0" applyFont="1" applyBorder="1" applyAlignment="1">
      <alignment horizontal="center"/>
    </xf>
    <xf numFmtId="0" fontId="0" fillId="0" borderId="48" xfId="0" applyFont="1" applyBorder="1" applyAlignment="1">
      <alignment horizontal="center" wrapText="1"/>
    </xf>
    <xf numFmtId="0" fontId="18" fillId="0" borderId="48" xfId="0" applyFont="1" applyBorder="1" applyAlignment="1">
      <alignment horizontal="center"/>
    </xf>
    <xf numFmtId="0" fontId="5" fillId="7" borderId="19" xfId="0" applyFont="1" applyFill="1" applyBorder="1" applyAlignment="1">
      <alignment horizontal="center"/>
    </xf>
    <xf numFmtId="0" fontId="11" fillId="0" borderId="19" xfId="0" applyFont="1" applyBorder="1" applyAlignment="1">
      <alignment horizontal="left" vertical="center"/>
    </xf>
    <xf numFmtId="0" fontId="5" fillId="0" borderId="19" xfId="0" applyFont="1" applyBorder="1" applyAlignment="1">
      <alignment horizontal="left"/>
    </xf>
    <xf numFmtId="0" fontId="0" fillId="0" borderId="34" xfId="0" applyFont="1" applyBorder="1" applyAlignment="1">
      <alignment vertical="center"/>
    </xf>
    <xf numFmtId="0" fontId="2" fillId="0" borderId="38" xfId="0" applyFont="1" applyBorder="1"/>
    <xf numFmtId="0" fontId="14" fillId="0" borderId="19" xfId="0" applyFont="1" applyBorder="1" applyAlignment="1">
      <alignment horizontal="left"/>
    </xf>
    <xf numFmtId="0" fontId="17" fillId="2" borderId="34" xfId="0" applyFont="1" applyFill="1" applyBorder="1" applyAlignment="1">
      <alignment horizontal="left" vertical="center"/>
    </xf>
    <xf numFmtId="0" fontId="17" fillId="2" borderId="19" xfId="0" applyFont="1" applyFill="1" applyBorder="1" applyAlignment="1">
      <alignment horizontal="left" vertical="center"/>
    </xf>
    <xf numFmtId="0" fontId="15" fillId="0" borderId="19" xfId="0" applyFont="1" applyBorder="1" applyAlignment="1">
      <alignment horizontal="left"/>
    </xf>
    <xf numFmtId="0" fontId="16" fillId="2" borderId="19" xfId="0" applyFont="1" applyFill="1" applyBorder="1" applyAlignment="1">
      <alignment horizontal="left" vertical="center"/>
    </xf>
    <xf numFmtId="0" fontId="15" fillId="0" borderId="15" xfId="0" applyFont="1" applyBorder="1" applyAlignment="1">
      <alignment horizontal="left"/>
    </xf>
    <xf numFmtId="0" fontId="16" fillId="2" borderId="19" xfId="0" applyFont="1" applyFill="1" applyBorder="1" applyAlignment="1">
      <alignment horizontal="left" vertical="center" wrapText="1"/>
    </xf>
    <xf numFmtId="0" fontId="17" fillId="2" borderId="34" xfId="0" applyFont="1" applyFill="1" applyBorder="1" applyAlignment="1">
      <alignment horizontal="left" vertical="top"/>
    </xf>
    <xf numFmtId="0" fontId="14" fillId="0" borderId="22" xfId="0" applyFont="1" applyBorder="1" applyAlignment="1">
      <alignment horizontal="left"/>
    </xf>
    <xf numFmtId="0" fontId="2" fillId="0" borderId="46" xfId="0" applyFont="1" applyBorder="1"/>
    <xf numFmtId="0" fontId="14" fillId="0" borderId="22" xfId="0" applyFont="1" applyBorder="1" applyAlignment="1">
      <alignment horizontal="left" vertical="center"/>
    </xf>
    <xf numFmtId="0" fontId="14" fillId="2" borderId="19" xfId="0" applyFont="1" applyFill="1" applyBorder="1" applyAlignment="1">
      <alignment horizontal="left"/>
    </xf>
    <xf numFmtId="0" fontId="14" fillId="0" borderId="19" xfId="0" applyFont="1" applyBorder="1" applyAlignment="1">
      <alignment horizontal="left" vertical="center"/>
    </xf>
    <xf numFmtId="0" fontId="14" fillId="0" borderId="19" xfId="0" applyFont="1" applyBorder="1" applyAlignment="1">
      <alignment horizontal="left" wrapText="1"/>
    </xf>
    <xf numFmtId="0" fontId="0" fillId="0" borderId="48" xfId="0"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K101"/>
  <sheetViews>
    <sheetView topLeftCell="A49" workbookViewId="0">
      <selection activeCell="A9" sqref="A9:C9"/>
    </sheetView>
  </sheetViews>
  <sheetFormatPr defaultColWidth="14.42578125" defaultRowHeight="15" customHeight="1"/>
  <cols>
    <col min="1" max="1" width="6.42578125" customWidth="1"/>
    <col min="2" max="2" width="6.28515625" customWidth="1"/>
    <col min="3" max="3" width="42.28515625" customWidth="1"/>
    <col min="4" max="6" width="13.7109375" customWidth="1"/>
    <col min="7" max="11" width="8.7109375" customWidth="1"/>
  </cols>
  <sheetData>
    <row r="1" spans="1:6" s="124" customFormat="1" ht="15" customHeight="1"/>
    <row r="3" spans="1:6">
      <c r="A3" s="191" t="s">
        <v>0</v>
      </c>
      <c r="B3" s="192"/>
      <c r="C3" s="192"/>
      <c r="D3" s="192"/>
      <c r="E3" s="192"/>
      <c r="F3" s="193"/>
    </row>
    <row r="4" spans="1:6">
      <c r="A4" s="194" t="s">
        <v>1</v>
      </c>
      <c r="B4" s="195"/>
      <c r="C4" s="196"/>
      <c r="D4" s="194"/>
      <c r="E4" s="195"/>
      <c r="F4" s="196"/>
    </row>
    <row r="5" spans="1:6">
      <c r="A5" s="187" t="s">
        <v>2</v>
      </c>
      <c r="B5" s="170"/>
      <c r="C5" s="180"/>
      <c r="D5" s="189" t="s">
        <v>3</v>
      </c>
      <c r="E5" s="170"/>
      <c r="F5" s="180"/>
    </row>
    <row r="6" spans="1:6">
      <c r="A6" s="187" t="s">
        <v>4</v>
      </c>
      <c r="B6" s="170"/>
      <c r="C6" s="180"/>
      <c r="D6" s="189" t="s">
        <v>1031</v>
      </c>
      <c r="E6" s="170"/>
      <c r="F6" s="180"/>
    </row>
    <row r="7" spans="1:6" ht="15" customHeight="1">
      <c r="A7" s="187" t="s">
        <v>5</v>
      </c>
      <c r="B7" s="170"/>
      <c r="C7" s="180"/>
      <c r="D7" s="189" t="s">
        <v>6</v>
      </c>
      <c r="E7" s="170"/>
      <c r="F7" s="180"/>
    </row>
    <row r="8" spans="1:6">
      <c r="A8" s="197" t="s">
        <v>7</v>
      </c>
      <c r="B8" s="170"/>
      <c r="C8" s="180"/>
      <c r="D8" s="189" t="s">
        <v>8</v>
      </c>
      <c r="E8" s="170"/>
      <c r="F8" s="180"/>
    </row>
    <row r="9" spans="1:6">
      <c r="A9" s="187" t="s">
        <v>9</v>
      </c>
      <c r="B9" s="170"/>
      <c r="C9" s="180"/>
      <c r="D9" s="189" t="s">
        <v>12</v>
      </c>
      <c r="E9" s="170"/>
      <c r="F9" s="180"/>
    </row>
    <row r="10" spans="1:6">
      <c r="A10" s="188"/>
      <c r="B10" s="170"/>
      <c r="C10" s="180"/>
      <c r="D10" s="188"/>
      <c r="E10" s="170"/>
      <c r="F10" s="180"/>
    </row>
    <row r="11" spans="1:6" ht="15" customHeight="1">
      <c r="A11" s="189" t="s">
        <v>10</v>
      </c>
      <c r="B11" s="170"/>
      <c r="C11" s="180"/>
      <c r="D11" s="187"/>
      <c r="E11" s="170"/>
      <c r="F11" s="180"/>
    </row>
    <row r="12" spans="1:6" ht="15" customHeight="1">
      <c r="A12" s="190" t="s">
        <v>1030</v>
      </c>
      <c r="B12" s="170"/>
      <c r="C12" s="180"/>
      <c r="D12" s="187"/>
      <c r="E12" s="170"/>
      <c r="F12" s="180"/>
    </row>
    <row r="13" spans="1:6">
      <c r="A13" s="189" t="s">
        <v>11</v>
      </c>
      <c r="B13" s="170"/>
      <c r="C13" s="180"/>
      <c r="D13" s="187"/>
      <c r="E13" s="170"/>
      <c r="F13" s="180"/>
    </row>
    <row r="14" spans="1:6">
      <c r="A14" s="189" t="s">
        <v>1032</v>
      </c>
      <c r="B14" s="170"/>
      <c r="C14" s="180"/>
      <c r="D14" s="1"/>
      <c r="E14" s="3"/>
      <c r="F14" s="4"/>
    </row>
    <row r="15" spans="1:6">
      <c r="A15" s="2"/>
      <c r="B15" s="5"/>
      <c r="C15" s="5"/>
      <c r="D15" s="1"/>
      <c r="E15" s="3"/>
      <c r="F15" s="4"/>
    </row>
    <row r="16" spans="1:6">
      <c r="A16" s="2"/>
      <c r="B16" s="5"/>
      <c r="C16" s="5"/>
      <c r="D16" s="187"/>
      <c r="E16" s="170"/>
      <c r="F16" s="180"/>
    </row>
    <row r="17" spans="1:11" ht="30">
      <c r="A17" s="6" t="s">
        <v>13</v>
      </c>
      <c r="B17" s="7" t="s">
        <v>14</v>
      </c>
      <c r="C17" s="7" t="s">
        <v>15</v>
      </c>
      <c r="D17" s="7" t="s">
        <v>16</v>
      </c>
      <c r="E17" s="7" t="s">
        <v>17</v>
      </c>
      <c r="F17" s="8" t="s">
        <v>18</v>
      </c>
      <c r="G17" s="9"/>
      <c r="H17" s="9"/>
      <c r="I17" s="9"/>
      <c r="J17" s="9"/>
      <c r="K17" s="9"/>
    </row>
    <row r="18" spans="1:11">
      <c r="A18" s="10"/>
      <c r="B18" s="11"/>
      <c r="C18" s="12"/>
      <c r="D18" s="13"/>
      <c r="E18" s="13"/>
      <c r="F18" s="14"/>
    </row>
    <row r="19" spans="1:11" ht="15.75">
      <c r="A19" s="15">
        <v>1</v>
      </c>
      <c r="B19" s="16">
        <v>1</v>
      </c>
      <c r="C19" s="17" t="s">
        <v>1033</v>
      </c>
      <c r="D19" s="18">
        <f>'RA-01'!K14</f>
        <v>0</v>
      </c>
      <c r="E19" s="18">
        <f>'RA-01'!O14</f>
        <v>59627.76</v>
      </c>
      <c r="F19" s="19">
        <f>'RA-01'!M14</f>
        <v>59627.76</v>
      </c>
    </row>
    <row r="20" spans="1:11" ht="15.75">
      <c r="A20" s="15"/>
      <c r="B20" s="20"/>
      <c r="C20" s="17"/>
      <c r="D20" s="17"/>
      <c r="E20" s="17"/>
      <c r="F20" s="21"/>
    </row>
    <row r="21" spans="1:11" ht="15.75">
      <c r="A21" s="163" t="s">
        <v>19</v>
      </c>
      <c r="B21" s="164"/>
      <c r="C21" s="165"/>
      <c r="D21" s="22"/>
      <c r="E21" s="23">
        <f>E19</f>
        <v>59627.76</v>
      </c>
      <c r="F21" s="24"/>
    </row>
    <row r="22" spans="1:11" ht="15.75" customHeight="1">
      <c r="A22" s="166" t="s">
        <v>1034</v>
      </c>
      <c r="B22" s="167"/>
      <c r="C22" s="168"/>
      <c r="D22" s="175" t="s">
        <v>20</v>
      </c>
      <c r="E22" s="164"/>
      <c r="F22" s="176"/>
    </row>
    <row r="23" spans="1:11" ht="15.75" customHeight="1">
      <c r="A23" s="169"/>
      <c r="B23" s="170"/>
      <c r="C23" s="171"/>
      <c r="D23" s="177"/>
      <c r="E23" s="167"/>
      <c r="F23" s="178"/>
    </row>
    <row r="24" spans="1:11" ht="15.75" customHeight="1">
      <c r="A24" s="169"/>
      <c r="B24" s="170"/>
      <c r="C24" s="171"/>
      <c r="D24" s="179"/>
      <c r="E24" s="170"/>
      <c r="F24" s="180"/>
    </row>
    <row r="25" spans="1:11" ht="15.75" customHeight="1">
      <c r="A25" s="169"/>
      <c r="B25" s="170"/>
      <c r="C25" s="171"/>
      <c r="D25" s="181"/>
      <c r="E25" s="182"/>
      <c r="F25" s="183"/>
    </row>
    <row r="26" spans="1:11" ht="15.75" customHeight="1">
      <c r="A26" s="172"/>
      <c r="B26" s="173"/>
      <c r="C26" s="174"/>
      <c r="D26" s="184" t="s">
        <v>21</v>
      </c>
      <c r="E26" s="185"/>
      <c r="F26" s="186"/>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sheetData>
  <mergeCells count="28">
    <mergeCell ref="A7:C7"/>
    <mergeCell ref="D7:F7"/>
    <mergeCell ref="A8:C8"/>
    <mergeCell ref="D8:F8"/>
    <mergeCell ref="D9:F9"/>
    <mergeCell ref="A6:C6"/>
    <mergeCell ref="D6:F6"/>
    <mergeCell ref="A3:F3"/>
    <mergeCell ref="A4:C4"/>
    <mergeCell ref="D4:F4"/>
    <mergeCell ref="A5:C5"/>
    <mergeCell ref="D5:F5"/>
    <mergeCell ref="D13:F13"/>
    <mergeCell ref="D16:F16"/>
    <mergeCell ref="A9:C9"/>
    <mergeCell ref="A10:C10"/>
    <mergeCell ref="A13:C13"/>
    <mergeCell ref="A11:C11"/>
    <mergeCell ref="A12:C12"/>
    <mergeCell ref="D11:F11"/>
    <mergeCell ref="D12:F12"/>
    <mergeCell ref="A14:C14"/>
    <mergeCell ref="D10:F10"/>
    <mergeCell ref="A21:C21"/>
    <mergeCell ref="A22:C26"/>
    <mergeCell ref="D22:F22"/>
    <mergeCell ref="D23:F25"/>
    <mergeCell ref="D26:F26"/>
  </mergeCells>
  <pageMargins left="0.56000000000000005" right="0.38" top="3.47" bottom="0.75" header="0" footer="0"/>
  <pageSetup paperSize="9" scale="97" orientation="portrait" r:id="rId1"/>
</worksheet>
</file>

<file path=xl/worksheets/sheet10.xml><?xml version="1.0" encoding="utf-8"?>
<worksheet xmlns="http://schemas.openxmlformats.org/spreadsheetml/2006/main" xmlns:r="http://schemas.openxmlformats.org/officeDocument/2006/relationships">
  <dimension ref="A1:K160"/>
  <sheetViews>
    <sheetView workbookViewId="0"/>
  </sheetViews>
  <sheetFormatPr defaultColWidth="14.42578125" defaultRowHeight="15" customHeight="1"/>
  <cols>
    <col min="1" max="1" width="9.7109375" customWidth="1"/>
    <col min="2" max="2" width="27" customWidth="1"/>
    <col min="3" max="3" width="20.28515625" customWidth="1"/>
    <col min="4" max="4" width="10.85546875" customWidth="1"/>
    <col min="5" max="5" width="20.28515625" customWidth="1"/>
    <col min="6" max="6" width="6.28515625" customWidth="1"/>
    <col min="7" max="7" width="94.7109375" customWidth="1"/>
    <col min="8" max="8" width="13.85546875" customWidth="1"/>
    <col min="9" max="10" width="9.140625" customWidth="1"/>
    <col min="11" max="11" width="8.7109375" customWidth="1"/>
  </cols>
  <sheetData>
    <row r="1" spans="1:11" ht="26.25" customHeight="1">
      <c r="A1" s="80"/>
      <c r="B1" s="80"/>
      <c r="C1" s="80"/>
      <c r="D1" s="80"/>
      <c r="E1" s="80"/>
      <c r="F1" s="80"/>
      <c r="G1" s="80"/>
      <c r="H1" s="80"/>
      <c r="I1" s="80"/>
      <c r="J1" s="80"/>
      <c r="K1" s="80"/>
    </row>
    <row r="2" spans="1:11" ht="26.25" customHeight="1">
      <c r="A2" s="243" t="s">
        <v>335</v>
      </c>
      <c r="B2" s="164"/>
      <c r="C2" s="164"/>
      <c r="D2" s="164"/>
      <c r="E2" s="164"/>
      <c r="F2" s="164"/>
      <c r="G2" s="164"/>
      <c r="H2" s="165"/>
      <c r="I2" s="80"/>
      <c r="J2" s="80"/>
      <c r="K2" s="80"/>
    </row>
    <row r="3" spans="1:11" ht="26.25" customHeight="1">
      <c r="A3" s="82" t="s">
        <v>117</v>
      </c>
      <c r="B3" s="243" t="s">
        <v>336</v>
      </c>
      <c r="C3" s="164"/>
      <c r="D3" s="164"/>
      <c r="E3" s="164"/>
      <c r="F3" s="245" t="s">
        <v>337</v>
      </c>
      <c r="G3" s="165"/>
      <c r="H3" s="82" t="s">
        <v>116</v>
      </c>
      <c r="I3" s="80"/>
      <c r="J3" s="80"/>
      <c r="K3" s="80"/>
    </row>
    <row r="4" spans="1:11" ht="26.25" customHeight="1">
      <c r="A4" s="83">
        <v>1</v>
      </c>
      <c r="B4" s="83" t="s">
        <v>338</v>
      </c>
      <c r="C4" s="83" t="s">
        <v>339</v>
      </c>
      <c r="D4" s="252" t="s">
        <v>340</v>
      </c>
      <c r="E4" s="165"/>
      <c r="F4" s="240" t="s">
        <v>341</v>
      </c>
      <c r="G4" s="165"/>
      <c r="H4" s="83">
        <f>4.8+19.1+1.7+10.5+1+4.1</f>
        <v>41.2</v>
      </c>
      <c r="I4" s="80"/>
      <c r="J4" s="80"/>
      <c r="K4" s="80"/>
    </row>
    <row r="5" spans="1:11" ht="26.25" customHeight="1">
      <c r="A5" s="83">
        <f>A4+1</f>
        <v>2</v>
      </c>
      <c r="B5" s="83" t="s">
        <v>338</v>
      </c>
      <c r="C5" s="83" t="s">
        <v>339</v>
      </c>
      <c r="D5" s="252" t="s">
        <v>340</v>
      </c>
      <c r="E5" s="165"/>
      <c r="F5" s="240" t="s">
        <v>342</v>
      </c>
      <c r="G5" s="165"/>
      <c r="H5" s="83">
        <f>4.5+6+4</f>
        <v>14.5</v>
      </c>
      <c r="I5" s="80"/>
      <c r="J5" s="80"/>
      <c r="K5" s="80"/>
    </row>
    <row r="6" spans="1:11" ht="26.25" customHeight="1">
      <c r="A6" s="83">
        <v>2</v>
      </c>
      <c r="B6" s="83" t="s">
        <v>338</v>
      </c>
      <c r="C6" s="83" t="s">
        <v>343</v>
      </c>
      <c r="D6" s="252" t="s">
        <v>344</v>
      </c>
      <c r="E6" s="165"/>
      <c r="F6" s="240" t="s">
        <v>345</v>
      </c>
      <c r="G6" s="165"/>
      <c r="H6" s="83">
        <f>4.8+18.6+18+22.5+3.2</f>
        <v>67.100000000000009</v>
      </c>
      <c r="I6" s="80"/>
      <c r="J6" s="80"/>
      <c r="K6" s="80"/>
    </row>
    <row r="7" spans="1:11" ht="26.25" customHeight="1">
      <c r="A7" s="83">
        <f>A6+1</f>
        <v>3</v>
      </c>
      <c r="B7" s="83" t="s">
        <v>343</v>
      </c>
      <c r="C7" s="83" t="s">
        <v>346</v>
      </c>
      <c r="D7" s="252" t="s">
        <v>344</v>
      </c>
      <c r="E7" s="165"/>
      <c r="F7" s="240" t="s">
        <v>347</v>
      </c>
      <c r="G7" s="165"/>
      <c r="H7" s="83">
        <f>14.6+4.3+5.6</f>
        <v>24.5</v>
      </c>
      <c r="I7" s="80"/>
      <c r="J7" s="80"/>
      <c r="K7" s="80"/>
    </row>
    <row r="8" spans="1:11" ht="26.25" customHeight="1">
      <c r="A8" s="83">
        <v>3</v>
      </c>
      <c r="B8" s="83" t="s">
        <v>346</v>
      </c>
      <c r="C8" s="83" t="s">
        <v>348</v>
      </c>
      <c r="D8" s="252" t="s">
        <v>344</v>
      </c>
      <c r="E8" s="165"/>
      <c r="F8" s="240" t="s">
        <v>349</v>
      </c>
      <c r="G8" s="165"/>
      <c r="H8" s="83">
        <f>26+18</f>
        <v>44</v>
      </c>
      <c r="I8" s="80"/>
      <c r="J8" s="80"/>
      <c r="K8" s="80"/>
    </row>
    <row r="9" spans="1:11" ht="26.25" customHeight="1">
      <c r="A9" s="83">
        <f>A8+1</f>
        <v>4</v>
      </c>
      <c r="B9" s="83" t="s">
        <v>338</v>
      </c>
      <c r="C9" s="83" t="s">
        <v>350</v>
      </c>
      <c r="D9" s="250" t="s">
        <v>351</v>
      </c>
      <c r="E9" s="168"/>
      <c r="F9" s="240" t="s">
        <v>352</v>
      </c>
      <c r="G9" s="165"/>
      <c r="H9" s="83">
        <f>4.8+11.1</f>
        <v>15.899999999999999</v>
      </c>
      <c r="I9" s="80"/>
      <c r="J9" s="80"/>
      <c r="K9" s="80"/>
    </row>
    <row r="10" spans="1:11" ht="26.25" customHeight="1">
      <c r="A10" s="83">
        <v>4</v>
      </c>
      <c r="B10" s="83" t="s">
        <v>353</v>
      </c>
      <c r="C10" s="83" t="s">
        <v>354</v>
      </c>
      <c r="D10" s="179"/>
      <c r="E10" s="171"/>
      <c r="F10" s="240">
        <v>17.2</v>
      </c>
      <c r="G10" s="165"/>
      <c r="H10" s="83">
        <f>17.2</f>
        <v>17.2</v>
      </c>
      <c r="I10" s="80"/>
      <c r="J10" s="80"/>
      <c r="K10" s="80"/>
    </row>
    <row r="11" spans="1:11" ht="26.25" customHeight="1">
      <c r="A11" s="83">
        <f>A10+1</f>
        <v>5</v>
      </c>
      <c r="B11" s="83" t="s">
        <v>354</v>
      </c>
      <c r="C11" s="83" t="s">
        <v>355</v>
      </c>
      <c r="D11" s="179"/>
      <c r="E11" s="171"/>
      <c r="F11" s="240">
        <v>11</v>
      </c>
      <c r="G11" s="165"/>
      <c r="H11" s="83">
        <f>11</f>
        <v>11</v>
      </c>
      <c r="I11" s="80"/>
      <c r="J11" s="80"/>
      <c r="K11" s="80"/>
    </row>
    <row r="12" spans="1:11" ht="26.25" customHeight="1">
      <c r="A12" s="83">
        <v>5</v>
      </c>
      <c r="B12" s="83" t="s">
        <v>355</v>
      </c>
      <c r="C12" s="83" t="s">
        <v>356</v>
      </c>
      <c r="D12" s="179"/>
      <c r="E12" s="171"/>
      <c r="F12" s="240">
        <v>16.8</v>
      </c>
      <c r="G12" s="165"/>
      <c r="H12" s="83">
        <f t="shared" ref="H12:H13" si="0">16.8</f>
        <v>16.8</v>
      </c>
      <c r="I12" s="80"/>
      <c r="J12" s="80"/>
      <c r="K12" s="80"/>
    </row>
    <row r="13" spans="1:11" ht="26.25" customHeight="1">
      <c r="A13" s="83">
        <f>A12+1</f>
        <v>6</v>
      </c>
      <c r="B13" s="83" t="s">
        <v>356</v>
      </c>
      <c r="C13" s="83" t="s">
        <v>357</v>
      </c>
      <c r="D13" s="179"/>
      <c r="E13" s="171"/>
      <c r="F13" s="240">
        <v>16.8</v>
      </c>
      <c r="G13" s="165"/>
      <c r="H13" s="83">
        <f t="shared" si="0"/>
        <v>16.8</v>
      </c>
      <c r="I13" s="80"/>
      <c r="J13" s="80"/>
      <c r="K13" s="80"/>
    </row>
    <row r="14" spans="1:11" ht="26.25" customHeight="1">
      <c r="A14" s="83">
        <v>6</v>
      </c>
      <c r="B14" s="83" t="s">
        <v>357</v>
      </c>
      <c r="C14" s="83" t="s">
        <v>358</v>
      </c>
      <c r="D14" s="181"/>
      <c r="E14" s="249"/>
      <c r="F14" s="240" t="s">
        <v>359</v>
      </c>
      <c r="G14" s="165"/>
      <c r="H14" s="83">
        <f>17+(6*4)</f>
        <v>41</v>
      </c>
      <c r="I14" s="80"/>
      <c r="J14" s="80"/>
      <c r="K14" s="80"/>
    </row>
    <row r="15" spans="1:11" ht="26.25" customHeight="1">
      <c r="A15" s="83">
        <f>A14+1</f>
        <v>7</v>
      </c>
      <c r="B15" s="83" t="s">
        <v>338</v>
      </c>
      <c r="C15" s="83" t="s">
        <v>360</v>
      </c>
      <c r="D15" s="250" t="s">
        <v>361</v>
      </c>
      <c r="E15" s="168"/>
      <c r="F15" s="240" t="s">
        <v>341</v>
      </c>
      <c r="G15" s="165"/>
      <c r="H15" s="83">
        <f>4.8+19.1+1.7+10.5+1+4.1</f>
        <v>41.2</v>
      </c>
      <c r="I15" s="80"/>
      <c r="J15" s="80"/>
      <c r="K15" s="80"/>
    </row>
    <row r="16" spans="1:11" ht="26.25" customHeight="1">
      <c r="A16" s="83">
        <v>7</v>
      </c>
      <c r="B16" s="83" t="s">
        <v>360</v>
      </c>
      <c r="C16" s="83" t="s">
        <v>358</v>
      </c>
      <c r="D16" s="181"/>
      <c r="E16" s="249"/>
      <c r="F16" s="240" t="s">
        <v>362</v>
      </c>
      <c r="G16" s="165"/>
      <c r="H16" s="83">
        <f>5+5+5+5</f>
        <v>20</v>
      </c>
      <c r="I16" s="80"/>
      <c r="J16" s="80"/>
      <c r="K16" s="80"/>
    </row>
    <row r="17" spans="1:11" ht="26.25" customHeight="1">
      <c r="A17" s="83">
        <f>A16+1</f>
        <v>8</v>
      </c>
      <c r="B17" s="83" t="s">
        <v>338</v>
      </c>
      <c r="C17" s="83" t="s">
        <v>363</v>
      </c>
      <c r="D17" s="250" t="s">
        <v>364</v>
      </c>
      <c r="E17" s="168"/>
      <c r="F17" s="240" t="s">
        <v>365</v>
      </c>
      <c r="G17" s="165"/>
      <c r="H17" s="83">
        <f>4.8+19.1+1.7+10.5+1+10.6+3+15.2+2.4+10.9+3+15+4</f>
        <v>101.20000000000002</v>
      </c>
      <c r="I17" s="80"/>
      <c r="J17" s="80"/>
      <c r="K17" s="80"/>
    </row>
    <row r="18" spans="1:11" ht="26.25" customHeight="1">
      <c r="A18" s="83">
        <v>8</v>
      </c>
      <c r="B18" s="83" t="s">
        <v>363</v>
      </c>
      <c r="C18" s="83" t="s">
        <v>366</v>
      </c>
      <c r="D18" s="179"/>
      <c r="E18" s="171"/>
      <c r="F18" s="240" t="s">
        <v>367</v>
      </c>
      <c r="G18" s="165"/>
      <c r="H18" s="83">
        <f>10.1+2.5</f>
        <v>12.6</v>
      </c>
      <c r="I18" s="80"/>
      <c r="J18" s="80"/>
      <c r="K18" s="80"/>
    </row>
    <row r="19" spans="1:11" ht="26.25" customHeight="1">
      <c r="A19" s="83">
        <f>A18+1</f>
        <v>9</v>
      </c>
      <c r="B19" s="83" t="s">
        <v>368</v>
      </c>
      <c r="C19" s="83" t="s">
        <v>358</v>
      </c>
      <c r="D19" s="181"/>
      <c r="E19" s="249"/>
      <c r="F19" s="240" t="s">
        <v>369</v>
      </c>
      <c r="G19" s="165"/>
      <c r="H19" s="83">
        <f>5+5+5</f>
        <v>15</v>
      </c>
      <c r="I19" s="80"/>
      <c r="J19" s="80"/>
      <c r="K19" s="80"/>
    </row>
    <row r="20" spans="1:11" ht="26.25" customHeight="1">
      <c r="A20" s="83">
        <v>9</v>
      </c>
      <c r="B20" s="83" t="s">
        <v>338</v>
      </c>
      <c r="C20" s="83" t="s">
        <v>370</v>
      </c>
      <c r="D20" s="250" t="s">
        <v>371</v>
      </c>
      <c r="E20" s="168"/>
      <c r="F20" s="240" t="s">
        <v>372</v>
      </c>
      <c r="G20" s="165"/>
      <c r="H20" s="83">
        <f>4.8+3.9+8.9</f>
        <v>17.600000000000001</v>
      </c>
      <c r="I20" s="80"/>
      <c r="J20" s="80"/>
      <c r="K20" s="80"/>
    </row>
    <row r="21" spans="1:11" ht="26.25" customHeight="1">
      <c r="A21" s="83">
        <f>A20+1</f>
        <v>10</v>
      </c>
      <c r="B21" s="83" t="s">
        <v>370</v>
      </c>
      <c r="C21" s="83" t="s">
        <v>373</v>
      </c>
      <c r="D21" s="179"/>
      <c r="E21" s="171"/>
      <c r="F21" s="240" t="s">
        <v>374</v>
      </c>
      <c r="G21" s="165"/>
      <c r="H21" s="83">
        <f>10+14.5</f>
        <v>24.5</v>
      </c>
      <c r="I21" s="80"/>
      <c r="J21" s="80"/>
      <c r="K21" s="80"/>
    </row>
    <row r="22" spans="1:11" ht="26.25" customHeight="1">
      <c r="A22" s="83">
        <v>10</v>
      </c>
      <c r="B22" s="83" t="s">
        <v>373</v>
      </c>
      <c r="C22" s="83" t="s">
        <v>375</v>
      </c>
      <c r="D22" s="179"/>
      <c r="E22" s="171"/>
      <c r="F22" s="240" t="s">
        <v>376</v>
      </c>
      <c r="G22" s="165"/>
      <c r="H22" s="83">
        <f>10.2+15.8</f>
        <v>26</v>
      </c>
      <c r="I22" s="80"/>
      <c r="J22" s="80"/>
      <c r="K22" s="80"/>
    </row>
    <row r="23" spans="1:11" ht="26.25" customHeight="1">
      <c r="A23" s="83">
        <f>A22+1</f>
        <v>11</v>
      </c>
      <c r="B23" s="83" t="s">
        <v>375</v>
      </c>
      <c r="C23" s="83" t="s">
        <v>377</v>
      </c>
      <c r="D23" s="181"/>
      <c r="E23" s="249"/>
      <c r="F23" s="240" t="s">
        <v>378</v>
      </c>
      <c r="G23" s="165"/>
      <c r="H23" s="83">
        <f>20+12.5</f>
        <v>32.5</v>
      </c>
      <c r="I23" s="80"/>
      <c r="J23" s="80"/>
      <c r="K23" s="80"/>
    </row>
    <row r="24" spans="1:11" ht="26.25" customHeight="1">
      <c r="A24" s="83">
        <v>11</v>
      </c>
      <c r="B24" s="83" t="s">
        <v>338</v>
      </c>
      <c r="C24" s="83" t="s">
        <v>379</v>
      </c>
      <c r="D24" s="252" t="s">
        <v>380</v>
      </c>
      <c r="E24" s="165"/>
      <c r="F24" s="240" t="s">
        <v>381</v>
      </c>
      <c r="G24" s="165"/>
      <c r="H24" s="83">
        <f>4.5+7.8+12</f>
        <v>24.3</v>
      </c>
      <c r="I24" s="80"/>
      <c r="J24" s="80"/>
      <c r="K24" s="80"/>
    </row>
    <row r="25" spans="1:11" ht="26.25" customHeight="1">
      <c r="A25" s="83">
        <f>A24+1</f>
        <v>12</v>
      </c>
      <c r="B25" s="83" t="s">
        <v>338</v>
      </c>
      <c r="C25" s="83" t="s">
        <v>382</v>
      </c>
      <c r="D25" s="252" t="s">
        <v>383</v>
      </c>
      <c r="E25" s="165"/>
      <c r="F25" s="253" t="s">
        <v>384</v>
      </c>
      <c r="G25" s="165"/>
      <c r="H25" s="83">
        <f>4.8+18+8.3</f>
        <v>31.1</v>
      </c>
      <c r="I25" s="80"/>
      <c r="J25" s="80"/>
      <c r="K25" s="80"/>
    </row>
    <row r="26" spans="1:11" ht="26.25" customHeight="1">
      <c r="A26" s="83">
        <v>12</v>
      </c>
      <c r="B26" s="83" t="s">
        <v>385</v>
      </c>
      <c r="C26" s="83"/>
      <c r="D26" s="252" t="s">
        <v>386</v>
      </c>
      <c r="E26" s="165"/>
      <c r="F26" s="240"/>
      <c r="G26" s="164"/>
      <c r="H26" s="80"/>
      <c r="I26" s="80"/>
      <c r="J26" s="80"/>
      <c r="K26" s="80"/>
    </row>
    <row r="27" spans="1:11" ht="26.25" customHeight="1">
      <c r="A27" s="83">
        <f>A26+1</f>
        <v>13</v>
      </c>
      <c r="B27" s="83" t="s">
        <v>338</v>
      </c>
      <c r="C27" s="83" t="s">
        <v>387</v>
      </c>
      <c r="D27" s="240" t="s">
        <v>388</v>
      </c>
      <c r="E27" s="165"/>
      <c r="F27" s="240" t="s">
        <v>341</v>
      </c>
      <c r="G27" s="165"/>
      <c r="H27" s="83">
        <f>4.8+19.1+1.7+10.5+1+4.1</f>
        <v>41.2</v>
      </c>
      <c r="I27" s="80"/>
      <c r="J27" s="80"/>
      <c r="K27" s="80"/>
    </row>
    <row r="28" spans="1:11" ht="26.25" customHeight="1">
      <c r="A28" s="83">
        <v>13</v>
      </c>
      <c r="B28" s="83" t="s">
        <v>338</v>
      </c>
      <c r="C28" s="83" t="s">
        <v>389</v>
      </c>
      <c r="D28" s="248" t="s">
        <v>390</v>
      </c>
      <c r="E28" s="168"/>
      <c r="F28" s="240" t="s">
        <v>391</v>
      </c>
      <c r="G28" s="165"/>
      <c r="H28" s="83">
        <f>3.5+15.3+6.3</f>
        <v>25.1</v>
      </c>
      <c r="I28" s="80"/>
      <c r="J28" s="80"/>
      <c r="K28" s="80"/>
    </row>
    <row r="29" spans="1:11" ht="26.25" customHeight="1">
      <c r="A29" s="83">
        <f>A28+1</f>
        <v>14</v>
      </c>
      <c r="B29" s="83" t="s">
        <v>389</v>
      </c>
      <c r="C29" s="83" t="s">
        <v>392</v>
      </c>
      <c r="D29" s="179"/>
      <c r="E29" s="171"/>
      <c r="F29" s="240" t="s">
        <v>393</v>
      </c>
      <c r="G29" s="165"/>
      <c r="H29" s="83">
        <f>25.3+3.2</f>
        <v>28.5</v>
      </c>
      <c r="I29" s="80"/>
      <c r="J29" s="80"/>
      <c r="K29" s="80"/>
    </row>
    <row r="30" spans="1:11" ht="26.25" customHeight="1">
      <c r="A30" s="83">
        <v>14</v>
      </c>
      <c r="B30" s="83" t="s">
        <v>392</v>
      </c>
      <c r="C30" s="83" t="s">
        <v>394</v>
      </c>
      <c r="D30" s="181"/>
      <c r="E30" s="249"/>
      <c r="F30" s="240" t="s">
        <v>395</v>
      </c>
      <c r="G30" s="165"/>
      <c r="H30" s="83">
        <f>10.3+12.5</f>
        <v>22.8</v>
      </c>
      <c r="I30" s="80"/>
      <c r="J30" s="80"/>
      <c r="K30" s="80"/>
    </row>
    <row r="31" spans="1:11" ht="26.25" customHeight="1">
      <c r="A31" s="83">
        <f>A30+1</f>
        <v>15</v>
      </c>
      <c r="B31" s="83" t="s">
        <v>338</v>
      </c>
      <c r="C31" s="83" t="s">
        <v>396</v>
      </c>
      <c r="D31" s="248" t="s">
        <v>397</v>
      </c>
      <c r="E31" s="168"/>
      <c r="F31" s="240" t="s">
        <v>398</v>
      </c>
      <c r="G31" s="165"/>
      <c r="H31" s="83">
        <f>4.3+14+8+14.8</f>
        <v>41.1</v>
      </c>
      <c r="I31" s="80"/>
      <c r="J31" s="80"/>
      <c r="K31" s="80"/>
    </row>
    <row r="32" spans="1:11" ht="26.25" customHeight="1">
      <c r="A32" s="83">
        <v>15</v>
      </c>
      <c r="B32" s="83" t="s">
        <v>396</v>
      </c>
      <c r="C32" s="83" t="s">
        <v>399</v>
      </c>
      <c r="D32" s="179"/>
      <c r="E32" s="171"/>
      <c r="F32" s="240" t="s">
        <v>400</v>
      </c>
      <c r="G32" s="165"/>
      <c r="H32" s="83">
        <f>15.4+2.5</f>
        <v>17.899999999999999</v>
      </c>
      <c r="I32" s="80"/>
      <c r="J32" s="80"/>
      <c r="K32" s="80"/>
    </row>
    <row r="33" spans="1:11" ht="26.25" customHeight="1">
      <c r="A33" s="83">
        <f>A32+1</f>
        <v>16</v>
      </c>
      <c r="B33" s="83" t="s">
        <v>399</v>
      </c>
      <c r="C33" s="83" t="s">
        <v>401</v>
      </c>
      <c r="D33" s="181"/>
      <c r="E33" s="249"/>
      <c r="F33" s="240" t="s">
        <v>402</v>
      </c>
      <c r="G33" s="165"/>
      <c r="H33" s="83">
        <f>10.7+2.5+12.5</f>
        <v>25.7</v>
      </c>
      <c r="I33" s="80"/>
      <c r="J33" s="80"/>
      <c r="K33" s="80"/>
    </row>
    <row r="34" spans="1:11" ht="26.25" customHeight="1">
      <c r="A34" s="83">
        <v>16</v>
      </c>
      <c r="B34" s="83" t="s">
        <v>338</v>
      </c>
      <c r="C34" s="83" t="s">
        <v>403</v>
      </c>
      <c r="D34" s="240" t="s">
        <v>404</v>
      </c>
      <c r="E34" s="165"/>
      <c r="F34" s="240" t="s">
        <v>405</v>
      </c>
      <c r="G34" s="165"/>
      <c r="H34" s="83">
        <f>4.8+19.1+1.7+10.5+1+4.1+13.5+4.5</f>
        <v>59.2</v>
      </c>
      <c r="I34" s="80"/>
      <c r="J34" s="80"/>
      <c r="K34" s="80"/>
    </row>
    <row r="35" spans="1:11" ht="26.25" customHeight="1">
      <c r="A35" s="83">
        <f>A34+1</f>
        <v>17</v>
      </c>
      <c r="B35" s="83" t="s">
        <v>338</v>
      </c>
      <c r="C35" s="83" t="s">
        <v>406</v>
      </c>
      <c r="D35" s="248" t="s">
        <v>407</v>
      </c>
      <c r="E35" s="168"/>
      <c r="F35" s="240" t="s">
        <v>408</v>
      </c>
      <c r="G35" s="165"/>
      <c r="H35" s="83">
        <f>4.8+2.1+13.5</f>
        <v>20.399999999999999</v>
      </c>
      <c r="I35" s="80"/>
      <c r="J35" s="80"/>
      <c r="K35" s="80"/>
    </row>
    <row r="36" spans="1:11" ht="26.25" customHeight="1">
      <c r="A36" s="83">
        <v>17</v>
      </c>
      <c r="B36" s="83" t="s">
        <v>406</v>
      </c>
      <c r="C36" s="83" t="s">
        <v>409</v>
      </c>
      <c r="D36" s="179"/>
      <c r="E36" s="171"/>
      <c r="F36" s="240" t="s">
        <v>410</v>
      </c>
      <c r="G36" s="165"/>
      <c r="H36" s="83">
        <f>11+13.5</f>
        <v>24.5</v>
      </c>
      <c r="I36" s="80"/>
      <c r="J36" s="80"/>
      <c r="K36" s="80"/>
    </row>
    <row r="37" spans="1:11" ht="26.25" customHeight="1">
      <c r="A37" s="83">
        <f>A36+1</f>
        <v>18</v>
      </c>
      <c r="B37" s="83" t="s">
        <v>409</v>
      </c>
      <c r="C37" s="83" t="s">
        <v>411</v>
      </c>
      <c r="D37" s="179"/>
      <c r="E37" s="171"/>
      <c r="F37" s="240" t="s">
        <v>412</v>
      </c>
      <c r="G37" s="165"/>
      <c r="H37" s="83">
        <f>7.5+12.5</f>
        <v>20</v>
      </c>
      <c r="I37" s="80"/>
      <c r="J37" s="80"/>
      <c r="K37" s="80"/>
    </row>
    <row r="38" spans="1:11" ht="26.25" customHeight="1">
      <c r="A38" s="83">
        <v>18</v>
      </c>
      <c r="B38" s="83" t="s">
        <v>413</v>
      </c>
      <c r="C38" s="83" t="s">
        <v>358</v>
      </c>
      <c r="D38" s="181"/>
      <c r="E38" s="249"/>
      <c r="F38" s="240" t="s">
        <v>414</v>
      </c>
      <c r="G38" s="165"/>
      <c r="H38" s="83">
        <f>5+5+5+12.5+6</f>
        <v>33.5</v>
      </c>
      <c r="I38" s="80"/>
      <c r="J38" s="80"/>
      <c r="K38" s="80"/>
    </row>
    <row r="39" spans="1:11" ht="26.25" customHeight="1">
      <c r="A39" s="83">
        <f>A38+1</f>
        <v>19</v>
      </c>
      <c r="B39" s="83" t="s">
        <v>338</v>
      </c>
      <c r="C39" s="83" t="s">
        <v>415</v>
      </c>
      <c r="D39" s="248" t="s">
        <v>416</v>
      </c>
      <c r="E39" s="168"/>
      <c r="F39" s="240" t="s">
        <v>417</v>
      </c>
      <c r="G39" s="165"/>
      <c r="H39" s="83">
        <f>4.3+14+10.8+2.5</f>
        <v>31.6</v>
      </c>
      <c r="I39" s="80"/>
      <c r="J39" s="80"/>
      <c r="K39" s="80"/>
    </row>
    <row r="40" spans="1:11" ht="26.25" customHeight="1">
      <c r="A40" s="83">
        <v>19</v>
      </c>
      <c r="B40" s="83" t="s">
        <v>415</v>
      </c>
      <c r="C40" s="83" t="s">
        <v>418</v>
      </c>
      <c r="D40" s="179"/>
      <c r="E40" s="171"/>
      <c r="F40" s="240" t="s">
        <v>419</v>
      </c>
      <c r="G40" s="165"/>
      <c r="H40" s="83">
        <f>2.8+3.7</f>
        <v>6.5</v>
      </c>
      <c r="I40" s="80"/>
      <c r="J40" s="80"/>
      <c r="K40" s="80"/>
    </row>
    <row r="41" spans="1:11" ht="26.25" customHeight="1">
      <c r="A41" s="83">
        <f>A40+1</f>
        <v>20</v>
      </c>
      <c r="B41" s="83" t="s">
        <v>418</v>
      </c>
      <c r="C41" s="83" t="s">
        <v>420</v>
      </c>
      <c r="D41" s="179"/>
      <c r="E41" s="171"/>
      <c r="F41" s="240" t="s">
        <v>421</v>
      </c>
      <c r="G41" s="165"/>
      <c r="H41" s="83">
        <f>8.8+2</f>
        <v>10.8</v>
      </c>
      <c r="I41" s="80"/>
      <c r="J41" s="80"/>
      <c r="K41" s="80"/>
    </row>
    <row r="42" spans="1:11" ht="26.25" customHeight="1">
      <c r="A42" s="83">
        <v>20</v>
      </c>
      <c r="B42" s="83" t="s">
        <v>420</v>
      </c>
      <c r="C42" s="83" t="s">
        <v>422</v>
      </c>
      <c r="D42" s="181"/>
      <c r="E42" s="249"/>
      <c r="F42" s="240" t="s">
        <v>423</v>
      </c>
      <c r="G42" s="165"/>
      <c r="H42" s="83">
        <f>15.6+3</f>
        <v>18.600000000000001</v>
      </c>
      <c r="I42" s="80"/>
      <c r="J42" s="80"/>
      <c r="K42" s="80"/>
    </row>
    <row r="43" spans="1:11" ht="26.25" customHeight="1">
      <c r="A43" s="83">
        <f>A42+1</f>
        <v>21</v>
      </c>
      <c r="B43" s="83" t="s">
        <v>422</v>
      </c>
      <c r="C43" s="84" t="s">
        <v>358</v>
      </c>
      <c r="D43" s="251" t="s">
        <v>424</v>
      </c>
      <c r="E43" s="165"/>
      <c r="F43" s="240" t="s">
        <v>425</v>
      </c>
      <c r="G43" s="165"/>
      <c r="H43" s="83">
        <f>5+5+5+5+7.4</f>
        <v>27.4</v>
      </c>
      <c r="I43" s="80"/>
      <c r="J43" s="80"/>
      <c r="K43" s="80"/>
    </row>
    <row r="44" spans="1:11" ht="26.25" customHeight="1">
      <c r="A44" s="83">
        <v>21</v>
      </c>
      <c r="B44" s="83" t="s">
        <v>338</v>
      </c>
      <c r="C44" s="83" t="s">
        <v>426</v>
      </c>
      <c r="D44" s="240" t="s">
        <v>427</v>
      </c>
      <c r="E44" s="165"/>
      <c r="F44" s="240" t="s">
        <v>428</v>
      </c>
      <c r="G44" s="165"/>
      <c r="H44" s="83">
        <f>4.3+14+10.8+17.2</f>
        <v>46.3</v>
      </c>
      <c r="I44" s="80"/>
      <c r="J44" s="80"/>
      <c r="K44" s="80"/>
    </row>
    <row r="45" spans="1:11" ht="26.25" customHeight="1">
      <c r="A45" s="83">
        <f>A44+1</f>
        <v>22</v>
      </c>
      <c r="B45" s="83" t="s">
        <v>338</v>
      </c>
      <c r="C45" s="83" t="s">
        <v>429</v>
      </c>
      <c r="D45" s="240" t="s">
        <v>430</v>
      </c>
      <c r="E45" s="165"/>
      <c r="F45" s="240" t="s">
        <v>431</v>
      </c>
      <c r="G45" s="165"/>
      <c r="H45" s="83">
        <f>3.3+2+9.1+12.5</f>
        <v>26.9</v>
      </c>
      <c r="I45" s="80"/>
      <c r="J45" s="80"/>
      <c r="K45" s="80"/>
    </row>
    <row r="46" spans="1:11" ht="26.25" customHeight="1">
      <c r="A46" s="83">
        <v>22</v>
      </c>
      <c r="B46" s="83" t="s">
        <v>338</v>
      </c>
      <c r="C46" s="83" t="s">
        <v>432</v>
      </c>
      <c r="D46" s="240" t="s">
        <v>433</v>
      </c>
      <c r="E46" s="165"/>
      <c r="F46" s="240" t="s">
        <v>341</v>
      </c>
      <c r="G46" s="165"/>
      <c r="H46" s="83">
        <f>4.8+19.1+1.7+10.5+1+4.1</f>
        <v>41.2</v>
      </c>
      <c r="I46" s="80"/>
      <c r="J46" s="80"/>
      <c r="K46" s="80"/>
    </row>
    <row r="47" spans="1:11" ht="26.25" customHeight="1">
      <c r="A47" s="83">
        <f>A46+1</f>
        <v>23</v>
      </c>
      <c r="B47" s="83" t="s">
        <v>338</v>
      </c>
      <c r="C47" s="83" t="s">
        <v>434</v>
      </c>
      <c r="D47" s="248" t="s">
        <v>435</v>
      </c>
      <c r="E47" s="168"/>
      <c r="F47" s="240" t="s">
        <v>436</v>
      </c>
      <c r="G47" s="165"/>
      <c r="H47" s="83">
        <f>7+5.2+6.9+4.6+8.9</f>
        <v>32.6</v>
      </c>
      <c r="I47" s="80"/>
      <c r="J47" s="80"/>
      <c r="K47" s="80"/>
    </row>
    <row r="48" spans="1:11" ht="26.25" customHeight="1">
      <c r="A48" s="83">
        <v>23</v>
      </c>
      <c r="B48" s="83" t="s">
        <v>434</v>
      </c>
      <c r="C48" s="83" t="s">
        <v>437</v>
      </c>
      <c r="D48" s="179"/>
      <c r="E48" s="171"/>
      <c r="F48" s="240" t="s">
        <v>438</v>
      </c>
      <c r="G48" s="165"/>
      <c r="H48" s="83">
        <f>13.4+12.2</f>
        <v>25.6</v>
      </c>
      <c r="I48" s="80"/>
      <c r="J48" s="80"/>
      <c r="K48" s="80"/>
    </row>
    <row r="49" spans="1:11" ht="26.25" customHeight="1">
      <c r="A49" s="83">
        <f>A48+1</f>
        <v>24</v>
      </c>
      <c r="B49" s="83" t="s">
        <v>437</v>
      </c>
      <c r="C49" s="83" t="s">
        <v>439</v>
      </c>
      <c r="D49" s="181"/>
      <c r="E49" s="249"/>
      <c r="F49" s="240" t="s">
        <v>440</v>
      </c>
      <c r="G49" s="165"/>
      <c r="H49" s="83">
        <f>2.6+7+7.9+5.6</f>
        <v>23.1</v>
      </c>
      <c r="I49" s="80"/>
      <c r="J49" s="80"/>
      <c r="K49" s="80"/>
    </row>
    <row r="50" spans="1:11" ht="26.25" customHeight="1">
      <c r="A50" s="83">
        <v>24</v>
      </c>
      <c r="B50" s="83" t="s">
        <v>338</v>
      </c>
      <c r="C50" s="83" t="s">
        <v>441</v>
      </c>
      <c r="D50" s="248" t="s">
        <v>442</v>
      </c>
      <c r="E50" s="168"/>
      <c r="F50" s="240" t="s">
        <v>443</v>
      </c>
      <c r="G50" s="165"/>
      <c r="H50" s="83">
        <f>4.3+13.5+5.5+27+10.6+6.6+2</f>
        <v>69.5</v>
      </c>
      <c r="I50" s="80"/>
      <c r="J50" s="80"/>
      <c r="K50" s="80"/>
    </row>
    <row r="51" spans="1:11" ht="26.25" customHeight="1">
      <c r="A51" s="83">
        <f>A50+1</f>
        <v>25</v>
      </c>
      <c r="B51" s="83" t="s">
        <v>441</v>
      </c>
      <c r="C51" s="83" t="s">
        <v>444</v>
      </c>
      <c r="D51" s="181"/>
      <c r="E51" s="249"/>
      <c r="F51" s="240" t="s">
        <v>445</v>
      </c>
      <c r="G51" s="165"/>
      <c r="H51" s="83">
        <f>16.6+3.9+13.2+8</f>
        <v>41.7</v>
      </c>
      <c r="I51" s="80"/>
      <c r="J51" s="80"/>
      <c r="K51" s="80"/>
    </row>
    <row r="52" spans="1:11" ht="26.25" customHeight="1">
      <c r="A52" s="83">
        <v>25</v>
      </c>
      <c r="B52" s="83" t="s">
        <v>338</v>
      </c>
      <c r="C52" s="83" t="s">
        <v>446</v>
      </c>
      <c r="D52" s="248" t="s">
        <v>447</v>
      </c>
      <c r="E52" s="168"/>
      <c r="F52" s="240" t="s">
        <v>448</v>
      </c>
      <c r="G52" s="165"/>
      <c r="H52" s="83">
        <f>4.8+19.1+1.7+10.5+1+10.6+3+8.6+5.7</f>
        <v>65</v>
      </c>
      <c r="I52" s="80"/>
      <c r="J52" s="80"/>
      <c r="K52" s="80"/>
    </row>
    <row r="53" spans="1:11" ht="26.25" customHeight="1">
      <c r="A53" s="83">
        <f>A52+1</f>
        <v>26</v>
      </c>
      <c r="B53" s="83" t="s">
        <v>446</v>
      </c>
      <c r="C53" s="83" t="s">
        <v>449</v>
      </c>
      <c r="D53" s="179"/>
      <c r="E53" s="171"/>
      <c r="F53" s="240" t="s">
        <v>450</v>
      </c>
      <c r="G53" s="165"/>
      <c r="H53" s="83">
        <f>15.2+2.4+15.8</f>
        <v>33.4</v>
      </c>
      <c r="I53" s="80"/>
      <c r="J53" s="80"/>
      <c r="K53" s="80"/>
    </row>
    <row r="54" spans="1:11" ht="26.25" customHeight="1">
      <c r="A54" s="83">
        <v>26</v>
      </c>
      <c r="B54" s="83" t="s">
        <v>449</v>
      </c>
      <c r="C54" s="83" t="s">
        <v>451</v>
      </c>
      <c r="D54" s="179"/>
      <c r="E54" s="171"/>
      <c r="F54" s="240" t="s">
        <v>452</v>
      </c>
      <c r="G54" s="165"/>
      <c r="H54" s="83">
        <f>10.4+3+8.9</f>
        <v>22.3</v>
      </c>
      <c r="I54" s="80"/>
      <c r="J54" s="80"/>
      <c r="K54" s="80"/>
    </row>
    <row r="55" spans="1:11" ht="26.25" customHeight="1">
      <c r="A55" s="83">
        <f>A54+1</f>
        <v>27</v>
      </c>
      <c r="B55" s="83" t="s">
        <v>451</v>
      </c>
      <c r="C55" s="83" t="s">
        <v>358</v>
      </c>
      <c r="D55" s="181"/>
      <c r="E55" s="249"/>
      <c r="F55" s="240" t="s">
        <v>453</v>
      </c>
      <c r="G55" s="165"/>
      <c r="H55" s="83">
        <f>15+2.5+7.8+8+9.5+14.2</f>
        <v>57</v>
      </c>
      <c r="I55" s="80"/>
      <c r="J55" s="80"/>
      <c r="K55" s="80"/>
    </row>
    <row r="56" spans="1:11" ht="26.25" customHeight="1">
      <c r="A56" s="83">
        <v>27</v>
      </c>
      <c r="B56" s="83" t="s">
        <v>338</v>
      </c>
      <c r="C56" s="83" t="s">
        <v>454</v>
      </c>
      <c r="D56" s="250" t="s">
        <v>455</v>
      </c>
      <c r="E56" s="168"/>
      <c r="F56" s="240" t="s">
        <v>456</v>
      </c>
      <c r="G56" s="165"/>
      <c r="H56" s="83">
        <f>4.8+13.4+8.4+8.7+9.2</f>
        <v>44.5</v>
      </c>
      <c r="I56" s="80"/>
      <c r="J56" s="80"/>
      <c r="K56" s="80"/>
    </row>
    <row r="57" spans="1:11" ht="26.25" customHeight="1">
      <c r="A57" s="83">
        <f>A56+1</f>
        <v>28</v>
      </c>
      <c r="B57" s="83" t="s">
        <v>454</v>
      </c>
      <c r="C57" s="83" t="s">
        <v>457</v>
      </c>
      <c r="D57" s="179"/>
      <c r="E57" s="171"/>
      <c r="F57" s="240" t="s">
        <v>458</v>
      </c>
      <c r="G57" s="165"/>
      <c r="H57" s="83">
        <f>10+13.5</f>
        <v>23.5</v>
      </c>
      <c r="I57" s="80"/>
      <c r="J57" s="80"/>
      <c r="K57" s="80"/>
    </row>
    <row r="58" spans="1:11" ht="26.25" customHeight="1">
      <c r="A58" s="83">
        <v>28</v>
      </c>
      <c r="B58" s="83" t="s">
        <v>457</v>
      </c>
      <c r="C58" s="83" t="s">
        <v>459</v>
      </c>
      <c r="D58" s="179"/>
      <c r="E58" s="171"/>
      <c r="F58" s="240" t="s">
        <v>460</v>
      </c>
      <c r="G58" s="165"/>
      <c r="H58" s="83">
        <f>20.8+12.5</f>
        <v>33.299999999999997</v>
      </c>
      <c r="I58" s="80"/>
      <c r="J58" s="80"/>
      <c r="K58" s="80"/>
    </row>
    <row r="59" spans="1:11" ht="26.25" customHeight="1">
      <c r="A59" s="83">
        <f>A58+1</f>
        <v>29</v>
      </c>
      <c r="B59" s="83" t="s">
        <v>459</v>
      </c>
      <c r="C59" s="83" t="s">
        <v>461</v>
      </c>
      <c r="D59" s="181"/>
      <c r="E59" s="249"/>
      <c r="F59" s="240" t="s">
        <v>462</v>
      </c>
      <c r="G59" s="165"/>
      <c r="H59" s="83">
        <f>10.2+1.7+2.8+5.7</f>
        <v>20.399999999999999</v>
      </c>
      <c r="I59" s="80"/>
      <c r="J59" s="80"/>
      <c r="K59" s="80"/>
    </row>
    <row r="60" spans="1:11" ht="26.25" customHeight="1">
      <c r="A60" s="83">
        <v>29</v>
      </c>
      <c r="B60" s="83" t="s">
        <v>338</v>
      </c>
      <c r="C60" s="83" t="s">
        <v>463</v>
      </c>
      <c r="D60" s="250" t="s">
        <v>464</v>
      </c>
      <c r="E60" s="168"/>
      <c r="F60" s="240" t="s">
        <v>465</v>
      </c>
      <c r="G60" s="165"/>
      <c r="H60" s="83">
        <f>4.3+13.5+27+5.5+8.7+1.5+9.7</f>
        <v>70.2</v>
      </c>
      <c r="I60" s="80"/>
      <c r="J60" s="80"/>
      <c r="K60" s="80"/>
    </row>
    <row r="61" spans="1:11" ht="26.25" customHeight="1">
      <c r="A61" s="83">
        <f>A60+1</f>
        <v>30</v>
      </c>
      <c r="B61" s="83" t="s">
        <v>463</v>
      </c>
      <c r="C61" s="83" t="s">
        <v>466</v>
      </c>
      <c r="D61" s="179"/>
      <c r="E61" s="171"/>
      <c r="F61" s="240" t="s">
        <v>467</v>
      </c>
      <c r="G61" s="165"/>
      <c r="H61" s="83">
        <f>10.5+2+7.5+12</f>
        <v>32</v>
      </c>
      <c r="I61" s="80"/>
      <c r="J61" s="80"/>
      <c r="K61" s="80"/>
    </row>
    <row r="62" spans="1:11" ht="26.25" customHeight="1">
      <c r="A62" s="83">
        <v>30</v>
      </c>
      <c r="B62" s="83" t="s">
        <v>466</v>
      </c>
      <c r="C62" s="83" t="s">
        <v>468</v>
      </c>
      <c r="D62" s="181"/>
      <c r="E62" s="249"/>
      <c r="F62" s="240" t="s">
        <v>469</v>
      </c>
      <c r="G62" s="165"/>
      <c r="H62" s="83">
        <f>2.5+9.8+8.7+8.9</f>
        <v>29.9</v>
      </c>
      <c r="I62" s="80"/>
      <c r="J62" s="80"/>
      <c r="K62" s="80"/>
    </row>
    <row r="63" spans="1:11" ht="26.25" customHeight="1">
      <c r="A63" s="83">
        <f>A62+1</f>
        <v>31</v>
      </c>
      <c r="B63" s="83" t="s">
        <v>338</v>
      </c>
      <c r="C63" s="83" t="s">
        <v>470</v>
      </c>
      <c r="D63" s="240" t="s">
        <v>471</v>
      </c>
      <c r="E63" s="165"/>
      <c r="F63" s="240" t="s">
        <v>472</v>
      </c>
      <c r="G63" s="165"/>
      <c r="H63" s="83">
        <f>4.8+19.1+1.7+10.5+1+4.1+7.5+6</f>
        <v>54.7</v>
      </c>
      <c r="I63" s="80"/>
      <c r="J63" s="80"/>
      <c r="K63" s="80"/>
    </row>
    <row r="64" spans="1:11" ht="26.25" customHeight="1">
      <c r="A64" s="83">
        <v>31</v>
      </c>
      <c r="B64" s="83" t="s">
        <v>338</v>
      </c>
      <c r="C64" s="83" t="s">
        <v>473</v>
      </c>
      <c r="D64" s="240" t="s">
        <v>474</v>
      </c>
      <c r="E64" s="165"/>
      <c r="F64" s="240"/>
      <c r="G64" s="165"/>
      <c r="H64" s="83"/>
      <c r="I64" s="80"/>
      <c r="J64" s="80"/>
      <c r="K64" s="80"/>
    </row>
    <row r="65" spans="1:11" ht="26.25" customHeight="1">
      <c r="A65" s="83">
        <f>A64+1</f>
        <v>32</v>
      </c>
      <c r="B65" s="83" t="s">
        <v>385</v>
      </c>
      <c r="C65" s="83"/>
      <c r="D65" s="240" t="s">
        <v>475</v>
      </c>
      <c r="E65" s="165"/>
      <c r="F65" s="240"/>
      <c r="G65" s="165"/>
      <c r="H65" s="83"/>
      <c r="I65" s="80"/>
      <c r="J65" s="80"/>
      <c r="K65" s="80"/>
    </row>
    <row r="66" spans="1:11" ht="26.25" customHeight="1">
      <c r="A66" s="83"/>
      <c r="B66" s="243" t="s">
        <v>116</v>
      </c>
      <c r="C66" s="164"/>
      <c r="D66" s="164"/>
      <c r="E66" s="164"/>
      <c r="F66" s="164"/>
      <c r="G66" s="165"/>
      <c r="H66" s="85">
        <f>SUM(H4:H65)</f>
        <v>1903.9</v>
      </c>
      <c r="I66" s="80"/>
      <c r="J66" s="80"/>
      <c r="K66" s="80"/>
    </row>
    <row r="67" spans="1:11" ht="26.25" customHeight="1">
      <c r="A67" s="80"/>
      <c r="B67" s="86" t="s">
        <v>476</v>
      </c>
      <c r="C67" s="87"/>
      <c r="D67" s="87"/>
      <c r="E67" s="87"/>
      <c r="F67" s="88"/>
      <c r="G67" s="81" t="s">
        <v>337</v>
      </c>
      <c r="H67" s="82" t="s">
        <v>116</v>
      </c>
      <c r="I67" s="89"/>
      <c r="J67" s="80"/>
      <c r="K67" s="80"/>
    </row>
    <row r="68" spans="1:11" ht="26.25" customHeight="1">
      <c r="A68" s="90">
        <v>1</v>
      </c>
      <c r="B68" s="247" t="s">
        <v>477</v>
      </c>
      <c r="C68" s="90" t="s">
        <v>478</v>
      </c>
      <c r="D68" s="90" t="s">
        <v>433</v>
      </c>
      <c r="E68" s="90" t="s">
        <v>479</v>
      </c>
      <c r="F68" s="90" t="s">
        <v>433</v>
      </c>
      <c r="G68" s="90" t="s">
        <v>480</v>
      </c>
      <c r="H68" s="90">
        <f>4.5+7+8+15+15+15+12.5+15+9.8</f>
        <v>101.8</v>
      </c>
      <c r="I68" s="80"/>
      <c r="J68" s="91"/>
      <c r="K68" s="80"/>
    </row>
    <row r="69" spans="1:11" ht="26.25" customHeight="1">
      <c r="A69" s="90">
        <f t="shared" ref="A69:A103" si="1">A68+1</f>
        <v>2</v>
      </c>
      <c r="B69" s="203"/>
      <c r="C69" s="90" t="s">
        <v>479</v>
      </c>
      <c r="D69" s="90" t="s">
        <v>433</v>
      </c>
      <c r="E69" s="90" t="s">
        <v>481</v>
      </c>
      <c r="F69" s="90" t="s">
        <v>433</v>
      </c>
      <c r="G69" s="90" t="s">
        <v>482</v>
      </c>
      <c r="H69" s="90">
        <f>7.5+6+6</f>
        <v>19.5</v>
      </c>
      <c r="I69" s="80"/>
      <c r="J69" s="91"/>
      <c r="K69" s="80"/>
    </row>
    <row r="70" spans="1:11" ht="26.25" customHeight="1">
      <c r="A70" s="90">
        <f t="shared" si="1"/>
        <v>3</v>
      </c>
      <c r="B70" s="247" t="s">
        <v>483</v>
      </c>
      <c r="C70" s="90" t="s">
        <v>478</v>
      </c>
      <c r="D70" s="90" t="s">
        <v>433</v>
      </c>
      <c r="E70" s="90" t="s">
        <v>479</v>
      </c>
      <c r="F70" s="90" t="s">
        <v>433</v>
      </c>
      <c r="G70" s="90" t="s">
        <v>484</v>
      </c>
      <c r="H70" s="90">
        <f>4.5+15+15+12+8.5+2.6</f>
        <v>57.6</v>
      </c>
      <c r="I70" s="80"/>
      <c r="J70" s="91"/>
      <c r="K70" s="80"/>
    </row>
    <row r="71" spans="1:11" ht="26.25" customHeight="1">
      <c r="A71" s="90">
        <f t="shared" si="1"/>
        <v>4</v>
      </c>
      <c r="B71" s="203"/>
      <c r="C71" s="90" t="s">
        <v>479</v>
      </c>
      <c r="D71" s="90" t="s">
        <v>433</v>
      </c>
      <c r="E71" s="90" t="s">
        <v>485</v>
      </c>
      <c r="F71" s="90" t="s">
        <v>433</v>
      </c>
      <c r="G71" s="90" t="s">
        <v>486</v>
      </c>
      <c r="H71" s="90">
        <f>4.5+6.7+2+11+5</f>
        <v>29.2</v>
      </c>
      <c r="I71" s="80"/>
      <c r="J71" s="91"/>
      <c r="K71" s="80"/>
    </row>
    <row r="72" spans="1:11" ht="26.25" customHeight="1">
      <c r="A72" s="90">
        <f t="shared" si="1"/>
        <v>5</v>
      </c>
      <c r="B72" s="247" t="s">
        <v>487</v>
      </c>
      <c r="C72" s="90" t="s">
        <v>478</v>
      </c>
      <c r="D72" s="90" t="s">
        <v>433</v>
      </c>
      <c r="E72" s="90" t="s">
        <v>479</v>
      </c>
      <c r="F72" s="90" t="s">
        <v>433</v>
      </c>
      <c r="G72" s="90" t="s">
        <v>488</v>
      </c>
      <c r="H72" s="90">
        <f>4.5+15+8.7+12.4+5.3+6.7</f>
        <v>52.6</v>
      </c>
      <c r="I72" s="80"/>
      <c r="J72" s="91"/>
      <c r="K72" s="80"/>
    </row>
    <row r="73" spans="1:11" ht="26.25" customHeight="1">
      <c r="A73" s="90">
        <f t="shared" si="1"/>
        <v>6</v>
      </c>
      <c r="B73" s="203"/>
      <c r="C73" s="90" t="s">
        <v>479</v>
      </c>
      <c r="D73" s="90" t="s">
        <v>433</v>
      </c>
      <c r="E73" s="90" t="s">
        <v>489</v>
      </c>
      <c r="F73" s="90" t="s">
        <v>433</v>
      </c>
      <c r="G73" s="90" t="s">
        <v>490</v>
      </c>
      <c r="H73" s="90">
        <f>5+5+5+6</f>
        <v>21</v>
      </c>
      <c r="I73" s="80"/>
      <c r="J73" s="91"/>
      <c r="K73" s="80"/>
    </row>
    <row r="74" spans="1:11" ht="26.25" customHeight="1">
      <c r="A74" s="90">
        <f t="shared" si="1"/>
        <v>7</v>
      </c>
      <c r="B74" s="247" t="s">
        <v>491</v>
      </c>
      <c r="C74" s="90" t="s">
        <v>478</v>
      </c>
      <c r="D74" s="90" t="s">
        <v>433</v>
      </c>
      <c r="E74" s="90" t="s">
        <v>479</v>
      </c>
      <c r="F74" s="90" t="s">
        <v>433</v>
      </c>
      <c r="G74" s="90" t="s">
        <v>492</v>
      </c>
      <c r="H74" s="90">
        <f>5+32</f>
        <v>37</v>
      </c>
      <c r="I74" s="80"/>
      <c r="J74" s="91"/>
      <c r="K74" s="80"/>
    </row>
    <row r="75" spans="1:11" ht="26.25" customHeight="1">
      <c r="A75" s="90">
        <f t="shared" si="1"/>
        <v>8</v>
      </c>
      <c r="B75" s="203"/>
      <c r="C75" s="90" t="s">
        <v>479</v>
      </c>
      <c r="D75" s="90" t="s">
        <v>433</v>
      </c>
      <c r="E75" s="90" t="s">
        <v>493</v>
      </c>
      <c r="F75" s="90" t="s">
        <v>433</v>
      </c>
      <c r="G75" s="90" t="s">
        <v>369</v>
      </c>
      <c r="H75" s="90">
        <f>5+5+5</f>
        <v>15</v>
      </c>
      <c r="I75" s="80"/>
      <c r="J75" s="91"/>
      <c r="K75" s="80"/>
    </row>
    <row r="76" spans="1:11" ht="26.25" customHeight="1">
      <c r="A76" s="90">
        <f t="shared" si="1"/>
        <v>9</v>
      </c>
      <c r="B76" s="92" t="s">
        <v>494</v>
      </c>
      <c r="C76" s="90" t="s">
        <v>478</v>
      </c>
      <c r="D76" s="90" t="s">
        <v>433</v>
      </c>
      <c r="E76" s="90" t="s">
        <v>495</v>
      </c>
      <c r="F76" s="90" t="s">
        <v>433</v>
      </c>
      <c r="G76" s="90" t="s">
        <v>496</v>
      </c>
      <c r="H76" s="90">
        <f>4.5+7+5.5+10</f>
        <v>27</v>
      </c>
      <c r="I76" s="80"/>
      <c r="J76" s="91"/>
      <c r="K76" s="80"/>
    </row>
    <row r="77" spans="1:11" ht="26.25" customHeight="1">
      <c r="A77" s="90">
        <f t="shared" si="1"/>
        <v>10</v>
      </c>
      <c r="B77" s="92" t="s">
        <v>497</v>
      </c>
      <c r="C77" s="90" t="s">
        <v>478</v>
      </c>
      <c r="D77" s="90" t="s">
        <v>433</v>
      </c>
      <c r="E77" s="90" t="s">
        <v>498</v>
      </c>
      <c r="F77" s="90" t="s">
        <v>433</v>
      </c>
      <c r="G77" s="90" t="s">
        <v>499</v>
      </c>
      <c r="H77" s="90">
        <f>32+8+5</f>
        <v>45</v>
      </c>
      <c r="I77" s="80"/>
      <c r="J77" s="91"/>
      <c r="K77" s="80"/>
    </row>
    <row r="78" spans="1:11" ht="26.25" customHeight="1">
      <c r="A78" s="90">
        <f t="shared" si="1"/>
        <v>11</v>
      </c>
      <c r="B78" s="92" t="s">
        <v>500</v>
      </c>
      <c r="C78" s="90" t="s">
        <v>478</v>
      </c>
      <c r="D78" s="90" t="s">
        <v>433</v>
      </c>
      <c r="E78" s="90" t="s">
        <v>479</v>
      </c>
      <c r="F78" s="90" t="s">
        <v>433</v>
      </c>
      <c r="G78" s="90" t="s">
        <v>501</v>
      </c>
      <c r="H78" s="90">
        <f>12+15+15+17</f>
        <v>59</v>
      </c>
      <c r="I78" s="80"/>
      <c r="J78" s="91"/>
      <c r="K78" s="80"/>
    </row>
    <row r="79" spans="1:11" ht="26.25" customHeight="1">
      <c r="A79" s="90">
        <f t="shared" si="1"/>
        <v>12</v>
      </c>
      <c r="B79" s="92" t="s">
        <v>502</v>
      </c>
      <c r="C79" s="90" t="s">
        <v>478</v>
      </c>
      <c r="D79" s="90" t="s">
        <v>433</v>
      </c>
      <c r="E79" s="90" t="s">
        <v>503</v>
      </c>
      <c r="F79" s="90" t="s">
        <v>433</v>
      </c>
      <c r="G79" s="90" t="s">
        <v>504</v>
      </c>
      <c r="H79" s="90">
        <f>4.5+7+15+7</f>
        <v>33.5</v>
      </c>
      <c r="I79" s="80"/>
      <c r="J79" s="91"/>
      <c r="K79" s="80"/>
    </row>
    <row r="80" spans="1:11" ht="26.25" customHeight="1">
      <c r="A80" s="90">
        <f t="shared" si="1"/>
        <v>13</v>
      </c>
      <c r="B80" s="247" t="s">
        <v>505</v>
      </c>
      <c r="C80" s="90" t="s">
        <v>478</v>
      </c>
      <c r="D80" s="90" t="s">
        <v>433</v>
      </c>
      <c r="E80" s="90" t="s">
        <v>479</v>
      </c>
      <c r="F80" s="90" t="s">
        <v>433</v>
      </c>
      <c r="G80" s="90" t="s">
        <v>506</v>
      </c>
      <c r="H80" s="90">
        <f>4.5+20+20+15+15+7.8</f>
        <v>82.3</v>
      </c>
      <c r="I80" s="80"/>
      <c r="J80" s="91"/>
      <c r="K80" s="80"/>
    </row>
    <row r="81" spans="1:11" ht="26.25" customHeight="1">
      <c r="A81" s="90">
        <f t="shared" si="1"/>
        <v>14</v>
      </c>
      <c r="B81" s="203"/>
      <c r="C81" s="90" t="s">
        <v>479</v>
      </c>
      <c r="D81" s="90" t="s">
        <v>433</v>
      </c>
      <c r="E81" s="90" t="s">
        <v>507</v>
      </c>
      <c r="F81" s="90" t="s">
        <v>433</v>
      </c>
      <c r="G81" s="90" t="s">
        <v>508</v>
      </c>
      <c r="H81" s="90">
        <f>24+25+4</f>
        <v>53</v>
      </c>
      <c r="I81" s="80"/>
      <c r="J81" s="91"/>
      <c r="K81" s="80"/>
    </row>
    <row r="82" spans="1:11" ht="26.25" customHeight="1">
      <c r="A82" s="90">
        <f t="shared" si="1"/>
        <v>15</v>
      </c>
      <c r="B82" s="247" t="s">
        <v>509</v>
      </c>
      <c r="C82" s="90" t="s">
        <v>478</v>
      </c>
      <c r="D82" s="90" t="s">
        <v>433</v>
      </c>
      <c r="E82" s="90" t="s">
        <v>479</v>
      </c>
      <c r="F82" s="90" t="s">
        <v>433</v>
      </c>
      <c r="G82" s="90" t="s">
        <v>510</v>
      </c>
      <c r="H82" s="90">
        <f>13+48</f>
        <v>61</v>
      </c>
      <c r="I82" s="80"/>
      <c r="J82" s="91"/>
      <c r="K82" s="80"/>
    </row>
    <row r="83" spans="1:11" ht="26.25" customHeight="1">
      <c r="A83" s="90">
        <f t="shared" si="1"/>
        <v>16</v>
      </c>
      <c r="B83" s="203"/>
      <c r="C83" s="90" t="s">
        <v>479</v>
      </c>
      <c r="D83" s="90" t="s">
        <v>433</v>
      </c>
      <c r="E83" s="90" t="s">
        <v>511</v>
      </c>
      <c r="F83" s="90" t="s">
        <v>433</v>
      </c>
      <c r="G83" s="90" t="s">
        <v>512</v>
      </c>
      <c r="H83" s="90">
        <f>5+6+14</f>
        <v>25</v>
      </c>
      <c r="I83" s="80"/>
      <c r="J83" s="91"/>
      <c r="K83" s="80"/>
    </row>
    <row r="84" spans="1:11" ht="26.25" customHeight="1">
      <c r="A84" s="90">
        <f t="shared" si="1"/>
        <v>17</v>
      </c>
      <c r="B84" s="247" t="s">
        <v>513</v>
      </c>
      <c r="C84" s="90" t="s">
        <v>478</v>
      </c>
      <c r="D84" s="90" t="s">
        <v>433</v>
      </c>
      <c r="E84" s="90" t="s">
        <v>479</v>
      </c>
      <c r="F84" s="90" t="s">
        <v>433</v>
      </c>
      <c r="G84" s="90" t="s">
        <v>514</v>
      </c>
      <c r="H84" s="90">
        <f>22+21</f>
        <v>43</v>
      </c>
      <c r="I84" s="80"/>
      <c r="J84" s="91"/>
      <c r="K84" s="80"/>
    </row>
    <row r="85" spans="1:11" ht="26.25" customHeight="1">
      <c r="A85" s="90">
        <f t="shared" si="1"/>
        <v>18</v>
      </c>
      <c r="B85" s="203"/>
      <c r="C85" s="90" t="s">
        <v>479</v>
      </c>
      <c r="D85" s="90" t="s">
        <v>433</v>
      </c>
      <c r="E85" s="90" t="s">
        <v>515</v>
      </c>
      <c r="F85" s="90" t="s">
        <v>433</v>
      </c>
      <c r="G85" s="90" t="s">
        <v>516</v>
      </c>
      <c r="H85" s="90">
        <f>5+5+13</f>
        <v>23</v>
      </c>
      <c r="I85" s="80"/>
      <c r="J85" s="91"/>
      <c r="K85" s="80"/>
    </row>
    <row r="86" spans="1:11" ht="26.25" customHeight="1">
      <c r="A86" s="90">
        <f t="shared" si="1"/>
        <v>19</v>
      </c>
      <c r="B86" s="247" t="s">
        <v>517</v>
      </c>
      <c r="C86" s="90" t="s">
        <v>478</v>
      </c>
      <c r="D86" s="90" t="s">
        <v>433</v>
      </c>
      <c r="E86" s="90" t="s">
        <v>479</v>
      </c>
      <c r="F86" s="90" t="s">
        <v>433</v>
      </c>
      <c r="G86" s="90" t="s">
        <v>518</v>
      </c>
      <c r="H86" s="90">
        <f>4.5+2.5+7</f>
        <v>14</v>
      </c>
      <c r="I86" s="80"/>
      <c r="J86" s="91"/>
      <c r="K86" s="80"/>
    </row>
    <row r="87" spans="1:11" ht="26.25" customHeight="1">
      <c r="A87" s="90">
        <f t="shared" si="1"/>
        <v>20</v>
      </c>
      <c r="B87" s="203"/>
      <c r="C87" s="90" t="s">
        <v>479</v>
      </c>
      <c r="D87" s="90" t="s">
        <v>433</v>
      </c>
      <c r="E87" s="90" t="s">
        <v>519</v>
      </c>
      <c r="F87" s="90" t="s">
        <v>433</v>
      </c>
      <c r="G87" s="90" t="s">
        <v>520</v>
      </c>
      <c r="H87" s="90">
        <f>9+10</f>
        <v>19</v>
      </c>
      <c r="I87" s="80"/>
      <c r="J87" s="91"/>
      <c r="K87" s="80"/>
    </row>
    <row r="88" spans="1:11" ht="26.25" customHeight="1">
      <c r="A88" s="90">
        <f t="shared" si="1"/>
        <v>21</v>
      </c>
      <c r="B88" s="92" t="s">
        <v>521</v>
      </c>
      <c r="C88" s="90" t="s">
        <v>478</v>
      </c>
      <c r="D88" s="90" t="s">
        <v>433</v>
      </c>
      <c r="E88" s="90" t="s">
        <v>522</v>
      </c>
      <c r="F88" s="90" t="s">
        <v>433</v>
      </c>
      <c r="G88" s="90" t="s">
        <v>523</v>
      </c>
      <c r="H88" s="90">
        <f>36+7+13</f>
        <v>56</v>
      </c>
      <c r="I88" s="80"/>
      <c r="J88" s="91"/>
      <c r="K88" s="80"/>
    </row>
    <row r="89" spans="1:11" ht="26.25" customHeight="1">
      <c r="A89" s="90">
        <f t="shared" si="1"/>
        <v>22</v>
      </c>
      <c r="B89" s="247" t="s">
        <v>524</v>
      </c>
      <c r="C89" s="90" t="s">
        <v>478</v>
      </c>
      <c r="D89" s="90" t="s">
        <v>433</v>
      </c>
      <c r="E89" s="90" t="s">
        <v>525</v>
      </c>
      <c r="F89" s="90" t="s">
        <v>433</v>
      </c>
      <c r="G89" s="90" t="s">
        <v>526</v>
      </c>
      <c r="H89" s="90">
        <f>26+28</f>
        <v>54</v>
      </c>
      <c r="I89" s="80"/>
      <c r="J89" s="91"/>
      <c r="K89" s="80"/>
    </row>
    <row r="90" spans="1:11" ht="26.25" customHeight="1">
      <c r="A90" s="90">
        <f t="shared" si="1"/>
        <v>23</v>
      </c>
      <c r="B90" s="239"/>
      <c r="C90" s="90" t="s">
        <v>525</v>
      </c>
      <c r="D90" s="90" t="s">
        <v>433</v>
      </c>
      <c r="E90" s="90">
        <v>21</v>
      </c>
      <c r="F90" s="90" t="s">
        <v>433</v>
      </c>
      <c r="G90" s="90">
        <v>45</v>
      </c>
      <c r="H90" s="90">
        <v>45</v>
      </c>
      <c r="I90" s="80"/>
      <c r="J90" s="91"/>
      <c r="K90" s="80"/>
    </row>
    <row r="91" spans="1:11" ht="26.25" customHeight="1">
      <c r="A91" s="90">
        <f t="shared" si="1"/>
        <v>24</v>
      </c>
      <c r="B91" s="203"/>
      <c r="C91" s="90" t="s">
        <v>525</v>
      </c>
      <c r="D91" s="90" t="s">
        <v>433</v>
      </c>
      <c r="E91" s="90">
        <v>22</v>
      </c>
      <c r="F91" s="90" t="s">
        <v>433</v>
      </c>
      <c r="G91" s="90">
        <v>36</v>
      </c>
      <c r="H91" s="90">
        <v>36</v>
      </c>
      <c r="I91" s="80"/>
      <c r="J91" s="91"/>
      <c r="K91" s="80"/>
    </row>
    <row r="92" spans="1:11" ht="26.25" customHeight="1">
      <c r="A92" s="90">
        <f t="shared" si="1"/>
        <v>25</v>
      </c>
      <c r="B92" s="247" t="s">
        <v>527</v>
      </c>
      <c r="C92" s="90" t="s">
        <v>478</v>
      </c>
      <c r="D92" s="90" t="s">
        <v>433</v>
      </c>
      <c r="E92" s="90" t="s">
        <v>528</v>
      </c>
      <c r="F92" s="90" t="s">
        <v>433</v>
      </c>
      <c r="G92" s="90">
        <v>47</v>
      </c>
      <c r="H92" s="90">
        <v>47</v>
      </c>
      <c r="I92" s="80"/>
      <c r="J92" s="91"/>
      <c r="K92" s="80"/>
    </row>
    <row r="93" spans="1:11" ht="26.25" customHeight="1">
      <c r="A93" s="90">
        <f t="shared" si="1"/>
        <v>26</v>
      </c>
      <c r="B93" s="203"/>
      <c r="C93" s="90" t="s">
        <v>528</v>
      </c>
      <c r="D93" s="90" t="s">
        <v>433</v>
      </c>
      <c r="E93" s="90" t="s">
        <v>528</v>
      </c>
      <c r="F93" s="90" t="s">
        <v>433</v>
      </c>
      <c r="G93" s="90">
        <v>66</v>
      </c>
      <c r="H93" s="90">
        <v>66</v>
      </c>
      <c r="I93" s="80"/>
      <c r="J93" s="91"/>
      <c r="K93" s="80"/>
    </row>
    <row r="94" spans="1:11" ht="26.25" customHeight="1">
      <c r="A94" s="90">
        <f t="shared" si="1"/>
        <v>27</v>
      </c>
      <c r="B94" s="247" t="s">
        <v>529</v>
      </c>
      <c r="C94" s="90" t="s">
        <v>478</v>
      </c>
      <c r="D94" s="90" t="s">
        <v>433</v>
      </c>
      <c r="E94" s="90" t="s">
        <v>479</v>
      </c>
      <c r="F94" s="90" t="s">
        <v>433</v>
      </c>
      <c r="G94" s="90">
        <f t="shared" ref="G94:H94" si="2">59</f>
        <v>59</v>
      </c>
      <c r="H94" s="90">
        <f t="shared" si="2"/>
        <v>59</v>
      </c>
      <c r="I94" s="80"/>
      <c r="J94" s="91"/>
      <c r="K94" s="80"/>
    </row>
    <row r="95" spans="1:11" ht="26.25" customHeight="1">
      <c r="A95" s="90">
        <f t="shared" si="1"/>
        <v>28</v>
      </c>
      <c r="B95" s="203"/>
      <c r="C95" s="90" t="s">
        <v>479</v>
      </c>
      <c r="D95" s="90" t="s">
        <v>433</v>
      </c>
      <c r="E95" s="90" t="s">
        <v>530</v>
      </c>
      <c r="F95" s="90" t="s">
        <v>433</v>
      </c>
      <c r="G95" s="90" t="s">
        <v>531</v>
      </c>
      <c r="H95" s="90">
        <f>19+19</f>
        <v>38</v>
      </c>
      <c r="I95" s="80"/>
      <c r="J95" s="91"/>
      <c r="K95" s="80"/>
    </row>
    <row r="96" spans="1:11" ht="26.25" customHeight="1">
      <c r="A96" s="90">
        <f t="shared" si="1"/>
        <v>29</v>
      </c>
      <c r="B96" s="247" t="s">
        <v>532</v>
      </c>
      <c r="C96" s="90" t="s">
        <v>478</v>
      </c>
      <c r="D96" s="90" t="s">
        <v>433</v>
      </c>
      <c r="E96" s="90" t="s">
        <v>479</v>
      </c>
      <c r="F96" s="90" t="s">
        <v>433</v>
      </c>
      <c r="G96" s="90" t="s">
        <v>533</v>
      </c>
      <c r="H96" s="90">
        <f>37+42</f>
        <v>79</v>
      </c>
      <c r="I96" s="80"/>
      <c r="J96" s="91"/>
      <c r="K96" s="80"/>
    </row>
    <row r="97" spans="1:11" ht="26.25" customHeight="1">
      <c r="A97" s="90">
        <f t="shared" si="1"/>
        <v>30</v>
      </c>
      <c r="B97" s="203"/>
      <c r="C97" s="90" t="s">
        <v>479</v>
      </c>
      <c r="D97" s="90" t="s">
        <v>433</v>
      </c>
      <c r="E97" s="90" t="s">
        <v>534</v>
      </c>
      <c r="F97" s="90" t="s">
        <v>433</v>
      </c>
      <c r="G97" s="90" t="s">
        <v>362</v>
      </c>
      <c r="H97" s="90">
        <f>5+5+5+5</f>
        <v>20</v>
      </c>
      <c r="I97" s="80"/>
      <c r="J97" s="91"/>
      <c r="K97" s="80"/>
    </row>
    <row r="98" spans="1:11" ht="26.25" customHeight="1">
      <c r="A98" s="90">
        <f t="shared" si="1"/>
        <v>31</v>
      </c>
      <c r="B98" s="247" t="s">
        <v>535</v>
      </c>
      <c r="C98" s="90" t="s">
        <v>478</v>
      </c>
      <c r="D98" s="90" t="s">
        <v>433</v>
      </c>
      <c r="E98" s="90" t="s">
        <v>479</v>
      </c>
      <c r="F98" s="90" t="s">
        <v>433</v>
      </c>
      <c r="G98" s="90">
        <v>31</v>
      </c>
      <c r="H98" s="90">
        <f>31</f>
        <v>31</v>
      </c>
      <c r="I98" s="80"/>
      <c r="J98" s="91"/>
      <c r="K98" s="80"/>
    </row>
    <row r="99" spans="1:11" ht="26.25" customHeight="1">
      <c r="A99" s="90">
        <f t="shared" si="1"/>
        <v>32</v>
      </c>
      <c r="B99" s="203"/>
      <c r="C99" s="90" t="s">
        <v>479</v>
      </c>
      <c r="D99" s="90" t="s">
        <v>433</v>
      </c>
      <c r="E99" s="90" t="s">
        <v>536</v>
      </c>
      <c r="F99" s="90" t="s">
        <v>433</v>
      </c>
      <c r="G99" s="90">
        <f t="shared" ref="G99:H99" si="3">7+17</f>
        <v>24</v>
      </c>
      <c r="H99" s="90">
        <f t="shared" si="3"/>
        <v>24</v>
      </c>
      <c r="I99" s="80"/>
      <c r="J99" s="91"/>
      <c r="K99" s="80"/>
    </row>
    <row r="100" spans="1:11" ht="26.25" customHeight="1">
      <c r="A100" s="90">
        <f t="shared" si="1"/>
        <v>33</v>
      </c>
      <c r="B100" s="247" t="s">
        <v>537</v>
      </c>
      <c r="C100" s="90" t="s">
        <v>478</v>
      </c>
      <c r="D100" s="90" t="s">
        <v>433</v>
      </c>
      <c r="E100" s="90" t="s">
        <v>538</v>
      </c>
      <c r="F100" s="90" t="s">
        <v>433</v>
      </c>
      <c r="G100" s="90" t="s">
        <v>539</v>
      </c>
      <c r="H100" s="90">
        <f>30+11</f>
        <v>41</v>
      </c>
      <c r="I100" s="80"/>
      <c r="J100" s="91"/>
      <c r="K100" s="80"/>
    </row>
    <row r="101" spans="1:11" ht="26.25" customHeight="1">
      <c r="A101" s="90">
        <f t="shared" si="1"/>
        <v>34</v>
      </c>
      <c r="B101" s="239"/>
      <c r="C101" s="90" t="s">
        <v>538</v>
      </c>
      <c r="D101" s="90" t="s">
        <v>433</v>
      </c>
      <c r="E101" s="90">
        <v>17</v>
      </c>
      <c r="F101" s="90" t="s">
        <v>433</v>
      </c>
      <c r="G101" s="90">
        <v>38</v>
      </c>
      <c r="H101" s="90">
        <v>38</v>
      </c>
      <c r="I101" s="80"/>
      <c r="J101" s="91"/>
      <c r="K101" s="80"/>
    </row>
    <row r="102" spans="1:11" ht="26.25" customHeight="1">
      <c r="A102" s="90">
        <f t="shared" si="1"/>
        <v>35</v>
      </c>
      <c r="B102" s="203"/>
      <c r="C102" s="90" t="s">
        <v>538</v>
      </c>
      <c r="D102" s="90" t="s">
        <v>433</v>
      </c>
      <c r="E102" s="90">
        <v>18</v>
      </c>
      <c r="F102" s="90" t="s">
        <v>433</v>
      </c>
      <c r="G102" s="90">
        <v>27</v>
      </c>
      <c r="H102" s="90">
        <v>27</v>
      </c>
      <c r="I102" s="80"/>
      <c r="J102" s="91"/>
      <c r="K102" s="80"/>
    </row>
    <row r="103" spans="1:11" ht="26.25" customHeight="1">
      <c r="A103" s="90">
        <f t="shared" si="1"/>
        <v>36</v>
      </c>
      <c r="B103" s="93" t="s">
        <v>540</v>
      </c>
      <c r="C103" s="90" t="s">
        <v>478</v>
      </c>
      <c r="D103" s="90" t="s">
        <v>433</v>
      </c>
      <c r="E103" s="90" t="s">
        <v>541</v>
      </c>
      <c r="F103" s="90" t="s">
        <v>433</v>
      </c>
      <c r="G103" s="90">
        <f t="shared" ref="G103:H103" si="4">46</f>
        <v>46</v>
      </c>
      <c r="H103" s="90">
        <f t="shared" si="4"/>
        <v>46</v>
      </c>
      <c r="I103" s="80"/>
      <c r="J103" s="91"/>
      <c r="K103" s="80"/>
    </row>
    <row r="104" spans="1:11" ht="26.25" customHeight="1">
      <c r="A104" s="90"/>
      <c r="B104" s="244" t="s">
        <v>116</v>
      </c>
      <c r="C104" s="164"/>
      <c r="D104" s="164"/>
      <c r="E104" s="164"/>
      <c r="F104" s="164"/>
      <c r="G104" s="165"/>
      <c r="H104" s="94">
        <f>SUM(H68:H103)</f>
        <v>1525.5</v>
      </c>
      <c r="I104" s="80"/>
      <c r="J104" s="80"/>
      <c r="K104" s="80"/>
    </row>
    <row r="105" spans="1:11" ht="26.25" customHeight="1">
      <c r="A105" s="82" t="s">
        <v>117</v>
      </c>
      <c r="B105" s="243" t="s">
        <v>542</v>
      </c>
      <c r="C105" s="164"/>
      <c r="D105" s="164"/>
      <c r="E105" s="245" t="s">
        <v>337</v>
      </c>
      <c r="F105" s="164"/>
      <c r="G105" s="165"/>
      <c r="H105" s="82" t="s">
        <v>116</v>
      </c>
      <c r="I105" s="80"/>
      <c r="J105" s="80"/>
      <c r="K105" s="80"/>
    </row>
    <row r="106" spans="1:11" ht="26.25" customHeight="1">
      <c r="A106" s="83">
        <v>1</v>
      </c>
      <c r="B106" s="83" t="s">
        <v>543</v>
      </c>
      <c r="C106" s="240" t="s">
        <v>544</v>
      </c>
      <c r="D106" s="165"/>
      <c r="E106" s="240" t="s">
        <v>545</v>
      </c>
      <c r="F106" s="164"/>
      <c r="G106" s="165"/>
      <c r="H106" s="95">
        <f>4.8+19.1+1.7+10.5+1+3</f>
        <v>40.1</v>
      </c>
      <c r="I106" s="80"/>
      <c r="J106" s="80"/>
      <c r="K106" s="80"/>
    </row>
    <row r="107" spans="1:11" ht="26.25" customHeight="1">
      <c r="A107" s="83">
        <f t="shared" ref="A107:A126" si="5">A106+1</f>
        <v>2</v>
      </c>
      <c r="B107" s="83" t="s">
        <v>546</v>
      </c>
      <c r="C107" s="240" t="s">
        <v>547</v>
      </c>
      <c r="D107" s="165"/>
      <c r="E107" s="240" t="s">
        <v>548</v>
      </c>
      <c r="F107" s="164"/>
      <c r="G107" s="165"/>
      <c r="H107" s="95">
        <f>15.5+4.5+5.5+7+12.4</f>
        <v>44.9</v>
      </c>
      <c r="I107" s="80"/>
      <c r="J107" s="80"/>
      <c r="K107" s="80"/>
    </row>
    <row r="108" spans="1:11" ht="26.25" customHeight="1">
      <c r="A108" s="83">
        <f t="shared" si="5"/>
        <v>3</v>
      </c>
      <c r="B108" s="83" t="s">
        <v>547</v>
      </c>
      <c r="C108" s="240" t="s">
        <v>549</v>
      </c>
      <c r="D108" s="165"/>
      <c r="E108" s="240" t="s">
        <v>550</v>
      </c>
      <c r="F108" s="164"/>
      <c r="G108" s="165"/>
      <c r="H108" s="95">
        <f>26.4+7+13.5+7</f>
        <v>53.9</v>
      </c>
      <c r="I108" s="80"/>
      <c r="J108" s="80"/>
      <c r="K108" s="80"/>
    </row>
    <row r="109" spans="1:11" ht="26.25" customHeight="1">
      <c r="A109" s="83">
        <f t="shared" si="5"/>
        <v>4</v>
      </c>
      <c r="B109" s="83" t="s">
        <v>543</v>
      </c>
      <c r="C109" s="240" t="s">
        <v>551</v>
      </c>
      <c r="D109" s="165"/>
      <c r="E109" s="240" t="s">
        <v>552</v>
      </c>
      <c r="F109" s="164"/>
      <c r="G109" s="165"/>
      <c r="H109" s="95">
        <f>3.3+2+12+3.8+1.6+2.4</f>
        <v>25.1</v>
      </c>
      <c r="I109" s="80"/>
      <c r="J109" s="80"/>
      <c r="K109" s="80"/>
    </row>
    <row r="110" spans="1:11" ht="26.25" customHeight="1">
      <c r="A110" s="83">
        <f t="shared" si="5"/>
        <v>5</v>
      </c>
      <c r="B110" s="83" t="s">
        <v>551</v>
      </c>
      <c r="C110" s="240" t="s">
        <v>553</v>
      </c>
      <c r="D110" s="165"/>
      <c r="E110" s="240" t="s">
        <v>554</v>
      </c>
      <c r="F110" s="164"/>
      <c r="G110" s="165"/>
      <c r="H110" s="95">
        <f>2+4.5</f>
        <v>6.5</v>
      </c>
      <c r="I110" s="80"/>
      <c r="J110" s="80"/>
      <c r="K110" s="80"/>
    </row>
    <row r="111" spans="1:11" ht="26.25" customHeight="1">
      <c r="A111" s="83">
        <f t="shared" si="5"/>
        <v>6</v>
      </c>
      <c r="B111" s="83" t="s">
        <v>553</v>
      </c>
      <c r="C111" s="240" t="s">
        <v>555</v>
      </c>
      <c r="D111" s="165"/>
      <c r="E111" s="240" t="s">
        <v>556</v>
      </c>
      <c r="F111" s="164"/>
      <c r="G111" s="165"/>
      <c r="H111" s="95">
        <f>2.4+25.3+4.3</f>
        <v>32</v>
      </c>
      <c r="I111" s="80"/>
      <c r="J111" s="80"/>
      <c r="K111" s="80"/>
    </row>
    <row r="112" spans="1:11" ht="26.25" customHeight="1">
      <c r="A112" s="83">
        <f t="shared" si="5"/>
        <v>7</v>
      </c>
      <c r="B112" s="83" t="s">
        <v>543</v>
      </c>
      <c r="C112" s="240" t="s">
        <v>557</v>
      </c>
      <c r="D112" s="165"/>
      <c r="E112" s="240" t="s">
        <v>558</v>
      </c>
      <c r="F112" s="164"/>
      <c r="G112" s="165"/>
      <c r="H112" s="95">
        <f>4.8+19.1+14.6+1.6</f>
        <v>40.1</v>
      </c>
      <c r="I112" s="80"/>
      <c r="J112" s="80"/>
      <c r="K112" s="80"/>
    </row>
    <row r="113" spans="1:11" ht="26.25" customHeight="1">
      <c r="A113" s="83">
        <f t="shared" si="5"/>
        <v>8</v>
      </c>
      <c r="B113" s="83" t="s">
        <v>543</v>
      </c>
      <c r="C113" s="240" t="s">
        <v>559</v>
      </c>
      <c r="D113" s="165"/>
      <c r="E113" s="240">
        <v>9.8000000000000007</v>
      </c>
      <c r="F113" s="164"/>
      <c r="G113" s="165"/>
      <c r="H113" s="95">
        <f>9.8</f>
        <v>9.8000000000000007</v>
      </c>
      <c r="I113" s="80"/>
      <c r="J113" s="80"/>
      <c r="K113" s="80"/>
    </row>
    <row r="114" spans="1:11" ht="26.25" customHeight="1">
      <c r="A114" s="83">
        <f t="shared" si="5"/>
        <v>9</v>
      </c>
      <c r="B114" s="83" t="s">
        <v>559</v>
      </c>
      <c r="C114" s="240" t="s">
        <v>560</v>
      </c>
      <c r="D114" s="165"/>
      <c r="E114" s="240" t="s">
        <v>561</v>
      </c>
      <c r="F114" s="164"/>
      <c r="G114" s="165"/>
      <c r="H114" s="95">
        <f>28+7.7</f>
        <v>35.700000000000003</v>
      </c>
      <c r="I114" s="80"/>
      <c r="J114" s="80"/>
      <c r="K114" s="80"/>
    </row>
    <row r="115" spans="1:11" ht="26.25" customHeight="1">
      <c r="A115" s="83">
        <f t="shared" si="5"/>
        <v>10</v>
      </c>
      <c r="B115" s="83" t="s">
        <v>560</v>
      </c>
      <c r="C115" s="240" t="s">
        <v>562</v>
      </c>
      <c r="D115" s="165"/>
      <c r="E115" s="240">
        <v>5.0999999999999996</v>
      </c>
      <c r="F115" s="164"/>
      <c r="G115" s="165"/>
      <c r="H115" s="95">
        <f>5.1</f>
        <v>5.0999999999999996</v>
      </c>
      <c r="I115" s="80"/>
      <c r="J115" s="80"/>
      <c r="K115" s="80"/>
    </row>
    <row r="116" spans="1:11" ht="26.25" customHeight="1">
      <c r="A116" s="83">
        <f t="shared" si="5"/>
        <v>11</v>
      </c>
      <c r="B116" s="83" t="s">
        <v>562</v>
      </c>
      <c r="C116" s="240" t="s">
        <v>563</v>
      </c>
      <c r="D116" s="165"/>
      <c r="E116" s="240" t="s">
        <v>564</v>
      </c>
      <c r="F116" s="164"/>
      <c r="G116" s="165"/>
      <c r="H116" s="95">
        <f>11.8+17+1.5</f>
        <v>30.3</v>
      </c>
      <c r="I116" s="80"/>
      <c r="J116" s="80"/>
      <c r="K116" s="80"/>
    </row>
    <row r="117" spans="1:11" ht="26.25" customHeight="1">
      <c r="A117" s="83">
        <f t="shared" si="5"/>
        <v>12</v>
      </c>
      <c r="B117" s="83" t="s">
        <v>563</v>
      </c>
      <c r="C117" s="240" t="s">
        <v>565</v>
      </c>
      <c r="D117" s="165"/>
      <c r="E117" s="240">
        <v>5.4</v>
      </c>
      <c r="F117" s="164"/>
      <c r="G117" s="165"/>
      <c r="H117" s="95">
        <f>5.4</f>
        <v>5.4</v>
      </c>
      <c r="I117" s="80"/>
      <c r="J117" s="80"/>
      <c r="K117" s="80"/>
    </row>
    <row r="118" spans="1:11" ht="26.25" customHeight="1">
      <c r="A118" s="83">
        <f t="shared" si="5"/>
        <v>13</v>
      </c>
      <c r="B118" s="83" t="s">
        <v>565</v>
      </c>
      <c r="C118" s="240" t="s">
        <v>566</v>
      </c>
      <c r="D118" s="165"/>
      <c r="E118" s="240">
        <v>26.2</v>
      </c>
      <c r="F118" s="164"/>
      <c r="G118" s="165"/>
      <c r="H118" s="95">
        <v>26.2</v>
      </c>
      <c r="I118" s="80"/>
      <c r="J118" s="80"/>
      <c r="K118" s="80"/>
    </row>
    <row r="119" spans="1:11" ht="26.25" customHeight="1">
      <c r="A119" s="83">
        <f t="shared" si="5"/>
        <v>14</v>
      </c>
      <c r="B119" s="83" t="s">
        <v>566</v>
      </c>
      <c r="C119" s="240" t="s">
        <v>567</v>
      </c>
      <c r="D119" s="165"/>
      <c r="E119" s="240" t="s">
        <v>568</v>
      </c>
      <c r="F119" s="164"/>
      <c r="G119" s="165"/>
      <c r="H119" s="95">
        <f>12.6+3.1+1.4</f>
        <v>17.099999999999998</v>
      </c>
      <c r="I119" s="80"/>
      <c r="J119" s="80"/>
      <c r="K119" s="80"/>
    </row>
    <row r="120" spans="1:11" ht="26.25" customHeight="1">
      <c r="A120" s="83">
        <f t="shared" si="5"/>
        <v>15</v>
      </c>
      <c r="B120" s="83" t="s">
        <v>567</v>
      </c>
      <c r="C120" s="240" t="s">
        <v>569</v>
      </c>
      <c r="D120" s="165"/>
      <c r="E120" s="240" t="s">
        <v>570</v>
      </c>
      <c r="F120" s="164"/>
      <c r="G120" s="165"/>
      <c r="H120" s="95">
        <f>0.4+4.9+1</f>
        <v>6.3000000000000007</v>
      </c>
      <c r="I120" s="80"/>
      <c r="J120" s="80"/>
      <c r="K120" s="80"/>
    </row>
    <row r="121" spans="1:11" ht="26.25" customHeight="1">
      <c r="A121" s="83">
        <f t="shared" si="5"/>
        <v>16</v>
      </c>
      <c r="B121" s="83" t="s">
        <v>569</v>
      </c>
      <c r="C121" s="240" t="s">
        <v>571</v>
      </c>
      <c r="D121" s="165"/>
      <c r="E121" s="240">
        <v>5.6</v>
      </c>
      <c r="F121" s="164"/>
      <c r="G121" s="165"/>
      <c r="H121" s="95">
        <f>5.6</f>
        <v>5.6</v>
      </c>
      <c r="I121" s="80"/>
      <c r="J121" s="80"/>
      <c r="K121" s="80"/>
    </row>
    <row r="122" spans="1:11" ht="26.25" customHeight="1">
      <c r="A122" s="83">
        <f t="shared" si="5"/>
        <v>17</v>
      </c>
      <c r="B122" s="83" t="s">
        <v>571</v>
      </c>
      <c r="C122" s="240" t="s">
        <v>572</v>
      </c>
      <c r="D122" s="165"/>
      <c r="E122" s="240" t="s">
        <v>573</v>
      </c>
      <c r="F122" s="164"/>
      <c r="G122" s="165"/>
      <c r="H122" s="95">
        <f>3.6+0.3+17+6.1+3.6</f>
        <v>30.6</v>
      </c>
      <c r="I122" s="80"/>
      <c r="J122" s="80"/>
      <c r="K122" s="80"/>
    </row>
    <row r="123" spans="1:11" ht="26.25" customHeight="1">
      <c r="A123" s="83">
        <f t="shared" si="5"/>
        <v>18</v>
      </c>
      <c r="B123" s="83" t="s">
        <v>572</v>
      </c>
      <c r="C123" s="240" t="s">
        <v>574</v>
      </c>
      <c r="D123" s="165"/>
      <c r="E123" s="240" t="s">
        <v>575</v>
      </c>
      <c r="F123" s="164"/>
      <c r="G123" s="165"/>
      <c r="H123" s="95">
        <f>21.4+4.1+1.1+3.6</f>
        <v>30.200000000000003</v>
      </c>
      <c r="I123" s="80"/>
      <c r="J123" s="80"/>
      <c r="K123" s="80"/>
    </row>
    <row r="124" spans="1:11" ht="26.25" customHeight="1">
      <c r="A124" s="83">
        <f t="shared" si="5"/>
        <v>19</v>
      </c>
      <c r="B124" s="83" t="s">
        <v>543</v>
      </c>
      <c r="C124" s="240" t="s">
        <v>576</v>
      </c>
      <c r="D124" s="165"/>
      <c r="E124" s="240" t="s">
        <v>577</v>
      </c>
      <c r="F124" s="164"/>
      <c r="G124" s="165"/>
      <c r="H124" s="95">
        <f>20.4+2.5+1.4</f>
        <v>24.299999999999997</v>
      </c>
      <c r="I124" s="80"/>
      <c r="J124" s="80"/>
      <c r="K124" s="80"/>
    </row>
    <row r="125" spans="1:11" ht="26.25" customHeight="1">
      <c r="A125" s="83">
        <f t="shared" si="5"/>
        <v>20</v>
      </c>
      <c r="B125" s="83" t="s">
        <v>543</v>
      </c>
      <c r="C125" s="240" t="s">
        <v>578</v>
      </c>
      <c r="D125" s="165"/>
      <c r="E125" s="240" t="s">
        <v>579</v>
      </c>
      <c r="F125" s="164"/>
      <c r="G125" s="165"/>
      <c r="H125" s="95">
        <f>20.4+2.5</f>
        <v>22.9</v>
      </c>
      <c r="I125" s="80"/>
      <c r="J125" s="80"/>
      <c r="K125" s="80"/>
    </row>
    <row r="126" spans="1:11" ht="26.25" customHeight="1">
      <c r="A126" s="83">
        <f t="shared" si="5"/>
        <v>21</v>
      </c>
      <c r="B126" s="243" t="s">
        <v>116</v>
      </c>
      <c r="C126" s="164"/>
      <c r="D126" s="164"/>
      <c r="E126" s="164"/>
      <c r="F126" s="164"/>
      <c r="G126" s="165"/>
      <c r="H126" s="85">
        <f>SUM(H106:H125)</f>
        <v>492.10000000000008</v>
      </c>
      <c r="I126" s="80"/>
      <c r="J126" s="80"/>
      <c r="K126" s="80"/>
    </row>
    <row r="127" spans="1:11" ht="26.25" customHeight="1">
      <c r="A127" s="86"/>
      <c r="B127" s="246" t="s">
        <v>580</v>
      </c>
      <c r="C127" s="164"/>
      <c r="D127" s="164"/>
      <c r="E127" s="164"/>
      <c r="F127" s="165"/>
      <c r="G127" s="82" t="s">
        <v>337</v>
      </c>
      <c r="H127" s="82" t="s">
        <v>116</v>
      </c>
      <c r="I127" s="80"/>
      <c r="J127" s="80"/>
      <c r="K127" s="80"/>
    </row>
    <row r="128" spans="1:11" ht="26.25" customHeight="1">
      <c r="A128" s="90">
        <v>1</v>
      </c>
      <c r="B128" s="96" t="s">
        <v>581</v>
      </c>
      <c r="C128" s="96" t="s">
        <v>478</v>
      </c>
      <c r="D128" s="96" t="s">
        <v>433</v>
      </c>
      <c r="E128" s="96" t="s">
        <v>582</v>
      </c>
      <c r="F128" s="96" t="s">
        <v>433</v>
      </c>
      <c r="G128" s="96" t="s">
        <v>583</v>
      </c>
      <c r="H128" s="96">
        <f>4.5+7.5+3</f>
        <v>15</v>
      </c>
      <c r="I128" s="80"/>
      <c r="J128" s="80"/>
      <c r="K128" s="80"/>
    </row>
    <row r="129" spans="1:11" ht="26.25" customHeight="1">
      <c r="A129" s="90">
        <f t="shared" ref="A129:A135" si="6">A128+1</f>
        <v>2</v>
      </c>
      <c r="B129" s="96" t="s">
        <v>584</v>
      </c>
      <c r="C129" s="96" t="s">
        <v>582</v>
      </c>
      <c r="D129" s="96" t="s">
        <v>433</v>
      </c>
      <c r="E129" s="96" t="s">
        <v>582</v>
      </c>
      <c r="F129" s="96" t="s">
        <v>433</v>
      </c>
      <c r="G129" s="96" t="s">
        <v>585</v>
      </c>
      <c r="H129" s="96">
        <f>4.5+15+7.5+2.9+15+15+15+15+7.5+4.6+7+15+15+30+12</f>
        <v>181</v>
      </c>
      <c r="I129" s="80"/>
      <c r="J129" s="80"/>
      <c r="K129" s="80"/>
    </row>
    <row r="130" spans="1:11" ht="26.25" customHeight="1">
      <c r="A130" s="90">
        <f t="shared" si="6"/>
        <v>3</v>
      </c>
      <c r="B130" s="96" t="s">
        <v>581</v>
      </c>
      <c r="C130" s="96" t="s">
        <v>478</v>
      </c>
      <c r="D130" s="96" t="s">
        <v>433</v>
      </c>
      <c r="E130" s="96" t="s">
        <v>586</v>
      </c>
      <c r="F130" s="96" t="s">
        <v>433</v>
      </c>
      <c r="G130" s="96" t="s">
        <v>587</v>
      </c>
      <c r="H130" s="97">
        <f>4.5+11.5</f>
        <v>16</v>
      </c>
      <c r="I130" s="80"/>
      <c r="J130" s="80"/>
      <c r="K130" s="80"/>
    </row>
    <row r="131" spans="1:11" ht="26.25" customHeight="1">
      <c r="A131" s="90">
        <f t="shared" si="6"/>
        <v>4</v>
      </c>
      <c r="B131" s="96" t="s">
        <v>584</v>
      </c>
      <c r="C131" s="96" t="s">
        <v>586</v>
      </c>
      <c r="D131" s="96" t="s">
        <v>433</v>
      </c>
      <c r="E131" s="96" t="s">
        <v>588</v>
      </c>
      <c r="F131" s="96" t="s">
        <v>433</v>
      </c>
      <c r="G131" s="96" t="s">
        <v>589</v>
      </c>
      <c r="H131" s="97">
        <f>4.5+30+22+18+12+5+30+15+12</f>
        <v>148.5</v>
      </c>
      <c r="I131" s="80"/>
      <c r="J131" s="80"/>
      <c r="K131" s="80"/>
    </row>
    <row r="132" spans="1:11" ht="26.25" customHeight="1">
      <c r="A132" s="90">
        <f t="shared" si="6"/>
        <v>5</v>
      </c>
      <c r="B132" s="96" t="s">
        <v>581</v>
      </c>
      <c r="C132" s="96" t="s">
        <v>478</v>
      </c>
      <c r="D132" s="96" t="s">
        <v>433</v>
      </c>
      <c r="E132" s="96" t="s">
        <v>590</v>
      </c>
      <c r="F132" s="96" t="s">
        <v>433</v>
      </c>
      <c r="G132" s="96" t="s">
        <v>591</v>
      </c>
      <c r="H132" s="96">
        <f>4.5+15+8.5</f>
        <v>28</v>
      </c>
      <c r="I132" s="80"/>
      <c r="J132" s="80"/>
      <c r="K132" s="80"/>
    </row>
    <row r="133" spans="1:11" ht="26.25" customHeight="1">
      <c r="A133" s="90">
        <f t="shared" si="6"/>
        <v>6</v>
      </c>
      <c r="B133" s="96" t="s">
        <v>584</v>
      </c>
      <c r="C133" s="96" t="s">
        <v>590</v>
      </c>
      <c r="D133" s="96" t="s">
        <v>433</v>
      </c>
      <c r="E133" s="96" t="s">
        <v>592</v>
      </c>
      <c r="F133" s="96" t="s">
        <v>433</v>
      </c>
      <c r="G133" s="96" t="s">
        <v>593</v>
      </c>
      <c r="H133" s="96">
        <f>4+8+30+30+18</f>
        <v>90</v>
      </c>
      <c r="I133" s="80"/>
      <c r="J133" s="80"/>
      <c r="K133" s="80"/>
    </row>
    <row r="134" spans="1:11" ht="26.25" customHeight="1">
      <c r="A134" s="90">
        <f t="shared" si="6"/>
        <v>7</v>
      </c>
      <c r="B134" s="96" t="s">
        <v>581</v>
      </c>
      <c r="C134" s="96" t="s">
        <v>478</v>
      </c>
      <c r="D134" s="96" t="s">
        <v>433</v>
      </c>
      <c r="E134" s="96" t="s">
        <v>479</v>
      </c>
      <c r="F134" s="96" t="s">
        <v>433</v>
      </c>
      <c r="G134" s="96" t="s">
        <v>594</v>
      </c>
      <c r="H134" s="97">
        <f>4.5+15+15+7.5+9.5+12</f>
        <v>63.5</v>
      </c>
      <c r="I134" s="80"/>
      <c r="J134" s="80"/>
      <c r="K134" s="80"/>
    </row>
    <row r="135" spans="1:11" ht="26.25" customHeight="1">
      <c r="A135" s="90">
        <f t="shared" si="6"/>
        <v>8</v>
      </c>
      <c r="B135" s="96" t="s">
        <v>584</v>
      </c>
      <c r="C135" s="96" t="s">
        <v>578</v>
      </c>
      <c r="D135" s="96" t="s">
        <v>433</v>
      </c>
      <c r="E135" s="96" t="s">
        <v>578</v>
      </c>
      <c r="F135" s="96" t="s">
        <v>433</v>
      </c>
      <c r="G135" s="96" t="s">
        <v>595</v>
      </c>
      <c r="H135" s="97">
        <f>4.5+15+15+7.2+5.7+15+3</f>
        <v>65.400000000000006</v>
      </c>
      <c r="I135" s="80"/>
      <c r="J135" s="80"/>
      <c r="K135" s="80"/>
    </row>
    <row r="136" spans="1:11" ht="26.25" customHeight="1">
      <c r="A136" s="90"/>
      <c r="B136" s="242"/>
      <c r="C136" s="164"/>
      <c r="D136" s="164"/>
      <c r="E136" s="164"/>
      <c r="F136" s="165"/>
      <c r="G136" s="98" t="s">
        <v>116</v>
      </c>
      <c r="H136" s="99">
        <f>SUM(H128:H135)</f>
        <v>607.4</v>
      </c>
      <c r="I136" s="80"/>
      <c r="J136" s="80"/>
      <c r="K136" s="80"/>
    </row>
    <row r="137" spans="1:11" ht="26.25" customHeight="1">
      <c r="A137" s="83"/>
      <c r="B137" s="243" t="s">
        <v>596</v>
      </c>
      <c r="C137" s="164"/>
      <c r="D137" s="164"/>
      <c r="E137" s="164"/>
      <c r="F137" s="165"/>
      <c r="G137" s="82" t="s">
        <v>337</v>
      </c>
      <c r="H137" s="82" t="s">
        <v>116</v>
      </c>
      <c r="I137" s="80"/>
      <c r="J137" s="80"/>
      <c r="K137" s="80"/>
    </row>
    <row r="138" spans="1:11" ht="26.25" customHeight="1">
      <c r="A138" s="90">
        <f t="shared" ref="A138:A146" si="7">A137+1</f>
        <v>1</v>
      </c>
      <c r="B138" s="241" t="s">
        <v>597</v>
      </c>
      <c r="C138" s="90" t="s">
        <v>581</v>
      </c>
      <c r="D138" s="90" t="s">
        <v>478</v>
      </c>
      <c r="E138" s="242" t="s">
        <v>598</v>
      </c>
      <c r="F138" s="165"/>
      <c r="G138" s="90" t="s">
        <v>599</v>
      </c>
      <c r="H138" s="100">
        <f>4+8+7+4.2</f>
        <v>23.2</v>
      </c>
      <c r="I138" s="80"/>
      <c r="J138" s="80"/>
      <c r="K138" s="80"/>
    </row>
    <row r="139" spans="1:11" ht="26.25" customHeight="1">
      <c r="A139" s="90">
        <f t="shared" si="7"/>
        <v>2</v>
      </c>
      <c r="B139" s="203"/>
      <c r="C139" s="90" t="s">
        <v>584</v>
      </c>
      <c r="D139" s="90" t="s">
        <v>598</v>
      </c>
      <c r="E139" s="242" t="s">
        <v>598</v>
      </c>
      <c r="F139" s="165"/>
      <c r="G139" s="90" t="s">
        <v>600</v>
      </c>
      <c r="H139" s="100">
        <f>5+20+20+20+15+15+17</f>
        <v>112</v>
      </c>
      <c r="I139" s="80"/>
      <c r="J139" s="80"/>
      <c r="K139" s="80"/>
    </row>
    <row r="140" spans="1:11" ht="26.25" customHeight="1">
      <c r="A140" s="90">
        <f t="shared" si="7"/>
        <v>3</v>
      </c>
      <c r="B140" s="243" t="s">
        <v>601</v>
      </c>
      <c r="C140" s="164"/>
      <c r="D140" s="164"/>
      <c r="E140" s="164"/>
      <c r="F140" s="165"/>
      <c r="G140" s="83"/>
      <c r="H140" s="83"/>
      <c r="I140" s="80"/>
      <c r="J140" s="80"/>
      <c r="K140" s="80"/>
    </row>
    <row r="141" spans="1:11" ht="26.25" customHeight="1">
      <c r="A141" s="90">
        <f t="shared" si="7"/>
        <v>4</v>
      </c>
      <c r="B141" s="241" t="s">
        <v>602</v>
      </c>
      <c r="C141" s="90" t="s">
        <v>581</v>
      </c>
      <c r="D141" s="90" t="s">
        <v>478</v>
      </c>
      <c r="E141" s="242" t="s">
        <v>603</v>
      </c>
      <c r="F141" s="165"/>
      <c r="G141" s="90" t="s">
        <v>604</v>
      </c>
      <c r="H141" s="83">
        <f>4+20+20+24.5</f>
        <v>68.5</v>
      </c>
      <c r="I141" s="80"/>
      <c r="J141" s="80"/>
      <c r="K141" s="80"/>
    </row>
    <row r="142" spans="1:11" ht="26.25" customHeight="1">
      <c r="A142" s="90">
        <f t="shared" si="7"/>
        <v>5</v>
      </c>
      <c r="B142" s="203"/>
      <c r="C142" s="90" t="s">
        <v>584</v>
      </c>
      <c r="D142" s="90" t="s">
        <v>603</v>
      </c>
      <c r="E142" s="242" t="s">
        <v>603</v>
      </c>
      <c r="F142" s="165"/>
      <c r="G142" s="90" t="s">
        <v>605</v>
      </c>
      <c r="H142" s="83">
        <f>5+15+6+17</f>
        <v>43</v>
      </c>
      <c r="I142" s="80"/>
      <c r="J142" s="80"/>
      <c r="K142" s="80"/>
    </row>
    <row r="143" spans="1:11" ht="26.25" customHeight="1">
      <c r="A143" s="90">
        <f t="shared" si="7"/>
        <v>6</v>
      </c>
      <c r="B143" s="241" t="s">
        <v>602</v>
      </c>
      <c r="C143" s="90" t="s">
        <v>581</v>
      </c>
      <c r="D143" s="90" t="s">
        <v>478</v>
      </c>
      <c r="E143" s="242" t="s">
        <v>528</v>
      </c>
      <c r="F143" s="165"/>
      <c r="G143" s="90" t="s">
        <v>606</v>
      </c>
      <c r="H143" s="83">
        <f>5+8+12</f>
        <v>25</v>
      </c>
      <c r="I143" s="80"/>
      <c r="J143" s="80"/>
      <c r="K143" s="80"/>
    </row>
    <row r="144" spans="1:11" ht="26.25" customHeight="1">
      <c r="A144" s="90">
        <f t="shared" si="7"/>
        <v>7</v>
      </c>
      <c r="B144" s="203"/>
      <c r="C144" s="90" t="s">
        <v>584</v>
      </c>
      <c r="D144" s="90" t="s">
        <v>528</v>
      </c>
      <c r="E144" s="242" t="s">
        <v>528</v>
      </c>
      <c r="F144" s="165"/>
      <c r="G144" s="90" t="s">
        <v>607</v>
      </c>
      <c r="H144" s="83">
        <f>15+15+17+19.8+14.5+20+22+14.7</f>
        <v>138</v>
      </c>
      <c r="I144" s="80"/>
      <c r="J144" s="80"/>
      <c r="K144" s="80"/>
    </row>
    <row r="145" spans="1:11" ht="26.25" customHeight="1">
      <c r="A145" s="90">
        <f t="shared" si="7"/>
        <v>8</v>
      </c>
      <c r="B145" s="241" t="s">
        <v>602</v>
      </c>
      <c r="C145" s="90" t="s">
        <v>581</v>
      </c>
      <c r="D145" s="90" t="s">
        <v>478</v>
      </c>
      <c r="E145" s="242" t="s">
        <v>608</v>
      </c>
      <c r="F145" s="165"/>
      <c r="G145" s="90"/>
      <c r="H145" s="83"/>
      <c r="I145" s="80"/>
      <c r="J145" s="80"/>
      <c r="K145" s="80"/>
    </row>
    <row r="146" spans="1:11" ht="26.25" customHeight="1">
      <c r="A146" s="90">
        <f t="shared" si="7"/>
        <v>9</v>
      </c>
      <c r="B146" s="203"/>
      <c r="C146" s="90" t="s">
        <v>584</v>
      </c>
      <c r="D146" s="90" t="s">
        <v>609</v>
      </c>
      <c r="E146" s="242" t="s">
        <v>608</v>
      </c>
      <c r="F146" s="165"/>
      <c r="G146" s="90" t="s">
        <v>610</v>
      </c>
      <c r="H146" s="83">
        <f>5+17+15+18+14.7+3.8</f>
        <v>73.5</v>
      </c>
      <c r="I146" s="80"/>
      <c r="J146" s="80"/>
      <c r="K146" s="80"/>
    </row>
    <row r="147" spans="1:11" ht="26.25" customHeight="1">
      <c r="A147" s="83"/>
      <c r="B147" s="244" t="s">
        <v>116</v>
      </c>
      <c r="C147" s="164"/>
      <c r="D147" s="164"/>
      <c r="E147" s="164"/>
      <c r="F147" s="164"/>
      <c r="G147" s="165"/>
      <c r="H147" s="85">
        <f>SUM(H138:H146)</f>
        <v>483.2</v>
      </c>
      <c r="I147" s="80"/>
      <c r="J147" s="80"/>
      <c r="K147" s="80"/>
    </row>
    <row r="148" spans="1:11" ht="26.25" customHeight="1">
      <c r="A148" s="243" t="s">
        <v>611</v>
      </c>
      <c r="B148" s="164"/>
      <c r="C148" s="164"/>
      <c r="D148" s="164"/>
      <c r="E148" s="164"/>
      <c r="F148" s="164"/>
      <c r="G148" s="165"/>
      <c r="H148" s="82">
        <v>1500</v>
      </c>
      <c r="I148" s="80"/>
      <c r="J148" s="80"/>
      <c r="K148" s="80"/>
    </row>
    <row r="149" spans="1:11" ht="26.25" customHeight="1">
      <c r="A149" s="243" t="s">
        <v>612</v>
      </c>
      <c r="B149" s="164"/>
      <c r="C149" s="164"/>
      <c r="D149" s="164"/>
      <c r="E149" s="164"/>
      <c r="F149" s="164"/>
      <c r="G149" s="165"/>
      <c r="H149" s="82">
        <v>3500</v>
      </c>
      <c r="I149" s="80"/>
      <c r="J149" s="80"/>
      <c r="K149" s="80"/>
    </row>
    <row r="150" spans="1:11" ht="26.25" customHeight="1">
      <c r="A150" s="245" t="s">
        <v>613</v>
      </c>
      <c r="B150" s="164"/>
      <c r="C150" s="164"/>
      <c r="D150" s="164"/>
      <c r="E150" s="164"/>
      <c r="F150" s="164"/>
      <c r="G150" s="164"/>
      <c r="H150" s="80"/>
      <c r="I150" s="80"/>
      <c r="J150" s="80"/>
      <c r="K150" s="80"/>
    </row>
    <row r="151" spans="1:11" ht="26.25" customHeight="1">
      <c r="A151" s="83"/>
      <c r="B151" s="243" t="s">
        <v>614</v>
      </c>
      <c r="C151" s="164"/>
      <c r="D151" s="164"/>
      <c r="E151" s="164"/>
      <c r="F151" s="165"/>
      <c r="G151" s="83"/>
      <c r="H151" s="83"/>
      <c r="I151" s="80"/>
      <c r="J151" s="80"/>
      <c r="K151" s="80"/>
    </row>
    <row r="152" spans="1:11" ht="26.25" customHeight="1">
      <c r="A152" s="82" t="s">
        <v>615</v>
      </c>
      <c r="B152" s="243" t="s">
        <v>616</v>
      </c>
      <c r="C152" s="164"/>
      <c r="D152" s="164"/>
      <c r="E152" s="164"/>
      <c r="F152" s="165"/>
      <c r="G152" s="82" t="s">
        <v>337</v>
      </c>
      <c r="H152" s="82" t="s">
        <v>116</v>
      </c>
      <c r="I152" s="80"/>
      <c r="J152" s="80"/>
      <c r="K152" s="80"/>
    </row>
    <row r="153" spans="1:11" ht="26.25" customHeight="1">
      <c r="A153" s="83">
        <v>1</v>
      </c>
      <c r="B153" s="240" t="s">
        <v>617</v>
      </c>
      <c r="C153" s="164"/>
      <c r="D153" s="164"/>
      <c r="E153" s="164"/>
      <c r="F153" s="165"/>
      <c r="G153" s="83">
        <v>12</v>
      </c>
      <c r="H153" s="83">
        <v>12</v>
      </c>
      <c r="I153" s="80"/>
      <c r="J153" s="80"/>
      <c r="K153" s="80"/>
    </row>
    <row r="154" spans="1:11" ht="26.25" customHeight="1">
      <c r="A154" s="83">
        <v>2</v>
      </c>
      <c r="B154" s="240" t="s">
        <v>618</v>
      </c>
      <c r="C154" s="164"/>
      <c r="D154" s="164"/>
      <c r="E154" s="164"/>
      <c r="F154" s="165"/>
      <c r="G154" s="83" t="s">
        <v>619</v>
      </c>
      <c r="H154" s="83">
        <f>2.7+1.2+14.9+7+7+7+7+7+7+1.2</f>
        <v>62</v>
      </c>
      <c r="I154" s="80"/>
      <c r="J154" s="80"/>
      <c r="K154" s="80"/>
    </row>
    <row r="155" spans="1:11" ht="26.25" customHeight="1">
      <c r="A155" s="83">
        <v>3</v>
      </c>
      <c r="B155" s="240" t="s">
        <v>620</v>
      </c>
      <c r="C155" s="164"/>
      <c r="D155" s="164"/>
      <c r="E155" s="164"/>
      <c r="F155" s="165"/>
      <c r="G155" s="83" t="s">
        <v>621</v>
      </c>
      <c r="H155" s="83">
        <f>2.7+1.2+14.9+7+7+7+7+7+4.5+4.5+4.3+4+1.2</f>
        <v>72.3</v>
      </c>
      <c r="I155" s="80"/>
      <c r="J155" s="80"/>
      <c r="K155" s="80"/>
    </row>
    <row r="156" spans="1:11" ht="26.25" customHeight="1">
      <c r="A156" s="83">
        <v>4</v>
      </c>
      <c r="B156" s="240" t="s">
        <v>622</v>
      </c>
      <c r="C156" s="164"/>
      <c r="D156" s="164"/>
      <c r="E156" s="164"/>
      <c r="F156" s="165"/>
      <c r="G156" s="83" t="s">
        <v>623</v>
      </c>
      <c r="H156" s="83">
        <f>2.7+1.2+14.9+7+7+7+7+7+4.5+8+11+6.8+6.8+1.2</f>
        <v>92.1</v>
      </c>
      <c r="I156" s="80"/>
      <c r="J156" s="80"/>
      <c r="K156" s="80"/>
    </row>
    <row r="157" spans="1:11" ht="26.25" customHeight="1">
      <c r="A157" s="83">
        <v>5</v>
      </c>
      <c r="B157" s="240" t="s">
        <v>624</v>
      </c>
      <c r="C157" s="164"/>
      <c r="D157" s="164"/>
      <c r="E157" s="164"/>
      <c r="F157" s="165"/>
      <c r="G157" s="83" t="s">
        <v>625</v>
      </c>
      <c r="H157" s="83">
        <f>2+1.2+14.9+7+7+7+7+7+4.5+4</f>
        <v>61.6</v>
      </c>
      <c r="I157" s="80"/>
      <c r="J157" s="80"/>
      <c r="K157" s="80"/>
    </row>
    <row r="158" spans="1:11" ht="26.25" customHeight="1">
      <c r="A158" s="83"/>
      <c r="B158" s="243" t="s">
        <v>116</v>
      </c>
      <c r="C158" s="164"/>
      <c r="D158" s="164"/>
      <c r="E158" s="164"/>
      <c r="F158" s="165"/>
      <c r="G158" s="82"/>
      <c r="H158" s="82">
        <f>SUM(H153:H157)</f>
        <v>300</v>
      </c>
      <c r="I158" s="80"/>
      <c r="J158" s="80"/>
      <c r="K158" s="80"/>
    </row>
    <row r="159" spans="1:11" ht="26.25" customHeight="1">
      <c r="A159" s="243" t="s">
        <v>611</v>
      </c>
      <c r="B159" s="164"/>
      <c r="C159" s="164"/>
      <c r="D159" s="164"/>
      <c r="E159" s="164"/>
      <c r="F159" s="164"/>
      <c r="G159" s="165"/>
      <c r="H159" s="82">
        <v>200</v>
      </c>
      <c r="I159" s="80"/>
      <c r="J159" s="80"/>
      <c r="K159" s="80"/>
    </row>
    <row r="160" spans="1:11" ht="26.25" customHeight="1">
      <c r="A160" s="243" t="s">
        <v>612</v>
      </c>
      <c r="B160" s="164"/>
      <c r="C160" s="164"/>
      <c r="D160" s="164"/>
      <c r="E160" s="164"/>
      <c r="F160" s="164"/>
      <c r="G160" s="165"/>
      <c r="H160" s="85">
        <v>100</v>
      </c>
      <c r="I160" s="80"/>
      <c r="J160" s="80"/>
      <c r="K160" s="80"/>
    </row>
  </sheetData>
  <mergeCells count="184">
    <mergeCell ref="D4:E4"/>
    <mergeCell ref="D5:E5"/>
    <mergeCell ref="F9:G9"/>
    <mergeCell ref="F10:G10"/>
    <mergeCell ref="F11:G11"/>
    <mergeCell ref="F12:G12"/>
    <mergeCell ref="F13:G13"/>
    <mergeCell ref="F14:G14"/>
    <mergeCell ref="A2:H2"/>
    <mergeCell ref="B3:E3"/>
    <mergeCell ref="F3:G3"/>
    <mergeCell ref="F4:G4"/>
    <mergeCell ref="F5:G5"/>
    <mergeCell ref="D25:E25"/>
    <mergeCell ref="F25:G25"/>
    <mergeCell ref="F26:G26"/>
    <mergeCell ref="F27:G27"/>
    <mergeCell ref="D17:E19"/>
    <mergeCell ref="F17:G17"/>
    <mergeCell ref="F18:G18"/>
    <mergeCell ref="F19:G19"/>
    <mergeCell ref="D26:E26"/>
    <mergeCell ref="D27:E27"/>
    <mergeCell ref="D20:E23"/>
    <mergeCell ref="F20:G20"/>
    <mergeCell ref="F21:G21"/>
    <mergeCell ref="F22:G22"/>
    <mergeCell ref="F23:G23"/>
    <mergeCell ref="D31:E33"/>
    <mergeCell ref="F31:G31"/>
    <mergeCell ref="F32:G32"/>
    <mergeCell ref="F33:G33"/>
    <mergeCell ref="D34:E34"/>
    <mergeCell ref="D28:E30"/>
    <mergeCell ref="F28:G28"/>
    <mergeCell ref="F29:G29"/>
    <mergeCell ref="F30:G30"/>
    <mergeCell ref="D24:E24"/>
    <mergeCell ref="F24:G24"/>
    <mergeCell ref="D15:E16"/>
    <mergeCell ref="D9:E14"/>
    <mergeCell ref="D6:E6"/>
    <mergeCell ref="F6:G6"/>
    <mergeCell ref="D7:E7"/>
    <mergeCell ref="F7:G7"/>
    <mergeCell ref="D8:E8"/>
    <mergeCell ref="F8:G8"/>
    <mergeCell ref="F15:G15"/>
    <mergeCell ref="F16:G16"/>
    <mergeCell ref="D50:E51"/>
    <mergeCell ref="F50:G50"/>
    <mergeCell ref="F51:G51"/>
    <mergeCell ref="D60:E62"/>
    <mergeCell ref="F60:G60"/>
    <mergeCell ref="F61:G61"/>
    <mergeCell ref="F62:G62"/>
    <mergeCell ref="D63:E63"/>
    <mergeCell ref="F63:G63"/>
    <mergeCell ref="D52:E55"/>
    <mergeCell ref="F52:G52"/>
    <mergeCell ref="F53:G53"/>
    <mergeCell ref="F54:G54"/>
    <mergeCell ref="F55:G55"/>
    <mergeCell ref="D56:E59"/>
    <mergeCell ref="F56:G56"/>
    <mergeCell ref="F57:G57"/>
    <mergeCell ref="F58:G58"/>
    <mergeCell ref="F59:G59"/>
    <mergeCell ref="F34:G34"/>
    <mergeCell ref="D35:E38"/>
    <mergeCell ref="F35:G35"/>
    <mergeCell ref="F36:G36"/>
    <mergeCell ref="F37:G37"/>
    <mergeCell ref="F38:G38"/>
    <mergeCell ref="D47:E49"/>
    <mergeCell ref="F47:G47"/>
    <mergeCell ref="F48:G48"/>
    <mergeCell ref="F49:G49"/>
    <mergeCell ref="D44:E44"/>
    <mergeCell ref="F44:G44"/>
    <mergeCell ref="F45:G45"/>
    <mergeCell ref="F46:G46"/>
    <mergeCell ref="D45:E45"/>
    <mergeCell ref="D46:E46"/>
    <mergeCell ref="D43:E43"/>
    <mergeCell ref="F43:G43"/>
    <mergeCell ref="D39:E42"/>
    <mergeCell ref="F39:G39"/>
    <mergeCell ref="F40:G40"/>
    <mergeCell ref="F41:G41"/>
    <mergeCell ref="F42:G42"/>
    <mergeCell ref="B70:B71"/>
    <mergeCell ref="B68:B69"/>
    <mergeCell ref="B72:B73"/>
    <mergeCell ref="B74:B75"/>
    <mergeCell ref="D64:E64"/>
    <mergeCell ref="F64:G64"/>
    <mergeCell ref="D65:E65"/>
    <mergeCell ref="F65:G65"/>
    <mergeCell ref="B66:G66"/>
    <mergeCell ref="B80:B81"/>
    <mergeCell ref="B82:B83"/>
    <mergeCell ref="B100:B102"/>
    <mergeCell ref="B86:B87"/>
    <mergeCell ref="B89:B91"/>
    <mergeCell ref="B92:B93"/>
    <mergeCell ref="B94:B95"/>
    <mergeCell ref="B96:B97"/>
    <mergeCell ref="B98:B99"/>
    <mergeCell ref="B84:B85"/>
    <mergeCell ref="E113:G113"/>
    <mergeCell ref="C114:D114"/>
    <mergeCell ref="E114:G114"/>
    <mergeCell ref="C115:D115"/>
    <mergeCell ref="E115:G115"/>
    <mergeCell ref="E111:G111"/>
    <mergeCell ref="E112:G112"/>
    <mergeCell ref="C113:D113"/>
    <mergeCell ref="C112:D112"/>
    <mergeCell ref="C110:D110"/>
    <mergeCell ref="C111:D111"/>
    <mergeCell ref="E110:G110"/>
    <mergeCell ref="E107:G107"/>
    <mergeCell ref="E108:G108"/>
    <mergeCell ref="E109:G109"/>
    <mergeCell ref="B104:G104"/>
    <mergeCell ref="E105:G105"/>
    <mergeCell ref="E106:G106"/>
    <mergeCell ref="C107:D107"/>
    <mergeCell ref="C108:D108"/>
    <mergeCell ref="C109:D109"/>
    <mergeCell ref="B105:D105"/>
    <mergeCell ref="C106:D106"/>
    <mergeCell ref="E125:G125"/>
    <mergeCell ref="B126:G126"/>
    <mergeCell ref="B127:F127"/>
    <mergeCell ref="B136:F136"/>
    <mergeCell ref="B137:F137"/>
    <mergeCell ref="B143:B144"/>
    <mergeCell ref="B141:B142"/>
    <mergeCell ref="C125:D125"/>
    <mergeCell ref="C122:D122"/>
    <mergeCell ref="C124:D124"/>
    <mergeCell ref="E141:F141"/>
    <mergeCell ref="E142:F142"/>
    <mergeCell ref="E143:F143"/>
    <mergeCell ref="E144:F144"/>
    <mergeCell ref="E122:G122"/>
    <mergeCell ref="C123:D123"/>
    <mergeCell ref="E123:G123"/>
    <mergeCell ref="E124:G124"/>
    <mergeCell ref="B145:B146"/>
    <mergeCell ref="E145:F145"/>
    <mergeCell ref="E146:F146"/>
    <mergeCell ref="B138:B139"/>
    <mergeCell ref="B140:F140"/>
    <mergeCell ref="E138:F138"/>
    <mergeCell ref="E139:F139"/>
    <mergeCell ref="A159:G159"/>
    <mergeCell ref="A160:G160"/>
    <mergeCell ref="B154:F154"/>
    <mergeCell ref="B155:F155"/>
    <mergeCell ref="B156:F156"/>
    <mergeCell ref="B157:F157"/>
    <mergeCell ref="B158:F158"/>
    <mergeCell ref="B153:F153"/>
    <mergeCell ref="B147:G147"/>
    <mergeCell ref="A148:G148"/>
    <mergeCell ref="A149:G149"/>
    <mergeCell ref="A150:G150"/>
    <mergeCell ref="B151:F151"/>
    <mergeCell ref="B152:F152"/>
    <mergeCell ref="E119:G119"/>
    <mergeCell ref="E120:G120"/>
    <mergeCell ref="E121:G121"/>
    <mergeCell ref="C119:D119"/>
    <mergeCell ref="C116:D116"/>
    <mergeCell ref="E116:G116"/>
    <mergeCell ref="C117:D117"/>
    <mergeCell ref="E117:G117"/>
    <mergeCell ref="C118:D118"/>
    <mergeCell ref="E118:G118"/>
    <mergeCell ref="C120:D120"/>
    <mergeCell ref="C121:D121"/>
  </mergeCells>
  <pageMargins left="0.7" right="0.7" top="0.75" bottom="0.75" header="0" footer="0"/>
  <pageSetup orientation="portrait"/>
  <rowBreaks count="2" manualBreakCount="2">
    <brk id="66" man="1"/>
    <brk id="126" man="1"/>
  </rowBreaks>
</worksheet>
</file>

<file path=xl/worksheets/sheet11.xml><?xml version="1.0" encoding="utf-8"?>
<worksheet xmlns="http://schemas.openxmlformats.org/spreadsheetml/2006/main" xmlns:r="http://schemas.openxmlformats.org/officeDocument/2006/relationships">
  <dimension ref="A1:K345"/>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2578125" defaultRowHeight="15" customHeight="1"/>
  <cols>
    <col min="1" max="1" width="6" customWidth="1"/>
    <col min="2" max="2" width="5.28515625" customWidth="1"/>
    <col min="3" max="3" width="27.140625" customWidth="1"/>
    <col min="4" max="4" width="27.5703125" customWidth="1"/>
    <col min="5" max="5" width="34.28515625" customWidth="1"/>
    <col min="6" max="6" width="12.5703125" customWidth="1"/>
    <col min="7" max="7" width="9.42578125" customWidth="1"/>
    <col min="8" max="8" width="8.28515625" customWidth="1"/>
    <col min="9" max="9" width="12" customWidth="1"/>
    <col min="10" max="11" width="8.7109375" customWidth="1"/>
  </cols>
  <sheetData>
    <row r="1" spans="1:9">
      <c r="A1" s="101" t="s">
        <v>626</v>
      </c>
      <c r="B1" s="102" t="s">
        <v>627</v>
      </c>
      <c r="C1" s="102" t="s">
        <v>628</v>
      </c>
      <c r="D1" s="103" t="s">
        <v>99</v>
      </c>
      <c r="E1" s="102" t="s">
        <v>100</v>
      </c>
      <c r="F1" s="104" t="s">
        <v>629</v>
      </c>
      <c r="G1" s="102" t="s">
        <v>630</v>
      </c>
      <c r="H1" s="102" t="s">
        <v>631</v>
      </c>
      <c r="I1" s="102" t="s">
        <v>632</v>
      </c>
    </row>
    <row r="2" spans="1:9">
      <c r="A2" s="105" t="s">
        <v>633</v>
      </c>
      <c r="B2" s="106"/>
      <c r="C2" s="106"/>
      <c r="D2" s="106"/>
      <c r="E2" s="106"/>
      <c r="F2" s="106"/>
      <c r="G2" s="106"/>
      <c r="H2" s="106"/>
      <c r="I2" s="107"/>
    </row>
    <row r="3" spans="1:9">
      <c r="A3" s="108">
        <v>1</v>
      </c>
      <c r="B3" s="109"/>
      <c r="C3" s="46" t="s">
        <v>634</v>
      </c>
      <c r="D3" s="109" t="s">
        <v>635</v>
      </c>
      <c r="E3" s="53" t="s">
        <v>636</v>
      </c>
      <c r="F3" s="110" t="s">
        <v>637</v>
      </c>
      <c r="G3" s="46">
        <v>206</v>
      </c>
      <c r="H3" s="46">
        <v>103</v>
      </c>
      <c r="I3" s="111">
        <f t="shared" ref="I3:I69" si="0">G3-H3</f>
        <v>103</v>
      </c>
    </row>
    <row r="4" spans="1:9">
      <c r="A4" s="108">
        <v>2</v>
      </c>
      <c r="B4" s="109"/>
      <c r="C4" s="46" t="s">
        <v>634</v>
      </c>
      <c r="D4" s="109" t="s">
        <v>635</v>
      </c>
      <c r="E4" s="53" t="s">
        <v>638</v>
      </c>
      <c r="F4" s="110" t="s">
        <v>637</v>
      </c>
      <c r="G4" s="46">
        <v>103</v>
      </c>
      <c r="H4" s="46">
        <v>0</v>
      </c>
      <c r="I4" s="111">
        <f t="shared" si="0"/>
        <v>103</v>
      </c>
    </row>
    <row r="5" spans="1:9">
      <c r="A5" s="108">
        <v>3</v>
      </c>
      <c r="B5" s="109"/>
      <c r="C5" s="53" t="s">
        <v>639</v>
      </c>
      <c r="D5" s="109" t="s">
        <v>635</v>
      </c>
      <c r="E5" s="53" t="s">
        <v>640</v>
      </c>
      <c r="F5" s="110" t="s">
        <v>637</v>
      </c>
      <c r="G5" s="46">
        <v>1007</v>
      </c>
      <c r="H5" s="46">
        <v>904</v>
      </c>
      <c r="I5" s="111">
        <f t="shared" si="0"/>
        <v>103</v>
      </c>
    </row>
    <row r="6" spans="1:9">
      <c r="A6" s="108">
        <v>4</v>
      </c>
      <c r="B6" s="109"/>
      <c r="C6" s="53" t="s">
        <v>639</v>
      </c>
      <c r="D6" s="109" t="s">
        <v>635</v>
      </c>
      <c r="E6" s="53" t="s">
        <v>641</v>
      </c>
      <c r="F6" s="110" t="s">
        <v>637</v>
      </c>
      <c r="G6" s="46">
        <v>904</v>
      </c>
      <c r="H6" s="46">
        <v>801</v>
      </c>
      <c r="I6" s="111">
        <f t="shared" si="0"/>
        <v>103</v>
      </c>
    </row>
    <row r="7" spans="1:9">
      <c r="A7" s="108">
        <v>5</v>
      </c>
      <c r="B7" s="109"/>
      <c r="C7" s="53" t="s">
        <v>639</v>
      </c>
      <c r="D7" s="109" t="s">
        <v>635</v>
      </c>
      <c r="E7" s="53" t="s">
        <v>642</v>
      </c>
      <c r="F7" s="110" t="s">
        <v>637</v>
      </c>
      <c r="G7" s="46">
        <v>801</v>
      </c>
      <c r="H7" s="46">
        <v>698</v>
      </c>
      <c r="I7" s="111">
        <f t="shared" si="0"/>
        <v>103</v>
      </c>
    </row>
    <row r="8" spans="1:9">
      <c r="A8" s="108">
        <v>6</v>
      </c>
      <c r="B8" s="109"/>
      <c r="C8" s="46" t="s">
        <v>634</v>
      </c>
      <c r="D8" s="109" t="s">
        <v>635</v>
      </c>
      <c r="E8" s="53" t="s">
        <v>643</v>
      </c>
      <c r="F8" s="110" t="s">
        <v>637</v>
      </c>
      <c r="G8" s="46">
        <v>306</v>
      </c>
      <c r="H8" s="46">
        <v>206</v>
      </c>
      <c r="I8" s="111">
        <f t="shared" si="0"/>
        <v>100</v>
      </c>
    </row>
    <row r="9" spans="1:9">
      <c r="A9" s="108">
        <v>7</v>
      </c>
      <c r="B9" s="109"/>
      <c r="C9" s="46" t="s">
        <v>634</v>
      </c>
      <c r="D9" s="109" t="s">
        <v>635</v>
      </c>
      <c r="E9" s="53" t="s">
        <v>644</v>
      </c>
      <c r="F9" s="110" t="s">
        <v>637</v>
      </c>
      <c r="G9" s="46">
        <v>406</v>
      </c>
      <c r="H9" s="46">
        <v>306</v>
      </c>
      <c r="I9" s="111">
        <f t="shared" si="0"/>
        <v>100</v>
      </c>
    </row>
    <row r="10" spans="1:9">
      <c r="A10" s="108">
        <v>8</v>
      </c>
      <c r="B10" s="109"/>
      <c r="C10" s="46" t="s">
        <v>634</v>
      </c>
      <c r="D10" s="109" t="s">
        <v>635</v>
      </c>
      <c r="E10" s="53" t="s">
        <v>645</v>
      </c>
      <c r="F10" s="110" t="s">
        <v>637</v>
      </c>
      <c r="G10" s="46">
        <v>506</v>
      </c>
      <c r="H10" s="46">
        <v>406</v>
      </c>
      <c r="I10" s="111">
        <f t="shared" si="0"/>
        <v>100</v>
      </c>
    </row>
    <row r="11" spans="1:9">
      <c r="A11" s="108">
        <v>9</v>
      </c>
      <c r="B11" s="109"/>
      <c r="C11" s="46" t="s">
        <v>634</v>
      </c>
      <c r="D11" s="109" t="s">
        <v>635</v>
      </c>
      <c r="E11" s="53" t="s">
        <v>646</v>
      </c>
      <c r="F11" s="110" t="s">
        <v>637</v>
      </c>
      <c r="G11" s="46">
        <v>606</v>
      </c>
      <c r="H11" s="46">
        <v>506</v>
      </c>
      <c r="I11" s="111">
        <f t="shared" si="0"/>
        <v>100</v>
      </c>
    </row>
    <row r="12" spans="1:9">
      <c r="A12" s="108">
        <v>10</v>
      </c>
      <c r="B12" s="109"/>
      <c r="C12" s="46" t="s">
        <v>634</v>
      </c>
      <c r="D12" s="109" t="s">
        <v>635</v>
      </c>
      <c r="E12" s="53" t="s">
        <v>647</v>
      </c>
      <c r="F12" s="110" t="s">
        <v>637</v>
      </c>
      <c r="G12" s="46">
        <v>706</v>
      </c>
      <c r="H12" s="46">
        <v>606</v>
      </c>
      <c r="I12" s="111">
        <f t="shared" si="0"/>
        <v>100</v>
      </c>
    </row>
    <row r="13" spans="1:9">
      <c r="A13" s="108">
        <v>11</v>
      </c>
      <c r="B13" s="109"/>
      <c r="C13" s="46" t="s">
        <v>634</v>
      </c>
      <c r="D13" s="109" t="s">
        <v>635</v>
      </c>
      <c r="E13" s="53" t="s">
        <v>648</v>
      </c>
      <c r="F13" s="110" t="s">
        <v>637</v>
      </c>
      <c r="G13" s="46">
        <v>806</v>
      </c>
      <c r="H13" s="46">
        <v>706</v>
      </c>
      <c r="I13" s="111">
        <f t="shared" si="0"/>
        <v>100</v>
      </c>
    </row>
    <row r="14" spans="1:9">
      <c r="A14" s="108">
        <v>12</v>
      </c>
      <c r="B14" s="109"/>
      <c r="C14" s="46" t="s">
        <v>634</v>
      </c>
      <c r="D14" s="109" t="s">
        <v>635</v>
      </c>
      <c r="E14" s="53" t="s">
        <v>649</v>
      </c>
      <c r="F14" s="110" t="s">
        <v>637</v>
      </c>
      <c r="G14" s="46">
        <v>903</v>
      </c>
      <c r="H14" s="46">
        <v>806</v>
      </c>
      <c r="I14" s="111">
        <f t="shared" si="0"/>
        <v>97</v>
      </c>
    </row>
    <row r="15" spans="1:9">
      <c r="A15" s="108">
        <v>13</v>
      </c>
      <c r="B15" s="109"/>
      <c r="C15" s="46" t="s">
        <v>634</v>
      </c>
      <c r="D15" s="109" t="s">
        <v>635</v>
      </c>
      <c r="E15" s="53" t="s">
        <v>650</v>
      </c>
      <c r="F15" s="110" t="s">
        <v>637</v>
      </c>
      <c r="G15" s="46">
        <v>1000</v>
      </c>
      <c r="H15" s="46">
        <v>903</v>
      </c>
      <c r="I15" s="111">
        <f t="shared" si="0"/>
        <v>97</v>
      </c>
    </row>
    <row r="16" spans="1:9">
      <c r="A16" s="108">
        <v>14</v>
      </c>
      <c r="B16" s="109"/>
      <c r="C16" s="46" t="s">
        <v>651</v>
      </c>
      <c r="D16" s="109" t="s">
        <v>635</v>
      </c>
      <c r="E16" s="53" t="s">
        <v>652</v>
      </c>
      <c r="F16" s="110" t="s">
        <v>637</v>
      </c>
      <c r="G16" s="46">
        <v>952</v>
      </c>
      <c r="H16" s="46">
        <v>855</v>
      </c>
      <c r="I16" s="111">
        <f t="shared" si="0"/>
        <v>97</v>
      </c>
    </row>
    <row r="17" spans="1:9">
      <c r="A17" s="108">
        <v>15</v>
      </c>
      <c r="B17" s="109"/>
      <c r="C17" s="46" t="s">
        <v>651</v>
      </c>
      <c r="D17" s="109" t="s">
        <v>635</v>
      </c>
      <c r="E17" s="53" t="s">
        <v>653</v>
      </c>
      <c r="F17" s="110" t="s">
        <v>637</v>
      </c>
      <c r="G17" s="46">
        <v>855</v>
      </c>
      <c r="H17" s="46">
        <v>758</v>
      </c>
      <c r="I17" s="111">
        <f t="shared" si="0"/>
        <v>97</v>
      </c>
    </row>
    <row r="18" spans="1:9">
      <c r="A18" s="108">
        <v>16</v>
      </c>
      <c r="B18" s="109"/>
      <c r="C18" s="46" t="s">
        <v>651</v>
      </c>
      <c r="D18" s="109" t="s">
        <v>635</v>
      </c>
      <c r="E18" s="53" t="s">
        <v>654</v>
      </c>
      <c r="F18" s="110" t="s">
        <v>637</v>
      </c>
      <c r="G18" s="46">
        <v>758</v>
      </c>
      <c r="H18" s="46">
        <v>661</v>
      </c>
      <c r="I18" s="111">
        <f t="shared" si="0"/>
        <v>97</v>
      </c>
    </row>
    <row r="19" spans="1:9">
      <c r="A19" s="108">
        <v>17</v>
      </c>
      <c r="B19" s="109"/>
      <c r="C19" s="46" t="s">
        <v>651</v>
      </c>
      <c r="D19" s="109" t="s">
        <v>635</v>
      </c>
      <c r="E19" s="53" t="s">
        <v>655</v>
      </c>
      <c r="F19" s="110" t="s">
        <v>637</v>
      </c>
      <c r="G19" s="46">
        <v>661</v>
      </c>
      <c r="H19" s="46">
        <v>564</v>
      </c>
      <c r="I19" s="111">
        <f t="shared" si="0"/>
        <v>97</v>
      </c>
    </row>
    <row r="20" spans="1:9">
      <c r="A20" s="108">
        <v>18</v>
      </c>
      <c r="B20" s="109"/>
      <c r="C20" s="46" t="s">
        <v>651</v>
      </c>
      <c r="D20" s="109" t="s">
        <v>635</v>
      </c>
      <c r="E20" s="53" t="s">
        <v>656</v>
      </c>
      <c r="F20" s="110" t="s">
        <v>637</v>
      </c>
      <c r="G20" s="46">
        <v>564</v>
      </c>
      <c r="H20" s="46">
        <v>470</v>
      </c>
      <c r="I20" s="111">
        <f t="shared" si="0"/>
        <v>94</v>
      </c>
    </row>
    <row r="21" spans="1:9" ht="15.75" customHeight="1">
      <c r="A21" s="108">
        <v>19</v>
      </c>
      <c r="B21" s="109"/>
      <c r="C21" s="46" t="s">
        <v>651</v>
      </c>
      <c r="D21" s="109" t="s">
        <v>635</v>
      </c>
      <c r="E21" s="53" t="s">
        <v>657</v>
      </c>
      <c r="F21" s="110" t="s">
        <v>637</v>
      </c>
      <c r="G21" s="46">
        <v>470</v>
      </c>
      <c r="H21" s="46">
        <v>376</v>
      </c>
      <c r="I21" s="111">
        <f t="shared" si="0"/>
        <v>94</v>
      </c>
    </row>
    <row r="22" spans="1:9" ht="15.75" customHeight="1">
      <c r="A22" s="108">
        <v>20</v>
      </c>
      <c r="B22" s="109"/>
      <c r="C22" s="46" t="s">
        <v>651</v>
      </c>
      <c r="D22" s="109" t="s">
        <v>635</v>
      </c>
      <c r="E22" s="53" t="s">
        <v>658</v>
      </c>
      <c r="F22" s="110" t="s">
        <v>637</v>
      </c>
      <c r="G22" s="46">
        <v>376</v>
      </c>
      <c r="H22" s="46">
        <v>282</v>
      </c>
      <c r="I22" s="111">
        <f t="shared" si="0"/>
        <v>94</v>
      </c>
    </row>
    <row r="23" spans="1:9" ht="15.75" customHeight="1">
      <c r="A23" s="108">
        <v>21</v>
      </c>
      <c r="B23" s="109"/>
      <c r="C23" s="46" t="s">
        <v>651</v>
      </c>
      <c r="D23" s="109" t="s">
        <v>635</v>
      </c>
      <c r="E23" s="53" t="s">
        <v>659</v>
      </c>
      <c r="F23" s="110" t="s">
        <v>637</v>
      </c>
      <c r="G23" s="46">
        <v>282</v>
      </c>
      <c r="H23" s="46">
        <v>188</v>
      </c>
      <c r="I23" s="111">
        <f t="shared" si="0"/>
        <v>94</v>
      </c>
    </row>
    <row r="24" spans="1:9" ht="15.75" customHeight="1">
      <c r="A24" s="108">
        <v>22</v>
      </c>
      <c r="B24" s="109"/>
      <c r="C24" s="46" t="s">
        <v>651</v>
      </c>
      <c r="D24" s="109" t="s">
        <v>635</v>
      </c>
      <c r="E24" s="53" t="s">
        <v>660</v>
      </c>
      <c r="F24" s="110" t="s">
        <v>637</v>
      </c>
      <c r="G24" s="46">
        <v>188</v>
      </c>
      <c r="H24" s="46">
        <v>94</v>
      </c>
      <c r="I24" s="111">
        <f t="shared" si="0"/>
        <v>94</v>
      </c>
    </row>
    <row r="25" spans="1:9" ht="15.75" customHeight="1">
      <c r="A25" s="108">
        <v>23</v>
      </c>
      <c r="B25" s="109"/>
      <c r="C25" s="46" t="s">
        <v>651</v>
      </c>
      <c r="D25" s="109" t="s">
        <v>635</v>
      </c>
      <c r="E25" s="53" t="s">
        <v>661</v>
      </c>
      <c r="F25" s="110" t="s">
        <v>637</v>
      </c>
      <c r="G25" s="46">
        <v>94</v>
      </c>
      <c r="H25" s="46">
        <v>0</v>
      </c>
      <c r="I25" s="111">
        <f t="shared" si="0"/>
        <v>94</v>
      </c>
    </row>
    <row r="26" spans="1:9" ht="15.75" customHeight="1">
      <c r="A26" s="108">
        <v>24</v>
      </c>
      <c r="B26" s="109"/>
      <c r="C26" s="53" t="s">
        <v>662</v>
      </c>
      <c r="D26" s="109" t="s">
        <v>635</v>
      </c>
      <c r="E26" s="53" t="s">
        <v>663</v>
      </c>
      <c r="F26" s="110" t="s">
        <v>637</v>
      </c>
      <c r="G26" s="46">
        <v>105</v>
      </c>
      <c r="H26" s="46">
        <v>14</v>
      </c>
      <c r="I26" s="111">
        <f t="shared" si="0"/>
        <v>91</v>
      </c>
    </row>
    <row r="27" spans="1:9" ht="15.75" customHeight="1">
      <c r="A27" s="108">
        <v>25</v>
      </c>
      <c r="B27" s="109"/>
      <c r="C27" s="53" t="s">
        <v>662</v>
      </c>
      <c r="D27" s="109" t="s">
        <v>635</v>
      </c>
      <c r="E27" s="53" t="s">
        <v>664</v>
      </c>
      <c r="F27" s="110" t="s">
        <v>637</v>
      </c>
      <c r="G27" s="46">
        <v>196</v>
      </c>
      <c r="H27" s="46">
        <v>105</v>
      </c>
      <c r="I27" s="111">
        <f t="shared" si="0"/>
        <v>91</v>
      </c>
    </row>
    <row r="28" spans="1:9" ht="15.75" customHeight="1">
      <c r="A28" s="108">
        <v>26</v>
      </c>
      <c r="B28" s="109"/>
      <c r="C28" s="53" t="s">
        <v>662</v>
      </c>
      <c r="D28" s="109" t="s">
        <v>635</v>
      </c>
      <c r="E28" s="53" t="s">
        <v>665</v>
      </c>
      <c r="F28" s="110" t="s">
        <v>637</v>
      </c>
      <c r="G28" s="46">
        <v>287</v>
      </c>
      <c r="H28" s="46">
        <v>196</v>
      </c>
      <c r="I28" s="111">
        <f t="shared" si="0"/>
        <v>91</v>
      </c>
    </row>
    <row r="29" spans="1:9" ht="15.75" customHeight="1">
      <c r="A29" s="108">
        <v>27</v>
      </c>
      <c r="B29" s="109"/>
      <c r="C29" s="53" t="s">
        <v>662</v>
      </c>
      <c r="D29" s="109" t="s">
        <v>635</v>
      </c>
      <c r="E29" s="53" t="s">
        <v>666</v>
      </c>
      <c r="F29" s="110" t="s">
        <v>637</v>
      </c>
      <c r="G29" s="46">
        <v>378</v>
      </c>
      <c r="H29" s="46">
        <v>287</v>
      </c>
      <c r="I29" s="111">
        <f t="shared" si="0"/>
        <v>91</v>
      </c>
    </row>
    <row r="30" spans="1:9" ht="15.75" customHeight="1">
      <c r="A30" s="108">
        <v>28</v>
      </c>
      <c r="B30" s="109"/>
      <c r="C30" s="53" t="s">
        <v>662</v>
      </c>
      <c r="D30" s="109" t="s">
        <v>635</v>
      </c>
      <c r="E30" s="53" t="s">
        <v>667</v>
      </c>
      <c r="F30" s="110" t="s">
        <v>637</v>
      </c>
      <c r="G30" s="46">
        <v>469</v>
      </c>
      <c r="H30" s="46">
        <v>378</v>
      </c>
      <c r="I30" s="111">
        <f t="shared" si="0"/>
        <v>91</v>
      </c>
    </row>
    <row r="31" spans="1:9" ht="15.75" customHeight="1">
      <c r="A31" s="108">
        <v>29</v>
      </c>
      <c r="B31" s="109"/>
      <c r="C31" s="53" t="s">
        <v>662</v>
      </c>
      <c r="D31" s="109" t="s">
        <v>635</v>
      </c>
      <c r="E31" s="53" t="s">
        <v>668</v>
      </c>
      <c r="F31" s="110" t="s">
        <v>637</v>
      </c>
      <c r="G31" s="46">
        <v>560</v>
      </c>
      <c r="H31" s="46">
        <v>469</v>
      </c>
      <c r="I31" s="111">
        <f t="shared" si="0"/>
        <v>91</v>
      </c>
    </row>
    <row r="32" spans="1:9" ht="15.75" customHeight="1">
      <c r="A32" s="108">
        <v>30</v>
      </c>
      <c r="B32" s="109"/>
      <c r="C32" s="53" t="s">
        <v>662</v>
      </c>
      <c r="D32" s="109" t="s">
        <v>635</v>
      </c>
      <c r="E32" s="53" t="s">
        <v>669</v>
      </c>
      <c r="F32" s="110" t="s">
        <v>637</v>
      </c>
      <c r="G32" s="46">
        <v>648</v>
      </c>
      <c r="H32" s="46">
        <v>560</v>
      </c>
      <c r="I32" s="111">
        <f t="shared" si="0"/>
        <v>88</v>
      </c>
    </row>
    <row r="33" spans="1:9" ht="15.75" customHeight="1">
      <c r="A33" s="108">
        <v>31</v>
      </c>
      <c r="B33" s="109"/>
      <c r="C33" s="53" t="s">
        <v>662</v>
      </c>
      <c r="D33" s="109" t="s">
        <v>635</v>
      </c>
      <c r="E33" s="53" t="s">
        <v>670</v>
      </c>
      <c r="F33" s="110" t="s">
        <v>637</v>
      </c>
      <c r="G33" s="46">
        <v>736</v>
      </c>
      <c r="H33" s="46">
        <v>648</v>
      </c>
      <c r="I33" s="111">
        <f t="shared" si="0"/>
        <v>88</v>
      </c>
    </row>
    <row r="34" spans="1:9" ht="15.75" customHeight="1">
      <c r="A34" s="108">
        <v>32</v>
      </c>
      <c r="B34" s="109"/>
      <c r="C34" s="53" t="s">
        <v>662</v>
      </c>
      <c r="D34" s="109" t="s">
        <v>635</v>
      </c>
      <c r="E34" s="53" t="s">
        <v>671</v>
      </c>
      <c r="F34" s="110" t="s">
        <v>637</v>
      </c>
      <c r="G34" s="46">
        <v>824</v>
      </c>
      <c r="H34" s="46">
        <v>736</v>
      </c>
      <c r="I34" s="111">
        <f t="shared" si="0"/>
        <v>88</v>
      </c>
    </row>
    <row r="35" spans="1:9" ht="15.75" customHeight="1">
      <c r="A35" s="108">
        <v>33</v>
      </c>
      <c r="B35" s="109"/>
      <c r="C35" s="53" t="s">
        <v>662</v>
      </c>
      <c r="D35" s="109" t="s">
        <v>635</v>
      </c>
      <c r="E35" s="53" t="s">
        <v>672</v>
      </c>
      <c r="F35" s="110" t="s">
        <v>637</v>
      </c>
      <c r="G35" s="46">
        <v>912</v>
      </c>
      <c r="H35" s="46">
        <v>824</v>
      </c>
      <c r="I35" s="111">
        <f t="shared" si="0"/>
        <v>88</v>
      </c>
    </row>
    <row r="36" spans="1:9" ht="15.75" customHeight="1">
      <c r="A36" s="108">
        <v>34</v>
      </c>
      <c r="B36" s="109"/>
      <c r="C36" s="53" t="s">
        <v>662</v>
      </c>
      <c r="D36" s="109" t="s">
        <v>635</v>
      </c>
      <c r="E36" s="53" t="s">
        <v>673</v>
      </c>
      <c r="F36" s="110" t="s">
        <v>637</v>
      </c>
      <c r="G36" s="46">
        <v>1000</v>
      </c>
      <c r="H36" s="46">
        <v>912</v>
      </c>
      <c r="I36" s="111">
        <f t="shared" si="0"/>
        <v>88</v>
      </c>
    </row>
    <row r="37" spans="1:9" ht="15.75" customHeight="1">
      <c r="A37" s="108">
        <v>35</v>
      </c>
      <c r="B37" s="112"/>
      <c r="C37" s="46" t="s">
        <v>674</v>
      </c>
      <c r="D37" s="109" t="s">
        <v>635</v>
      </c>
      <c r="E37" s="53" t="s">
        <v>675</v>
      </c>
      <c r="F37" s="110" t="s">
        <v>637</v>
      </c>
      <c r="G37" s="46">
        <v>89</v>
      </c>
      <c r="H37" s="46">
        <v>1</v>
      </c>
      <c r="I37" s="111">
        <f t="shared" si="0"/>
        <v>88</v>
      </c>
    </row>
    <row r="38" spans="1:9" ht="15.75" customHeight="1">
      <c r="A38" s="108">
        <v>36</v>
      </c>
      <c r="B38" s="113" t="s">
        <v>676</v>
      </c>
      <c r="C38" s="46" t="s">
        <v>674</v>
      </c>
      <c r="D38" s="109" t="s">
        <v>635</v>
      </c>
      <c r="E38" s="53" t="s">
        <v>677</v>
      </c>
      <c r="F38" s="110" t="s">
        <v>637</v>
      </c>
      <c r="G38" s="46">
        <v>174</v>
      </c>
      <c r="H38" s="46">
        <v>89</v>
      </c>
      <c r="I38" s="111">
        <f t="shared" si="0"/>
        <v>85</v>
      </c>
    </row>
    <row r="39" spans="1:9" ht="15.75" customHeight="1">
      <c r="A39" s="108">
        <v>37</v>
      </c>
      <c r="B39" s="109"/>
      <c r="C39" s="46" t="s">
        <v>674</v>
      </c>
      <c r="D39" s="109" t="s">
        <v>635</v>
      </c>
      <c r="E39" s="53" t="s">
        <v>678</v>
      </c>
      <c r="F39" s="110" t="s">
        <v>637</v>
      </c>
      <c r="G39" s="46">
        <v>259</v>
      </c>
      <c r="H39" s="46">
        <v>174</v>
      </c>
      <c r="I39" s="111">
        <f t="shared" si="0"/>
        <v>85</v>
      </c>
    </row>
    <row r="40" spans="1:9" ht="15.75" customHeight="1">
      <c r="A40" s="108">
        <v>38</v>
      </c>
      <c r="B40" s="109"/>
      <c r="C40" s="46" t="s">
        <v>674</v>
      </c>
      <c r="D40" s="109" t="s">
        <v>635</v>
      </c>
      <c r="E40" s="53" t="s">
        <v>679</v>
      </c>
      <c r="F40" s="110" t="s">
        <v>637</v>
      </c>
      <c r="G40" s="46">
        <v>344</v>
      </c>
      <c r="H40" s="46">
        <v>259</v>
      </c>
      <c r="I40" s="111">
        <f t="shared" si="0"/>
        <v>85</v>
      </c>
    </row>
    <row r="41" spans="1:9" ht="15.75" customHeight="1">
      <c r="A41" s="108">
        <v>39</v>
      </c>
      <c r="B41" s="109"/>
      <c r="C41" s="46" t="s">
        <v>674</v>
      </c>
      <c r="D41" s="109" t="s">
        <v>635</v>
      </c>
      <c r="E41" s="53" t="s">
        <v>680</v>
      </c>
      <c r="F41" s="110" t="s">
        <v>637</v>
      </c>
      <c r="G41" s="46">
        <v>429</v>
      </c>
      <c r="H41" s="46">
        <v>344</v>
      </c>
      <c r="I41" s="111">
        <f t="shared" si="0"/>
        <v>85</v>
      </c>
    </row>
    <row r="42" spans="1:9" ht="15.75" customHeight="1">
      <c r="A42" s="108">
        <v>40</v>
      </c>
      <c r="B42" s="109"/>
      <c r="C42" s="46" t="s">
        <v>674</v>
      </c>
      <c r="D42" s="109" t="s">
        <v>635</v>
      </c>
      <c r="E42" s="53" t="s">
        <v>681</v>
      </c>
      <c r="F42" s="110" t="s">
        <v>637</v>
      </c>
      <c r="G42" s="46">
        <v>514</v>
      </c>
      <c r="H42" s="46">
        <v>429</v>
      </c>
      <c r="I42" s="111">
        <f t="shared" si="0"/>
        <v>85</v>
      </c>
    </row>
    <row r="43" spans="1:9" ht="15.75" customHeight="1">
      <c r="A43" s="108">
        <v>41</v>
      </c>
      <c r="B43" s="109"/>
      <c r="C43" s="46" t="s">
        <v>674</v>
      </c>
      <c r="D43" s="109" t="s">
        <v>635</v>
      </c>
      <c r="E43" s="53" t="s">
        <v>682</v>
      </c>
      <c r="F43" s="110" t="s">
        <v>637</v>
      </c>
      <c r="G43" s="46">
        <v>599</v>
      </c>
      <c r="H43" s="46">
        <v>514</v>
      </c>
      <c r="I43" s="111">
        <f t="shared" si="0"/>
        <v>85</v>
      </c>
    </row>
    <row r="44" spans="1:9" ht="15.75" customHeight="1">
      <c r="A44" s="108">
        <v>42</v>
      </c>
      <c r="B44" s="109"/>
      <c r="C44" s="46" t="s">
        <v>674</v>
      </c>
      <c r="D44" s="109" t="s">
        <v>635</v>
      </c>
      <c r="E44" s="53" t="s">
        <v>683</v>
      </c>
      <c r="F44" s="110" t="s">
        <v>637</v>
      </c>
      <c r="G44" s="46">
        <v>681</v>
      </c>
      <c r="H44" s="46">
        <v>599</v>
      </c>
      <c r="I44" s="111">
        <f t="shared" si="0"/>
        <v>82</v>
      </c>
    </row>
    <row r="45" spans="1:9" ht="15.75" customHeight="1">
      <c r="A45" s="108">
        <v>43</v>
      </c>
      <c r="B45" s="109"/>
      <c r="C45" s="46" t="s">
        <v>674</v>
      </c>
      <c r="D45" s="109" t="s">
        <v>635</v>
      </c>
      <c r="E45" s="53" t="s">
        <v>684</v>
      </c>
      <c r="F45" s="110" t="s">
        <v>637</v>
      </c>
      <c r="G45" s="46">
        <v>763</v>
      </c>
      <c r="H45" s="46">
        <v>681</v>
      </c>
      <c r="I45" s="111">
        <f t="shared" si="0"/>
        <v>82</v>
      </c>
    </row>
    <row r="46" spans="1:9" ht="15.75" customHeight="1">
      <c r="A46" s="108">
        <v>44</v>
      </c>
      <c r="B46" s="109"/>
      <c r="C46" s="46" t="s">
        <v>674</v>
      </c>
      <c r="D46" s="109" t="s">
        <v>635</v>
      </c>
      <c r="E46" s="53" t="s">
        <v>685</v>
      </c>
      <c r="F46" s="110" t="s">
        <v>637</v>
      </c>
      <c r="G46" s="46">
        <v>845</v>
      </c>
      <c r="H46" s="46">
        <v>763</v>
      </c>
      <c r="I46" s="111">
        <f t="shared" si="0"/>
        <v>82</v>
      </c>
    </row>
    <row r="47" spans="1:9" ht="15.75" customHeight="1">
      <c r="A47" s="108">
        <v>45</v>
      </c>
      <c r="B47" s="109"/>
      <c r="C47" s="46" t="s">
        <v>674</v>
      </c>
      <c r="D47" s="109" t="s">
        <v>635</v>
      </c>
      <c r="E47" s="53" t="s">
        <v>686</v>
      </c>
      <c r="F47" s="110" t="s">
        <v>637</v>
      </c>
      <c r="G47" s="46">
        <v>927</v>
      </c>
      <c r="H47" s="46">
        <v>845</v>
      </c>
      <c r="I47" s="111">
        <f t="shared" si="0"/>
        <v>82</v>
      </c>
    </row>
    <row r="48" spans="1:9" ht="15.75" customHeight="1">
      <c r="A48" s="108">
        <v>46</v>
      </c>
      <c r="B48" s="109"/>
      <c r="C48" s="46" t="s">
        <v>674</v>
      </c>
      <c r="D48" s="109" t="s">
        <v>635</v>
      </c>
      <c r="E48" s="53" t="s">
        <v>687</v>
      </c>
      <c r="F48" s="110" t="s">
        <v>637</v>
      </c>
      <c r="G48" s="46">
        <v>1009</v>
      </c>
      <c r="H48" s="46">
        <v>927</v>
      </c>
      <c r="I48" s="111">
        <f t="shared" si="0"/>
        <v>82</v>
      </c>
    </row>
    <row r="49" spans="1:9" ht="15.75" customHeight="1">
      <c r="A49" s="108">
        <v>47</v>
      </c>
      <c r="B49" s="109"/>
      <c r="C49" s="46" t="s">
        <v>688</v>
      </c>
      <c r="D49" s="109" t="s">
        <v>635</v>
      </c>
      <c r="E49" s="53" t="s">
        <v>689</v>
      </c>
      <c r="F49" s="110" t="s">
        <v>637</v>
      </c>
      <c r="G49" s="46">
        <v>94</v>
      </c>
      <c r="H49" s="46">
        <v>12</v>
      </c>
      <c r="I49" s="111">
        <f t="shared" si="0"/>
        <v>82</v>
      </c>
    </row>
    <row r="50" spans="1:9" ht="15.75" customHeight="1">
      <c r="A50" s="108">
        <v>48</v>
      </c>
      <c r="B50" s="109"/>
      <c r="C50" s="46" t="s">
        <v>688</v>
      </c>
      <c r="D50" s="109" t="s">
        <v>635</v>
      </c>
      <c r="E50" s="53" t="s">
        <v>690</v>
      </c>
      <c r="F50" s="110" t="s">
        <v>637</v>
      </c>
      <c r="G50" s="46">
        <v>173</v>
      </c>
      <c r="H50" s="46">
        <v>94</v>
      </c>
      <c r="I50" s="111">
        <f t="shared" si="0"/>
        <v>79</v>
      </c>
    </row>
    <row r="51" spans="1:9" ht="15.75" customHeight="1">
      <c r="A51" s="108">
        <v>49</v>
      </c>
      <c r="B51" s="109"/>
      <c r="C51" s="46" t="s">
        <v>688</v>
      </c>
      <c r="D51" s="109" t="s">
        <v>635</v>
      </c>
      <c r="E51" s="53" t="s">
        <v>691</v>
      </c>
      <c r="F51" s="110" t="s">
        <v>637</v>
      </c>
      <c r="G51" s="46">
        <v>252</v>
      </c>
      <c r="H51" s="46">
        <v>173</v>
      </c>
      <c r="I51" s="111">
        <f t="shared" si="0"/>
        <v>79</v>
      </c>
    </row>
    <row r="52" spans="1:9" ht="15.75" customHeight="1">
      <c r="A52" s="108">
        <v>50</v>
      </c>
      <c r="B52" s="109"/>
      <c r="C52" s="46" t="s">
        <v>688</v>
      </c>
      <c r="D52" s="109" t="s">
        <v>635</v>
      </c>
      <c r="E52" s="53" t="s">
        <v>692</v>
      </c>
      <c r="F52" s="110" t="s">
        <v>637</v>
      </c>
      <c r="G52" s="46">
        <v>331</v>
      </c>
      <c r="H52" s="46">
        <v>252</v>
      </c>
      <c r="I52" s="111">
        <f t="shared" si="0"/>
        <v>79</v>
      </c>
    </row>
    <row r="53" spans="1:9" ht="15.75" customHeight="1">
      <c r="A53" s="108">
        <v>51</v>
      </c>
      <c r="B53" s="109"/>
      <c r="C53" s="46" t="s">
        <v>688</v>
      </c>
      <c r="D53" s="109" t="s">
        <v>635</v>
      </c>
      <c r="E53" s="53" t="s">
        <v>693</v>
      </c>
      <c r="F53" s="110" t="s">
        <v>637</v>
      </c>
      <c r="G53" s="46">
        <v>410</v>
      </c>
      <c r="H53" s="46">
        <v>331</v>
      </c>
      <c r="I53" s="111">
        <f t="shared" si="0"/>
        <v>79</v>
      </c>
    </row>
    <row r="54" spans="1:9" ht="15.75" customHeight="1">
      <c r="A54" s="108">
        <v>52</v>
      </c>
      <c r="B54" s="109"/>
      <c r="C54" s="46" t="s">
        <v>688</v>
      </c>
      <c r="D54" s="109" t="s">
        <v>635</v>
      </c>
      <c r="E54" s="53" t="s">
        <v>694</v>
      </c>
      <c r="F54" s="110" t="s">
        <v>637</v>
      </c>
      <c r="G54" s="46">
        <v>489</v>
      </c>
      <c r="H54" s="46">
        <v>410</v>
      </c>
      <c r="I54" s="111">
        <f t="shared" si="0"/>
        <v>79</v>
      </c>
    </row>
    <row r="55" spans="1:9" ht="15.75" customHeight="1">
      <c r="A55" s="108">
        <v>53</v>
      </c>
      <c r="B55" s="109"/>
      <c r="C55" s="46" t="s">
        <v>688</v>
      </c>
      <c r="D55" s="109" t="s">
        <v>635</v>
      </c>
      <c r="E55" s="53" t="s">
        <v>695</v>
      </c>
      <c r="F55" s="110" t="s">
        <v>637</v>
      </c>
      <c r="G55" s="46">
        <v>568</v>
      </c>
      <c r="H55" s="46">
        <v>489</v>
      </c>
      <c r="I55" s="111">
        <f t="shared" si="0"/>
        <v>79</v>
      </c>
    </row>
    <row r="56" spans="1:9" ht="15.75" customHeight="1">
      <c r="A56" s="108">
        <v>54</v>
      </c>
      <c r="B56" s="109"/>
      <c r="C56" s="53" t="s">
        <v>696</v>
      </c>
      <c r="D56" s="109" t="s">
        <v>635</v>
      </c>
      <c r="E56" s="53" t="s">
        <v>697</v>
      </c>
      <c r="F56" s="110" t="s">
        <v>637</v>
      </c>
      <c r="G56" s="46">
        <v>1005</v>
      </c>
      <c r="H56" s="46">
        <v>929</v>
      </c>
      <c r="I56" s="111">
        <f t="shared" si="0"/>
        <v>76</v>
      </c>
    </row>
    <row r="57" spans="1:9" ht="15.75" customHeight="1">
      <c r="A57" s="108">
        <v>55</v>
      </c>
      <c r="B57" s="109"/>
      <c r="C57" s="53" t="s">
        <v>696</v>
      </c>
      <c r="D57" s="109" t="s">
        <v>635</v>
      </c>
      <c r="E57" s="53" t="s">
        <v>698</v>
      </c>
      <c r="F57" s="110" t="s">
        <v>637</v>
      </c>
      <c r="G57" s="46">
        <v>929</v>
      </c>
      <c r="H57" s="46">
        <v>853</v>
      </c>
      <c r="I57" s="111">
        <f t="shared" si="0"/>
        <v>76</v>
      </c>
    </row>
    <row r="58" spans="1:9" ht="15.75" customHeight="1">
      <c r="A58" s="108">
        <v>56</v>
      </c>
      <c r="B58" s="109"/>
      <c r="C58" s="46" t="s">
        <v>699</v>
      </c>
      <c r="D58" s="109" t="s">
        <v>635</v>
      </c>
      <c r="E58" s="53" t="s">
        <v>700</v>
      </c>
      <c r="F58" s="110" t="s">
        <v>637</v>
      </c>
      <c r="G58" s="46">
        <v>140</v>
      </c>
      <c r="H58" s="46">
        <v>64</v>
      </c>
      <c r="I58" s="111">
        <f t="shared" si="0"/>
        <v>76</v>
      </c>
    </row>
    <row r="59" spans="1:9" ht="15.75" customHeight="1">
      <c r="A59" s="108">
        <v>57</v>
      </c>
      <c r="B59" s="109"/>
      <c r="C59" s="46" t="s">
        <v>699</v>
      </c>
      <c r="D59" s="109" t="s">
        <v>635</v>
      </c>
      <c r="E59" s="53" t="s">
        <v>701</v>
      </c>
      <c r="F59" s="110" t="s">
        <v>637</v>
      </c>
      <c r="G59" s="46">
        <v>216</v>
      </c>
      <c r="H59" s="46">
        <v>140</v>
      </c>
      <c r="I59" s="111">
        <f t="shared" si="0"/>
        <v>76</v>
      </c>
    </row>
    <row r="60" spans="1:9" ht="15.75" customHeight="1">
      <c r="A60" s="108">
        <v>58</v>
      </c>
      <c r="B60" s="109"/>
      <c r="C60" s="46" t="s">
        <v>699</v>
      </c>
      <c r="D60" s="109" t="s">
        <v>635</v>
      </c>
      <c r="E60" s="53" t="s">
        <v>702</v>
      </c>
      <c r="F60" s="110" t="s">
        <v>637</v>
      </c>
      <c r="G60" s="46">
        <v>292</v>
      </c>
      <c r="H60" s="46">
        <v>216</v>
      </c>
      <c r="I60" s="111">
        <f t="shared" si="0"/>
        <v>76</v>
      </c>
    </row>
    <row r="61" spans="1:9" ht="15.75" customHeight="1">
      <c r="A61" s="108">
        <v>59</v>
      </c>
      <c r="B61" s="109"/>
      <c r="C61" s="46" t="s">
        <v>699</v>
      </c>
      <c r="D61" s="109" t="s">
        <v>635</v>
      </c>
      <c r="E61" s="53" t="s">
        <v>703</v>
      </c>
      <c r="F61" s="110" t="s">
        <v>637</v>
      </c>
      <c r="G61" s="46">
        <v>368</v>
      </c>
      <c r="H61" s="46">
        <v>292</v>
      </c>
      <c r="I61" s="111">
        <f t="shared" si="0"/>
        <v>76</v>
      </c>
    </row>
    <row r="62" spans="1:9" ht="15.75" customHeight="1">
      <c r="A62" s="108">
        <v>60</v>
      </c>
      <c r="B62" s="109"/>
      <c r="C62" s="46" t="s">
        <v>699</v>
      </c>
      <c r="D62" s="109" t="s">
        <v>635</v>
      </c>
      <c r="E62" s="53" t="s">
        <v>704</v>
      </c>
      <c r="F62" s="110" t="s">
        <v>637</v>
      </c>
      <c r="G62" s="46">
        <v>441</v>
      </c>
      <c r="H62" s="46">
        <v>368</v>
      </c>
      <c r="I62" s="111">
        <f t="shared" si="0"/>
        <v>73</v>
      </c>
    </row>
    <row r="63" spans="1:9" ht="15.75" customHeight="1">
      <c r="A63" s="108">
        <v>61</v>
      </c>
      <c r="B63" s="109"/>
      <c r="C63" s="46" t="s">
        <v>699</v>
      </c>
      <c r="D63" s="109" t="s">
        <v>635</v>
      </c>
      <c r="E63" s="53" t="s">
        <v>705</v>
      </c>
      <c r="F63" s="110" t="s">
        <v>637</v>
      </c>
      <c r="G63" s="46">
        <v>514</v>
      </c>
      <c r="H63" s="46">
        <v>441</v>
      </c>
      <c r="I63" s="111">
        <f t="shared" si="0"/>
        <v>73</v>
      </c>
    </row>
    <row r="64" spans="1:9" ht="15.75" customHeight="1">
      <c r="A64" s="108">
        <v>62</v>
      </c>
      <c r="B64" s="109"/>
      <c r="C64" s="46" t="s">
        <v>699</v>
      </c>
      <c r="D64" s="109" t="s">
        <v>635</v>
      </c>
      <c r="E64" s="53" t="s">
        <v>706</v>
      </c>
      <c r="F64" s="110" t="s">
        <v>637</v>
      </c>
      <c r="G64" s="46">
        <v>587</v>
      </c>
      <c r="H64" s="46">
        <v>514</v>
      </c>
      <c r="I64" s="111">
        <f t="shared" si="0"/>
        <v>73</v>
      </c>
    </row>
    <row r="65" spans="1:9" ht="15.75" customHeight="1">
      <c r="A65" s="108">
        <v>63</v>
      </c>
      <c r="B65" s="112"/>
      <c r="C65" s="46" t="s">
        <v>699</v>
      </c>
      <c r="D65" s="109" t="s">
        <v>635</v>
      </c>
      <c r="E65" s="53" t="s">
        <v>707</v>
      </c>
      <c r="F65" s="110" t="s">
        <v>637</v>
      </c>
      <c r="G65" s="46">
        <v>660</v>
      </c>
      <c r="H65" s="46">
        <v>587</v>
      </c>
      <c r="I65" s="111">
        <f t="shared" si="0"/>
        <v>73</v>
      </c>
    </row>
    <row r="66" spans="1:9" ht="15.75" customHeight="1">
      <c r="A66" s="108">
        <v>64</v>
      </c>
      <c r="C66" s="46" t="s">
        <v>699</v>
      </c>
      <c r="D66" s="109" t="s">
        <v>635</v>
      </c>
      <c r="E66" s="53" t="s">
        <v>708</v>
      </c>
      <c r="F66" s="110" t="s">
        <v>637</v>
      </c>
      <c r="G66" s="114">
        <v>733</v>
      </c>
      <c r="H66" s="114">
        <v>660</v>
      </c>
      <c r="I66" s="111">
        <f t="shared" si="0"/>
        <v>73</v>
      </c>
    </row>
    <row r="67" spans="1:9" ht="15.75" customHeight="1">
      <c r="A67" s="108">
        <v>65</v>
      </c>
      <c r="B67" s="53"/>
      <c r="C67" s="46" t="s">
        <v>699</v>
      </c>
      <c r="D67" s="109" t="s">
        <v>635</v>
      </c>
      <c r="E67" s="53" t="s">
        <v>709</v>
      </c>
      <c r="F67" s="110" t="s">
        <v>637</v>
      </c>
      <c r="G67" s="46">
        <v>806</v>
      </c>
      <c r="H67" s="46">
        <v>733</v>
      </c>
      <c r="I67" s="111">
        <f t="shared" si="0"/>
        <v>73</v>
      </c>
    </row>
    <row r="68" spans="1:9" ht="15.75" customHeight="1">
      <c r="A68" s="108">
        <v>66</v>
      </c>
      <c r="B68" s="53"/>
      <c r="C68" s="46" t="s">
        <v>699</v>
      </c>
      <c r="D68" s="109" t="s">
        <v>635</v>
      </c>
      <c r="E68" s="53" t="s">
        <v>710</v>
      </c>
      <c r="F68" s="110" t="s">
        <v>637</v>
      </c>
      <c r="G68" s="46">
        <v>876</v>
      </c>
      <c r="H68" s="46">
        <v>806</v>
      </c>
      <c r="I68" s="111">
        <f t="shared" si="0"/>
        <v>70</v>
      </c>
    </row>
    <row r="69" spans="1:9" ht="15.75" customHeight="1">
      <c r="A69" s="108">
        <v>67</v>
      </c>
      <c r="B69" s="53"/>
      <c r="C69" s="46" t="s">
        <v>699</v>
      </c>
      <c r="D69" s="109" t="s">
        <v>635</v>
      </c>
      <c r="E69" s="53" t="s">
        <v>711</v>
      </c>
      <c r="F69" s="110" t="s">
        <v>637</v>
      </c>
      <c r="G69" s="46">
        <v>946</v>
      </c>
      <c r="H69" s="46">
        <v>876</v>
      </c>
      <c r="I69" s="111">
        <f t="shared" si="0"/>
        <v>70</v>
      </c>
    </row>
    <row r="70" spans="1:9" ht="15.75" customHeight="1">
      <c r="A70" s="108"/>
      <c r="B70" s="115"/>
      <c r="C70" s="115"/>
      <c r="D70" s="115"/>
      <c r="E70" s="53"/>
      <c r="F70" s="110"/>
      <c r="G70" s="53"/>
      <c r="H70" s="53"/>
      <c r="I70" s="111"/>
    </row>
    <row r="71" spans="1:9" ht="15.75" customHeight="1">
      <c r="A71" s="108">
        <v>68</v>
      </c>
      <c r="B71" s="53"/>
      <c r="C71" s="46" t="s">
        <v>699</v>
      </c>
      <c r="D71" s="53" t="s">
        <v>712</v>
      </c>
      <c r="E71" s="53" t="s">
        <v>713</v>
      </c>
      <c r="F71" s="110" t="s">
        <v>637</v>
      </c>
      <c r="G71" s="46">
        <v>1004</v>
      </c>
      <c r="H71" s="46">
        <v>946</v>
      </c>
      <c r="I71" s="111">
        <f t="shared" ref="I71:I138" si="1">G71-H71</f>
        <v>58</v>
      </c>
    </row>
    <row r="72" spans="1:9" ht="15.75" customHeight="1">
      <c r="A72" s="108">
        <v>69</v>
      </c>
      <c r="B72" s="53"/>
      <c r="C72" s="53" t="s">
        <v>714</v>
      </c>
      <c r="D72" s="53" t="s">
        <v>712</v>
      </c>
      <c r="E72" s="53" t="s">
        <v>715</v>
      </c>
      <c r="F72" s="110" t="s">
        <v>637</v>
      </c>
      <c r="G72" s="46">
        <v>102</v>
      </c>
      <c r="H72" s="46">
        <v>44</v>
      </c>
      <c r="I72" s="111">
        <f t="shared" si="1"/>
        <v>58</v>
      </c>
    </row>
    <row r="73" spans="1:9" ht="15.75" customHeight="1">
      <c r="A73" s="108">
        <v>70</v>
      </c>
      <c r="B73" s="53"/>
      <c r="C73" s="53" t="s">
        <v>714</v>
      </c>
      <c r="D73" s="53" t="s">
        <v>712</v>
      </c>
      <c r="E73" s="53" t="s">
        <v>716</v>
      </c>
      <c r="F73" s="110" t="s">
        <v>637</v>
      </c>
      <c r="G73" s="46">
        <v>160</v>
      </c>
      <c r="H73" s="46">
        <v>102</v>
      </c>
      <c r="I73" s="111">
        <f t="shared" si="1"/>
        <v>58</v>
      </c>
    </row>
    <row r="74" spans="1:9" ht="15.75" customHeight="1">
      <c r="A74" s="108">
        <v>71</v>
      </c>
      <c r="B74" s="53"/>
      <c r="C74" s="53" t="s">
        <v>714</v>
      </c>
      <c r="D74" s="53" t="s">
        <v>712</v>
      </c>
      <c r="E74" s="53" t="s">
        <v>717</v>
      </c>
      <c r="F74" s="110" t="s">
        <v>637</v>
      </c>
      <c r="G74" s="46">
        <v>218</v>
      </c>
      <c r="H74" s="46">
        <v>160</v>
      </c>
      <c r="I74" s="111">
        <f t="shared" si="1"/>
        <v>58</v>
      </c>
    </row>
    <row r="75" spans="1:9" ht="15.75" customHeight="1">
      <c r="A75" s="108">
        <v>72</v>
      </c>
      <c r="B75" s="53"/>
      <c r="C75" s="53" t="s">
        <v>714</v>
      </c>
      <c r="D75" s="53" t="s">
        <v>712</v>
      </c>
      <c r="E75" s="53" t="s">
        <v>718</v>
      </c>
      <c r="F75" s="110" t="s">
        <v>637</v>
      </c>
      <c r="G75" s="46">
        <v>273</v>
      </c>
      <c r="H75" s="46">
        <v>218</v>
      </c>
      <c r="I75" s="111">
        <f t="shared" si="1"/>
        <v>55</v>
      </c>
    </row>
    <row r="76" spans="1:9" ht="15.75" customHeight="1">
      <c r="A76" s="108">
        <v>73</v>
      </c>
      <c r="B76" s="53"/>
      <c r="C76" s="53" t="s">
        <v>714</v>
      </c>
      <c r="D76" s="53" t="s">
        <v>712</v>
      </c>
      <c r="E76" s="53" t="s">
        <v>719</v>
      </c>
      <c r="F76" s="110" t="s">
        <v>637</v>
      </c>
      <c r="G76" s="46">
        <v>328</v>
      </c>
      <c r="H76" s="46">
        <v>273</v>
      </c>
      <c r="I76" s="111">
        <f t="shared" si="1"/>
        <v>55</v>
      </c>
    </row>
    <row r="77" spans="1:9" ht="15.75" customHeight="1">
      <c r="A77" s="108">
        <v>74</v>
      </c>
      <c r="B77" s="53"/>
      <c r="C77" s="53" t="s">
        <v>714</v>
      </c>
      <c r="D77" s="53" t="s">
        <v>712</v>
      </c>
      <c r="E77" s="53" t="s">
        <v>720</v>
      </c>
      <c r="F77" s="110" t="s">
        <v>637</v>
      </c>
      <c r="G77" s="46">
        <v>383</v>
      </c>
      <c r="H77" s="46">
        <v>328</v>
      </c>
      <c r="I77" s="111">
        <f t="shared" si="1"/>
        <v>55</v>
      </c>
    </row>
    <row r="78" spans="1:9" ht="15.75" customHeight="1">
      <c r="A78" s="108">
        <v>75</v>
      </c>
      <c r="C78" s="53" t="s">
        <v>714</v>
      </c>
      <c r="D78" s="53" t="s">
        <v>712</v>
      </c>
      <c r="E78" s="53" t="s">
        <v>721</v>
      </c>
      <c r="F78" s="110" t="s">
        <v>637</v>
      </c>
      <c r="G78" s="46">
        <v>438</v>
      </c>
      <c r="H78" s="46">
        <v>383</v>
      </c>
      <c r="I78" s="111">
        <f t="shared" si="1"/>
        <v>55</v>
      </c>
    </row>
    <row r="79" spans="1:9" ht="15.75" customHeight="1">
      <c r="A79" s="108">
        <v>76</v>
      </c>
      <c r="B79" s="53"/>
      <c r="C79" s="53" t="s">
        <v>714</v>
      </c>
      <c r="D79" s="53" t="s">
        <v>712</v>
      </c>
      <c r="E79" s="53" t="s">
        <v>722</v>
      </c>
      <c r="F79" s="110" t="s">
        <v>637</v>
      </c>
      <c r="G79" s="46">
        <v>493</v>
      </c>
      <c r="H79" s="46">
        <v>438</v>
      </c>
      <c r="I79" s="111">
        <f t="shared" si="1"/>
        <v>55</v>
      </c>
    </row>
    <row r="80" spans="1:9" ht="15.75" customHeight="1">
      <c r="A80" s="108">
        <v>77</v>
      </c>
      <c r="B80" s="53"/>
      <c r="C80" s="53" t="s">
        <v>714</v>
      </c>
      <c r="D80" s="53" t="s">
        <v>712</v>
      </c>
      <c r="E80" s="53" t="s">
        <v>723</v>
      </c>
      <c r="F80" s="110" t="s">
        <v>637</v>
      </c>
      <c r="G80" s="46">
        <v>548</v>
      </c>
      <c r="H80" s="46">
        <v>493</v>
      </c>
      <c r="I80" s="111">
        <f t="shared" si="1"/>
        <v>55</v>
      </c>
    </row>
    <row r="81" spans="1:9" ht="15.75" customHeight="1">
      <c r="A81" s="108">
        <v>78</v>
      </c>
      <c r="B81" s="53"/>
      <c r="C81" s="53" t="s">
        <v>714</v>
      </c>
      <c r="D81" s="53" t="s">
        <v>712</v>
      </c>
      <c r="E81" s="53" t="s">
        <v>724</v>
      </c>
      <c r="F81" s="110" t="s">
        <v>637</v>
      </c>
      <c r="G81" s="46">
        <v>600</v>
      </c>
      <c r="H81" s="46">
        <v>548</v>
      </c>
      <c r="I81" s="111">
        <f t="shared" si="1"/>
        <v>52</v>
      </c>
    </row>
    <row r="82" spans="1:9" ht="15.75" customHeight="1">
      <c r="A82" s="108">
        <v>79</v>
      </c>
      <c r="B82" s="53"/>
      <c r="C82" s="53" t="s">
        <v>714</v>
      </c>
      <c r="D82" s="53" t="s">
        <v>712</v>
      </c>
      <c r="E82" s="53" t="s">
        <v>725</v>
      </c>
      <c r="F82" s="110" t="s">
        <v>637</v>
      </c>
      <c r="G82" s="46">
        <v>652</v>
      </c>
      <c r="H82" s="46">
        <v>600</v>
      </c>
      <c r="I82" s="111">
        <f t="shared" si="1"/>
        <v>52</v>
      </c>
    </row>
    <row r="83" spans="1:9" ht="15.75" customHeight="1">
      <c r="A83" s="108">
        <v>80</v>
      </c>
      <c r="B83" s="53"/>
      <c r="C83" s="53" t="s">
        <v>714</v>
      </c>
      <c r="D83" s="53" t="s">
        <v>712</v>
      </c>
      <c r="E83" s="53" t="s">
        <v>726</v>
      </c>
      <c r="F83" s="110" t="s">
        <v>637</v>
      </c>
      <c r="G83" s="46">
        <v>704</v>
      </c>
      <c r="H83" s="46">
        <v>652</v>
      </c>
      <c r="I83" s="111">
        <f t="shared" si="1"/>
        <v>52</v>
      </c>
    </row>
    <row r="84" spans="1:9" ht="15.75" customHeight="1">
      <c r="A84" s="108">
        <v>81</v>
      </c>
      <c r="B84" s="53"/>
      <c r="C84" s="53" t="s">
        <v>714</v>
      </c>
      <c r="D84" s="53" t="s">
        <v>712</v>
      </c>
      <c r="E84" s="53" t="s">
        <v>727</v>
      </c>
      <c r="F84" s="110" t="s">
        <v>637</v>
      </c>
      <c r="G84" s="46">
        <v>756</v>
      </c>
      <c r="H84" s="46">
        <v>704</v>
      </c>
      <c r="I84" s="111">
        <f t="shared" si="1"/>
        <v>52</v>
      </c>
    </row>
    <row r="85" spans="1:9" ht="15.75" customHeight="1">
      <c r="A85" s="108">
        <v>82</v>
      </c>
      <c r="B85" s="53"/>
      <c r="C85" s="53" t="s">
        <v>714</v>
      </c>
      <c r="D85" s="53" t="s">
        <v>712</v>
      </c>
      <c r="E85" s="53" t="s">
        <v>728</v>
      </c>
      <c r="F85" s="110" t="s">
        <v>637</v>
      </c>
      <c r="G85" s="46">
        <v>808</v>
      </c>
      <c r="H85" s="46">
        <v>756</v>
      </c>
      <c r="I85" s="111">
        <f t="shared" si="1"/>
        <v>52</v>
      </c>
    </row>
    <row r="86" spans="1:9" ht="15.75" customHeight="1">
      <c r="A86" s="108">
        <v>83</v>
      </c>
      <c r="B86" s="53"/>
      <c r="C86" s="53" t="s">
        <v>714</v>
      </c>
      <c r="D86" s="53" t="s">
        <v>712</v>
      </c>
      <c r="E86" s="53" t="s">
        <v>729</v>
      </c>
      <c r="F86" s="110" t="s">
        <v>637</v>
      </c>
      <c r="G86" s="46">
        <v>860</v>
      </c>
      <c r="H86" s="46">
        <v>808</v>
      </c>
      <c r="I86" s="111">
        <f t="shared" si="1"/>
        <v>52</v>
      </c>
    </row>
    <row r="87" spans="1:9" ht="15.75" customHeight="1">
      <c r="A87" s="108">
        <v>84</v>
      </c>
      <c r="B87" s="53"/>
      <c r="C87" s="53" t="s">
        <v>714</v>
      </c>
      <c r="D87" s="53" t="s">
        <v>712</v>
      </c>
      <c r="E87" s="53" t="s">
        <v>730</v>
      </c>
      <c r="F87" s="110" t="s">
        <v>637</v>
      </c>
      <c r="G87" s="46">
        <v>909</v>
      </c>
      <c r="H87" s="46">
        <v>860</v>
      </c>
      <c r="I87" s="111">
        <f t="shared" si="1"/>
        <v>49</v>
      </c>
    </row>
    <row r="88" spans="1:9" ht="15.75" customHeight="1">
      <c r="A88" s="108">
        <v>85</v>
      </c>
      <c r="B88" s="53"/>
      <c r="C88" s="53" t="s">
        <v>714</v>
      </c>
      <c r="D88" s="53" t="s">
        <v>712</v>
      </c>
      <c r="E88" s="53" t="s">
        <v>731</v>
      </c>
      <c r="F88" s="110" t="s">
        <v>637</v>
      </c>
      <c r="G88" s="46">
        <v>958</v>
      </c>
      <c r="H88" s="46">
        <v>909</v>
      </c>
      <c r="I88" s="111">
        <f t="shared" si="1"/>
        <v>49</v>
      </c>
    </row>
    <row r="89" spans="1:9" ht="15.75" customHeight="1">
      <c r="A89" s="108">
        <v>86</v>
      </c>
      <c r="B89" s="53"/>
      <c r="C89" s="53" t="s">
        <v>714</v>
      </c>
      <c r="D89" s="53" t="s">
        <v>712</v>
      </c>
      <c r="E89" s="53" t="s">
        <v>732</v>
      </c>
      <c r="F89" s="110" t="s">
        <v>637</v>
      </c>
      <c r="G89" s="46">
        <v>1007</v>
      </c>
      <c r="H89" s="46">
        <v>958</v>
      </c>
      <c r="I89" s="111">
        <f t="shared" si="1"/>
        <v>49</v>
      </c>
    </row>
    <row r="90" spans="1:9" ht="15.75" customHeight="1">
      <c r="A90" s="108">
        <v>87</v>
      </c>
      <c r="B90" s="53"/>
      <c r="C90" s="53" t="s">
        <v>733</v>
      </c>
      <c r="D90" s="53" t="s">
        <v>712</v>
      </c>
      <c r="E90" s="53" t="s">
        <v>734</v>
      </c>
      <c r="F90" s="110" t="s">
        <v>637</v>
      </c>
      <c r="G90" s="46">
        <v>66</v>
      </c>
      <c r="H90" s="46">
        <v>17</v>
      </c>
      <c r="I90" s="111">
        <f t="shared" si="1"/>
        <v>49</v>
      </c>
    </row>
    <row r="91" spans="1:9" ht="15.75" customHeight="1">
      <c r="A91" s="108">
        <v>88</v>
      </c>
      <c r="B91" s="53"/>
      <c r="C91" s="53" t="s">
        <v>733</v>
      </c>
      <c r="D91" s="53" t="s">
        <v>712</v>
      </c>
      <c r="E91" s="53" t="s">
        <v>735</v>
      </c>
      <c r="F91" s="110" t="s">
        <v>637</v>
      </c>
      <c r="G91" s="46">
        <v>115</v>
      </c>
      <c r="H91" s="46">
        <v>66</v>
      </c>
      <c r="I91" s="111">
        <f t="shared" si="1"/>
        <v>49</v>
      </c>
    </row>
    <row r="92" spans="1:9" ht="15.75" customHeight="1">
      <c r="A92" s="108">
        <v>89</v>
      </c>
      <c r="B92" s="53"/>
      <c r="C92" s="53" t="s">
        <v>733</v>
      </c>
      <c r="D92" s="53" t="s">
        <v>712</v>
      </c>
      <c r="E92" s="53" t="s">
        <v>736</v>
      </c>
      <c r="F92" s="110" t="s">
        <v>637</v>
      </c>
      <c r="G92" s="46">
        <v>164</v>
      </c>
      <c r="H92" s="46">
        <v>115</v>
      </c>
      <c r="I92" s="111">
        <f t="shared" si="1"/>
        <v>49</v>
      </c>
    </row>
    <row r="93" spans="1:9" ht="15.75" customHeight="1">
      <c r="A93" s="108">
        <v>90</v>
      </c>
      <c r="B93" s="53"/>
      <c r="C93" s="53" t="s">
        <v>733</v>
      </c>
      <c r="D93" s="53" t="s">
        <v>712</v>
      </c>
      <c r="E93" s="53" t="s">
        <v>737</v>
      </c>
      <c r="F93" s="110" t="s">
        <v>637</v>
      </c>
      <c r="G93" s="46">
        <v>210</v>
      </c>
      <c r="H93" s="46">
        <v>164</v>
      </c>
      <c r="I93" s="111">
        <f t="shared" si="1"/>
        <v>46</v>
      </c>
    </row>
    <row r="94" spans="1:9" ht="15.75" customHeight="1">
      <c r="A94" s="108">
        <v>91</v>
      </c>
      <c r="B94" s="53"/>
      <c r="C94" s="53" t="s">
        <v>733</v>
      </c>
      <c r="D94" s="53" t="s">
        <v>712</v>
      </c>
      <c r="E94" s="53" t="s">
        <v>738</v>
      </c>
      <c r="F94" s="110" t="s">
        <v>637</v>
      </c>
      <c r="G94" s="46">
        <v>256</v>
      </c>
      <c r="H94" s="46">
        <v>210</v>
      </c>
      <c r="I94" s="111">
        <f t="shared" si="1"/>
        <v>46</v>
      </c>
    </row>
    <row r="95" spans="1:9" ht="15.75" customHeight="1">
      <c r="A95" s="108">
        <v>92</v>
      </c>
      <c r="B95" s="53"/>
      <c r="C95" s="53" t="s">
        <v>733</v>
      </c>
      <c r="D95" s="53" t="s">
        <v>712</v>
      </c>
      <c r="E95" s="53" t="s">
        <v>739</v>
      </c>
      <c r="F95" s="110" t="s">
        <v>637</v>
      </c>
      <c r="G95" s="46">
        <v>302</v>
      </c>
      <c r="H95" s="46">
        <v>256</v>
      </c>
      <c r="I95" s="116">
        <f t="shared" si="1"/>
        <v>46</v>
      </c>
    </row>
    <row r="96" spans="1:9" ht="15.75" customHeight="1">
      <c r="A96" s="108">
        <v>93</v>
      </c>
      <c r="B96" s="53"/>
      <c r="C96" s="53" t="s">
        <v>733</v>
      </c>
      <c r="D96" s="53" t="s">
        <v>712</v>
      </c>
      <c r="E96" s="53" t="s">
        <v>740</v>
      </c>
      <c r="F96" s="110" t="s">
        <v>637</v>
      </c>
      <c r="G96" s="46">
        <v>348</v>
      </c>
      <c r="H96" s="46">
        <v>302</v>
      </c>
      <c r="I96" s="111">
        <f t="shared" si="1"/>
        <v>46</v>
      </c>
    </row>
    <row r="97" spans="1:9" ht="15.75" customHeight="1">
      <c r="A97" s="108">
        <v>94</v>
      </c>
      <c r="B97" s="53"/>
      <c r="C97" s="53" t="s">
        <v>733</v>
      </c>
      <c r="D97" s="53" t="s">
        <v>712</v>
      </c>
      <c r="E97" s="53" t="s">
        <v>741</v>
      </c>
      <c r="F97" s="110" t="s">
        <v>637</v>
      </c>
      <c r="G97" s="46">
        <v>394</v>
      </c>
      <c r="H97" s="46">
        <v>348</v>
      </c>
      <c r="I97" s="111">
        <f t="shared" si="1"/>
        <v>46</v>
      </c>
    </row>
    <row r="98" spans="1:9" ht="15.75" customHeight="1">
      <c r="A98" s="108">
        <v>95</v>
      </c>
      <c r="B98" s="53"/>
      <c r="C98" s="53" t="s">
        <v>733</v>
      </c>
      <c r="D98" s="53" t="s">
        <v>712</v>
      </c>
      <c r="E98" s="53" t="s">
        <v>742</v>
      </c>
      <c r="F98" s="110" t="s">
        <v>637</v>
      </c>
      <c r="G98" s="46">
        <v>440</v>
      </c>
      <c r="H98" s="46">
        <v>394</v>
      </c>
      <c r="I98" s="111">
        <f t="shared" si="1"/>
        <v>46</v>
      </c>
    </row>
    <row r="99" spans="1:9" ht="15.75" customHeight="1">
      <c r="A99" s="108">
        <v>96</v>
      </c>
      <c r="B99" s="53"/>
      <c r="C99" s="53" t="s">
        <v>733</v>
      </c>
      <c r="D99" s="53" t="s">
        <v>712</v>
      </c>
      <c r="E99" s="53" t="s">
        <v>743</v>
      </c>
      <c r="F99" s="110" t="s">
        <v>637</v>
      </c>
      <c r="G99" s="46">
        <v>483</v>
      </c>
      <c r="H99" s="46">
        <v>440</v>
      </c>
      <c r="I99" s="111">
        <f t="shared" si="1"/>
        <v>43</v>
      </c>
    </row>
    <row r="100" spans="1:9" ht="15.75" customHeight="1">
      <c r="A100" s="108">
        <v>97</v>
      </c>
      <c r="B100" s="53"/>
      <c r="C100" s="53" t="s">
        <v>733</v>
      </c>
      <c r="D100" s="53" t="s">
        <v>712</v>
      </c>
      <c r="E100" s="53" t="s">
        <v>744</v>
      </c>
      <c r="F100" s="110" t="s">
        <v>637</v>
      </c>
      <c r="G100" s="46">
        <v>526</v>
      </c>
      <c r="H100" s="46">
        <v>483</v>
      </c>
      <c r="I100" s="111">
        <f t="shared" si="1"/>
        <v>43</v>
      </c>
    </row>
    <row r="101" spans="1:9" ht="15.75" customHeight="1">
      <c r="A101" s="108">
        <v>98</v>
      </c>
      <c r="B101" s="53"/>
      <c r="C101" s="53" t="s">
        <v>733</v>
      </c>
      <c r="D101" s="53" t="s">
        <v>712</v>
      </c>
      <c r="E101" s="53" t="s">
        <v>745</v>
      </c>
      <c r="F101" s="110" t="s">
        <v>637</v>
      </c>
      <c r="G101" s="46">
        <v>569</v>
      </c>
      <c r="H101" s="46">
        <v>526</v>
      </c>
      <c r="I101" s="111">
        <f t="shared" si="1"/>
        <v>43</v>
      </c>
    </row>
    <row r="102" spans="1:9" ht="15.75" customHeight="1">
      <c r="A102" s="108">
        <v>99</v>
      </c>
      <c r="B102" s="53"/>
      <c r="C102" s="53" t="s">
        <v>733</v>
      </c>
      <c r="D102" s="53" t="s">
        <v>712</v>
      </c>
      <c r="E102" s="53" t="s">
        <v>746</v>
      </c>
      <c r="F102" s="110" t="s">
        <v>637</v>
      </c>
      <c r="G102" s="46">
        <v>612</v>
      </c>
      <c r="H102" s="46">
        <v>569</v>
      </c>
      <c r="I102" s="111">
        <f t="shared" si="1"/>
        <v>43</v>
      </c>
    </row>
    <row r="103" spans="1:9" ht="15.75" customHeight="1">
      <c r="A103" s="108">
        <v>100</v>
      </c>
      <c r="B103" s="53"/>
      <c r="C103" s="53" t="s">
        <v>733</v>
      </c>
      <c r="D103" s="53" t="s">
        <v>712</v>
      </c>
      <c r="E103" s="53" t="s">
        <v>747</v>
      </c>
      <c r="F103" s="110" t="s">
        <v>637</v>
      </c>
      <c r="G103" s="46">
        <v>655</v>
      </c>
      <c r="H103" s="46">
        <v>612</v>
      </c>
      <c r="I103" s="111">
        <f t="shared" si="1"/>
        <v>43</v>
      </c>
    </row>
    <row r="104" spans="1:9" ht="15.75" customHeight="1">
      <c r="A104" s="108">
        <v>101</v>
      </c>
      <c r="B104" s="53"/>
      <c r="C104" s="53" t="s">
        <v>733</v>
      </c>
      <c r="D104" s="53" t="s">
        <v>712</v>
      </c>
      <c r="E104" s="53" t="s">
        <v>748</v>
      </c>
      <c r="F104" s="110" t="s">
        <v>637</v>
      </c>
      <c r="G104" s="46">
        <v>698</v>
      </c>
      <c r="H104" s="46">
        <v>655</v>
      </c>
      <c r="I104" s="111">
        <f t="shared" si="1"/>
        <v>43</v>
      </c>
    </row>
    <row r="105" spans="1:9" ht="15.75" customHeight="1">
      <c r="A105" s="108">
        <v>102</v>
      </c>
      <c r="B105" s="53"/>
      <c r="C105" s="53" t="s">
        <v>749</v>
      </c>
      <c r="D105" s="53" t="s">
        <v>712</v>
      </c>
      <c r="E105" s="53" t="s">
        <v>750</v>
      </c>
      <c r="F105" s="110" t="s">
        <v>637</v>
      </c>
      <c r="G105" s="46">
        <v>413</v>
      </c>
      <c r="H105" s="46">
        <v>373</v>
      </c>
      <c r="I105" s="111">
        <f t="shared" si="1"/>
        <v>40</v>
      </c>
    </row>
    <row r="106" spans="1:9" ht="15.75" customHeight="1">
      <c r="A106" s="108">
        <v>103</v>
      </c>
      <c r="B106" s="53"/>
      <c r="C106" s="53" t="s">
        <v>749</v>
      </c>
      <c r="D106" s="53" t="s">
        <v>712</v>
      </c>
      <c r="E106" s="53" t="s">
        <v>751</v>
      </c>
      <c r="F106" s="110" t="s">
        <v>637</v>
      </c>
      <c r="G106" s="46">
        <v>453</v>
      </c>
      <c r="H106" s="46">
        <v>413</v>
      </c>
      <c r="I106" s="111">
        <f t="shared" si="1"/>
        <v>40</v>
      </c>
    </row>
    <row r="107" spans="1:9" ht="15.75" customHeight="1">
      <c r="A107" s="108">
        <v>104</v>
      </c>
      <c r="B107" s="53"/>
      <c r="C107" s="53" t="s">
        <v>749</v>
      </c>
      <c r="D107" s="53" t="s">
        <v>712</v>
      </c>
      <c r="E107" s="53" t="s">
        <v>752</v>
      </c>
      <c r="F107" s="110" t="s">
        <v>637</v>
      </c>
      <c r="G107" s="46">
        <v>493</v>
      </c>
      <c r="H107" s="46">
        <v>453</v>
      </c>
      <c r="I107" s="111">
        <f t="shared" si="1"/>
        <v>40</v>
      </c>
    </row>
    <row r="108" spans="1:9" ht="15.75" customHeight="1">
      <c r="A108" s="108">
        <v>105</v>
      </c>
      <c r="B108" s="53"/>
      <c r="C108" s="53" t="s">
        <v>749</v>
      </c>
      <c r="D108" s="53" t="s">
        <v>712</v>
      </c>
      <c r="E108" s="53" t="s">
        <v>753</v>
      </c>
      <c r="F108" s="110" t="s">
        <v>637</v>
      </c>
      <c r="G108" s="46">
        <v>533</v>
      </c>
      <c r="H108" s="46">
        <v>493</v>
      </c>
      <c r="I108" s="111">
        <f t="shared" si="1"/>
        <v>40</v>
      </c>
    </row>
    <row r="109" spans="1:9" ht="15.75" customHeight="1">
      <c r="A109" s="108">
        <v>106</v>
      </c>
      <c r="B109" s="53"/>
      <c r="C109" s="53" t="s">
        <v>749</v>
      </c>
      <c r="D109" s="53" t="s">
        <v>712</v>
      </c>
      <c r="E109" s="53" t="s">
        <v>754</v>
      </c>
      <c r="F109" s="110" t="s">
        <v>637</v>
      </c>
      <c r="G109" s="46">
        <v>573</v>
      </c>
      <c r="H109" s="46">
        <v>533</v>
      </c>
      <c r="I109" s="111">
        <f t="shared" si="1"/>
        <v>40</v>
      </c>
    </row>
    <row r="110" spans="1:9" ht="15.75" customHeight="1">
      <c r="A110" s="108">
        <v>107</v>
      </c>
      <c r="B110" s="53"/>
      <c r="C110" s="53" t="s">
        <v>749</v>
      </c>
      <c r="D110" s="53" t="s">
        <v>712</v>
      </c>
      <c r="E110" s="53" t="s">
        <v>755</v>
      </c>
      <c r="F110" s="110" t="s">
        <v>637</v>
      </c>
      <c r="G110" s="46">
        <v>613</v>
      </c>
      <c r="H110" s="46">
        <v>573</v>
      </c>
      <c r="I110" s="111">
        <f t="shared" si="1"/>
        <v>40</v>
      </c>
    </row>
    <row r="111" spans="1:9" ht="15.75" customHeight="1">
      <c r="A111" s="108">
        <v>108</v>
      </c>
      <c r="B111" s="53"/>
      <c r="C111" s="53" t="s">
        <v>749</v>
      </c>
      <c r="D111" s="53" t="s">
        <v>712</v>
      </c>
      <c r="E111" s="53" t="s">
        <v>756</v>
      </c>
      <c r="F111" s="110" t="s">
        <v>637</v>
      </c>
      <c r="G111" s="46">
        <v>650</v>
      </c>
      <c r="H111" s="46">
        <v>613</v>
      </c>
      <c r="I111" s="111">
        <f t="shared" si="1"/>
        <v>37</v>
      </c>
    </row>
    <row r="112" spans="1:9" ht="15.75" customHeight="1">
      <c r="A112" s="108">
        <v>109</v>
      </c>
      <c r="B112" s="53"/>
      <c r="C112" s="53" t="s">
        <v>749</v>
      </c>
      <c r="D112" s="53" t="s">
        <v>712</v>
      </c>
      <c r="E112" s="53" t="s">
        <v>757</v>
      </c>
      <c r="F112" s="110" t="s">
        <v>637</v>
      </c>
      <c r="G112" s="46">
        <v>687</v>
      </c>
      <c r="H112" s="46">
        <v>650</v>
      </c>
      <c r="I112" s="111">
        <f t="shared" si="1"/>
        <v>37</v>
      </c>
    </row>
    <row r="113" spans="1:9" ht="15.75" customHeight="1">
      <c r="A113" s="108">
        <v>110</v>
      </c>
      <c r="B113" s="53"/>
      <c r="C113" s="53" t="s">
        <v>749</v>
      </c>
      <c r="D113" s="53" t="s">
        <v>712</v>
      </c>
      <c r="E113" s="53" t="s">
        <v>758</v>
      </c>
      <c r="F113" s="110" t="s">
        <v>637</v>
      </c>
      <c r="G113" s="46">
        <v>724</v>
      </c>
      <c r="H113" s="46">
        <v>687</v>
      </c>
      <c r="I113" s="111">
        <f t="shared" si="1"/>
        <v>37</v>
      </c>
    </row>
    <row r="114" spans="1:9" ht="15.75" customHeight="1">
      <c r="A114" s="108">
        <v>111</v>
      </c>
      <c r="B114" s="53"/>
      <c r="C114" s="53" t="s">
        <v>749</v>
      </c>
      <c r="D114" s="53" t="s">
        <v>712</v>
      </c>
      <c r="E114" s="53" t="s">
        <v>759</v>
      </c>
      <c r="F114" s="110" t="s">
        <v>637</v>
      </c>
      <c r="G114" s="46">
        <v>761</v>
      </c>
      <c r="H114" s="46">
        <v>724</v>
      </c>
      <c r="I114" s="111">
        <f t="shared" si="1"/>
        <v>37</v>
      </c>
    </row>
    <row r="115" spans="1:9" ht="15.75" customHeight="1">
      <c r="A115" s="108">
        <v>112</v>
      </c>
      <c r="B115" s="53"/>
      <c r="C115" s="53" t="s">
        <v>749</v>
      </c>
      <c r="D115" s="53" t="s">
        <v>712</v>
      </c>
      <c r="E115" s="53" t="s">
        <v>760</v>
      </c>
      <c r="F115" s="110" t="s">
        <v>637</v>
      </c>
      <c r="G115" s="46">
        <v>798</v>
      </c>
      <c r="H115" s="46">
        <v>761</v>
      </c>
      <c r="I115" s="111">
        <f t="shared" si="1"/>
        <v>37</v>
      </c>
    </row>
    <row r="116" spans="1:9" ht="15.75" customHeight="1">
      <c r="A116" s="108">
        <v>113</v>
      </c>
      <c r="B116" s="53"/>
      <c r="C116" s="53" t="s">
        <v>749</v>
      </c>
      <c r="D116" s="53" t="s">
        <v>712</v>
      </c>
      <c r="E116" s="53" t="s">
        <v>761</v>
      </c>
      <c r="F116" s="110" t="s">
        <v>637</v>
      </c>
      <c r="G116" s="46">
        <v>835</v>
      </c>
      <c r="H116" s="46">
        <v>798</v>
      </c>
      <c r="I116" s="111">
        <f t="shared" si="1"/>
        <v>37</v>
      </c>
    </row>
    <row r="117" spans="1:9" ht="15.75" customHeight="1">
      <c r="A117" s="108">
        <v>114</v>
      </c>
      <c r="B117" s="53"/>
      <c r="C117" s="53" t="s">
        <v>749</v>
      </c>
      <c r="D117" s="53" t="s">
        <v>712</v>
      </c>
      <c r="E117" s="53" t="s">
        <v>762</v>
      </c>
      <c r="F117" s="110" t="s">
        <v>637</v>
      </c>
      <c r="G117" s="46">
        <v>869</v>
      </c>
      <c r="H117" s="46">
        <v>835</v>
      </c>
      <c r="I117" s="111">
        <f t="shared" si="1"/>
        <v>34</v>
      </c>
    </row>
    <row r="118" spans="1:9" ht="15.75" customHeight="1">
      <c r="A118" s="108">
        <v>115</v>
      </c>
      <c r="B118" s="53"/>
      <c r="C118" s="53" t="s">
        <v>749</v>
      </c>
      <c r="D118" s="53" t="s">
        <v>712</v>
      </c>
      <c r="E118" s="53" t="s">
        <v>763</v>
      </c>
      <c r="F118" s="110" t="s">
        <v>637</v>
      </c>
      <c r="G118" s="46">
        <v>903</v>
      </c>
      <c r="H118" s="46">
        <v>869</v>
      </c>
      <c r="I118" s="111">
        <f t="shared" si="1"/>
        <v>34</v>
      </c>
    </row>
    <row r="119" spans="1:9" ht="15.75" customHeight="1">
      <c r="A119" s="108">
        <v>116</v>
      </c>
      <c r="B119" s="53"/>
      <c r="C119" s="53" t="s">
        <v>749</v>
      </c>
      <c r="D119" s="53" t="s">
        <v>712</v>
      </c>
      <c r="E119" s="53" t="s">
        <v>764</v>
      </c>
      <c r="F119" s="110" t="s">
        <v>637</v>
      </c>
      <c r="G119" s="46">
        <v>937</v>
      </c>
      <c r="H119" s="46">
        <v>903</v>
      </c>
      <c r="I119" s="111">
        <f t="shared" si="1"/>
        <v>34</v>
      </c>
    </row>
    <row r="120" spans="1:9" ht="15.75" customHeight="1">
      <c r="A120" s="108">
        <v>117</v>
      </c>
      <c r="B120" s="53"/>
      <c r="C120" s="53" t="s">
        <v>749</v>
      </c>
      <c r="D120" s="53" t="s">
        <v>712</v>
      </c>
      <c r="E120" s="53" t="s">
        <v>765</v>
      </c>
      <c r="F120" s="110" t="s">
        <v>637</v>
      </c>
      <c r="G120" s="46">
        <v>971</v>
      </c>
      <c r="H120" s="46">
        <v>937</v>
      </c>
      <c r="I120" s="111">
        <f t="shared" si="1"/>
        <v>34</v>
      </c>
    </row>
    <row r="121" spans="1:9" ht="15.75" customHeight="1">
      <c r="A121" s="108">
        <v>118</v>
      </c>
      <c r="B121" s="53"/>
      <c r="C121" s="53" t="s">
        <v>749</v>
      </c>
      <c r="D121" s="53" t="s">
        <v>712</v>
      </c>
      <c r="E121" s="53" t="s">
        <v>766</v>
      </c>
      <c r="F121" s="110" t="s">
        <v>637</v>
      </c>
      <c r="G121" s="46">
        <v>1005</v>
      </c>
      <c r="H121" s="46">
        <v>971</v>
      </c>
      <c r="I121" s="111">
        <f t="shared" si="1"/>
        <v>34</v>
      </c>
    </row>
    <row r="122" spans="1:9" ht="15.75" customHeight="1">
      <c r="A122" s="108">
        <v>119</v>
      </c>
      <c r="B122" s="53"/>
      <c r="C122" s="46" t="s">
        <v>699</v>
      </c>
      <c r="D122" s="53" t="s">
        <v>712</v>
      </c>
      <c r="E122" s="53" t="s">
        <v>767</v>
      </c>
      <c r="F122" s="110" t="s">
        <v>637</v>
      </c>
      <c r="G122" s="46">
        <v>33</v>
      </c>
      <c r="H122" s="46">
        <v>0</v>
      </c>
      <c r="I122" s="111">
        <f t="shared" si="1"/>
        <v>33</v>
      </c>
    </row>
    <row r="123" spans="1:9" ht="15.75" customHeight="1">
      <c r="A123" s="108">
        <v>120</v>
      </c>
      <c r="B123" s="53"/>
      <c r="C123" s="46" t="s">
        <v>699</v>
      </c>
      <c r="D123" s="53" t="s">
        <v>712</v>
      </c>
      <c r="E123" s="53" t="s">
        <v>768</v>
      </c>
      <c r="F123" s="110" t="s">
        <v>637</v>
      </c>
      <c r="G123" s="46">
        <v>64</v>
      </c>
      <c r="H123" s="46">
        <v>33</v>
      </c>
      <c r="I123" s="111">
        <f t="shared" si="1"/>
        <v>31</v>
      </c>
    </row>
    <row r="124" spans="1:9" ht="15.75" customHeight="1">
      <c r="A124" s="108">
        <v>121</v>
      </c>
      <c r="B124" s="53"/>
      <c r="C124" s="46" t="s">
        <v>769</v>
      </c>
      <c r="D124" s="53" t="s">
        <v>712</v>
      </c>
      <c r="E124" s="53" t="s">
        <v>770</v>
      </c>
      <c r="F124" s="110" t="s">
        <v>637</v>
      </c>
      <c r="G124" s="46">
        <v>1010</v>
      </c>
      <c r="H124" s="46">
        <v>978</v>
      </c>
      <c r="I124" s="111">
        <f t="shared" si="1"/>
        <v>32</v>
      </c>
    </row>
    <row r="125" spans="1:9" ht="15.75" customHeight="1">
      <c r="A125" s="108">
        <v>122</v>
      </c>
      <c r="B125" s="53"/>
      <c r="C125" s="53" t="s">
        <v>771</v>
      </c>
      <c r="D125" s="53" t="s">
        <v>712</v>
      </c>
      <c r="E125" s="53" t="s">
        <v>772</v>
      </c>
      <c r="F125" s="110" t="s">
        <v>637</v>
      </c>
      <c r="G125" s="46">
        <v>38</v>
      </c>
      <c r="H125" s="46">
        <v>7</v>
      </c>
      <c r="I125" s="116">
        <f t="shared" si="1"/>
        <v>31</v>
      </c>
    </row>
    <row r="126" spans="1:9" ht="15.75" customHeight="1">
      <c r="A126" s="108">
        <v>123</v>
      </c>
      <c r="B126" s="53"/>
      <c r="C126" s="53" t="s">
        <v>771</v>
      </c>
      <c r="D126" s="53" t="s">
        <v>712</v>
      </c>
      <c r="E126" s="53" t="s">
        <v>773</v>
      </c>
      <c r="F126" s="110" t="s">
        <v>637</v>
      </c>
      <c r="G126" s="46">
        <v>69</v>
      </c>
      <c r="H126" s="46">
        <v>38</v>
      </c>
      <c r="I126" s="111">
        <f t="shared" si="1"/>
        <v>31</v>
      </c>
    </row>
    <row r="127" spans="1:9" ht="15.75" customHeight="1">
      <c r="A127" s="108">
        <v>124</v>
      </c>
      <c r="B127" s="53"/>
      <c r="C127" s="53" t="s">
        <v>771</v>
      </c>
      <c r="D127" s="53" t="s">
        <v>712</v>
      </c>
      <c r="E127" s="53" t="s">
        <v>774</v>
      </c>
      <c r="F127" s="110" t="s">
        <v>637</v>
      </c>
      <c r="G127" s="46">
        <v>100</v>
      </c>
      <c r="H127" s="46">
        <v>69</v>
      </c>
      <c r="I127" s="111">
        <f t="shared" si="1"/>
        <v>31</v>
      </c>
    </row>
    <row r="128" spans="1:9" ht="15.75" customHeight="1">
      <c r="A128" s="108">
        <v>125</v>
      </c>
      <c r="B128" s="53"/>
      <c r="C128" s="53" t="s">
        <v>771</v>
      </c>
      <c r="D128" s="53" t="s">
        <v>712</v>
      </c>
      <c r="E128" s="53" t="s">
        <v>775</v>
      </c>
      <c r="F128" s="110" t="s">
        <v>637</v>
      </c>
      <c r="G128" s="46">
        <v>131</v>
      </c>
      <c r="H128" s="46">
        <v>100</v>
      </c>
      <c r="I128" s="111">
        <f t="shared" si="1"/>
        <v>31</v>
      </c>
    </row>
    <row r="129" spans="1:11" ht="15.75" customHeight="1">
      <c r="A129" s="108">
        <v>126</v>
      </c>
      <c r="B129" s="53"/>
      <c r="C129" s="53" t="s">
        <v>771</v>
      </c>
      <c r="D129" s="53" t="s">
        <v>712</v>
      </c>
      <c r="E129" s="53" t="s">
        <v>776</v>
      </c>
      <c r="F129" s="110" t="s">
        <v>637</v>
      </c>
      <c r="G129" s="46">
        <v>159</v>
      </c>
      <c r="H129" s="46">
        <v>131</v>
      </c>
      <c r="I129" s="111">
        <f t="shared" si="1"/>
        <v>28</v>
      </c>
    </row>
    <row r="130" spans="1:11" ht="15.75" customHeight="1">
      <c r="A130" s="108">
        <v>127</v>
      </c>
      <c r="B130" s="53"/>
      <c r="C130" s="53" t="s">
        <v>771</v>
      </c>
      <c r="D130" s="53" t="s">
        <v>712</v>
      </c>
      <c r="E130" s="53" t="s">
        <v>777</v>
      </c>
      <c r="F130" s="110" t="s">
        <v>637</v>
      </c>
      <c r="G130" s="46">
        <v>187</v>
      </c>
      <c r="H130" s="46">
        <v>159</v>
      </c>
      <c r="I130" s="111">
        <f t="shared" si="1"/>
        <v>28</v>
      </c>
    </row>
    <row r="131" spans="1:11" ht="15.75" customHeight="1">
      <c r="A131" s="108">
        <v>128</v>
      </c>
      <c r="B131" s="53"/>
      <c r="C131" s="53" t="s">
        <v>771</v>
      </c>
      <c r="D131" s="53" t="s">
        <v>712</v>
      </c>
      <c r="E131" s="53" t="s">
        <v>778</v>
      </c>
      <c r="F131" s="110" t="s">
        <v>637</v>
      </c>
      <c r="G131" s="46">
        <v>215</v>
      </c>
      <c r="H131" s="46">
        <v>187</v>
      </c>
      <c r="I131" s="111">
        <f t="shared" si="1"/>
        <v>28</v>
      </c>
    </row>
    <row r="132" spans="1:11" ht="15.75" customHeight="1">
      <c r="A132" s="108">
        <v>129</v>
      </c>
      <c r="B132" s="53"/>
      <c r="C132" s="53" t="s">
        <v>771</v>
      </c>
      <c r="D132" s="53" t="s">
        <v>712</v>
      </c>
      <c r="E132" s="53" t="s">
        <v>779</v>
      </c>
      <c r="F132" s="110" t="s">
        <v>637</v>
      </c>
      <c r="G132" s="46">
        <v>243</v>
      </c>
      <c r="H132" s="46">
        <v>215</v>
      </c>
      <c r="I132" s="111">
        <f t="shared" si="1"/>
        <v>28</v>
      </c>
    </row>
    <row r="133" spans="1:11" ht="15.75" customHeight="1">
      <c r="A133" s="108">
        <v>130</v>
      </c>
      <c r="B133" s="53"/>
      <c r="C133" s="53" t="s">
        <v>771</v>
      </c>
      <c r="D133" s="53" t="s">
        <v>712</v>
      </c>
      <c r="E133" s="53" t="s">
        <v>780</v>
      </c>
      <c r="F133" s="110" t="s">
        <v>637</v>
      </c>
      <c r="G133" s="46">
        <v>271</v>
      </c>
      <c r="H133" s="46">
        <v>243</v>
      </c>
      <c r="I133" s="111">
        <f t="shared" si="1"/>
        <v>28</v>
      </c>
    </row>
    <row r="134" spans="1:11" ht="15.75" customHeight="1">
      <c r="A134" s="108">
        <v>131</v>
      </c>
      <c r="B134" s="53"/>
      <c r="C134" s="46" t="s">
        <v>769</v>
      </c>
      <c r="D134" s="53" t="s">
        <v>712</v>
      </c>
      <c r="E134" s="53" t="s">
        <v>781</v>
      </c>
      <c r="F134" s="110" t="s">
        <v>637</v>
      </c>
      <c r="G134" s="46">
        <v>977</v>
      </c>
      <c r="H134" s="46">
        <v>952</v>
      </c>
      <c r="I134" s="111">
        <f t="shared" si="1"/>
        <v>25</v>
      </c>
    </row>
    <row r="135" spans="1:11" ht="15.75" customHeight="1">
      <c r="A135" s="108">
        <v>132</v>
      </c>
      <c r="B135" s="53"/>
      <c r="C135" s="46" t="s">
        <v>782</v>
      </c>
      <c r="D135" s="53" t="s">
        <v>712</v>
      </c>
      <c r="E135" s="53" t="s">
        <v>783</v>
      </c>
      <c r="F135" s="110" t="s">
        <v>637</v>
      </c>
      <c r="G135" s="46">
        <v>84</v>
      </c>
      <c r="H135" s="46">
        <v>59</v>
      </c>
      <c r="I135" s="111">
        <f t="shared" si="1"/>
        <v>25</v>
      </c>
    </row>
    <row r="136" spans="1:11" ht="15.75" customHeight="1">
      <c r="A136" s="108">
        <v>133</v>
      </c>
      <c r="B136" s="53"/>
      <c r="C136" s="46" t="s">
        <v>782</v>
      </c>
      <c r="D136" s="53" t="s">
        <v>712</v>
      </c>
      <c r="E136" s="53" t="s">
        <v>784</v>
      </c>
      <c r="F136" s="110" t="s">
        <v>637</v>
      </c>
      <c r="G136" s="46">
        <v>59</v>
      </c>
      <c r="H136" s="46">
        <v>34</v>
      </c>
      <c r="I136" s="111">
        <f t="shared" si="1"/>
        <v>25</v>
      </c>
    </row>
    <row r="137" spans="1:11" ht="15.75" customHeight="1">
      <c r="A137" s="108">
        <v>134</v>
      </c>
      <c r="B137" s="53"/>
      <c r="C137" s="46" t="s">
        <v>782</v>
      </c>
      <c r="D137" s="53" t="s">
        <v>712</v>
      </c>
      <c r="E137" s="53" t="s">
        <v>785</v>
      </c>
      <c r="F137" s="110" t="s">
        <v>637</v>
      </c>
      <c r="G137" s="46">
        <v>34</v>
      </c>
      <c r="H137" s="46">
        <v>9</v>
      </c>
      <c r="I137" s="111">
        <f t="shared" si="1"/>
        <v>25</v>
      </c>
    </row>
    <row r="138" spans="1:11" ht="15.75" customHeight="1">
      <c r="A138" s="117"/>
      <c r="B138" s="115"/>
      <c r="C138" s="115"/>
      <c r="D138" s="115"/>
      <c r="E138" s="53"/>
      <c r="F138" s="110"/>
      <c r="G138" s="115"/>
      <c r="H138" s="115"/>
      <c r="I138" s="111">
        <f t="shared" si="1"/>
        <v>0</v>
      </c>
      <c r="J138" s="105"/>
      <c r="K138" s="105"/>
    </row>
    <row r="139" spans="1:11" ht="15.75" customHeight="1">
      <c r="A139" s="118"/>
      <c r="B139" s="119"/>
      <c r="C139" s="119"/>
      <c r="D139" s="53"/>
      <c r="E139" s="119"/>
      <c r="F139" s="110"/>
      <c r="G139" s="119"/>
      <c r="H139" s="119"/>
      <c r="I139" s="111"/>
    </row>
    <row r="140" spans="1:11" ht="15.75" customHeight="1">
      <c r="A140" s="117" t="s">
        <v>786</v>
      </c>
      <c r="B140" s="115"/>
      <c r="C140" s="115"/>
      <c r="D140" s="53"/>
      <c r="E140" s="115"/>
      <c r="F140" s="110"/>
      <c r="G140" s="115"/>
      <c r="H140" s="115"/>
      <c r="I140" s="111"/>
      <c r="J140" s="105"/>
      <c r="K140" s="105"/>
    </row>
    <row r="141" spans="1:11" ht="15.75" customHeight="1">
      <c r="A141" s="53">
        <v>135</v>
      </c>
      <c r="B141" s="53"/>
      <c r="C141" s="46" t="s">
        <v>787</v>
      </c>
      <c r="D141" s="53" t="s">
        <v>788</v>
      </c>
      <c r="E141" s="53" t="s">
        <v>789</v>
      </c>
      <c r="F141" s="110" t="s">
        <v>637</v>
      </c>
      <c r="G141" s="46">
        <v>672</v>
      </c>
      <c r="H141" s="46">
        <v>560</v>
      </c>
      <c r="I141" s="111">
        <f t="shared" ref="I141:I171" si="2">G141-H141</f>
        <v>112</v>
      </c>
    </row>
    <row r="142" spans="1:11" ht="15.75" customHeight="1">
      <c r="A142" s="53">
        <v>136</v>
      </c>
      <c r="B142" s="53"/>
      <c r="C142" s="46" t="s">
        <v>787</v>
      </c>
      <c r="D142" s="53" t="s">
        <v>788</v>
      </c>
      <c r="E142" s="53" t="s">
        <v>790</v>
      </c>
      <c r="F142" s="110" t="s">
        <v>637</v>
      </c>
      <c r="G142" s="46">
        <v>560</v>
      </c>
      <c r="H142" s="46">
        <v>448</v>
      </c>
      <c r="I142" s="111">
        <f t="shared" si="2"/>
        <v>112</v>
      </c>
    </row>
    <row r="143" spans="1:11" ht="15.75" customHeight="1">
      <c r="A143" s="53">
        <v>137</v>
      </c>
      <c r="B143" s="53"/>
      <c r="C143" s="46" t="s">
        <v>787</v>
      </c>
      <c r="D143" s="53" t="s">
        <v>788</v>
      </c>
      <c r="E143" s="53" t="s">
        <v>791</v>
      </c>
      <c r="F143" s="110" t="s">
        <v>637</v>
      </c>
      <c r="G143" s="46">
        <v>448</v>
      </c>
      <c r="H143" s="46">
        <v>336</v>
      </c>
      <c r="I143" s="111">
        <f t="shared" si="2"/>
        <v>112</v>
      </c>
    </row>
    <row r="144" spans="1:11" ht="15.75" customHeight="1">
      <c r="A144" s="53">
        <v>138</v>
      </c>
      <c r="B144" s="53"/>
      <c r="C144" s="46" t="s">
        <v>787</v>
      </c>
      <c r="D144" s="53" t="s">
        <v>788</v>
      </c>
      <c r="E144" s="53" t="s">
        <v>792</v>
      </c>
      <c r="F144" s="110" t="s">
        <v>637</v>
      </c>
      <c r="G144" s="46">
        <v>336</v>
      </c>
      <c r="H144" s="46">
        <v>224</v>
      </c>
      <c r="I144" s="111">
        <f t="shared" si="2"/>
        <v>112</v>
      </c>
    </row>
    <row r="145" spans="1:9" ht="15.75" customHeight="1">
      <c r="A145" s="53">
        <v>139</v>
      </c>
      <c r="B145" s="53"/>
      <c r="C145" s="46" t="s">
        <v>787</v>
      </c>
      <c r="D145" s="53" t="s">
        <v>788</v>
      </c>
      <c r="E145" s="53" t="s">
        <v>793</v>
      </c>
      <c r="F145" s="110" t="s">
        <v>637</v>
      </c>
      <c r="G145" s="46">
        <v>224</v>
      </c>
      <c r="H145" s="46">
        <v>112</v>
      </c>
      <c r="I145" s="111">
        <f t="shared" si="2"/>
        <v>112</v>
      </c>
    </row>
    <row r="146" spans="1:9" ht="15.75" customHeight="1">
      <c r="A146" s="53">
        <v>140</v>
      </c>
      <c r="B146" s="53"/>
      <c r="C146" s="46" t="s">
        <v>787</v>
      </c>
      <c r="D146" s="53" t="s">
        <v>788</v>
      </c>
      <c r="E146" s="53" t="s">
        <v>794</v>
      </c>
      <c r="F146" s="110" t="s">
        <v>637</v>
      </c>
      <c r="G146" s="46">
        <v>112</v>
      </c>
      <c r="H146" s="46">
        <v>0</v>
      </c>
      <c r="I146" s="111">
        <f t="shared" si="2"/>
        <v>112</v>
      </c>
    </row>
    <row r="147" spans="1:9" ht="15.75" customHeight="1">
      <c r="A147" s="53">
        <v>141</v>
      </c>
      <c r="B147" s="53"/>
      <c r="C147" s="46" t="s">
        <v>795</v>
      </c>
      <c r="D147" s="53" t="s">
        <v>788</v>
      </c>
      <c r="E147" s="53" t="s">
        <v>796</v>
      </c>
      <c r="F147" s="110" t="s">
        <v>637</v>
      </c>
      <c r="G147" s="46">
        <v>261</v>
      </c>
      <c r="H147" s="46">
        <v>152</v>
      </c>
      <c r="I147" s="111">
        <f t="shared" si="2"/>
        <v>109</v>
      </c>
    </row>
    <row r="148" spans="1:9" ht="15.75" customHeight="1">
      <c r="A148" s="53">
        <v>142</v>
      </c>
      <c r="B148" s="53"/>
      <c r="C148" s="46" t="s">
        <v>795</v>
      </c>
      <c r="D148" s="53" t="s">
        <v>788</v>
      </c>
      <c r="E148" s="53" t="s">
        <v>797</v>
      </c>
      <c r="F148" s="110" t="s">
        <v>637</v>
      </c>
      <c r="G148" s="46">
        <v>152</v>
      </c>
      <c r="H148" s="46">
        <v>43</v>
      </c>
      <c r="I148" s="111">
        <f t="shared" si="2"/>
        <v>109</v>
      </c>
    </row>
    <row r="149" spans="1:9" ht="15.75" customHeight="1">
      <c r="A149" s="53">
        <v>143</v>
      </c>
      <c r="B149" s="53"/>
      <c r="C149" s="46" t="s">
        <v>798</v>
      </c>
      <c r="D149" s="53" t="s">
        <v>788</v>
      </c>
      <c r="E149" s="53" t="s">
        <v>799</v>
      </c>
      <c r="F149" s="110" t="s">
        <v>637</v>
      </c>
      <c r="G149" s="46">
        <v>1004</v>
      </c>
      <c r="H149" s="46">
        <v>895</v>
      </c>
      <c r="I149" s="111">
        <f t="shared" si="2"/>
        <v>109</v>
      </c>
    </row>
    <row r="150" spans="1:9" ht="15.75" customHeight="1">
      <c r="A150" s="53">
        <v>144</v>
      </c>
      <c r="B150" s="53"/>
      <c r="C150" s="46" t="s">
        <v>798</v>
      </c>
      <c r="D150" s="53" t="s">
        <v>788</v>
      </c>
      <c r="E150" s="53" t="s">
        <v>800</v>
      </c>
      <c r="F150" s="110" t="s">
        <v>637</v>
      </c>
      <c r="G150" s="46">
        <v>895</v>
      </c>
      <c r="H150" s="46">
        <v>786</v>
      </c>
      <c r="I150" s="111">
        <f t="shared" si="2"/>
        <v>109</v>
      </c>
    </row>
    <row r="151" spans="1:9" ht="15.75" customHeight="1">
      <c r="A151" s="53">
        <v>145</v>
      </c>
      <c r="B151" s="53"/>
      <c r="C151" s="46" t="s">
        <v>798</v>
      </c>
      <c r="D151" s="53" t="s">
        <v>788</v>
      </c>
      <c r="E151" s="53" t="s">
        <v>801</v>
      </c>
      <c r="F151" s="110" t="s">
        <v>637</v>
      </c>
      <c r="G151" s="46">
        <v>786</v>
      </c>
      <c r="H151" s="46">
        <v>677</v>
      </c>
      <c r="I151" s="111">
        <f t="shared" si="2"/>
        <v>109</v>
      </c>
    </row>
    <row r="152" spans="1:9" ht="15.75" customHeight="1">
      <c r="A152" s="53">
        <v>146</v>
      </c>
      <c r="B152" s="53"/>
      <c r="C152" s="46" t="s">
        <v>798</v>
      </c>
      <c r="D152" s="53" t="s">
        <v>788</v>
      </c>
      <c r="E152" s="53" t="s">
        <v>802</v>
      </c>
      <c r="F152" s="110" t="s">
        <v>637</v>
      </c>
      <c r="G152" s="46">
        <v>677</v>
      </c>
      <c r="H152" s="46">
        <v>568</v>
      </c>
      <c r="I152" s="111">
        <f t="shared" si="2"/>
        <v>109</v>
      </c>
    </row>
    <row r="153" spans="1:9" ht="15.75" customHeight="1">
      <c r="A153" s="53">
        <v>147</v>
      </c>
      <c r="B153" s="53"/>
      <c r="C153" s="46" t="s">
        <v>795</v>
      </c>
      <c r="D153" s="53" t="s">
        <v>788</v>
      </c>
      <c r="E153" s="53" t="s">
        <v>803</v>
      </c>
      <c r="F153" s="110" t="s">
        <v>637</v>
      </c>
      <c r="G153" s="46">
        <v>897</v>
      </c>
      <c r="H153" s="46">
        <v>791</v>
      </c>
      <c r="I153" s="111">
        <f t="shared" si="2"/>
        <v>106</v>
      </c>
    </row>
    <row r="154" spans="1:9" ht="15.75" customHeight="1">
      <c r="A154" s="53">
        <v>148</v>
      </c>
      <c r="B154" s="53"/>
      <c r="C154" s="46" t="s">
        <v>795</v>
      </c>
      <c r="D154" s="53" t="s">
        <v>788</v>
      </c>
      <c r="E154" s="53" t="s">
        <v>804</v>
      </c>
      <c r="F154" s="110" t="s">
        <v>637</v>
      </c>
      <c r="G154" s="46">
        <v>791</v>
      </c>
      <c r="H154" s="46">
        <v>685</v>
      </c>
      <c r="I154" s="111">
        <f t="shared" si="2"/>
        <v>106</v>
      </c>
    </row>
    <row r="155" spans="1:9" ht="15.75" customHeight="1">
      <c r="A155" s="53">
        <v>149</v>
      </c>
      <c r="B155" s="53"/>
      <c r="C155" s="46" t="s">
        <v>795</v>
      </c>
      <c r="D155" s="53" t="s">
        <v>788</v>
      </c>
      <c r="E155" s="53" t="s">
        <v>805</v>
      </c>
      <c r="F155" s="110" t="s">
        <v>637</v>
      </c>
      <c r="G155" s="46">
        <v>685</v>
      </c>
      <c r="H155" s="46">
        <v>579</v>
      </c>
      <c r="I155" s="111">
        <f t="shared" si="2"/>
        <v>106</v>
      </c>
    </row>
    <row r="156" spans="1:9" ht="15.75" customHeight="1">
      <c r="A156" s="53">
        <v>150</v>
      </c>
      <c r="B156" s="53"/>
      <c r="C156" s="46" t="s">
        <v>795</v>
      </c>
      <c r="D156" s="53" t="s">
        <v>788</v>
      </c>
      <c r="E156" s="53" t="s">
        <v>806</v>
      </c>
      <c r="F156" s="110" t="s">
        <v>637</v>
      </c>
      <c r="G156" s="46">
        <v>579</v>
      </c>
      <c r="H156" s="46">
        <v>473</v>
      </c>
      <c r="I156" s="111">
        <f t="shared" si="2"/>
        <v>106</v>
      </c>
    </row>
    <row r="157" spans="1:9" ht="15.75" customHeight="1">
      <c r="A157" s="53">
        <v>151</v>
      </c>
      <c r="B157" s="53"/>
      <c r="C157" s="46" t="s">
        <v>795</v>
      </c>
      <c r="D157" s="53" t="s">
        <v>788</v>
      </c>
      <c r="E157" s="53" t="s">
        <v>807</v>
      </c>
      <c r="F157" s="110" t="s">
        <v>637</v>
      </c>
      <c r="G157" s="46">
        <v>473</v>
      </c>
      <c r="H157" s="46">
        <v>367</v>
      </c>
      <c r="I157" s="111">
        <f t="shared" si="2"/>
        <v>106</v>
      </c>
    </row>
    <row r="158" spans="1:9" ht="15.75" customHeight="1">
      <c r="A158" s="53">
        <v>152</v>
      </c>
      <c r="B158" s="53"/>
      <c r="C158" s="46" t="s">
        <v>795</v>
      </c>
      <c r="D158" s="53" t="s">
        <v>788</v>
      </c>
      <c r="E158" s="53" t="s">
        <v>808</v>
      </c>
      <c r="F158" s="110" t="s">
        <v>637</v>
      </c>
      <c r="G158" s="46">
        <v>367</v>
      </c>
      <c r="H158" s="46">
        <v>261</v>
      </c>
      <c r="I158" s="111">
        <f t="shared" si="2"/>
        <v>106</v>
      </c>
    </row>
    <row r="159" spans="1:9" ht="15.75" customHeight="1">
      <c r="A159" s="53">
        <v>153</v>
      </c>
      <c r="B159" s="53"/>
      <c r="C159" s="46" t="s">
        <v>809</v>
      </c>
      <c r="D159" s="53" t="s">
        <v>788</v>
      </c>
      <c r="E159" s="53" t="s">
        <v>810</v>
      </c>
      <c r="F159" s="110" t="s">
        <v>637</v>
      </c>
      <c r="G159" s="46">
        <v>599</v>
      </c>
      <c r="H159" s="46">
        <v>496</v>
      </c>
      <c r="I159" s="111">
        <f t="shared" si="2"/>
        <v>103</v>
      </c>
    </row>
    <row r="160" spans="1:9" ht="15.75" customHeight="1">
      <c r="A160" s="53">
        <v>154</v>
      </c>
      <c r="B160" s="53"/>
      <c r="C160" s="46" t="s">
        <v>809</v>
      </c>
      <c r="D160" s="53" t="s">
        <v>788</v>
      </c>
      <c r="E160" s="53" t="s">
        <v>811</v>
      </c>
      <c r="F160" s="110" t="s">
        <v>637</v>
      </c>
      <c r="G160" s="46">
        <v>496</v>
      </c>
      <c r="H160" s="46">
        <v>393</v>
      </c>
      <c r="I160" s="111">
        <f t="shared" si="2"/>
        <v>103</v>
      </c>
    </row>
    <row r="161" spans="1:9" ht="15.75" customHeight="1">
      <c r="A161" s="53">
        <v>155</v>
      </c>
      <c r="B161" s="53"/>
      <c r="C161" s="46" t="s">
        <v>809</v>
      </c>
      <c r="D161" s="53" t="s">
        <v>788</v>
      </c>
      <c r="E161" s="53" t="s">
        <v>812</v>
      </c>
      <c r="F161" s="110" t="s">
        <v>637</v>
      </c>
      <c r="G161" s="46">
        <v>393</v>
      </c>
      <c r="H161" s="46">
        <v>290</v>
      </c>
      <c r="I161" s="111">
        <f t="shared" si="2"/>
        <v>103</v>
      </c>
    </row>
    <row r="162" spans="1:9" ht="15.75" customHeight="1">
      <c r="A162" s="53">
        <v>156</v>
      </c>
      <c r="B162" s="53"/>
      <c r="C162" s="46" t="s">
        <v>809</v>
      </c>
      <c r="D162" s="53" t="s">
        <v>788</v>
      </c>
      <c r="E162" s="53" t="s">
        <v>813</v>
      </c>
      <c r="F162" s="110" t="s">
        <v>637</v>
      </c>
      <c r="G162" s="46">
        <v>290</v>
      </c>
      <c r="H162" s="46">
        <v>187</v>
      </c>
      <c r="I162" s="111">
        <f t="shared" si="2"/>
        <v>103</v>
      </c>
    </row>
    <row r="163" spans="1:9" ht="15.75" customHeight="1">
      <c r="A163" s="53">
        <v>157</v>
      </c>
      <c r="B163" s="53"/>
      <c r="C163" s="46" t="s">
        <v>809</v>
      </c>
      <c r="D163" s="53" t="s">
        <v>788</v>
      </c>
      <c r="E163" s="53" t="s">
        <v>814</v>
      </c>
      <c r="F163" s="110" t="s">
        <v>637</v>
      </c>
      <c r="G163" s="46">
        <v>187</v>
      </c>
      <c r="H163" s="46">
        <v>84</v>
      </c>
      <c r="I163" s="111">
        <f t="shared" si="2"/>
        <v>103</v>
      </c>
    </row>
    <row r="164" spans="1:9" ht="15.75" customHeight="1">
      <c r="A164" s="53">
        <v>158</v>
      </c>
      <c r="B164" s="53"/>
      <c r="C164" s="46" t="s">
        <v>795</v>
      </c>
      <c r="D164" s="53" t="s">
        <v>788</v>
      </c>
      <c r="E164" s="53" t="s">
        <v>815</v>
      </c>
      <c r="F164" s="110" t="s">
        <v>637</v>
      </c>
      <c r="G164" s="46">
        <v>1000</v>
      </c>
      <c r="H164" s="46">
        <v>897</v>
      </c>
      <c r="I164" s="111">
        <f t="shared" si="2"/>
        <v>103</v>
      </c>
    </row>
    <row r="165" spans="1:9" ht="15.75" customHeight="1">
      <c r="A165" s="53">
        <v>159</v>
      </c>
      <c r="B165" s="53"/>
      <c r="C165" s="46" t="s">
        <v>787</v>
      </c>
      <c r="D165" s="53" t="s">
        <v>788</v>
      </c>
      <c r="E165" s="53" t="s">
        <v>816</v>
      </c>
      <c r="F165" s="110" t="s">
        <v>637</v>
      </c>
      <c r="G165" s="46">
        <v>869</v>
      </c>
      <c r="H165" s="46">
        <v>769</v>
      </c>
      <c r="I165" s="111">
        <f t="shared" si="2"/>
        <v>100</v>
      </c>
    </row>
    <row r="166" spans="1:9" ht="15.75" customHeight="1">
      <c r="A166" s="53">
        <v>160</v>
      </c>
      <c r="B166" s="53"/>
      <c r="C166" s="46" t="s">
        <v>787</v>
      </c>
      <c r="D166" s="53" t="s">
        <v>788</v>
      </c>
      <c r="E166" s="53" t="s">
        <v>817</v>
      </c>
      <c r="F166" s="110" t="s">
        <v>637</v>
      </c>
      <c r="G166" s="46">
        <v>969</v>
      </c>
      <c r="H166" s="46">
        <v>869</v>
      </c>
      <c r="I166" s="111">
        <f t="shared" si="2"/>
        <v>100</v>
      </c>
    </row>
    <row r="167" spans="1:9" ht="15.75" customHeight="1">
      <c r="A167" s="53">
        <v>161</v>
      </c>
      <c r="B167" s="53"/>
      <c r="C167" s="46" t="s">
        <v>809</v>
      </c>
      <c r="D167" s="53" t="s">
        <v>788</v>
      </c>
      <c r="E167" s="53" t="s">
        <v>818</v>
      </c>
      <c r="F167" s="110" t="s">
        <v>637</v>
      </c>
      <c r="G167" s="46">
        <v>999</v>
      </c>
      <c r="H167" s="46">
        <v>899</v>
      </c>
      <c r="I167" s="111">
        <f t="shared" si="2"/>
        <v>100</v>
      </c>
    </row>
    <row r="168" spans="1:9" ht="15.75" customHeight="1">
      <c r="A168" s="53">
        <v>162</v>
      </c>
      <c r="B168" s="53"/>
      <c r="C168" s="46" t="s">
        <v>809</v>
      </c>
      <c r="D168" s="53" t="s">
        <v>788</v>
      </c>
      <c r="E168" s="53" t="s">
        <v>819</v>
      </c>
      <c r="F168" s="110" t="s">
        <v>637</v>
      </c>
      <c r="G168" s="46">
        <v>899</v>
      </c>
      <c r="H168" s="46">
        <v>799</v>
      </c>
      <c r="I168" s="111">
        <f t="shared" si="2"/>
        <v>100</v>
      </c>
    </row>
    <row r="169" spans="1:9" ht="15.75" customHeight="1">
      <c r="A169" s="53">
        <v>163</v>
      </c>
      <c r="B169" s="53"/>
      <c r="C169" s="46" t="s">
        <v>809</v>
      </c>
      <c r="D169" s="53" t="s">
        <v>788</v>
      </c>
      <c r="E169" s="53" t="s">
        <v>820</v>
      </c>
      <c r="F169" s="110" t="s">
        <v>637</v>
      </c>
      <c r="G169" s="46">
        <v>799</v>
      </c>
      <c r="H169" s="46">
        <v>699</v>
      </c>
      <c r="I169" s="111">
        <f t="shared" si="2"/>
        <v>100</v>
      </c>
    </row>
    <row r="170" spans="1:9" ht="15.75" customHeight="1">
      <c r="A170" s="53">
        <v>164</v>
      </c>
      <c r="B170" s="53"/>
      <c r="C170" s="46" t="s">
        <v>809</v>
      </c>
      <c r="D170" s="53" t="s">
        <v>788</v>
      </c>
      <c r="E170" s="53" t="s">
        <v>821</v>
      </c>
      <c r="F170" s="110" t="s">
        <v>637</v>
      </c>
      <c r="G170" s="46">
        <v>699</v>
      </c>
      <c r="H170" s="46">
        <v>599</v>
      </c>
      <c r="I170" s="111">
        <f t="shared" si="2"/>
        <v>100</v>
      </c>
    </row>
    <row r="171" spans="1:9" ht="15.75" customHeight="1">
      <c r="A171" s="53">
        <v>165</v>
      </c>
      <c r="B171" s="53"/>
      <c r="C171" s="46" t="s">
        <v>787</v>
      </c>
      <c r="D171" s="53" t="s">
        <v>788</v>
      </c>
      <c r="E171" s="53" t="s">
        <v>822</v>
      </c>
      <c r="F171" s="110" t="s">
        <v>637</v>
      </c>
      <c r="G171" s="46">
        <v>769</v>
      </c>
      <c r="H171" s="46">
        <v>672</v>
      </c>
      <c r="I171" s="111">
        <f t="shared" si="2"/>
        <v>97</v>
      </c>
    </row>
    <row r="172" spans="1:9" ht="15.75" customHeight="1">
      <c r="A172" s="117" t="s">
        <v>786</v>
      </c>
      <c r="B172" s="115"/>
      <c r="C172" s="115"/>
      <c r="D172" s="53"/>
      <c r="E172" s="53"/>
      <c r="F172" s="110"/>
      <c r="G172" s="53"/>
      <c r="H172" s="53"/>
      <c r="I172" s="111"/>
    </row>
    <row r="173" spans="1:9" ht="15.75" customHeight="1">
      <c r="A173" s="53">
        <v>166</v>
      </c>
      <c r="B173" s="53"/>
      <c r="C173" s="53" t="s">
        <v>823</v>
      </c>
      <c r="D173" s="53" t="s">
        <v>824</v>
      </c>
      <c r="E173" s="53" t="s">
        <v>825</v>
      </c>
      <c r="F173" s="110" t="s">
        <v>637</v>
      </c>
      <c r="G173" s="46">
        <v>373</v>
      </c>
      <c r="H173" s="46">
        <v>246</v>
      </c>
      <c r="I173" s="111">
        <f t="shared" ref="I173:I207" si="3">G173-H173</f>
        <v>127</v>
      </c>
    </row>
    <row r="174" spans="1:9" ht="15.75" customHeight="1">
      <c r="A174" s="53">
        <v>167</v>
      </c>
      <c r="B174" s="53"/>
      <c r="C174" s="46" t="s">
        <v>826</v>
      </c>
      <c r="D174" s="53" t="s">
        <v>824</v>
      </c>
      <c r="E174" s="53" t="s">
        <v>827</v>
      </c>
      <c r="F174" s="110" t="s">
        <v>637</v>
      </c>
      <c r="G174" s="46">
        <v>765</v>
      </c>
      <c r="H174" s="46">
        <v>642</v>
      </c>
      <c r="I174" s="111">
        <f t="shared" si="3"/>
        <v>123</v>
      </c>
    </row>
    <row r="175" spans="1:9" ht="15.75" customHeight="1">
      <c r="A175" s="53">
        <v>168</v>
      </c>
      <c r="B175" s="53"/>
      <c r="C175" s="46" t="s">
        <v>826</v>
      </c>
      <c r="D175" s="53" t="s">
        <v>824</v>
      </c>
      <c r="E175" s="53" t="s">
        <v>828</v>
      </c>
      <c r="F175" s="110" t="s">
        <v>637</v>
      </c>
      <c r="G175" s="46">
        <v>642</v>
      </c>
      <c r="H175" s="46">
        <v>519</v>
      </c>
      <c r="I175" s="111">
        <f t="shared" si="3"/>
        <v>123</v>
      </c>
    </row>
    <row r="176" spans="1:9" ht="15.75" customHeight="1">
      <c r="A176" s="53">
        <v>169</v>
      </c>
      <c r="B176" s="53"/>
      <c r="C176" s="46" t="s">
        <v>826</v>
      </c>
      <c r="D176" s="53" t="s">
        <v>824</v>
      </c>
      <c r="E176" s="53" t="s">
        <v>829</v>
      </c>
      <c r="F176" s="110" t="s">
        <v>637</v>
      </c>
      <c r="G176" s="46">
        <v>519</v>
      </c>
      <c r="H176" s="46">
        <v>396</v>
      </c>
      <c r="I176" s="111">
        <f t="shared" si="3"/>
        <v>123</v>
      </c>
    </row>
    <row r="177" spans="1:11" ht="15.75" customHeight="1">
      <c r="A177" s="53">
        <v>170</v>
      </c>
      <c r="B177" s="53"/>
      <c r="C177" s="46" t="s">
        <v>826</v>
      </c>
      <c r="D177" s="53" t="s">
        <v>824</v>
      </c>
      <c r="E177" s="53" t="s">
        <v>830</v>
      </c>
      <c r="F177" s="110" t="s">
        <v>637</v>
      </c>
      <c r="G177" s="46">
        <v>396</v>
      </c>
      <c r="H177" s="46">
        <v>273</v>
      </c>
      <c r="I177" s="111">
        <f t="shared" si="3"/>
        <v>123</v>
      </c>
    </row>
    <row r="178" spans="1:11" ht="15.75" customHeight="1">
      <c r="A178" s="53">
        <v>171</v>
      </c>
      <c r="B178" s="53"/>
      <c r="C178" s="46" t="s">
        <v>826</v>
      </c>
      <c r="D178" s="53" t="s">
        <v>824</v>
      </c>
      <c r="E178" s="53" t="s">
        <v>831</v>
      </c>
      <c r="F178" s="110" t="s">
        <v>637</v>
      </c>
      <c r="G178" s="46">
        <v>273</v>
      </c>
      <c r="H178" s="46">
        <v>150</v>
      </c>
      <c r="I178" s="111">
        <f t="shared" si="3"/>
        <v>123</v>
      </c>
    </row>
    <row r="179" spans="1:11" ht="15.75" customHeight="1">
      <c r="A179" s="53">
        <v>172</v>
      </c>
      <c r="B179" s="53"/>
      <c r="C179" s="46" t="s">
        <v>826</v>
      </c>
      <c r="D179" s="53" t="s">
        <v>824</v>
      </c>
      <c r="E179" s="53" t="s">
        <v>832</v>
      </c>
      <c r="F179" s="110" t="s">
        <v>637</v>
      </c>
      <c r="G179" s="46">
        <v>1005</v>
      </c>
      <c r="H179" s="46">
        <v>885</v>
      </c>
      <c r="I179" s="111">
        <f t="shared" si="3"/>
        <v>120</v>
      </c>
    </row>
    <row r="180" spans="1:11" ht="15.75" customHeight="1">
      <c r="A180" s="53">
        <v>173</v>
      </c>
      <c r="B180" s="53"/>
      <c r="C180" s="46" t="s">
        <v>826</v>
      </c>
      <c r="D180" s="53" t="s">
        <v>824</v>
      </c>
      <c r="E180" s="53" t="s">
        <v>833</v>
      </c>
      <c r="F180" s="110" t="s">
        <v>637</v>
      </c>
      <c r="G180" s="46">
        <v>885</v>
      </c>
      <c r="H180" s="46">
        <v>765</v>
      </c>
      <c r="I180" s="111">
        <f t="shared" si="3"/>
        <v>120</v>
      </c>
    </row>
    <row r="181" spans="1:11" ht="15.75" customHeight="1">
      <c r="A181" s="53">
        <v>174</v>
      </c>
      <c r="B181" s="53"/>
      <c r="C181" s="46" t="s">
        <v>834</v>
      </c>
      <c r="D181" s="53" t="s">
        <v>824</v>
      </c>
      <c r="E181" s="53" t="s">
        <v>835</v>
      </c>
      <c r="F181" s="110" t="s">
        <v>637</v>
      </c>
      <c r="G181" s="46">
        <v>589</v>
      </c>
      <c r="H181" s="46">
        <v>469</v>
      </c>
      <c r="I181" s="111">
        <f t="shared" si="3"/>
        <v>120</v>
      </c>
    </row>
    <row r="182" spans="1:11" ht="15.75" customHeight="1">
      <c r="A182" s="53">
        <v>175</v>
      </c>
      <c r="B182" s="53"/>
      <c r="C182" s="46" t="s">
        <v>834</v>
      </c>
      <c r="D182" s="53" t="s">
        <v>824</v>
      </c>
      <c r="E182" s="53" t="s">
        <v>836</v>
      </c>
      <c r="F182" s="110" t="s">
        <v>637</v>
      </c>
      <c r="G182" s="46">
        <v>709</v>
      </c>
      <c r="H182" s="46">
        <v>589</v>
      </c>
      <c r="I182" s="111">
        <f t="shared" si="3"/>
        <v>120</v>
      </c>
    </row>
    <row r="183" spans="1:11" ht="15.75" customHeight="1">
      <c r="A183" s="53">
        <v>176</v>
      </c>
      <c r="B183" s="53"/>
      <c r="C183" s="46" t="s">
        <v>834</v>
      </c>
      <c r="D183" s="53" t="s">
        <v>824</v>
      </c>
      <c r="E183" s="53" t="s">
        <v>837</v>
      </c>
      <c r="F183" s="110" t="s">
        <v>637</v>
      </c>
      <c r="G183" s="46">
        <v>829</v>
      </c>
      <c r="H183" s="46">
        <v>709</v>
      </c>
      <c r="I183" s="111">
        <f t="shared" si="3"/>
        <v>120</v>
      </c>
    </row>
    <row r="184" spans="1:11" ht="15.75" customHeight="1">
      <c r="A184" s="53">
        <v>177</v>
      </c>
      <c r="B184" s="53"/>
      <c r="C184" s="46" t="s">
        <v>834</v>
      </c>
      <c r="D184" s="53" t="s">
        <v>824</v>
      </c>
      <c r="E184" s="53" t="s">
        <v>838</v>
      </c>
      <c r="F184" s="110" t="s">
        <v>637</v>
      </c>
      <c r="G184" s="46">
        <v>949</v>
      </c>
      <c r="H184" s="46">
        <v>829</v>
      </c>
      <c r="I184" s="111">
        <f t="shared" si="3"/>
        <v>120</v>
      </c>
    </row>
    <row r="185" spans="1:11" ht="15.75" customHeight="1">
      <c r="A185" s="53">
        <v>178</v>
      </c>
      <c r="B185" s="53"/>
      <c r="C185" s="46" t="s">
        <v>834</v>
      </c>
      <c r="D185" s="53" t="s">
        <v>824</v>
      </c>
      <c r="E185" s="53" t="s">
        <v>839</v>
      </c>
      <c r="F185" s="110" t="s">
        <v>637</v>
      </c>
      <c r="G185" s="46">
        <v>118</v>
      </c>
      <c r="H185" s="46">
        <v>1</v>
      </c>
      <c r="I185" s="111">
        <f t="shared" si="3"/>
        <v>117</v>
      </c>
    </row>
    <row r="186" spans="1:11" ht="15.75" customHeight="1">
      <c r="A186" s="53">
        <v>179</v>
      </c>
      <c r="B186" s="53"/>
      <c r="C186" s="46" t="s">
        <v>834</v>
      </c>
      <c r="D186" s="53" t="s">
        <v>824</v>
      </c>
      <c r="E186" s="53" t="s">
        <v>840</v>
      </c>
      <c r="F186" s="110" t="s">
        <v>637</v>
      </c>
      <c r="G186" s="46">
        <v>235</v>
      </c>
      <c r="H186" s="46">
        <v>118</v>
      </c>
      <c r="I186" s="111">
        <f t="shared" si="3"/>
        <v>117</v>
      </c>
    </row>
    <row r="187" spans="1:11" ht="15.75" customHeight="1">
      <c r="A187" s="53">
        <v>180</v>
      </c>
      <c r="B187" s="53"/>
      <c r="C187" s="46" t="s">
        <v>834</v>
      </c>
      <c r="D187" s="53" t="s">
        <v>824</v>
      </c>
      <c r="E187" s="53" t="s">
        <v>841</v>
      </c>
      <c r="F187" s="110" t="s">
        <v>637</v>
      </c>
      <c r="G187" s="46">
        <v>352</v>
      </c>
      <c r="H187" s="46">
        <v>235</v>
      </c>
      <c r="I187" s="111">
        <f t="shared" si="3"/>
        <v>117</v>
      </c>
    </row>
    <row r="188" spans="1:11" ht="15.75" customHeight="1">
      <c r="A188" s="53">
        <v>181</v>
      </c>
      <c r="B188" s="53"/>
      <c r="C188" s="46" t="s">
        <v>834</v>
      </c>
      <c r="D188" s="53" t="s">
        <v>824</v>
      </c>
      <c r="E188" s="53" t="s">
        <v>842</v>
      </c>
      <c r="F188" s="110" t="s">
        <v>637</v>
      </c>
      <c r="G188" s="46">
        <v>469</v>
      </c>
      <c r="H188" s="46">
        <v>352</v>
      </c>
      <c r="I188" s="111">
        <f t="shared" si="3"/>
        <v>117</v>
      </c>
    </row>
    <row r="189" spans="1:11" ht="15.75" customHeight="1">
      <c r="A189" s="53">
        <v>182</v>
      </c>
      <c r="B189" s="53"/>
      <c r="C189" s="46" t="s">
        <v>843</v>
      </c>
      <c r="D189" s="53" t="s">
        <v>824</v>
      </c>
      <c r="E189" s="53" t="s">
        <v>844</v>
      </c>
      <c r="F189" s="110" t="s">
        <v>637</v>
      </c>
      <c r="G189" s="46">
        <v>324</v>
      </c>
      <c r="H189" s="46">
        <v>207</v>
      </c>
      <c r="I189" s="111">
        <f t="shared" si="3"/>
        <v>117</v>
      </c>
    </row>
    <row r="190" spans="1:11" ht="15.75" customHeight="1">
      <c r="A190" s="120">
        <v>183</v>
      </c>
      <c r="B190" s="120"/>
      <c r="C190" s="120" t="s">
        <v>843</v>
      </c>
      <c r="D190" s="120" t="s">
        <v>824</v>
      </c>
      <c r="E190" s="120" t="s">
        <v>845</v>
      </c>
      <c r="F190" s="121" t="s">
        <v>637</v>
      </c>
      <c r="G190" s="120">
        <v>207</v>
      </c>
      <c r="H190" s="120">
        <v>90</v>
      </c>
      <c r="I190" s="122">
        <f t="shared" si="3"/>
        <v>117</v>
      </c>
      <c r="J190" s="123"/>
      <c r="K190" s="123"/>
    </row>
    <row r="191" spans="1:11" ht="15.75" customHeight="1">
      <c r="A191" s="53">
        <v>184</v>
      </c>
      <c r="B191" s="53"/>
      <c r="C191" s="46" t="s">
        <v>843</v>
      </c>
      <c r="D191" s="53" t="s">
        <v>824</v>
      </c>
      <c r="E191" s="53" t="s">
        <v>846</v>
      </c>
      <c r="F191" s="110" t="s">
        <v>637</v>
      </c>
      <c r="G191" s="46">
        <v>1008</v>
      </c>
      <c r="H191" s="46">
        <v>894</v>
      </c>
      <c r="I191" s="111">
        <f t="shared" si="3"/>
        <v>114</v>
      </c>
    </row>
    <row r="192" spans="1:11" ht="15.75" customHeight="1">
      <c r="A192" s="53">
        <v>185</v>
      </c>
      <c r="B192" s="53"/>
      <c r="C192" s="46" t="s">
        <v>843</v>
      </c>
      <c r="D192" s="53" t="s">
        <v>824</v>
      </c>
      <c r="E192" s="53" t="s">
        <v>847</v>
      </c>
      <c r="F192" s="110" t="s">
        <v>637</v>
      </c>
      <c r="G192" s="46">
        <v>894</v>
      </c>
      <c r="H192" s="46">
        <v>780</v>
      </c>
      <c r="I192" s="111">
        <f t="shared" si="3"/>
        <v>114</v>
      </c>
    </row>
    <row r="193" spans="1:9" ht="15.75" customHeight="1">
      <c r="A193" s="53">
        <v>186</v>
      </c>
      <c r="B193" s="53"/>
      <c r="C193" s="46" t="s">
        <v>843</v>
      </c>
      <c r="D193" s="53" t="s">
        <v>824</v>
      </c>
      <c r="E193" s="53" t="s">
        <v>848</v>
      </c>
      <c r="F193" s="110" t="s">
        <v>637</v>
      </c>
      <c r="G193" s="46">
        <v>780</v>
      </c>
      <c r="H193" s="46">
        <v>666</v>
      </c>
      <c r="I193" s="111">
        <f t="shared" si="3"/>
        <v>114</v>
      </c>
    </row>
    <row r="194" spans="1:9" ht="15.75" customHeight="1">
      <c r="A194" s="53">
        <v>187</v>
      </c>
      <c r="B194" s="53"/>
      <c r="C194" s="46" t="s">
        <v>843</v>
      </c>
      <c r="D194" s="53" t="s">
        <v>824</v>
      </c>
      <c r="E194" s="53" t="s">
        <v>849</v>
      </c>
      <c r="F194" s="110" t="s">
        <v>637</v>
      </c>
      <c r="G194" s="46">
        <v>666</v>
      </c>
      <c r="H194" s="46">
        <v>552</v>
      </c>
      <c r="I194" s="111">
        <f t="shared" si="3"/>
        <v>114</v>
      </c>
    </row>
    <row r="195" spans="1:9" ht="15.75" customHeight="1">
      <c r="A195" s="53">
        <v>188</v>
      </c>
      <c r="B195" s="53"/>
      <c r="C195" s="46" t="s">
        <v>843</v>
      </c>
      <c r="D195" s="53" t="s">
        <v>824</v>
      </c>
      <c r="E195" s="53" t="s">
        <v>850</v>
      </c>
      <c r="F195" s="110" t="s">
        <v>637</v>
      </c>
      <c r="G195" s="46">
        <v>552</v>
      </c>
      <c r="H195" s="46">
        <v>438</v>
      </c>
      <c r="I195" s="111">
        <f t="shared" si="3"/>
        <v>114</v>
      </c>
    </row>
    <row r="196" spans="1:9" ht="15.75" customHeight="1">
      <c r="A196" s="53">
        <v>189</v>
      </c>
      <c r="B196" s="53"/>
      <c r="C196" s="46" t="s">
        <v>843</v>
      </c>
      <c r="D196" s="53" t="s">
        <v>824</v>
      </c>
      <c r="E196" s="53" t="s">
        <v>851</v>
      </c>
      <c r="F196" s="110" t="s">
        <v>637</v>
      </c>
      <c r="G196" s="46">
        <v>438</v>
      </c>
      <c r="H196" s="46">
        <v>324</v>
      </c>
      <c r="I196" s="111">
        <f t="shared" si="3"/>
        <v>114</v>
      </c>
    </row>
    <row r="197" spans="1:9" ht="15.75" customHeight="1">
      <c r="A197" s="53">
        <v>190</v>
      </c>
      <c r="B197" s="53"/>
      <c r="C197" s="46" t="s">
        <v>852</v>
      </c>
      <c r="D197" s="53" t="s">
        <v>824</v>
      </c>
      <c r="E197" s="53" t="s">
        <v>853</v>
      </c>
      <c r="F197" s="110" t="s">
        <v>637</v>
      </c>
      <c r="G197" s="46">
        <v>682</v>
      </c>
      <c r="H197" s="46">
        <v>571</v>
      </c>
      <c r="I197" s="111">
        <f t="shared" si="3"/>
        <v>111</v>
      </c>
    </row>
    <row r="198" spans="1:9" ht="15.75" customHeight="1">
      <c r="A198" s="53">
        <v>191</v>
      </c>
      <c r="B198" s="53"/>
      <c r="C198" s="46" t="s">
        <v>852</v>
      </c>
      <c r="D198" s="53" t="s">
        <v>824</v>
      </c>
      <c r="E198" s="53" t="s">
        <v>854</v>
      </c>
      <c r="F198" s="110" t="s">
        <v>637</v>
      </c>
      <c r="G198" s="46">
        <v>571</v>
      </c>
      <c r="H198" s="46">
        <v>460</v>
      </c>
      <c r="I198" s="111">
        <f t="shared" si="3"/>
        <v>111</v>
      </c>
    </row>
    <row r="199" spans="1:9" ht="15.75" customHeight="1">
      <c r="A199" s="53">
        <v>192</v>
      </c>
      <c r="B199" s="53"/>
      <c r="C199" s="46" t="s">
        <v>852</v>
      </c>
      <c r="D199" s="53" t="s">
        <v>824</v>
      </c>
      <c r="E199" s="53" t="s">
        <v>855</v>
      </c>
      <c r="F199" s="110" t="s">
        <v>637</v>
      </c>
      <c r="G199" s="46">
        <v>460</v>
      </c>
      <c r="H199" s="46">
        <v>349</v>
      </c>
      <c r="I199" s="111">
        <f t="shared" si="3"/>
        <v>111</v>
      </c>
    </row>
    <row r="200" spans="1:9" ht="15.75" customHeight="1">
      <c r="A200" s="53">
        <v>193</v>
      </c>
      <c r="B200" s="53"/>
      <c r="C200" s="46" t="s">
        <v>852</v>
      </c>
      <c r="D200" s="53" t="s">
        <v>824</v>
      </c>
      <c r="E200" s="53" t="s">
        <v>856</v>
      </c>
      <c r="F200" s="110" t="s">
        <v>637</v>
      </c>
      <c r="G200" s="46">
        <v>349</v>
      </c>
      <c r="H200" s="46">
        <v>238</v>
      </c>
      <c r="I200" s="111">
        <f t="shared" si="3"/>
        <v>111</v>
      </c>
    </row>
    <row r="201" spans="1:9" ht="15.75" customHeight="1">
      <c r="A201" s="53">
        <v>194</v>
      </c>
      <c r="B201" s="53"/>
      <c r="C201" s="46" t="s">
        <v>852</v>
      </c>
      <c r="D201" s="53" t="s">
        <v>824</v>
      </c>
      <c r="E201" s="53" t="s">
        <v>857</v>
      </c>
      <c r="F201" s="110" t="s">
        <v>637</v>
      </c>
      <c r="G201" s="46">
        <v>238</v>
      </c>
      <c r="H201" s="46">
        <v>127</v>
      </c>
      <c r="I201" s="111">
        <f t="shared" si="3"/>
        <v>111</v>
      </c>
    </row>
    <row r="202" spans="1:9" ht="15.75" customHeight="1">
      <c r="A202" s="53">
        <v>195</v>
      </c>
      <c r="B202" s="53"/>
      <c r="C202" s="46" t="s">
        <v>852</v>
      </c>
      <c r="D202" s="53" t="s">
        <v>824</v>
      </c>
      <c r="E202" s="53" t="s">
        <v>858</v>
      </c>
      <c r="F202" s="110" t="s">
        <v>637</v>
      </c>
      <c r="G202" s="46">
        <v>127</v>
      </c>
      <c r="H202" s="46">
        <v>16</v>
      </c>
      <c r="I202" s="111">
        <f t="shared" si="3"/>
        <v>111</v>
      </c>
    </row>
    <row r="203" spans="1:9" ht="15.75" customHeight="1">
      <c r="A203" s="53">
        <v>196</v>
      </c>
      <c r="B203" s="53"/>
      <c r="C203" s="46" t="s">
        <v>852</v>
      </c>
      <c r="D203" s="53" t="s">
        <v>824</v>
      </c>
      <c r="E203" s="53" t="s">
        <v>859</v>
      </c>
      <c r="F203" s="110" t="s">
        <v>637</v>
      </c>
      <c r="G203" s="46">
        <v>1006</v>
      </c>
      <c r="H203" s="46">
        <v>898</v>
      </c>
      <c r="I203" s="111">
        <f t="shared" si="3"/>
        <v>108</v>
      </c>
    </row>
    <row r="204" spans="1:9" ht="15.75" customHeight="1">
      <c r="A204" s="53">
        <v>197</v>
      </c>
      <c r="B204" s="53"/>
      <c r="C204" s="46" t="s">
        <v>852</v>
      </c>
      <c r="D204" s="53" t="s">
        <v>824</v>
      </c>
      <c r="E204" s="53" t="s">
        <v>860</v>
      </c>
      <c r="F204" s="110" t="s">
        <v>637</v>
      </c>
      <c r="G204" s="46">
        <v>898</v>
      </c>
      <c r="H204" s="46">
        <v>790</v>
      </c>
      <c r="I204" s="111">
        <f t="shared" si="3"/>
        <v>108</v>
      </c>
    </row>
    <row r="205" spans="1:9" ht="15.75" customHeight="1">
      <c r="A205" s="53">
        <v>198</v>
      </c>
      <c r="B205" s="53"/>
      <c r="C205" s="46" t="s">
        <v>852</v>
      </c>
      <c r="D205" s="53" t="s">
        <v>824</v>
      </c>
      <c r="E205" s="53" t="s">
        <v>861</v>
      </c>
      <c r="F205" s="110" t="s">
        <v>637</v>
      </c>
      <c r="G205" s="46">
        <v>790</v>
      </c>
      <c r="H205" s="46">
        <v>682</v>
      </c>
      <c r="I205" s="111">
        <f t="shared" si="3"/>
        <v>108</v>
      </c>
    </row>
    <row r="206" spans="1:9" ht="15.75" customHeight="1">
      <c r="A206" s="53">
        <v>199</v>
      </c>
      <c r="B206" s="53"/>
      <c r="C206" s="53" t="s">
        <v>823</v>
      </c>
      <c r="D206" s="53" t="s">
        <v>824</v>
      </c>
      <c r="E206" s="53" t="s">
        <v>862</v>
      </c>
      <c r="F206" s="110" t="s">
        <v>637</v>
      </c>
      <c r="G206" s="46">
        <v>246</v>
      </c>
      <c r="H206" s="46">
        <v>138</v>
      </c>
      <c r="I206" s="111">
        <f t="shared" si="3"/>
        <v>108</v>
      </c>
    </row>
    <row r="207" spans="1:9" ht="15.75" customHeight="1">
      <c r="A207" s="53">
        <v>200</v>
      </c>
      <c r="B207" s="119"/>
      <c r="C207" s="53" t="s">
        <v>823</v>
      </c>
      <c r="D207" s="53" t="s">
        <v>824</v>
      </c>
      <c r="E207" s="53" t="s">
        <v>863</v>
      </c>
      <c r="F207" s="110" t="s">
        <v>637</v>
      </c>
      <c r="G207" s="114">
        <v>138</v>
      </c>
      <c r="H207" s="114">
        <v>30</v>
      </c>
      <c r="I207" s="111">
        <f t="shared" si="3"/>
        <v>108</v>
      </c>
    </row>
    <row r="208" spans="1:9" ht="15.75" customHeight="1">
      <c r="A208" s="118"/>
      <c r="B208" s="119"/>
      <c r="C208" s="119"/>
      <c r="D208" s="119"/>
      <c r="E208" s="119"/>
      <c r="F208" s="110"/>
      <c r="G208" s="119"/>
      <c r="H208" s="119"/>
      <c r="I208" s="111"/>
    </row>
    <row r="209" spans="1:11" ht="15.75" customHeight="1">
      <c r="A209" s="118"/>
      <c r="B209" s="119"/>
      <c r="C209" s="119"/>
      <c r="D209" s="119"/>
      <c r="E209" s="119"/>
      <c r="F209" s="110"/>
      <c r="G209" s="119"/>
      <c r="H209" s="119"/>
      <c r="I209" s="111"/>
    </row>
    <row r="210" spans="1:11" ht="15.75" customHeight="1">
      <c r="A210" s="117" t="s">
        <v>864</v>
      </c>
      <c r="B210" s="115"/>
      <c r="C210" s="115"/>
      <c r="D210" s="115"/>
      <c r="E210" s="115"/>
      <c r="F210" s="110" t="s">
        <v>637</v>
      </c>
      <c r="G210" s="115"/>
      <c r="H210" s="115"/>
      <c r="I210" s="111">
        <f t="shared" ref="I210:I276" si="4">G210-H210</f>
        <v>0</v>
      </c>
      <c r="J210" s="105"/>
      <c r="K210" s="105"/>
    </row>
    <row r="211" spans="1:11" ht="15.75" customHeight="1">
      <c r="A211" s="53">
        <v>201</v>
      </c>
      <c r="B211" s="53"/>
      <c r="C211" s="46" t="s">
        <v>826</v>
      </c>
      <c r="D211" s="53" t="s">
        <v>865</v>
      </c>
      <c r="E211" s="53" t="s">
        <v>866</v>
      </c>
      <c r="F211" s="110" t="s">
        <v>637</v>
      </c>
      <c r="G211" s="46">
        <v>150</v>
      </c>
      <c r="H211" s="46">
        <v>40</v>
      </c>
      <c r="I211" s="111">
        <f t="shared" si="4"/>
        <v>110</v>
      </c>
    </row>
    <row r="212" spans="1:11" ht="15.75" customHeight="1">
      <c r="A212" s="53">
        <v>202</v>
      </c>
      <c r="B212" s="53"/>
      <c r="C212" s="46" t="s">
        <v>867</v>
      </c>
      <c r="D212" s="53" t="s">
        <v>865</v>
      </c>
      <c r="E212" s="53" t="s">
        <v>868</v>
      </c>
      <c r="F212" s="110" t="s">
        <v>637</v>
      </c>
      <c r="G212" s="46">
        <v>1306</v>
      </c>
      <c r="H212" s="46">
        <v>1206</v>
      </c>
      <c r="I212" s="111">
        <f t="shared" si="4"/>
        <v>100</v>
      </c>
    </row>
    <row r="213" spans="1:11" ht="15.75" customHeight="1">
      <c r="A213" s="53">
        <v>203</v>
      </c>
      <c r="B213" s="53"/>
      <c r="C213" s="46" t="s">
        <v>867</v>
      </c>
      <c r="D213" s="53" t="s">
        <v>865</v>
      </c>
      <c r="E213" s="53" t="s">
        <v>869</v>
      </c>
      <c r="F213" s="110" t="s">
        <v>637</v>
      </c>
      <c r="G213" s="46">
        <v>1406</v>
      </c>
      <c r="H213" s="46">
        <v>1306</v>
      </c>
      <c r="I213" s="111">
        <f t="shared" si="4"/>
        <v>100</v>
      </c>
    </row>
    <row r="214" spans="1:11" ht="15.75" customHeight="1">
      <c r="A214" s="53">
        <v>204</v>
      </c>
      <c r="B214" s="53"/>
      <c r="C214" s="46" t="s">
        <v>870</v>
      </c>
      <c r="D214" s="53" t="s">
        <v>865</v>
      </c>
      <c r="E214" s="53" t="s">
        <v>871</v>
      </c>
      <c r="F214" s="110" t="s">
        <v>637</v>
      </c>
      <c r="G214" s="46">
        <v>996</v>
      </c>
      <c r="H214" s="46">
        <v>896</v>
      </c>
      <c r="I214" s="111">
        <f t="shared" si="4"/>
        <v>100</v>
      </c>
    </row>
    <row r="215" spans="1:11" ht="15.75" customHeight="1">
      <c r="A215" s="53">
        <v>205</v>
      </c>
      <c r="B215" s="53"/>
      <c r="C215" s="46" t="s">
        <v>870</v>
      </c>
      <c r="D215" s="53" t="s">
        <v>865</v>
      </c>
      <c r="E215" s="53" t="s">
        <v>872</v>
      </c>
      <c r="F215" s="110" t="s">
        <v>637</v>
      </c>
      <c r="G215" s="46">
        <v>896</v>
      </c>
      <c r="H215" s="46">
        <v>796</v>
      </c>
      <c r="I215" s="111">
        <f t="shared" si="4"/>
        <v>100</v>
      </c>
    </row>
    <row r="216" spans="1:11" ht="15.75" customHeight="1">
      <c r="A216" s="53">
        <v>206</v>
      </c>
      <c r="B216" s="53"/>
      <c r="C216" s="46" t="s">
        <v>870</v>
      </c>
      <c r="D216" s="53" t="s">
        <v>865</v>
      </c>
      <c r="E216" s="53" t="s">
        <v>873</v>
      </c>
      <c r="F216" s="110" t="s">
        <v>637</v>
      </c>
      <c r="G216" s="46">
        <v>796</v>
      </c>
      <c r="H216" s="46">
        <v>696</v>
      </c>
      <c r="I216" s="111">
        <f t="shared" si="4"/>
        <v>100</v>
      </c>
    </row>
    <row r="217" spans="1:11" ht="15.75" customHeight="1">
      <c r="A217" s="53">
        <v>207</v>
      </c>
      <c r="B217" s="53"/>
      <c r="C217" s="46" t="s">
        <v>874</v>
      </c>
      <c r="D217" s="53" t="s">
        <v>865</v>
      </c>
      <c r="E217" s="53" t="s">
        <v>875</v>
      </c>
      <c r="F217" s="110" t="s">
        <v>637</v>
      </c>
      <c r="G217" s="46">
        <v>501</v>
      </c>
      <c r="H217" s="46">
        <v>401</v>
      </c>
      <c r="I217" s="111">
        <f t="shared" si="4"/>
        <v>100</v>
      </c>
    </row>
    <row r="218" spans="1:11" ht="15.75" customHeight="1">
      <c r="A218" s="53">
        <v>208</v>
      </c>
      <c r="B218" s="53"/>
      <c r="C218" s="46" t="s">
        <v>867</v>
      </c>
      <c r="D218" s="53" t="s">
        <v>865</v>
      </c>
      <c r="E218" s="53" t="s">
        <v>876</v>
      </c>
      <c r="F218" s="110" t="s">
        <v>637</v>
      </c>
      <c r="G218" s="46">
        <v>721</v>
      </c>
      <c r="H218" s="46">
        <v>624</v>
      </c>
      <c r="I218" s="111">
        <f t="shared" si="4"/>
        <v>97</v>
      </c>
    </row>
    <row r="219" spans="1:11" ht="15.75" customHeight="1">
      <c r="A219" s="53">
        <v>209</v>
      </c>
      <c r="B219" s="53"/>
      <c r="C219" s="46" t="s">
        <v>867</v>
      </c>
      <c r="D219" s="53" t="s">
        <v>865</v>
      </c>
      <c r="E219" s="53" t="s">
        <v>877</v>
      </c>
      <c r="F219" s="110" t="s">
        <v>637</v>
      </c>
      <c r="G219" s="46">
        <v>818</v>
      </c>
      <c r="H219" s="46">
        <v>721</v>
      </c>
      <c r="I219" s="111">
        <f t="shared" si="4"/>
        <v>97</v>
      </c>
    </row>
    <row r="220" spans="1:11" ht="15.75" customHeight="1">
      <c r="A220" s="53">
        <v>210</v>
      </c>
      <c r="B220" s="53"/>
      <c r="C220" s="46" t="s">
        <v>867</v>
      </c>
      <c r="D220" s="53" t="s">
        <v>865</v>
      </c>
      <c r="E220" s="53" t="s">
        <v>878</v>
      </c>
      <c r="F220" s="110" t="s">
        <v>637</v>
      </c>
      <c r="G220" s="46">
        <v>915</v>
      </c>
      <c r="H220" s="46">
        <v>818</v>
      </c>
      <c r="I220" s="111">
        <f t="shared" si="4"/>
        <v>97</v>
      </c>
    </row>
    <row r="221" spans="1:11" ht="15.75" customHeight="1">
      <c r="A221" s="53">
        <v>211</v>
      </c>
      <c r="B221" s="53"/>
      <c r="C221" s="46" t="s">
        <v>867</v>
      </c>
      <c r="D221" s="53" t="s">
        <v>865</v>
      </c>
      <c r="E221" s="53" t="s">
        <v>879</v>
      </c>
      <c r="F221" s="110" t="s">
        <v>637</v>
      </c>
      <c r="G221" s="46">
        <v>1012</v>
      </c>
      <c r="H221" s="46">
        <v>915</v>
      </c>
      <c r="I221" s="111">
        <f t="shared" si="4"/>
        <v>97</v>
      </c>
    </row>
    <row r="222" spans="1:11" ht="15.75" customHeight="1">
      <c r="A222" s="53">
        <v>212</v>
      </c>
      <c r="B222" s="53"/>
      <c r="C222" s="46" t="s">
        <v>867</v>
      </c>
      <c r="D222" s="53" t="s">
        <v>865</v>
      </c>
      <c r="E222" s="53" t="s">
        <v>880</v>
      </c>
      <c r="F222" s="110" t="s">
        <v>637</v>
      </c>
      <c r="G222" s="46">
        <v>1109</v>
      </c>
      <c r="H222" s="46">
        <v>1012</v>
      </c>
      <c r="I222" s="111">
        <f t="shared" si="4"/>
        <v>97</v>
      </c>
    </row>
    <row r="223" spans="1:11" ht="15.75" customHeight="1">
      <c r="A223" s="53">
        <v>213</v>
      </c>
      <c r="B223" s="53"/>
      <c r="C223" s="46" t="s">
        <v>867</v>
      </c>
      <c r="D223" s="53" t="s">
        <v>865</v>
      </c>
      <c r="E223" s="53" t="s">
        <v>881</v>
      </c>
      <c r="F223" s="110" t="s">
        <v>637</v>
      </c>
      <c r="G223" s="46">
        <v>1206</v>
      </c>
      <c r="H223" s="46">
        <v>1109</v>
      </c>
      <c r="I223" s="111">
        <f t="shared" si="4"/>
        <v>97</v>
      </c>
    </row>
    <row r="224" spans="1:11" ht="15.75" customHeight="1">
      <c r="A224" s="53">
        <v>214</v>
      </c>
      <c r="B224" s="53"/>
      <c r="C224" s="46" t="s">
        <v>874</v>
      </c>
      <c r="D224" s="53" t="s">
        <v>865</v>
      </c>
      <c r="E224" s="53" t="s">
        <v>882</v>
      </c>
      <c r="F224" s="110" t="s">
        <v>637</v>
      </c>
      <c r="G224" s="46">
        <v>401</v>
      </c>
      <c r="H224" s="46">
        <v>307</v>
      </c>
      <c r="I224" s="111">
        <f t="shared" si="4"/>
        <v>94</v>
      </c>
    </row>
    <row r="225" spans="1:9" ht="15.75" customHeight="1">
      <c r="A225" s="53">
        <v>215</v>
      </c>
      <c r="B225" s="53"/>
      <c r="C225" s="46" t="s">
        <v>874</v>
      </c>
      <c r="D225" s="53" t="s">
        <v>865</v>
      </c>
      <c r="E225" s="53" t="s">
        <v>883</v>
      </c>
      <c r="F225" s="110" t="s">
        <v>637</v>
      </c>
      <c r="G225" s="46">
        <v>307</v>
      </c>
      <c r="H225" s="46">
        <v>213</v>
      </c>
      <c r="I225" s="111">
        <f t="shared" si="4"/>
        <v>94</v>
      </c>
    </row>
    <row r="226" spans="1:9" ht="15.75" customHeight="1">
      <c r="A226" s="53">
        <v>216</v>
      </c>
      <c r="B226" s="53"/>
      <c r="C226" s="46" t="s">
        <v>874</v>
      </c>
      <c r="D226" s="53" t="s">
        <v>865</v>
      </c>
      <c r="E226" s="53" t="s">
        <v>884</v>
      </c>
      <c r="F226" s="110" t="s">
        <v>637</v>
      </c>
      <c r="G226" s="46">
        <v>213</v>
      </c>
      <c r="H226" s="46">
        <v>119</v>
      </c>
      <c r="I226" s="111">
        <f t="shared" si="4"/>
        <v>94</v>
      </c>
    </row>
    <row r="227" spans="1:9" ht="15.75" customHeight="1">
      <c r="A227" s="53">
        <v>217</v>
      </c>
      <c r="B227" s="53"/>
      <c r="C227" s="46" t="s">
        <v>874</v>
      </c>
      <c r="D227" s="53" t="s">
        <v>865</v>
      </c>
      <c r="E227" s="53" t="s">
        <v>885</v>
      </c>
      <c r="F227" s="110" t="s">
        <v>637</v>
      </c>
      <c r="G227" s="46">
        <v>119</v>
      </c>
      <c r="H227" s="46">
        <v>25</v>
      </c>
      <c r="I227" s="111">
        <f t="shared" si="4"/>
        <v>94</v>
      </c>
    </row>
    <row r="228" spans="1:9" ht="15.75" customHeight="1">
      <c r="A228" s="53">
        <v>218</v>
      </c>
      <c r="B228" s="53"/>
      <c r="C228" s="46" t="s">
        <v>867</v>
      </c>
      <c r="D228" s="53" t="s">
        <v>865</v>
      </c>
      <c r="E228" s="53" t="s">
        <v>886</v>
      </c>
      <c r="F228" s="110" t="s">
        <v>637</v>
      </c>
      <c r="G228" s="46">
        <v>530</v>
      </c>
      <c r="H228" s="46">
        <v>436</v>
      </c>
      <c r="I228" s="111">
        <f t="shared" si="4"/>
        <v>94</v>
      </c>
    </row>
    <row r="229" spans="1:9" ht="15.75" customHeight="1">
      <c r="A229" s="53">
        <v>219</v>
      </c>
      <c r="B229" s="53"/>
      <c r="C229" s="46" t="s">
        <v>867</v>
      </c>
      <c r="D229" s="53" t="s">
        <v>865</v>
      </c>
      <c r="E229" s="53" t="s">
        <v>887</v>
      </c>
      <c r="F229" s="110" t="s">
        <v>637</v>
      </c>
      <c r="G229" s="46">
        <v>624</v>
      </c>
      <c r="H229" s="46">
        <v>530</v>
      </c>
      <c r="I229" s="111">
        <f t="shared" si="4"/>
        <v>94</v>
      </c>
    </row>
    <row r="230" spans="1:9" ht="15.75" customHeight="1">
      <c r="A230" s="53">
        <v>220</v>
      </c>
      <c r="B230" s="53"/>
      <c r="C230" s="46" t="s">
        <v>870</v>
      </c>
      <c r="D230" s="53" t="s">
        <v>865</v>
      </c>
      <c r="E230" s="53" t="s">
        <v>888</v>
      </c>
      <c r="F230" s="110" t="s">
        <v>637</v>
      </c>
      <c r="G230" s="46">
        <v>696</v>
      </c>
      <c r="H230" s="46">
        <v>605</v>
      </c>
      <c r="I230" s="111">
        <f t="shared" si="4"/>
        <v>91</v>
      </c>
    </row>
    <row r="231" spans="1:9" ht="15.75" customHeight="1">
      <c r="A231" s="53">
        <v>221</v>
      </c>
      <c r="B231" s="53"/>
      <c r="C231" s="46" t="s">
        <v>870</v>
      </c>
      <c r="D231" s="53" t="s">
        <v>865</v>
      </c>
      <c r="E231" s="53" t="s">
        <v>889</v>
      </c>
      <c r="F231" s="110" t="s">
        <v>637</v>
      </c>
      <c r="G231" s="46">
        <v>605</v>
      </c>
      <c r="H231" s="46">
        <v>514</v>
      </c>
      <c r="I231" s="111">
        <f t="shared" si="4"/>
        <v>91</v>
      </c>
    </row>
    <row r="232" spans="1:9" ht="15.75" customHeight="1">
      <c r="A232" s="53">
        <v>222</v>
      </c>
      <c r="B232" s="53"/>
      <c r="C232" s="46" t="s">
        <v>870</v>
      </c>
      <c r="D232" s="53" t="s">
        <v>865</v>
      </c>
      <c r="E232" s="53" t="s">
        <v>890</v>
      </c>
      <c r="F232" s="110" t="s">
        <v>637</v>
      </c>
      <c r="G232" s="46">
        <v>514</v>
      </c>
      <c r="H232" s="46">
        <v>423</v>
      </c>
      <c r="I232" s="111">
        <f t="shared" si="4"/>
        <v>91</v>
      </c>
    </row>
    <row r="233" spans="1:9" ht="15.75" customHeight="1">
      <c r="A233" s="53">
        <v>223</v>
      </c>
      <c r="B233" s="53"/>
      <c r="C233" s="46" t="s">
        <v>870</v>
      </c>
      <c r="D233" s="53" t="s">
        <v>865</v>
      </c>
      <c r="E233" s="53" t="s">
        <v>891</v>
      </c>
      <c r="F233" s="110" t="s">
        <v>637</v>
      </c>
      <c r="G233" s="46">
        <v>423</v>
      </c>
      <c r="H233" s="46">
        <v>332</v>
      </c>
      <c r="I233" s="111">
        <f t="shared" si="4"/>
        <v>91</v>
      </c>
    </row>
    <row r="234" spans="1:9" ht="15.75" customHeight="1">
      <c r="A234" s="53">
        <v>224</v>
      </c>
      <c r="B234" s="53"/>
      <c r="C234" s="46" t="s">
        <v>870</v>
      </c>
      <c r="D234" s="53" t="s">
        <v>865</v>
      </c>
      <c r="E234" s="53" t="s">
        <v>892</v>
      </c>
      <c r="F234" s="110" t="s">
        <v>637</v>
      </c>
      <c r="G234" s="46">
        <v>332</v>
      </c>
      <c r="H234" s="46">
        <v>241</v>
      </c>
      <c r="I234" s="111">
        <f t="shared" si="4"/>
        <v>91</v>
      </c>
    </row>
    <row r="235" spans="1:9" ht="15.75" customHeight="1">
      <c r="A235" s="53">
        <v>225</v>
      </c>
      <c r="B235" s="53"/>
      <c r="C235" s="46" t="s">
        <v>870</v>
      </c>
      <c r="D235" s="53" t="s">
        <v>865</v>
      </c>
      <c r="E235" s="53" t="s">
        <v>893</v>
      </c>
      <c r="F235" s="110" t="s">
        <v>637</v>
      </c>
      <c r="G235" s="46">
        <v>241</v>
      </c>
      <c r="H235" s="46">
        <v>150</v>
      </c>
      <c r="I235" s="111">
        <f t="shared" si="4"/>
        <v>91</v>
      </c>
    </row>
    <row r="236" spans="1:9" ht="15.75" customHeight="1">
      <c r="A236" s="53">
        <v>226</v>
      </c>
      <c r="B236" s="53"/>
      <c r="C236" s="53" t="s">
        <v>894</v>
      </c>
      <c r="D236" s="53" t="s">
        <v>865</v>
      </c>
      <c r="E236" s="53" t="s">
        <v>895</v>
      </c>
      <c r="F236" s="110" t="s">
        <v>637</v>
      </c>
      <c r="G236" s="46">
        <v>995</v>
      </c>
      <c r="H236" s="46">
        <v>900</v>
      </c>
      <c r="I236" s="111">
        <f t="shared" si="4"/>
        <v>95</v>
      </c>
    </row>
    <row r="237" spans="1:9" ht="15.75" customHeight="1">
      <c r="A237" s="53">
        <v>227</v>
      </c>
      <c r="B237" s="53"/>
      <c r="C237" s="53" t="s">
        <v>894</v>
      </c>
      <c r="D237" s="53" t="s">
        <v>865</v>
      </c>
      <c r="E237" s="53" t="s">
        <v>896</v>
      </c>
      <c r="F237" s="110" t="s">
        <v>637</v>
      </c>
      <c r="G237" s="46">
        <v>900</v>
      </c>
      <c r="H237" s="46">
        <v>810</v>
      </c>
      <c r="I237" s="111">
        <f t="shared" si="4"/>
        <v>90</v>
      </c>
    </row>
    <row r="238" spans="1:9" ht="15.75" customHeight="1">
      <c r="A238" s="53">
        <v>228</v>
      </c>
      <c r="B238" s="53"/>
      <c r="C238" s="53" t="s">
        <v>894</v>
      </c>
      <c r="D238" s="53" t="s">
        <v>865</v>
      </c>
      <c r="E238" s="53" t="s">
        <v>897</v>
      </c>
      <c r="F238" s="110" t="s">
        <v>637</v>
      </c>
      <c r="G238" s="46">
        <v>810</v>
      </c>
      <c r="H238" s="46">
        <v>720</v>
      </c>
      <c r="I238" s="111">
        <f t="shared" si="4"/>
        <v>90</v>
      </c>
    </row>
    <row r="239" spans="1:9" ht="15.75" customHeight="1">
      <c r="A239" s="53">
        <v>229</v>
      </c>
      <c r="B239" s="53"/>
      <c r="C239" s="53" t="s">
        <v>894</v>
      </c>
      <c r="D239" s="53" t="s">
        <v>865</v>
      </c>
      <c r="E239" s="53" t="s">
        <v>898</v>
      </c>
      <c r="F239" s="110" t="s">
        <v>637</v>
      </c>
      <c r="G239" s="46">
        <v>720</v>
      </c>
      <c r="H239" s="46">
        <v>630</v>
      </c>
      <c r="I239" s="111">
        <f t="shared" si="4"/>
        <v>90</v>
      </c>
    </row>
    <row r="240" spans="1:9" ht="15.75" customHeight="1">
      <c r="A240" s="53">
        <v>230</v>
      </c>
      <c r="B240" s="53"/>
      <c r="C240" s="53" t="s">
        <v>899</v>
      </c>
      <c r="D240" s="53" t="s">
        <v>865</v>
      </c>
      <c r="E240" s="53" t="s">
        <v>900</v>
      </c>
      <c r="F240" s="110" t="s">
        <v>637</v>
      </c>
      <c r="G240" s="46">
        <v>243</v>
      </c>
      <c r="H240" s="46">
        <v>153</v>
      </c>
      <c r="I240" s="111">
        <f t="shared" si="4"/>
        <v>90</v>
      </c>
    </row>
    <row r="241" spans="1:9" ht="15.75" customHeight="1">
      <c r="A241" s="53">
        <v>231</v>
      </c>
      <c r="B241" s="53"/>
      <c r="C241" s="53" t="s">
        <v>899</v>
      </c>
      <c r="D241" s="53" t="s">
        <v>865</v>
      </c>
      <c r="E241" s="53" t="s">
        <v>901</v>
      </c>
      <c r="F241" s="110" t="s">
        <v>637</v>
      </c>
      <c r="G241" s="46">
        <v>153</v>
      </c>
      <c r="H241" s="46">
        <v>63</v>
      </c>
      <c r="I241" s="111">
        <f t="shared" si="4"/>
        <v>90</v>
      </c>
    </row>
    <row r="242" spans="1:9" ht="15.75" customHeight="1">
      <c r="A242" s="53">
        <v>232</v>
      </c>
      <c r="B242" s="53"/>
      <c r="C242" s="53" t="s">
        <v>899</v>
      </c>
      <c r="D242" s="53" t="s">
        <v>865</v>
      </c>
      <c r="E242" s="53" t="s">
        <v>902</v>
      </c>
      <c r="F242" s="110" t="s">
        <v>637</v>
      </c>
      <c r="G242" s="46">
        <v>330</v>
      </c>
      <c r="H242" s="46">
        <v>243</v>
      </c>
      <c r="I242" s="111">
        <f t="shared" si="4"/>
        <v>87</v>
      </c>
    </row>
    <row r="243" spans="1:9" ht="15.75" customHeight="1">
      <c r="A243" s="53">
        <v>233</v>
      </c>
      <c r="B243" s="53"/>
      <c r="C243" s="53" t="s">
        <v>899</v>
      </c>
      <c r="D243" s="53" t="s">
        <v>865</v>
      </c>
      <c r="E243" s="53" t="s">
        <v>903</v>
      </c>
      <c r="F243" s="110" t="s">
        <v>637</v>
      </c>
      <c r="G243" s="46">
        <v>417</v>
      </c>
      <c r="H243" s="46">
        <v>330</v>
      </c>
      <c r="I243" s="111">
        <f t="shared" si="4"/>
        <v>87</v>
      </c>
    </row>
    <row r="244" spans="1:9" ht="15.75" customHeight="1">
      <c r="A244" s="53">
        <v>234</v>
      </c>
      <c r="B244" s="53"/>
      <c r="C244" s="53" t="s">
        <v>899</v>
      </c>
      <c r="D244" s="53" t="s">
        <v>865</v>
      </c>
      <c r="E244" s="53" t="s">
        <v>904</v>
      </c>
      <c r="F244" s="110" t="s">
        <v>637</v>
      </c>
      <c r="G244" s="46">
        <v>504</v>
      </c>
      <c r="H244" s="46">
        <v>417</v>
      </c>
      <c r="I244" s="111">
        <f t="shared" si="4"/>
        <v>87</v>
      </c>
    </row>
    <row r="245" spans="1:9" ht="15.75" customHeight="1">
      <c r="A245" s="53">
        <v>235</v>
      </c>
      <c r="B245" s="53"/>
      <c r="C245" s="53" t="s">
        <v>905</v>
      </c>
      <c r="D245" s="53" t="s">
        <v>865</v>
      </c>
      <c r="E245" s="53" t="s">
        <v>906</v>
      </c>
      <c r="F245" s="110" t="s">
        <v>637</v>
      </c>
      <c r="G245" s="46">
        <v>100</v>
      </c>
      <c r="H245" s="46">
        <v>13</v>
      </c>
      <c r="I245" s="111">
        <f t="shared" si="4"/>
        <v>87</v>
      </c>
    </row>
    <row r="246" spans="1:9" ht="15.75" customHeight="1">
      <c r="A246" s="53">
        <v>236</v>
      </c>
      <c r="B246" s="53"/>
      <c r="C246" s="53" t="s">
        <v>905</v>
      </c>
      <c r="D246" s="53" t="s">
        <v>865</v>
      </c>
      <c r="E246" s="53" t="s">
        <v>907</v>
      </c>
      <c r="F246" s="110" t="s">
        <v>637</v>
      </c>
      <c r="G246" s="46">
        <v>187</v>
      </c>
      <c r="H246" s="46">
        <v>100</v>
      </c>
      <c r="I246" s="111">
        <f t="shared" si="4"/>
        <v>87</v>
      </c>
    </row>
    <row r="247" spans="1:9" ht="15.75" customHeight="1">
      <c r="A247" s="53">
        <v>237</v>
      </c>
      <c r="B247" s="53"/>
      <c r="C247" s="53" t="s">
        <v>905</v>
      </c>
      <c r="D247" s="53" t="s">
        <v>865</v>
      </c>
      <c r="E247" s="53" t="s">
        <v>908</v>
      </c>
      <c r="F247" s="110" t="s">
        <v>637</v>
      </c>
      <c r="G247" s="46">
        <v>274</v>
      </c>
      <c r="H247" s="46">
        <v>187</v>
      </c>
      <c r="I247" s="111">
        <f t="shared" si="4"/>
        <v>87</v>
      </c>
    </row>
    <row r="248" spans="1:9" ht="15.75" customHeight="1">
      <c r="A248" s="53">
        <v>238</v>
      </c>
      <c r="B248" s="53"/>
      <c r="C248" s="53" t="s">
        <v>905</v>
      </c>
      <c r="D248" s="53" t="s">
        <v>865</v>
      </c>
      <c r="E248" s="53" t="s">
        <v>909</v>
      </c>
      <c r="F248" s="110" t="s">
        <v>637</v>
      </c>
      <c r="G248" s="46">
        <v>358</v>
      </c>
      <c r="H248" s="46">
        <v>274</v>
      </c>
      <c r="I248" s="111">
        <f t="shared" si="4"/>
        <v>84</v>
      </c>
    </row>
    <row r="249" spans="1:9" ht="15.75" customHeight="1">
      <c r="A249" s="53">
        <v>239</v>
      </c>
      <c r="B249" s="53"/>
      <c r="C249" s="53" t="s">
        <v>905</v>
      </c>
      <c r="D249" s="53" t="s">
        <v>865</v>
      </c>
      <c r="E249" s="53" t="s">
        <v>910</v>
      </c>
      <c r="F249" s="110" t="s">
        <v>637</v>
      </c>
      <c r="G249" s="46">
        <v>442</v>
      </c>
      <c r="H249" s="46">
        <v>358</v>
      </c>
      <c r="I249" s="111">
        <f t="shared" si="4"/>
        <v>84</v>
      </c>
    </row>
    <row r="250" spans="1:9" ht="15.75" customHeight="1">
      <c r="A250" s="53">
        <v>240</v>
      </c>
      <c r="B250" s="53"/>
      <c r="C250" s="53" t="s">
        <v>905</v>
      </c>
      <c r="D250" s="53" t="s">
        <v>865</v>
      </c>
      <c r="E250" s="53" t="s">
        <v>911</v>
      </c>
      <c r="F250" s="110" t="s">
        <v>637</v>
      </c>
      <c r="G250" s="46">
        <v>526</v>
      </c>
      <c r="H250" s="46">
        <v>442</v>
      </c>
      <c r="I250" s="111">
        <f t="shared" si="4"/>
        <v>84</v>
      </c>
    </row>
    <row r="251" spans="1:9" ht="15.75" customHeight="1">
      <c r="A251" s="53">
        <v>241</v>
      </c>
      <c r="B251" s="53"/>
      <c r="C251" s="53" t="s">
        <v>905</v>
      </c>
      <c r="D251" s="53" t="s">
        <v>865</v>
      </c>
      <c r="E251" s="53" t="s">
        <v>912</v>
      </c>
      <c r="F251" s="110" t="s">
        <v>637</v>
      </c>
      <c r="G251" s="46">
        <v>610</v>
      </c>
      <c r="H251" s="46">
        <v>526</v>
      </c>
      <c r="I251" s="111">
        <f t="shared" si="4"/>
        <v>84</v>
      </c>
    </row>
    <row r="252" spans="1:9" ht="15.75" customHeight="1">
      <c r="A252" s="53">
        <v>242</v>
      </c>
      <c r="B252" s="53"/>
      <c r="C252" s="53" t="s">
        <v>905</v>
      </c>
      <c r="D252" s="53" t="s">
        <v>865</v>
      </c>
      <c r="E252" s="53" t="s">
        <v>913</v>
      </c>
      <c r="F252" s="110" t="s">
        <v>637</v>
      </c>
      <c r="G252" s="46">
        <v>694</v>
      </c>
      <c r="H252" s="46">
        <v>610</v>
      </c>
      <c r="I252" s="111">
        <f t="shared" si="4"/>
        <v>84</v>
      </c>
    </row>
    <row r="253" spans="1:9" ht="15.75" customHeight="1">
      <c r="A253" s="53">
        <v>243</v>
      </c>
      <c r="B253" s="53"/>
      <c r="C253" s="53" t="s">
        <v>905</v>
      </c>
      <c r="D253" s="53" t="s">
        <v>865</v>
      </c>
      <c r="E253" s="53" t="s">
        <v>914</v>
      </c>
      <c r="F253" s="110" t="s">
        <v>637</v>
      </c>
      <c r="G253" s="46">
        <v>778</v>
      </c>
      <c r="H253" s="46">
        <v>694</v>
      </c>
      <c r="I253" s="111">
        <f t="shared" si="4"/>
        <v>84</v>
      </c>
    </row>
    <row r="254" spans="1:9" ht="15.75" customHeight="1">
      <c r="A254" s="53">
        <v>244</v>
      </c>
      <c r="B254" s="53"/>
      <c r="C254" s="53" t="s">
        <v>905</v>
      </c>
      <c r="D254" s="53" t="s">
        <v>865</v>
      </c>
      <c r="E254" s="53" t="s">
        <v>915</v>
      </c>
      <c r="F254" s="110" t="s">
        <v>637</v>
      </c>
      <c r="G254" s="46">
        <v>859</v>
      </c>
      <c r="H254" s="46">
        <v>778</v>
      </c>
      <c r="I254" s="111">
        <f t="shared" si="4"/>
        <v>81</v>
      </c>
    </row>
    <row r="255" spans="1:9" ht="15.75" customHeight="1">
      <c r="A255" s="53">
        <v>245</v>
      </c>
      <c r="B255" s="53"/>
      <c r="C255" s="53" t="s">
        <v>905</v>
      </c>
      <c r="D255" s="53" t="s">
        <v>865</v>
      </c>
      <c r="E255" s="53" t="s">
        <v>916</v>
      </c>
      <c r="F255" s="110" t="s">
        <v>637</v>
      </c>
      <c r="G255" s="46">
        <v>940</v>
      </c>
      <c r="H255" s="46">
        <v>859</v>
      </c>
      <c r="I255" s="111">
        <f t="shared" si="4"/>
        <v>81</v>
      </c>
    </row>
    <row r="256" spans="1:9" ht="15.75" customHeight="1">
      <c r="A256" s="53">
        <v>246</v>
      </c>
      <c r="B256" s="53"/>
      <c r="C256" s="53" t="s">
        <v>905</v>
      </c>
      <c r="D256" s="53" t="s">
        <v>865</v>
      </c>
      <c r="E256" s="53" t="s">
        <v>917</v>
      </c>
      <c r="F256" s="110" t="s">
        <v>637</v>
      </c>
      <c r="G256" s="46">
        <v>1021</v>
      </c>
      <c r="H256" s="46">
        <v>940</v>
      </c>
      <c r="I256" s="111">
        <f t="shared" si="4"/>
        <v>81</v>
      </c>
    </row>
    <row r="257" spans="1:9" ht="15.75" customHeight="1">
      <c r="A257" s="53">
        <v>247</v>
      </c>
      <c r="B257" s="53"/>
      <c r="C257" s="53" t="s">
        <v>918</v>
      </c>
      <c r="D257" s="53" t="s">
        <v>865</v>
      </c>
      <c r="E257" s="53" t="s">
        <v>919</v>
      </c>
      <c r="F257" s="110" t="s">
        <v>637</v>
      </c>
      <c r="G257" s="46">
        <v>138</v>
      </c>
      <c r="H257" s="46">
        <v>57</v>
      </c>
      <c r="I257" s="111">
        <f t="shared" si="4"/>
        <v>81</v>
      </c>
    </row>
    <row r="258" spans="1:9" ht="15.75" customHeight="1">
      <c r="A258" s="53">
        <v>248</v>
      </c>
      <c r="B258" s="53"/>
      <c r="C258" s="53" t="s">
        <v>918</v>
      </c>
      <c r="D258" s="53" t="s">
        <v>865</v>
      </c>
      <c r="E258" s="53" t="s">
        <v>920</v>
      </c>
      <c r="F258" s="110" t="s">
        <v>637</v>
      </c>
      <c r="G258" s="46">
        <v>219</v>
      </c>
      <c r="H258" s="46">
        <v>138</v>
      </c>
      <c r="I258" s="111">
        <f t="shared" si="4"/>
        <v>81</v>
      </c>
    </row>
    <row r="259" spans="1:9" ht="15.75" customHeight="1">
      <c r="A259" s="53">
        <v>249</v>
      </c>
      <c r="B259" s="53"/>
      <c r="C259" s="53" t="s">
        <v>918</v>
      </c>
      <c r="D259" s="53" t="s">
        <v>865</v>
      </c>
      <c r="E259" s="53" t="s">
        <v>921</v>
      </c>
      <c r="F259" s="110" t="s">
        <v>637</v>
      </c>
      <c r="G259" s="46">
        <v>300</v>
      </c>
      <c r="H259" s="46">
        <v>219</v>
      </c>
      <c r="I259" s="111">
        <f t="shared" si="4"/>
        <v>81</v>
      </c>
    </row>
    <row r="260" spans="1:9" ht="15.75" customHeight="1">
      <c r="A260" s="53">
        <v>250</v>
      </c>
      <c r="B260" s="53"/>
      <c r="C260" s="53" t="s">
        <v>918</v>
      </c>
      <c r="D260" s="53" t="s">
        <v>788</v>
      </c>
      <c r="E260" s="53" t="s">
        <v>922</v>
      </c>
      <c r="F260" s="110" t="s">
        <v>637</v>
      </c>
      <c r="G260" s="46">
        <v>378</v>
      </c>
      <c r="H260" s="46">
        <v>300</v>
      </c>
      <c r="I260" s="111">
        <f t="shared" si="4"/>
        <v>78</v>
      </c>
    </row>
    <row r="261" spans="1:9" ht="15.75" customHeight="1">
      <c r="A261" s="53">
        <v>251</v>
      </c>
      <c r="B261" s="53"/>
      <c r="C261" s="53" t="s">
        <v>918</v>
      </c>
      <c r="D261" s="53" t="s">
        <v>865</v>
      </c>
      <c r="E261" s="53" t="s">
        <v>923</v>
      </c>
      <c r="F261" s="110" t="s">
        <v>637</v>
      </c>
      <c r="G261" s="46">
        <v>456</v>
      </c>
      <c r="H261" s="46">
        <v>378</v>
      </c>
      <c r="I261" s="111">
        <f t="shared" si="4"/>
        <v>78</v>
      </c>
    </row>
    <row r="262" spans="1:9" ht="15.75" customHeight="1">
      <c r="A262" s="53">
        <v>252</v>
      </c>
      <c r="B262" s="53"/>
      <c r="C262" s="53" t="s">
        <v>918</v>
      </c>
      <c r="D262" s="53" t="s">
        <v>865</v>
      </c>
      <c r="E262" s="53" t="s">
        <v>924</v>
      </c>
      <c r="F262" s="110" t="s">
        <v>637</v>
      </c>
      <c r="G262" s="46">
        <v>534</v>
      </c>
      <c r="H262" s="46">
        <v>456</v>
      </c>
      <c r="I262" s="111">
        <f t="shared" si="4"/>
        <v>78</v>
      </c>
    </row>
    <row r="263" spans="1:9" ht="15.75" customHeight="1">
      <c r="A263" s="53">
        <v>253</v>
      </c>
      <c r="B263" s="53"/>
      <c r="C263" s="53" t="s">
        <v>918</v>
      </c>
      <c r="D263" s="53" t="s">
        <v>865</v>
      </c>
      <c r="E263" s="53" t="s">
        <v>925</v>
      </c>
      <c r="F263" s="110" t="s">
        <v>637</v>
      </c>
      <c r="G263" s="46">
        <v>612</v>
      </c>
      <c r="H263" s="46">
        <v>534</v>
      </c>
      <c r="I263" s="111">
        <f t="shared" si="4"/>
        <v>78</v>
      </c>
    </row>
    <row r="264" spans="1:9" ht="15.75" customHeight="1">
      <c r="A264" s="53">
        <v>254</v>
      </c>
      <c r="B264" s="53"/>
      <c r="C264" s="53" t="s">
        <v>918</v>
      </c>
      <c r="D264" s="53" t="s">
        <v>865</v>
      </c>
      <c r="E264" s="53" t="s">
        <v>926</v>
      </c>
      <c r="F264" s="110" t="s">
        <v>637</v>
      </c>
      <c r="G264" s="46">
        <v>690</v>
      </c>
      <c r="H264" s="46">
        <v>612</v>
      </c>
      <c r="I264" s="111">
        <f t="shared" si="4"/>
        <v>78</v>
      </c>
    </row>
    <row r="265" spans="1:9" ht="15.75" customHeight="1">
      <c r="A265" s="53">
        <v>255</v>
      </c>
      <c r="B265" s="53"/>
      <c r="C265" s="53" t="s">
        <v>918</v>
      </c>
      <c r="D265" s="53" t="s">
        <v>865</v>
      </c>
      <c r="E265" s="53" t="s">
        <v>927</v>
      </c>
      <c r="F265" s="110" t="s">
        <v>637</v>
      </c>
      <c r="G265" s="46">
        <v>768</v>
      </c>
      <c r="H265" s="46">
        <v>690</v>
      </c>
      <c r="I265" s="111">
        <f t="shared" si="4"/>
        <v>78</v>
      </c>
    </row>
    <row r="266" spans="1:9" ht="15.75" customHeight="1">
      <c r="A266" s="53">
        <v>256</v>
      </c>
      <c r="B266" s="53"/>
      <c r="C266" s="53" t="s">
        <v>918</v>
      </c>
      <c r="D266" s="53" t="s">
        <v>865</v>
      </c>
      <c r="E266" s="53" t="s">
        <v>928</v>
      </c>
      <c r="F266" s="110" t="s">
        <v>637</v>
      </c>
      <c r="G266" s="46">
        <v>843</v>
      </c>
      <c r="H266" s="46">
        <v>768</v>
      </c>
      <c r="I266" s="111">
        <f t="shared" si="4"/>
        <v>75</v>
      </c>
    </row>
    <row r="267" spans="1:9" ht="15.75" customHeight="1">
      <c r="A267" s="53">
        <v>257</v>
      </c>
      <c r="B267" s="53"/>
      <c r="C267" s="53" t="s">
        <v>918</v>
      </c>
      <c r="D267" s="53" t="s">
        <v>865</v>
      </c>
      <c r="E267" s="53" t="s">
        <v>929</v>
      </c>
      <c r="F267" s="110" t="s">
        <v>637</v>
      </c>
      <c r="G267" s="46">
        <v>918</v>
      </c>
      <c r="H267" s="46">
        <v>843</v>
      </c>
      <c r="I267" s="111">
        <f t="shared" si="4"/>
        <v>75</v>
      </c>
    </row>
    <row r="268" spans="1:9" ht="15.75" customHeight="1">
      <c r="A268" s="53">
        <v>258</v>
      </c>
      <c r="B268" s="39"/>
      <c r="C268" s="53" t="s">
        <v>918</v>
      </c>
      <c r="D268" s="53" t="s">
        <v>865</v>
      </c>
      <c r="E268" s="53" t="s">
        <v>930</v>
      </c>
      <c r="F268" s="110" t="s">
        <v>637</v>
      </c>
      <c r="G268" s="46">
        <v>993</v>
      </c>
      <c r="H268" s="46">
        <v>918</v>
      </c>
      <c r="I268" s="111">
        <f t="shared" si="4"/>
        <v>75</v>
      </c>
    </row>
    <row r="269" spans="1:9" ht="15.75" customHeight="1">
      <c r="A269" s="53">
        <v>259</v>
      </c>
      <c r="B269" s="39"/>
      <c r="C269" s="53" t="s">
        <v>931</v>
      </c>
      <c r="D269" s="53" t="s">
        <v>865</v>
      </c>
      <c r="E269" s="53" t="s">
        <v>932</v>
      </c>
      <c r="F269" s="110" t="s">
        <v>637</v>
      </c>
      <c r="G269" s="46">
        <v>120</v>
      </c>
      <c r="H269" s="46">
        <v>45</v>
      </c>
      <c r="I269" s="111">
        <f t="shared" si="4"/>
        <v>75</v>
      </c>
    </row>
    <row r="270" spans="1:9" ht="15.75" customHeight="1">
      <c r="A270" s="53">
        <v>260</v>
      </c>
      <c r="B270" s="39"/>
      <c r="C270" s="53" t="s">
        <v>931</v>
      </c>
      <c r="D270" s="53" t="s">
        <v>865</v>
      </c>
      <c r="E270" s="53" t="s">
        <v>933</v>
      </c>
      <c r="F270" s="110" t="s">
        <v>637</v>
      </c>
      <c r="G270" s="46">
        <v>195</v>
      </c>
      <c r="H270" s="46">
        <v>120</v>
      </c>
      <c r="I270" s="111">
        <f t="shared" si="4"/>
        <v>75</v>
      </c>
    </row>
    <row r="271" spans="1:9" ht="15.75" customHeight="1">
      <c r="A271" s="53">
        <v>261</v>
      </c>
      <c r="B271" s="39"/>
      <c r="C271" s="53" t="s">
        <v>931</v>
      </c>
      <c r="D271" s="53" t="s">
        <v>865</v>
      </c>
      <c r="E271" s="53" t="s">
        <v>934</v>
      </c>
      <c r="F271" s="110" t="s">
        <v>637</v>
      </c>
      <c r="G271" s="46">
        <v>270</v>
      </c>
      <c r="H271" s="46">
        <v>195</v>
      </c>
      <c r="I271" s="111">
        <f t="shared" si="4"/>
        <v>75</v>
      </c>
    </row>
    <row r="272" spans="1:9" ht="15.75" customHeight="1">
      <c r="A272" s="53">
        <v>262</v>
      </c>
      <c r="B272" s="39"/>
      <c r="C272" s="53" t="s">
        <v>931</v>
      </c>
      <c r="D272" s="53" t="s">
        <v>865</v>
      </c>
      <c r="E272" s="53" t="s">
        <v>935</v>
      </c>
      <c r="F272" s="110" t="s">
        <v>637</v>
      </c>
      <c r="G272" s="46">
        <v>342</v>
      </c>
      <c r="H272" s="46">
        <v>270</v>
      </c>
      <c r="I272" s="111">
        <f t="shared" si="4"/>
        <v>72</v>
      </c>
    </row>
    <row r="273" spans="1:9" ht="15.75" customHeight="1">
      <c r="A273" s="53">
        <v>263</v>
      </c>
      <c r="B273" s="39"/>
      <c r="C273" s="53" t="s">
        <v>931</v>
      </c>
      <c r="D273" s="53" t="s">
        <v>865</v>
      </c>
      <c r="E273" s="53" t="s">
        <v>936</v>
      </c>
      <c r="F273" s="110" t="s">
        <v>637</v>
      </c>
      <c r="G273" s="46">
        <v>414</v>
      </c>
      <c r="H273" s="46">
        <v>342</v>
      </c>
      <c r="I273" s="111">
        <f t="shared" si="4"/>
        <v>72</v>
      </c>
    </row>
    <row r="274" spans="1:9" ht="15.75" customHeight="1">
      <c r="A274" s="53">
        <v>264</v>
      </c>
      <c r="B274" s="39"/>
      <c r="C274" s="53" t="s">
        <v>931</v>
      </c>
      <c r="D274" s="53" t="s">
        <v>865</v>
      </c>
      <c r="E274" s="53" t="s">
        <v>937</v>
      </c>
      <c r="F274" s="110" t="s">
        <v>637</v>
      </c>
      <c r="G274" s="46">
        <v>486</v>
      </c>
      <c r="H274" s="46">
        <v>414</v>
      </c>
      <c r="I274" s="111">
        <f t="shared" si="4"/>
        <v>72</v>
      </c>
    </row>
    <row r="275" spans="1:9" ht="15.75" customHeight="1">
      <c r="A275" s="53">
        <v>265</v>
      </c>
      <c r="B275" s="39"/>
      <c r="C275" s="53" t="s">
        <v>931</v>
      </c>
      <c r="D275" s="53" t="s">
        <v>865</v>
      </c>
      <c r="E275" s="53" t="s">
        <v>938</v>
      </c>
      <c r="F275" s="110" t="s">
        <v>637</v>
      </c>
      <c r="G275" s="46">
        <v>558</v>
      </c>
      <c r="H275" s="46">
        <v>486</v>
      </c>
      <c r="I275" s="111">
        <f t="shared" si="4"/>
        <v>72</v>
      </c>
    </row>
    <row r="276" spans="1:9" ht="15.75" customHeight="1">
      <c r="A276" s="53">
        <v>266</v>
      </c>
      <c r="B276" s="39"/>
      <c r="C276" s="53" t="s">
        <v>931</v>
      </c>
      <c r="D276" s="53" t="s">
        <v>865</v>
      </c>
      <c r="E276" s="53" t="s">
        <v>939</v>
      </c>
      <c r="F276" s="110" t="s">
        <v>637</v>
      </c>
      <c r="G276" s="46">
        <v>630</v>
      </c>
      <c r="H276" s="46">
        <v>558</v>
      </c>
      <c r="I276" s="111">
        <f t="shared" si="4"/>
        <v>72</v>
      </c>
    </row>
    <row r="277" spans="1:9" ht="15.75" customHeight="1">
      <c r="A277" s="39"/>
      <c r="B277" s="39"/>
      <c r="C277" s="53"/>
      <c r="D277" s="53"/>
      <c r="E277" s="53"/>
      <c r="F277" s="110"/>
      <c r="G277" s="53"/>
      <c r="H277" s="53"/>
      <c r="I277" s="111"/>
    </row>
    <row r="278" spans="1:9" ht="15.75" customHeight="1">
      <c r="A278" s="55" t="s">
        <v>940</v>
      </c>
      <c r="B278" s="55"/>
      <c r="C278" s="55"/>
      <c r="D278" s="53"/>
      <c r="E278" s="53"/>
      <c r="F278" s="110"/>
      <c r="G278" s="53"/>
      <c r="H278" s="53"/>
      <c r="I278" s="111"/>
    </row>
    <row r="279" spans="1:9" ht="15.75" customHeight="1">
      <c r="A279" s="39">
        <v>267</v>
      </c>
      <c r="B279" s="39"/>
      <c r="C279" s="39" t="s">
        <v>941</v>
      </c>
      <c r="D279" s="53" t="s">
        <v>788</v>
      </c>
      <c r="E279" s="53" t="s">
        <v>942</v>
      </c>
      <c r="F279" s="110" t="s">
        <v>637</v>
      </c>
      <c r="G279" s="46">
        <v>1011</v>
      </c>
      <c r="H279" s="46">
        <v>942</v>
      </c>
      <c r="I279" s="33">
        <f t="shared" ref="I279:I284" si="5">G279-H279</f>
        <v>69</v>
      </c>
    </row>
    <row r="280" spans="1:9" ht="15.75" customHeight="1">
      <c r="A280" s="39">
        <v>268</v>
      </c>
      <c r="B280" s="39"/>
      <c r="C280" s="53" t="s">
        <v>943</v>
      </c>
      <c r="D280" s="53" t="s">
        <v>788</v>
      </c>
      <c r="E280" s="53" t="s">
        <v>944</v>
      </c>
      <c r="F280" s="110" t="s">
        <v>637</v>
      </c>
      <c r="G280" s="46">
        <v>999</v>
      </c>
      <c r="H280" s="46">
        <v>940</v>
      </c>
      <c r="I280" s="33">
        <f t="shared" si="5"/>
        <v>59</v>
      </c>
    </row>
    <row r="281" spans="1:9" ht="15.75" customHeight="1">
      <c r="A281" s="39">
        <v>269</v>
      </c>
      <c r="B281" s="39"/>
      <c r="C281" s="53" t="s">
        <v>943</v>
      </c>
      <c r="D281" s="53" t="s">
        <v>788</v>
      </c>
      <c r="E281" s="53" t="s">
        <v>945</v>
      </c>
      <c r="F281" s="110" t="s">
        <v>637</v>
      </c>
      <c r="G281" s="46">
        <v>940</v>
      </c>
      <c r="H281" s="46">
        <v>881</v>
      </c>
      <c r="I281" s="33">
        <f t="shared" si="5"/>
        <v>59</v>
      </c>
    </row>
    <row r="282" spans="1:9" ht="15.75" customHeight="1">
      <c r="A282" s="39">
        <v>270</v>
      </c>
      <c r="B282" s="39"/>
      <c r="C282" s="53" t="s">
        <v>943</v>
      </c>
      <c r="D282" s="53" t="s">
        <v>788</v>
      </c>
      <c r="E282" s="53" t="s">
        <v>946</v>
      </c>
      <c r="F282" s="110" t="s">
        <v>637</v>
      </c>
      <c r="G282" s="46">
        <v>881</v>
      </c>
      <c r="H282" s="46">
        <v>822</v>
      </c>
      <c r="I282" s="33">
        <f t="shared" si="5"/>
        <v>59</v>
      </c>
    </row>
    <row r="283" spans="1:9" ht="15.75" customHeight="1">
      <c r="A283" s="39">
        <v>271</v>
      </c>
      <c r="B283" s="39"/>
      <c r="C283" s="53" t="s">
        <v>943</v>
      </c>
      <c r="D283" s="53" t="s">
        <v>788</v>
      </c>
      <c r="E283" s="53" t="s">
        <v>947</v>
      </c>
      <c r="F283" s="110" t="s">
        <v>637</v>
      </c>
      <c r="G283" s="46">
        <v>822</v>
      </c>
      <c r="H283" s="46">
        <v>763</v>
      </c>
      <c r="I283" s="33">
        <f t="shared" si="5"/>
        <v>59</v>
      </c>
    </row>
    <row r="284" spans="1:9" ht="15.75" customHeight="1">
      <c r="A284" s="53">
        <v>272</v>
      </c>
      <c r="B284" s="53"/>
      <c r="C284" s="53" t="s">
        <v>899</v>
      </c>
      <c r="D284" s="53" t="s">
        <v>788</v>
      </c>
      <c r="E284" s="53" t="s">
        <v>948</v>
      </c>
      <c r="F284" s="110" t="s">
        <v>637</v>
      </c>
      <c r="G284" s="46">
        <v>504</v>
      </c>
      <c r="H284" s="46">
        <v>441</v>
      </c>
      <c r="I284" s="111">
        <f t="shared" si="5"/>
        <v>63</v>
      </c>
    </row>
    <row r="285" spans="1:9" ht="15.75" customHeight="1">
      <c r="A285" s="53">
        <v>273</v>
      </c>
      <c r="B285" s="53"/>
      <c r="C285" s="53" t="s">
        <v>843</v>
      </c>
      <c r="D285" s="53" t="s">
        <v>788</v>
      </c>
      <c r="E285" s="53" t="s">
        <v>949</v>
      </c>
      <c r="F285" s="110" t="s">
        <v>637</v>
      </c>
      <c r="G285" s="46">
        <v>59</v>
      </c>
      <c r="H285" s="46">
        <v>0</v>
      </c>
      <c r="I285" s="111">
        <v>59</v>
      </c>
    </row>
    <row r="286" spans="1:9" ht="15.75" customHeight="1">
      <c r="A286" s="39">
        <v>274</v>
      </c>
      <c r="B286" s="39"/>
      <c r="C286" s="39" t="s">
        <v>918</v>
      </c>
      <c r="D286" s="53" t="s">
        <v>788</v>
      </c>
      <c r="E286" s="53" t="s">
        <v>950</v>
      </c>
      <c r="F286" s="110" t="s">
        <v>637</v>
      </c>
      <c r="G286" s="46">
        <v>57</v>
      </c>
      <c r="H286" s="46">
        <v>1</v>
      </c>
      <c r="I286" s="33">
        <f t="shared" ref="I286:I344" si="6">G286-H286</f>
        <v>56</v>
      </c>
    </row>
    <row r="287" spans="1:9" ht="15.75" customHeight="1">
      <c r="A287" s="39">
        <v>275</v>
      </c>
      <c r="B287" s="39"/>
      <c r="C287" s="39" t="s">
        <v>951</v>
      </c>
      <c r="D287" s="53" t="s">
        <v>788</v>
      </c>
      <c r="E287" s="53" t="s">
        <v>952</v>
      </c>
      <c r="F287" s="110" t="s">
        <v>637</v>
      </c>
      <c r="G287" s="46">
        <v>64</v>
      </c>
      <c r="H287" s="46">
        <v>8</v>
      </c>
      <c r="I287" s="33">
        <f t="shared" si="6"/>
        <v>56</v>
      </c>
    </row>
    <row r="288" spans="1:9" ht="15.75" customHeight="1">
      <c r="A288" s="39">
        <v>276</v>
      </c>
      <c r="B288" s="39"/>
      <c r="C288" s="39" t="s">
        <v>951</v>
      </c>
      <c r="D288" s="53" t="s">
        <v>788</v>
      </c>
      <c r="E288" s="53" t="s">
        <v>953</v>
      </c>
      <c r="F288" s="110" t="s">
        <v>637</v>
      </c>
      <c r="G288" s="46">
        <v>120</v>
      </c>
      <c r="H288" s="46">
        <v>64</v>
      </c>
      <c r="I288" s="33">
        <f t="shared" si="6"/>
        <v>56</v>
      </c>
    </row>
    <row r="289" spans="1:9" ht="15.75" customHeight="1">
      <c r="A289" s="39">
        <v>277</v>
      </c>
      <c r="B289" s="39"/>
      <c r="C289" s="39" t="s">
        <v>951</v>
      </c>
      <c r="D289" s="53" t="s">
        <v>788</v>
      </c>
      <c r="E289" s="53" t="s">
        <v>954</v>
      </c>
      <c r="F289" s="110" t="s">
        <v>637</v>
      </c>
      <c r="G289" s="46">
        <v>176</v>
      </c>
      <c r="H289" s="46">
        <v>120</v>
      </c>
      <c r="I289" s="33">
        <f t="shared" si="6"/>
        <v>56</v>
      </c>
    </row>
    <row r="290" spans="1:9" ht="15.75" customHeight="1">
      <c r="A290" s="39">
        <v>278</v>
      </c>
      <c r="B290" s="39"/>
      <c r="C290" s="39" t="s">
        <v>951</v>
      </c>
      <c r="D290" s="53" t="s">
        <v>788</v>
      </c>
      <c r="E290" s="53" t="s">
        <v>955</v>
      </c>
      <c r="F290" s="110" t="s">
        <v>637</v>
      </c>
      <c r="G290" s="46">
        <v>232</v>
      </c>
      <c r="H290" s="46">
        <v>176</v>
      </c>
      <c r="I290" s="33">
        <f t="shared" si="6"/>
        <v>56</v>
      </c>
    </row>
    <row r="291" spans="1:9" ht="15.75" customHeight="1">
      <c r="A291" s="39">
        <v>279</v>
      </c>
      <c r="B291" s="39"/>
      <c r="C291" s="39" t="s">
        <v>951</v>
      </c>
      <c r="D291" s="53" t="s">
        <v>788</v>
      </c>
      <c r="E291" s="53" t="s">
        <v>956</v>
      </c>
      <c r="F291" s="110" t="s">
        <v>637</v>
      </c>
      <c r="G291" s="46">
        <v>288</v>
      </c>
      <c r="H291" s="46">
        <v>232</v>
      </c>
      <c r="I291" s="33">
        <f t="shared" si="6"/>
        <v>56</v>
      </c>
    </row>
    <row r="292" spans="1:9" ht="15.75" customHeight="1">
      <c r="A292" s="39">
        <v>280</v>
      </c>
      <c r="B292" s="39"/>
      <c r="C292" s="39" t="s">
        <v>951</v>
      </c>
      <c r="D292" s="53" t="s">
        <v>788</v>
      </c>
      <c r="E292" s="53" t="s">
        <v>957</v>
      </c>
      <c r="F292" s="110" t="s">
        <v>637</v>
      </c>
      <c r="G292" s="46">
        <v>341</v>
      </c>
      <c r="H292" s="46">
        <v>288</v>
      </c>
      <c r="I292" s="33">
        <f t="shared" si="6"/>
        <v>53</v>
      </c>
    </row>
    <row r="293" spans="1:9" ht="15.75" customHeight="1">
      <c r="A293" s="39">
        <v>281</v>
      </c>
      <c r="B293" s="39"/>
      <c r="C293" s="39" t="s">
        <v>951</v>
      </c>
      <c r="D293" s="53" t="s">
        <v>788</v>
      </c>
      <c r="E293" s="53" t="s">
        <v>958</v>
      </c>
      <c r="F293" s="110" t="s">
        <v>637</v>
      </c>
      <c r="G293" s="46">
        <v>394</v>
      </c>
      <c r="H293" s="46">
        <v>341</v>
      </c>
      <c r="I293" s="33">
        <f t="shared" si="6"/>
        <v>53</v>
      </c>
    </row>
    <row r="294" spans="1:9" ht="15.75" customHeight="1">
      <c r="A294" s="39">
        <v>282</v>
      </c>
      <c r="B294" s="39"/>
      <c r="C294" s="39" t="s">
        <v>951</v>
      </c>
      <c r="D294" s="53" t="s">
        <v>788</v>
      </c>
      <c r="E294" s="53" t="s">
        <v>959</v>
      </c>
      <c r="F294" s="110" t="s">
        <v>637</v>
      </c>
      <c r="G294" s="46">
        <v>447</v>
      </c>
      <c r="H294" s="46">
        <v>394</v>
      </c>
      <c r="I294" s="33">
        <f t="shared" si="6"/>
        <v>53</v>
      </c>
    </row>
    <row r="295" spans="1:9" ht="15.75" customHeight="1">
      <c r="A295" s="39">
        <v>283</v>
      </c>
      <c r="B295" s="39"/>
      <c r="C295" s="39" t="s">
        <v>951</v>
      </c>
      <c r="D295" s="53" t="s">
        <v>788</v>
      </c>
      <c r="E295" s="53" t="s">
        <v>960</v>
      </c>
      <c r="F295" s="110" t="s">
        <v>637</v>
      </c>
      <c r="G295" s="46">
        <v>500</v>
      </c>
      <c r="H295" s="46">
        <v>447</v>
      </c>
      <c r="I295" s="33">
        <f t="shared" si="6"/>
        <v>53</v>
      </c>
    </row>
    <row r="296" spans="1:9" ht="15.75" customHeight="1">
      <c r="A296" s="39">
        <v>284</v>
      </c>
      <c r="B296" s="39"/>
      <c r="C296" s="39" t="s">
        <v>951</v>
      </c>
      <c r="D296" s="53" t="s">
        <v>788</v>
      </c>
      <c r="E296" s="53" t="s">
        <v>961</v>
      </c>
      <c r="F296" s="110" t="s">
        <v>637</v>
      </c>
      <c r="G296" s="46">
        <v>553</v>
      </c>
      <c r="H296" s="46">
        <v>500</v>
      </c>
      <c r="I296" s="33">
        <f t="shared" si="6"/>
        <v>53</v>
      </c>
    </row>
    <row r="297" spans="1:9" ht="15.75" customHeight="1">
      <c r="A297" s="39">
        <v>285</v>
      </c>
      <c r="B297" s="39"/>
      <c r="C297" s="39" t="s">
        <v>951</v>
      </c>
      <c r="D297" s="53" t="s">
        <v>788</v>
      </c>
      <c r="E297" s="53" t="s">
        <v>962</v>
      </c>
      <c r="F297" s="110" t="s">
        <v>637</v>
      </c>
      <c r="G297" s="46">
        <v>606</v>
      </c>
      <c r="H297" s="46">
        <v>553</v>
      </c>
      <c r="I297" s="33">
        <f t="shared" si="6"/>
        <v>53</v>
      </c>
    </row>
    <row r="298" spans="1:9" ht="15.75" customHeight="1">
      <c r="A298" s="39">
        <v>286</v>
      </c>
      <c r="B298" s="39"/>
      <c r="C298" s="39" t="s">
        <v>951</v>
      </c>
      <c r="D298" s="53" t="s">
        <v>788</v>
      </c>
      <c r="E298" s="53" t="s">
        <v>963</v>
      </c>
      <c r="F298" s="110" t="s">
        <v>637</v>
      </c>
      <c r="G298" s="46">
        <v>656</v>
      </c>
      <c r="H298" s="46">
        <v>606</v>
      </c>
      <c r="I298" s="33">
        <f t="shared" si="6"/>
        <v>50</v>
      </c>
    </row>
    <row r="299" spans="1:9" ht="15.75" customHeight="1">
      <c r="A299" s="39">
        <v>287</v>
      </c>
      <c r="B299" s="39"/>
      <c r="C299" s="39" t="s">
        <v>951</v>
      </c>
      <c r="D299" s="53" t="s">
        <v>788</v>
      </c>
      <c r="E299" s="53" t="s">
        <v>964</v>
      </c>
      <c r="F299" s="110" t="s">
        <v>637</v>
      </c>
      <c r="G299" s="46">
        <v>706</v>
      </c>
      <c r="H299" s="46">
        <v>656</v>
      </c>
      <c r="I299" s="33">
        <f t="shared" si="6"/>
        <v>50</v>
      </c>
    </row>
    <row r="300" spans="1:9" ht="15.75" customHeight="1">
      <c r="A300" s="39">
        <v>288</v>
      </c>
      <c r="B300" s="39"/>
      <c r="C300" s="39" t="s">
        <v>951</v>
      </c>
      <c r="D300" s="53" t="s">
        <v>788</v>
      </c>
      <c r="E300" s="53" t="s">
        <v>965</v>
      </c>
      <c r="F300" s="110" t="s">
        <v>637</v>
      </c>
      <c r="G300" s="46">
        <v>756</v>
      </c>
      <c r="H300" s="46">
        <v>706</v>
      </c>
      <c r="I300" s="33">
        <f t="shared" si="6"/>
        <v>50</v>
      </c>
    </row>
    <row r="301" spans="1:9" ht="15.75" customHeight="1">
      <c r="A301" s="39">
        <v>289</v>
      </c>
      <c r="B301" s="39"/>
      <c r="C301" s="39" t="s">
        <v>951</v>
      </c>
      <c r="D301" s="53" t="s">
        <v>788</v>
      </c>
      <c r="E301" s="53" t="s">
        <v>966</v>
      </c>
      <c r="F301" s="110" t="s">
        <v>637</v>
      </c>
      <c r="G301" s="46">
        <v>806</v>
      </c>
      <c r="H301" s="46">
        <v>756</v>
      </c>
      <c r="I301" s="33">
        <f t="shared" si="6"/>
        <v>50</v>
      </c>
    </row>
    <row r="302" spans="1:9" ht="15.75" customHeight="1">
      <c r="A302" s="39">
        <v>290</v>
      </c>
      <c r="B302" s="39"/>
      <c r="C302" s="39" t="s">
        <v>951</v>
      </c>
      <c r="D302" s="53" t="s">
        <v>788</v>
      </c>
      <c r="E302" s="53" t="s">
        <v>967</v>
      </c>
      <c r="F302" s="110" t="s">
        <v>637</v>
      </c>
      <c r="G302" s="46">
        <v>856</v>
      </c>
      <c r="H302" s="46">
        <v>806</v>
      </c>
      <c r="I302" s="33">
        <f t="shared" si="6"/>
        <v>50</v>
      </c>
    </row>
    <row r="303" spans="1:9" ht="15.75" customHeight="1">
      <c r="A303" s="39">
        <v>291</v>
      </c>
      <c r="B303" s="39"/>
      <c r="C303" s="39" t="s">
        <v>951</v>
      </c>
      <c r="D303" s="53" t="s">
        <v>788</v>
      </c>
      <c r="E303" s="53" t="s">
        <v>968</v>
      </c>
      <c r="F303" s="110" t="s">
        <v>637</v>
      </c>
      <c r="G303" s="46">
        <v>906</v>
      </c>
      <c r="H303" s="46">
        <v>856</v>
      </c>
      <c r="I303" s="33">
        <f t="shared" si="6"/>
        <v>50</v>
      </c>
    </row>
    <row r="304" spans="1:9" ht="15.75" customHeight="1">
      <c r="A304" s="39">
        <v>292</v>
      </c>
      <c r="B304" s="39"/>
      <c r="C304" s="39" t="s">
        <v>951</v>
      </c>
      <c r="D304" s="53" t="s">
        <v>788</v>
      </c>
      <c r="E304" s="53" t="s">
        <v>969</v>
      </c>
      <c r="F304" s="110" t="s">
        <v>637</v>
      </c>
      <c r="G304" s="46">
        <v>953</v>
      </c>
      <c r="H304" s="46">
        <v>906</v>
      </c>
      <c r="I304" s="33">
        <f t="shared" si="6"/>
        <v>47</v>
      </c>
    </row>
    <row r="305" spans="1:9" ht="15.75" customHeight="1">
      <c r="A305" s="39">
        <v>293</v>
      </c>
      <c r="B305" s="39"/>
      <c r="C305" s="39" t="s">
        <v>951</v>
      </c>
      <c r="D305" s="53" t="s">
        <v>788</v>
      </c>
      <c r="E305" s="53" t="s">
        <v>970</v>
      </c>
      <c r="F305" s="110" t="s">
        <v>637</v>
      </c>
      <c r="G305" s="46">
        <v>1000</v>
      </c>
      <c r="H305" s="46">
        <v>953</v>
      </c>
      <c r="I305" s="33">
        <f t="shared" si="6"/>
        <v>47</v>
      </c>
    </row>
    <row r="306" spans="1:9" ht="15.75" customHeight="1">
      <c r="A306" s="39">
        <v>294</v>
      </c>
      <c r="B306" s="39"/>
      <c r="C306" s="39" t="s">
        <v>941</v>
      </c>
      <c r="D306" s="53" t="s">
        <v>788</v>
      </c>
      <c r="E306" s="53" t="s">
        <v>971</v>
      </c>
      <c r="F306" s="110" t="s">
        <v>637</v>
      </c>
      <c r="G306" s="46">
        <v>63</v>
      </c>
      <c r="H306" s="46">
        <v>16</v>
      </c>
      <c r="I306" s="33">
        <f t="shared" si="6"/>
        <v>47</v>
      </c>
    </row>
    <row r="307" spans="1:9" ht="15.75" customHeight="1">
      <c r="A307" s="39">
        <v>295</v>
      </c>
      <c r="B307" s="39"/>
      <c r="C307" s="39" t="s">
        <v>941</v>
      </c>
      <c r="D307" s="53" t="s">
        <v>788</v>
      </c>
      <c r="E307" s="53" t="s">
        <v>972</v>
      </c>
      <c r="F307" s="110" t="s">
        <v>637</v>
      </c>
      <c r="G307" s="46">
        <v>110</v>
      </c>
      <c r="H307" s="46">
        <v>63</v>
      </c>
      <c r="I307" s="33">
        <f t="shared" si="6"/>
        <v>47</v>
      </c>
    </row>
    <row r="308" spans="1:9" ht="15.75" customHeight="1">
      <c r="A308" s="39">
        <v>296</v>
      </c>
      <c r="B308" s="39"/>
      <c r="C308" s="39" t="s">
        <v>941</v>
      </c>
      <c r="D308" s="53" t="s">
        <v>788</v>
      </c>
      <c r="E308" s="53" t="s">
        <v>973</v>
      </c>
      <c r="F308" s="110" t="s">
        <v>637</v>
      </c>
      <c r="G308" s="46">
        <v>157</v>
      </c>
      <c r="H308" s="46">
        <v>110</v>
      </c>
      <c r="I308" s="33">
        <f t="shared" si="6"/>
        <v>47</v>
      </c>
    </row>
    <row r="309" spans="1:9" ht="15.75" customHeight="1">
      <c r="A309" s="39">
        <v>297</v>
      </c>
      <c r="B309" s="39"/>
      <c r="C309" s="39" t="s">
        <v>941</v>
      </c>
      <c r="D309" s="53" t="s">
        <v>788</v>
      </c>
      <c r="E309" s="53" t="s">
        <v>974</v>
      </c>
      <c r="F309" s="110" t="s">
        <v>637</v>
      </c>
      <c r="G309" s="46">
        <v>204</v>
      </c>
      <c r="H309" s="46">
        <v>157</v>
      </c>
      <c r="I309" s="33">
        <f t="shared" si="6"/>
        <v>47</v>
      </c>
    </row>
    <row r="310" spans="1:9" ht="15.75" customHeight="1">
      <c r="A310" s="39">
        <v>298</v>
      </c>
      <c r="B310" s="39"/>
      <c r="C310" s="39" t="s">
        <v>941</v>
      </c>
      <c r="D310" s="53" t="s">
        <v>788</v>
      </c>
      <c r="E310" s="53" t="s">
        <v>975</v>
      </c>
      <c r="F310" s="110" t="s">
        <v>637</v>
      </c>
      <c r="G310" s="46">
        <v>248</v>
      </c>
      <c r="H310" s="46">
        <v>204</v>
      </c>
      <c r="I310" s="33">
        <f t="shared" si="6"/>
        <v>44</v>
      </c>
    </row>
    <row r="311" spans="1:9" ht="15.75" customHeight="1">
      <c r="A311" s="39">
        <v>299</v>
      </c>
      <c r="B311" s="39"/>
      <c r="C311" s="39" t="s">
        <v>941</v>
      </c>
      <c r="D311" s="53" t="s">
        <v>788</v>
      </c>
      <c r="E311" s="53" t="s">
        <v>976</v>
      </c>
      <c r="F311" s="110" t="s">
        <v>637</v>
      </c>
      <c r="G311" s="46">
        <v>292</v>
      </c>
      <c r="H311" s="46">
        <v>248</v>
      </c>
      <c r="I311" s="33">
        <f t="shared" si="6"/>
        <v>44</v>
      </c>
    </row>
    <row r="312" spans="1:9" ht="15.75" customHeight="1">
      <c r="A312" s="39">
        <v>300</v>
      </c>
      <c r="B312" s="39"/>
      <c r="C312" s="39" t="s">
        <v>941</v>
      </c>
      <c r="D312" s="53" t="s">
        <v>788</v>
      </c>
      <c r="E312" s="53" t="s">
        <v>977</v>
      </c>
      <c r="F312" s="110" t="s">
        <v>637</v>
      </c>
      <c r="G312" s="46">
        <v>336</v>
      </c>
      <c r="H312" s="46">
        <v>292</v>
      </c>
      <c r="I312" s="33">
        <f t="shared" si="6"/>
        <v>44</v>
      </c>
    </row>
    <row r="313" spans="1:9" ht="15.75" customHeight="1">
      <c r="A313" s="39">
        <v>301</v>
      </c>
      <c r="B313" s="39"/>
      <c r="C313" s="39" t="s">
        <v>941</v>
      </c>
      <c r="D313" s="53" t="s">
        <v>788</v>
      </c>
      <c r="E313" s="53" t="s">
        <v>978</v>
      </c>
      <c r="F313" s="110" t="s">
        <v>637</v>
      </c>
      <c r="G313" s="46">
        <v>380</v>
      </c>
      <c r="H313" s="46">
        <v>336</v>
      </c>
      <c r="I313" s="33">
        <f t="shared" si="6"/>
        <v>44</v>
      </c>
    </row>
    <row r="314" spans="1:9" ht="15.75" customHeight="1">
      <c r="A314" s="39">
        <v>302</v>
      </c>
      <c r="B314" s="39"/>
      <c r="C314" s="39" t="s">
        <v>941</v>
      </c>
      <c r="D314" s="53" t="s">
        <v>788</v>
      </c>
      <c r="E314" s="53" t="s">
        <v>979</v>
      </c>
      <c r="F314" s="110" t="s">
        <v>637</v>
      </c>
      <c r="G314" s="46">
        <v>424</v>
      </c>
      <c r="H314" s="46">
        <v>380</v>
      </c>
      <c r="I314" s="33">
        <f t="shared" si="6"/>
        <v>44</v>
      </c>
    </row>
    <row r="315" spans="1:9" ht="15.75" customHeight="1">
      <c r="A315" s="39">
        <v>303</v>
      </c>
      <c r="B315" s="39"/>
      <c r="C315" s="39" t="s">
        <v>941</v>
      </c>
      <c r="D315" s="53" t="s">
        <v>788</v>
      </c>
      <c r="E315" s="53" t="s">
        <v>980</v>
      </c>
      <c r="F315" s="110" t="s">
        <v>637</v>
      </c>
      <c r="G315" s="46">
        <v>468</v>
      </c>
      <c r="H315" s="46">
        <v>424</v>
      </c>
      <c r="I315" s="33">
        <f t="shared" si="6"/>
        <v>44</v>
      </c>
    </row>
    <row r="316" spans="1:9" ht="15.75" customHeight="1">
      <c r="A316" s="39">
        <v>304</v>
      </c>
      <c r="B316" s="39"/>
      <c r="C316" s="39" t="s">
        <v>941</v>
      </c>
      <c r="D316" s="53" t="s">
        <v>788</v>
      </c>
      <c r="E316" s="53" t="s">
        <v>981</v>
      </c>
      <c r="F316" s="110" t="s">
        <v>637</v>
      </c>
      <c r="G316" s="46">
        <v>509</v>
      </c>
      <c r="H316" s="46">
        <v>468</v>
      </c>
      <c r="I316" s="33">
        <f t="shared" si="6"/>
        <v>41</v>
      </c>
    </row>
    <row r="317" spans="1:9" ht="15.75" customHeight="1">
      <c r="A317" s="39">
        <v>305</v>
      </c>
      <c r="B317" s="39"/>
      <c r="C317" s="39" t="s">
        <v>941</v>
      </c>
      <c r="D317" s="53" t="s">
        <v>788</v>
      </c>
      <c r="E317" s="53" t="s">
        <v>982</v>
      </c>
      <c r="F317" s="110" t="s">
        <v>637</v>
      </c>
      <c r="G317" s="46">
        <v>550</v>
      </c>
      <c r="H317" s="46">
        <v>509</v>
      </c>
      <c r="I317" s="33">
        <f t="shared" si="6"/>
        <v>41</v>
      </c>
    </row>
    <row r="318" spans="1:9" ht="15.75" customHeight="1">
      <c r="A318" s="39">
        <v>306</v>
      </c>
      <c r="B318" s="39"/>
      <c r="C318" s="39" t="s">
        <v>941</v>
      </c>
      <c r="D318" s="53" t="s">
        <v>788</v>
      </c>
      <c r="E318" s="53" t="s">
        <v>983</v>
      </c>
      <c r="F318" s="110" t="s">
        <v>637</v>
      </c>
      <c r="G318" s="46">
        <v>591</v>
      </c>
      <c r="H318" s="46">
        <v>550</v>
      </c>
      <c r="I318" s="33">
        <f t="shared" si="6"/>
        <v>41</v>
      </c>
    </row>
    <row r="319" spans="1:9" ht="15.75" customHeight="1">
      <c r="A319" s="39">
        <v>307</v>
      </c>
      <c r="B319" s="39"/>
      <c r="C319" s="39" t="s">
        <v>941</v>
      </c>
      <c r="D319" s="53" t="s">
        <v>788</v>
      </c>
      <c r="E319" s="53" t="s">
        <v>984</v>
      </c>
      <c r="F319" s="110" t="s">
        <v>637</v>
      </c>
      <c r="G319" s="46">
        <v>632</v>
      </c>
      <c r="H319" s="46">
        <v>591</v>
      </c>
      <c r="I319" s="33">
        <f t="shared" si="6"/>
        <v>41</v>
      </c>
    </row>
    <row r="320" spans="1:9" ht="15.75" customHeight="1">
      <c r="A320" s="39">
        <v>308</v>
      </c>
      <c r="B320" s="39"/>
      <c r="C320" s="39" t="s">
        <v>941</v>
      </c>
      <c r="D320" s="53" t="s">
        <v>788</v>
      </c>
      <c r="E320" s="53" t="s">
        <v>985</v>
      </c>
      <c r="F320" s="110" t="s">
        <v>637</v>
      </c>
      <c r="G320" s="46">
        <v>673</v>
      </c>
      <c r="H320" s="46">
        <v>632</v>
      </c>
      <c r="I320" s="33">
        <f t="shared" si="6"/>
        <v>41</v>
      </c>
    </row>
    <row r="321" spans="1:9" ht="15.75" customHeight="1">
      <c r="A321" s="39">
        <v>309</v>
      </c>
      <c r="B321" s="39"/>
      <c r="C321" s="39" t="s">
        <v>941</v>
      </c>
      <c r="D321" s="53" t="s">
        <v>788</v>
      </c>
      <c r="E321" s="53" t="s">
        <v>986</v>
      </c>
      <c r="F321" s="110" t="s">
        <v>637</v>
      </c>
      <c r="G321" s="46">
        <v>714</v>
      </c>
      <c r="H321" s="46">
        <v>673</v>
      </c>
      <c r="I321" s="33">
        <f t="shared" si="6"/>
        <v>41</v>
      </c>
    </row>
    <row r="322" spans="1:9" ht="15.75" customHeight="1">
      <c r="A322" s="39">
        <v>310</v>
      </c>
      <c r="B322" s="39"/>
      <c r="C322" s="39" t="s">
        <v>941</v>
      </c>
      <c r="D322" s="53" t="s">
        <v>788</v>
      </c>
      <c r="E322" s="53" t="s">
        <v>987</v>
      </c>
      <c r="F322" s="110" t="s">
        <v>637</v>
      </c>
      <c r="G322" s="46">
        <v>752</v>
      </c>
      <c r="H322" s="46">
        <v>714</v>
      </c>
      <c r="I322" s="33">
        <f t="shared" si="6"/>
        <v>38</v>
      </c>
    </row>
    <row r="323" spans="1:9" ht="15.75" customHeight="1">
      <c r="A323" s="39">
        <v>311</v>
      </c>
      <c r="B323" s="39"/>
      <c r="C323" s="39" t="s">
        <v>941</v>
      </c>
      <c r="D323" s="53" t="s">
        <v>788</v>
      </c>
      <c r="E323" s="53" t="s">
        <v>988</v>
      </c>
      <c r="F323" s="110" t="s">
        <v>637</v>
      </c>
      <c r="G323" s="46">
        <v>790</v>
      </c>
      <c r="H323" s="46">
        <v>752</v>
      </c>
      <c r="I323" s="33">
        <f t="shared" si="6"/>
        <v>38</v>
      </c>
    </row>
    <row r="324" spans="1:9" ht="15.75" customHeight="1">
      <c r="A324" s="39">
        <v>312</v>
      </c>
      <c r="B324" s="39"/>
      <c r="C324" s="39" t="s">
        <v>941</v>
      </c>
      <c r="D324" s="53" t="s">
        <v>788</v>
      </c>
      <c r="E324" s="53" t="s">
        <v>989</v>
      </c>
      <c r="F324" s="110" t="s">
        <v>637</v>
      </c>
      <c r="G324" s="46">
        <v>828</v>
      </c>
      <c r="H324" s="46">
        <v>790</v>
      </c>
      <c r="I324" s="33">
        <f t="shared" si="6"/>
        <v>38</v>
      </c>
    </row>
    <row r="325" spans="1:9" ht="15.75" customHeight="1">
      <c r="A325" s="39">
        <v>313</v>
      </c>
      <c r="B325" s="39"/>
      <c r="C325" s="39" t="s">
        <v>941</v>
      </c>
      <c r="D325" s="53" t="s">
        <v>788</v>
      </c>
      <c r="E325" s="53" t="s">
        <v>990</v>
      </c>
      <c r="F325" s="110" t="s">
        <v>637</v>
      </c>
      <c r="G325" s="46">
        <v>866</v>
      </c>
      <c r="H325" s="46">
        <v>828</v>
      </c>
      <c r="I325" s="33">
        <f t="shared" si="6"/>
        <v>38</v>
      </c>
    </row>
    <row r="326" spans="1:9" ht="15.75" customHeight="1">
      <c r="A326" s="39">
        <v>314</v>
      </c>
      <c r="B326" s="39"/>
      <c r="C326" s="39" t="s">
        <v>941</v>
      </c>
      <c r="D326" s="53" t="s">
        <v>788</v>
      </c>
      <c r="E326" s="53" t="s">
        <v>991</v>
      </c>
      <c r="F326" s="110" t="s">
        <v>637</v>
      </c>
      <c r="G326" s="46">
        <v>904</v>
      </c>
      <c r="H326" s="46">
        <v>866</v>
      </c>
      <c r="I326" s="33">
        <f t="shared" si="6"/>
        <v>38</v>
      </c>
    </row>
    <row r="327" spans="1:9" ht="15.75" customHeight="1">
      <c r="A327" s="39">
        <v>315</v>
      </c>
      <c r="B327" s="39"/>
      <c r="C327" s="39" t="s">
        <v>941</v>
      </c>
      <c r="D327" s="53" t="s">
        <v>788</v>
      </c>
      <c r="E327" s="53" t="s">
        <v>992</v>
      </c>
      <c r="F327" s="110" t="s">
        <v>637</v>
      </c>
      <c r="G327" s="46">
        <v>942</v>
      </c>
      <c r="H327" s="46">
        <v>904</v>
      </c>
      <c r="I327" s="33">
        <f t="shared" si="6"/>
        <v>38</v>
      </c>
    </row>
    <row r="328" spans="1:9" ht="15.75" customHeight="1">
      <c r="A328" s="39">
        <v>316</v>
      </c>
      <c r="B328" s="39"/>
      <c r="C328" s="39" t="s">
        <v>771</v>
      </c>
      <c r="D328" s="53" t="s">
        <v>788</v>
      </c>
      <c r="E328" s="53" t="s">
        <v>993</v>
      </c>
      <c r="F328" s="110" t="s">
        <v>637</v>
      </c>
      <c r="G328" s="46">
        <v>439</v>
      </c>
      <c r="H328" s="46">
        <v>397</v>
      </c>
      <c r="I328" s="33">
        <f t="shared" si="6"/>
        <v>42</v>
      </c>
    </row>
    <row r="329" spans="1:9" ht="15.75" customHeight="1">
      <c r="A329" s="39">
        <v>317</v>
      </c>
      <c r="B329" s="39"/>
      <c r="C329" s="39" t="s">
        <v>771</v>
      </c>
      <c r="D329" s="53" t="s">
        <v>788</v>
      </c>
      <c r="E329" s="53" t="s">
        <v>994</v>
      </c>
      <c r="F329" s="110" t="s">
        <v>637</v>
      </c>
      <c r="G329" s="46">
        <v>397</v>
      </c>
      <c r="H329" s="46">
        <v>355</v>
      </c>
      <c r="I329" s="33">
        <f t="shared" si="6"/>
        <v>42</v>
      </c>
    </row>
    <row r="330" spans="1:9" ht="15.75" customHeight="1">
      <c r="A330" s="39">
        <v>318</v>
      </c>
      <c r="B330" s="39"/>
      <c r="C330" s="39" t="s">
        <v>771</v>
      </c>
      <c r="D330" s="53" t="s">
        <v>788</v>
      </c>
      <c r="E330" s="53" t="s">
        <v>995</v>
      </c>
      <c r="F330" s="110" t="s">
        <v>637</v>
      </c>
      <c r="G330" s="46">
        <v>355</v>
      </c>
      <c r="H330" s="46">
        <v>313</v>
      </c>
      <c r="I330" s="33">
        <f t="shared" si="6"/>
        <v>42</v>
      </c>
    </row>
    <row r="331" spans="1:9" ht="15.75" customHeight="1">
      <c r="A331" s="39">
        <v>319</v>
      </c>
      <c r="B331" s="39"/>
      <c r="C331" s="39" t="s">
        <v>771</v>
      </c>
      <c r="D331" s="53" t="s">
        <v>788</v>
      </c>
      <c r="E331" s="53" t="s">
        <v>996</v>
      </c>
      <c r="F331" s="110" t="s">
        <v>637</v>
      </c>
      <c r="G331" s="46">
        <v>313</v>
      </c>
      <c r="H331" s="46">
        <v>271</v>
      </c>
      <c r="I331" s="33">
        <f t="shared" si="6"/>
        <v>42</v>
      </c>
    </row>
    <row r="332" spans="1:9" ht="15.75" customHeight="1">
      <c r="A332" s="39">
        <v>320</v>
      </c>
      <c r="B332" s="39"/>
      <c r="C332" s="39" t="s">
        <v>997</v>
      </c>
      <c r="D332" s="53" t="s">
        <v>788</v>
      </c>
      <c r="E332" s="53" t="s">
        <v>998</v>
      </c>
      <c r="F332" s="110" t="s">
        <v>637</v>
      </c>
      <c r="G332" s="46">
        <v>44</v>
      </c>
      <c r="H332" s="46">
        <v>0</v>
      </c>
      <c r="I332" s="33">
        <f t="shared" si="6"/>
        <v>44</v>
      </c>
    </row>
    <row r="333" spans="1:9" ht="15.75" customHeight="1">
      <c r="A333" s="39">
        <v>321</v>
      </c>
      <c r="B333" s="39"/>
      <c r="C333" s="46" t="s">
        <v>999</v>
      </c>
      <c r="D333" s="53" t="s">
        <v>788</v>
      </c>
      <c r="E333" s="53" t="s">
        <v>1000</v>
      </c>
      <c r="F333" s="110" t="s">
        <v>637</v>
      </c>
      <c r="G333" s="46">
        <v>43</v>
      </c>
      <c r="H333" s="46">
        <v>0</v>
      </c>
      <c r="I333" s="33">
        <f t="shared" si="6"/>
        <v>43</v>
      </c>
    </row>
    <row r="334" spans="1:9" ht="15.75" customHeight="1">
      <c r="A334" s="39">
        <v>322</v>
      </c>
      <c r="B334" s="39"/>
      <c r="C334" s="39" t="s">
        <v>771</v>
      </c>
      <c r="D334" s="53" t="s">
        <v>788</v>
      </c>
      <c r="E334" s="53" t="s">
        <v>1001</v>
      </c>
      <c r="F334" s="110" t="s">
        <v>637</v>
      </c>
      <c r="G334" s="46">
        <v>673</v>
      </c>
      <c r="H334" s="46">
        <v>634</v>
      </c>
      <c r="I334" s="33">
        <f t="shared" si="6"/>
        <v>39</v>
      </c>
    </row>
    <row r="335" spans="1:9" ht="15.75" customHeight="1">
      <c r="A335" s="39">
        <v>323</v>
      </c>
      <c r="B335" s="39"/>
      <c r="C335" s="39" t="s">
        <v>771</v>
      </c>
      <c r="D335" s="53" t="s">
        <v>788</v>
      </c>
      <c r="E335" s="53" t="s">
        <v>1002</v>
      </c>
      <c r="F335" s="110" t="s">
        <v>637</v>
      </c>
      <c r="G335" s="46">
        <v>634</v>
      </c>
      <c r="H335" s="46">
        <v>595</v>
      </c>
      <c r="I335" s="33">
        <f t="shared" si="6"/>
        <v>39</v>
      </c>
    </row>
    <row r="336" spans="1:9" ht="15.75" customHeight="1">
      <c r="A336" s="39">
        <v>324</v>
      </c>
      <c r="B336" s="39"/>
      <c r="C336" s="39" t="s">
        <v>771</v>
      </c>
      <c r="D336" s="53" t="s">
        <v>788</v>
      </c>
      <c r="E336" s="53" t="s">
        <v>1003</v>
      </c>
      <c r="F336" s="110" t="s">
        <v>637</v>
      </c>
      <c r="G336" s="46">
        <v>595</v>
      </c>
      <c r="H336" s="46">
        <v>556</v>
      </c>
      <c r="I336" s="33">
        <f t="shared" si="6"/>
        <v>39</v>
      </c>
    </row>
    <row r="337" spans="1:9" ht="15.75" customHeight="1">
      <c r="A337" s="39">
        <v>325</v>
      </c>
      <c r="B337" s="39"/>
      <c r="C337" s="39" t="s">
        <v>771</v>
      </c>
      <c r="D337" s="53" t="s">
        <v>788</v>
      </c>
      <c r="E337" s="53" t="s">
        <v>1004</v>
      </c>
      <c r="F337" s="110" t="s">
        <v>637</v>
      </c>
      <c r="G337" s="46">
        <v>556</v>
      </c>
      <c r="H337" s="46">
        <v>517</v>
      </c>
      <c r="I337" s="33">
        <f t="shared" si="6"/>
        <v>39</v>
      </c>
    </row>
    <row r="338" spans="1:9" ht="15.75" customHeight="1">
      <c r="A338" s="39">
        <v>326</v>
      </c>
      <c r="B338" s="39"/>
      <c r="C338" s="39" t="s">
        <v>771</v>
      </c>
      <c r="D338" s="53" t="s">
        <v>788</v>
      </c>
      <c r="E338" s="53" t="s">
        <v>1005</v>
      </c>
      <c r="F338" s="110" t="s">
        <v>637</v>
      </c>
      <c r="G338" s="46">
        <v>517</v>
      </c>
      <c r="H338" s="46">
        <v>478</v>
      </c>
      <c r="I338" s="33">
        <f t="shared" si="6"/>
        <v>39</v>
      </c>
    </row>
    <row r="339" spans="1:9" ht="15.75" customHeight="1">
      <c r="A339" s="39">
        <v>327</v>
      </c>
      <c r="B339" s="39"/>
      <c r="C339" s="39" t="s">
        <v>771</v>
      </c>
      <c r="D339" s="53" t="s">
        <v>788</v>
      </c>
      <c r="E339" s="53" t="s">
        <v>1006</v>
      </c>
      <c r="F339" s="110" t="s">
        <v>637</v>
      </c>
      <c r="G339" s="46">
        <v>478</v>
      </c>
      <c r="H339" s="46">
        <v>439</v>
      </c>
      <c r="I339" s="33">
        <f t="shared" si="6"/>
        <v>39</v>
      </c>
    </row>
    <row r="340" spans="1:9" ht="15.75" customHeight="1">
      <c r="A340" s="39">
        <v>328</v>
      </c>
      <c r="B340" s="39"/>
      <c r="C340" s="39" t="s">
        <v>771</v>
      </c>
      <c r="D340" s="53" t="s">
        <v>788</v>
      </c>
      <c r="E340" s="53" t="s">
        <v>1007</v>
      </c>
      <c r="F340" s="110" t="s">
        <v>637</v>
      </c>
      <c r="G340" s="46">
        <v>709</v>
      </c>
      <c r="H340" s="46">
        <v>673</v>
      </c>
      <c r="I340" s="33">
        <f t="shared" si="6"/>
        <v>36</v>
      </c>
    </row>
    <row r="341" spans="1:9" ht="15.75" customHeight="1">
      <c r="A341" s="39">
        <v>329</v>
      </c>
      <c r="B341" s="39"/>
      <c r="C341" s="39" t="s">
        <v>771</v>
      </c>
      <c r="D341" s="53" t="s">
        <v>788</v>
      </c>
      <c r="E341" s="53" t="s">
        <v>1008</v>
      </c>
      <c r="F341" s="110" t="s">
        <v>637</v>
      </c>
      <c r="G341" s="46">
        <v>745</v>
      </c>
      <c r="H341" s="46">
        <v>709</v>
      </c>
      <c r="I341" s="33">
        <f t="shared" si="6"/>
        <v>36</v>
      </c>
    </row>
    <row r="342" spans="1:9" ht="15.75" customHeight="1">
      <c r="A342" s="39">
        <v>330</v>
      </c>
      <c r="B342" s="39"/>
      <c r="C342" s="39" t="s">
        <v>771</v>
      </c>
      <c r="D342" s="53" t="s">
        <v>788</v>
      </c>
      <c r="E342" s="53" t="s">
        <v>1009</v>
      </c>
      <c r="F342" s="110" t="s">
        <v>637</v>
      </c>
      <c r="G342" s="46">
        <v>781</v>
      </c>
      <c r="H342" s="46">
        <v>745</v>
      </c>
      <c r="I342" s="33">
        <f t="shared" si="6"/>
        <v>36</v>
      </c>
    </row>
    <row r="343" spans="1:9" ht="15.75" customHeight="1">
      <c r="A343" s="39">
        <v>331</v>
      </c>
      <c r="B343" s="39"/>
      <c r="C343" s="39" t="s">
        <v>771</v>
      </c>
      <c r="D343" s="53" t="s">
        <v>788</v>
      </c>
      <c r="E343" s="53" t="s">
        <v>1010</v>
      </c>
      <c r="F343" s="110" t="s">
        <v>637</v>
      </c>
      <c r="G343" s="46">
        <v>817</v>
      </c>
      <c r="H343" s="46">
        <v>781</v>
      </c>
      <c r="I343" s="33">
        <f t="shared" si="6"/>
        <v>36</v>
      </c>
    </row>
    <row r="344" spans="1:9" ht="15.75" customHeight="1">
      <c r="A344" s="39">
        <v>332</v>
      </c>
      <c r="B344" s="39"/>
      <c r="C344" s="39" t="s">
        <v>771</v>
      </c>
      <c r="D344" s="53" t="s">
        <v>788</v>
      </c>
      <c r="E344" s="53" t="s">
        <v>1011</v>
      </c>
      <c r="F344" s="110" t="s">
        <v>637</v>
      </c>
      <c r="G344" s="46">
        <v>853</v>
      </c>
      <c r="H344" s="46">
        <v>817</v>
      </c>
      <c r="I344" s="33">
        <f t="shared" si="6"/>
        <v>36</v>
      </c>
    </row>
    <row r="345" spans="1:9" ht="15.75" customHeight="1">
      <c r="A345" s="69" t="s">
        <v>116</v>
      </c>
      <c r="B345" s="69"/>
      <c r="C345" s="69"/>
      <c r="D345" s="69"/>
      <c r="E345" s="69"/>
      <c r="F345" s="69"/>
      <c r="G345" s="69"/>
      <c r="H345" s="69"/>
      <c r="I345" s="42">
        <f>SUM(I3:I344)</f>
        <v>24777</v>
      </c>
    </row>
  </sheetData>
  <autoFilter ref="C1:C345"/>
  <pageMargins left="0.7" right="0.21" top="0.55000000000000004" bottom="0.51" header="0" footer="0"/>
  <pageSetup paperSize="9" orientation="portrait"/>
</worksheet>
</file>

<file path=xl/worksheets/sheet2.xml><?xml version="1.0" encoding="utf-8"?>
<worksheet xmlns="http://schemas.openxmlformats.org/spreadsheetml/2006/main" xmlns:r="http://schemas.openxmlformats.org/officeDocument/2006/relationships">
  <sheetPr>
    <pageSetUpPr fitToPage="1"/>
  </sheetPr>
  <dimension ref="A1:Q100"/>
  <sheetViews>
    <sheetView workbookViewId="0"/>
  </sheetViews>
  <sheetFormatPr defaultColWidth="14.42578125" defaultRowHeight="15" customHeight="1"/>
  <cols>
    <col min="1" max="1" width="5.7109375" customWidth="1"/>
    <col min="2" max="2" width="53.140625" customWidth="1"/>
    <col min="3" max="3" width="5.85546875" customWidth="1"/>
    <col min="4" max="4" width="8.42578125" customWidth="1"/>
    <col min="5" max="5" width="14.42578125" customWidth="1"/>
    <col min="6" max="6" width="6.42578125" customWidth="1"/>
    <col min="7" max="7" width="15.5703125" customWidth="1"/>
    <col min="8" max="8" width="7" customWidth="1"/>
    <col min="9" max="9" width="13.42578125" customWidth="1"/>
    <col min="10" max="10" width="9.42578125" customWidth="1"/>
    <col min="11" max="11" width="7.5703125" customWidth="1"/>
    <col min="12" max="12" width="12.28515625" customWidth="1"/>
    <col min="13" max="13" width="9.42578125" customWidth="1"/>
    <col min="14" max="14" width="7.85546875" customWidth="1"/>
    <col min="15" max="15" width="12.28515625" customWidth="1"/>
    <col min="16" max="16" width="9.42578125" customWidth="1"/>
    <col min="17" max="17" width="13.42578125" customWidth="1"/>
  </cols>
  <sheetData>
    <row r="1" spans="1:17" ht="15.75">
      <c r="A1" s="198" t="s">
        <v>22</v>
      </c>
      <c r="B1" s="165"/>
      <c r="C1" s="198" t="s">
        <v>23</v>
      </c>
      <c r="D1" s="164"/>
      <c r="E1" s="164"/>
      <c r="F1" s="164"/>
      <c r="G1" s="165"/>
      <c r="H1" s="200">
        <v>44936</v>
      </c>
      <c r="I1" s="164"/>
      <c r="J1" s="165"/>
      <c r="K1" s="198" t="s">
        <v>24</v>
      </c>
      <c r="L1" s="165"/>
      <c r="M1" s="201" t="s">
        <v>25</v>
      </c>
      <c r="N1" s="164"/>
      <c r="O1" s="164"/>
      <c r="P1" s="164"/>
      <c r="Q1" s="165"/>
    </row>
    <row r="2" spans="1:17" ht="15.75">
      <c r="A2" s="198" t="s">
        <v>26</v>
      </c>
      <c r="B2" s="165"/>
      <c r="C2" s="198" t="s">
        <v>27</v>
      </c>
      <c r="D2" s="164"/>
      <c r="E2" s="164"/>
      <c r="F2" s="164"/>
      <c r="G2" s="165"/>
      <c r="H2" s="201" t="s">
        <v>28</v>
      </c>
      <c r="I2" s="164"/>
      <c r="J2" s="165"/>
      <c r="K2" s="198" t="s">
        <v>29</v>
      </c>
      <c r="L2" s="165"/>
      <c r="M2" s="201"/>
      <c r="N2" s="164"/>
      <c r="O2" s="164"/>
      <c r="P2" s="164"/>
      <c r="Q2" s="165"/>
    </row>
    <row r="3" spans="1:17" ht="15.75">
      <c r="A3" s="198" t="s">
        <v>30</v>
      </c>
      <c r="B3" s="165"/>
      <c r="C3" s="198">
        <v>2</v>
      </c>
      <c r="D3" s="164"/>
      <c r="E3" s="164"/>
      <c r="F3" s="164"/>
      <c r="G3" s="165"/>
      <c r="H3" s="201"/>
      <c r="I3" s="164"/>
      <c r="J3" s="165"/>
      <c r="K3" s="198" t="s">
        <v>31</v>
      </c>
      <c r="L3" s="165"/>
      <c r="M3" s="201" t="s">
        <v>32</v>
      </c>
      <c r="N3" s="164"/>
      <c r="O3" s="164"/>
      <c r="P3" s="164"/>
      <c r="Q3" s="165"/>
    </row>
    <row r="4" spans="1:17" ht="15.75">
      <c r="A4" s="202" t="s">
        <v>13</v>
      </c>
      <c r="B4" s="202" t="s">
        <v>33</v>
      </c>
      <c r="C4" s="202" t="s">
        <v>34</v>
      </c>
      <c r="D4" s="199" t="s">
        <v>35</v>
      </c>
      <c r="E4" s="164"/>
      <c r="F4" s="164"/>
      <c r="G4" s="165"/>
      <c r="H4" s="201" t="s">
        <v>16</v>
      </c>
      <c r="I4" s="164"/>
      <c r="J4" s="165"/>
      <c r="K4" s="201" t="s">
        <v>17</v>
      </c>
      <c r="L4" s="164"/>
      <c r="M4" s="165"/>
      <c r="N4" s="201" t="s">
        <v>18</v>
      </c>
      <c r="O4" s="164"/>
      <c r="P4" s="165"/>
      <c r="Q4" s="202" t="s">
        <v>36</v>
      </c>
    </row>
    <row r="5" spans="1:17" ht="15.75">
      <c r="A5" s="203"/>
      <c r="B5" s="203"/>
      <c r="C5" s="203"/>
      <c r="D5" s="25" t="s">
        <v>37</v>
      </c>
      <c r="E5" s="25" t="s">
        <v>38</v>
      </c>
      <c r="F5" s="25" t="s">
        <v>39</v>
      </c>
      <c r="G5" s="25" t="s">
        <v>40</v>
      </c>
      <c r="H5" s="25" t="s">
        <v>38</v>
      </c>
      <c r="I5" s="25" t="s">
        <v>41</v>
      </c>
      <c r="J5" s="25" t="s">
        <v>42</v>
      </c>
      <c r="K5" s="25" t="s">
        <v>38</v>
      </c>
      <c r="L5" s="25" t="s">
        <v>41</v>
      </c>
      <c r="M5" s="25" t="s">
        <v>42</v>
      </c>
      <c r="N5" s="25" t="s">
        <v>38</v>
      </c>
      <c r="O5" s="25" t="s">
        <v>41</v>
      </c>
      <c r="P5" s="25" t="s">
        <v>42</v>
      </c>
      <c r="Q5" s="203"/>
    </row>
    <row r="6" spans="1:17" ht="15.75">
      <c r="A6" s="16">
        <v>1</v>
      </c>
      <c r="B6" s="17" t="s">
        <v>43</v>
      </c>
      <c r="C6" s="26" t="s">
        <v>44</v>
      </c>
      <c r="D6" s="26">
        <v>995461</v>
      </c>
      <c r="E6" s="17">
        <v>13000</v>
      </c>
      <c r="F6" s="16">
        <v>30</v>
      </c>
      <c r="G6" s="16">
        <f t="shared" ref="G6:G33" si="0">F6*E6</f>
        <v>390000</v>
      </c>
      <c r="H6" s="16">
        <v>1500</v>
      </c>
      <c r="I6" s="27">
        <v>1</v>
      </c>
      <c r="J6" s="16">
        <f t="shared" ref="J6:J33" si="1">H6*F6</f>
        <v>45000</v>
      </c>
      <c r="K6" s="28">
        <f>'B-1.'!H149</f>
        <v>3500</v>
      </c>
      <c r="L6" s="27">
        <v>1</v>
      </c>
      <c r="M6" s="16">
        <f t="shared" ref="M6:M33" si="2">K6*F6</f>
        <v>105000</v>
      </c>
      <c r="N6" s="16">
        <f t="shared" ref="N6:N33" si="3">K6+H6</f>
        <v>5000</v>
      </c>
      <c r="O6" s="27">
        <v>1</v>
      </c>
      <c r="P6" s="16">
        <f t="shared" ref="P6:P33" si="4">O6*N6*F6</f>
        <v>150000</v>
      </c>
      <c r="Q6" s="29"/>
    </row>
    <row r="7" spans="1:17" ht="39.75" customHeight="1">
      <c r="A7" s="16">
        <v>2</v>
      </c>
      <c r="B7" s="17" t="s">
        <v>45</v>
      </c>
      <c r="C7" s="26" t="s">
        <v>44</v>
      </c>
      <c r="D7" s="26">
        <v>995461</v>
      </c>
      <c r="E7" s="16">
        <v>6000</v>
      </c>
      <c r="F7" s="16">
        <v>32</v>
      </c>
      <c r="G7" s="16">
        <f t="shared" si="0"/>
        <v>192000</v>
      </c>
      <c r="H7" s="16">
        <v>200</v>
      </c>
      <c r="I7" s="27">
        <v>1</v>
      </c>
      <c r="J7" s="16">
        <f t="shared" si="1"/>
        <v>6400</v>
      </c>
      <c r="K7" s="28">
        <f>'B-1.'!H160</f>
        <v>100</v>
      </c>
      <c r="L7" s="27">
        <v>1</v>
      </c>
      <c r="M7" s="16">
        <f t="shared" si="2"/>
        <v>3200</v>
      </c>
      <c r="N7" s="16">
        <f t="shared" si="3"/>
        <v>300</v>
      </c>
      <c r="O7" s="27">
        <v>1</v>
      </c>
      <c r="P7" s="16">
        <f t="shared" si="4"/>
        <v>9600</v>
      </c>
      <c r="Q7" s="16"/>
    </row>
    <row r="8" spans="1:17" ht="40.5" customHeight="1">
      <c r="A8" s="16">
        <v>3</v>
      </c>
      <c r="B8" s="17" t="s">
        <v>46</v>
      </c>
      <c r="C8" s="26" t="s">
        <v>47</v>
      </c>
      <c r="D8" s="26">
        <v>995461</v>
      </c>
      <c r="E8" s="16">
        <v>17</v>
      </c>
      <c r="F8" s="16">
        <v>400</v>
      </c>
      <c r="G8" s="16">
        <f t="shared" si="0"/>
        <v>6800</v>
      </c>
      <c r="H8" s="16">
        <v>0</v>
      </c>
      <c r="I8" s="27">
        <v>1</v>
      </c>
      <c r="J8" s="16">
        <f t="shared" si="1"/>
        <v>0</v>
      </c>
      <c r="K8" s="28">
        <v>0</v>
      </c>
      <c r="L8" s="27">
        <v>1</v>
      </c>
      <c r="M8" s="16">
        <f t="shared" si="2"/>
        <v>0</v>
      </c>
      <c r="N8" s="16">
        <f t="shared" si="3"/>
        <v>0</v>
      </c>
      <c r="O8" s="27">
        <v>1</v>
      </c>
      <c r="P8" s="16">
        <f t="shared" si="4"/>
        <v>0</v>
      </c>
      <c r="Q8" s="16"/>
    </row>
    <row r="9" spans="1:17" ht="42" customHeight="1">
      <c r="A9" s="16">
        <v>4</v>
      </c>
      <c r="B9" s="17" t="s">
        <v>48</v>
      </c>
      <c r="C9" s="26" t="s">
        <v>49</v>
      </c>
      <c r="D9" s="26">
        <v>995461</v>
      </c>
      <c r="E9" s="16">
        <v>15000</v>
      </c>
      <c r="F9" s="16">
        <v>21</v>
      </c>
      <c r="G9" s="16">
        <f t="shared" si="0"/>
        <v>315000</v>
      </c>
      <c r="H9" s="16">
        <v>5600</v>
      </c>
      <c r="I9" s="27">
        <v>1</v>
      </c>
      <c r="J9" s="16">
        <f t="shared" si="1"/>
        <v>117600</v>
      </c>
      <c r="K9" s="30">
        <f>'MS ANGLE (2)'!L96</f>
        <v>6753.2279999999992</v>
      </c>
      <c r="L9" s="27">
        <v>1</v>
      </c>
      <c r="M9" s="16">
        <f t="shared" si="2"/>
        <v>141817.78799999997</v>
      </c>
      <c r="N9" s="16">
        <f t="shared" si="3"/>
        <v>12353.227999999999</v>
      </c>
      <c r="O9" s="27">
        <v>1</v>
      </c>
      <c r="P9" s="16">
        <f t="shared" si="4"/>
        <v>259417.78799999997</v>
      </c>
      <c r="Q9" s="16"/>
    </row>
    <row r="10" spans="1:17" ht="42" customHeight="1">
      <c r="A10" s="16">
        <v>5</v>
      </c>
      <c r="B10" s="17" t="s">
        <v>50</v>
      </c>
      <c r="C10" s="26" t="s">
        <v>49</v>
      </c>
      <c r="D10" s="26">
        <v>995461</v>
      </c>
      <c r="E10" s="16">
        <v>5000</v>
      </c>
      <c r="F10" s="16">
        <v>21</v>
      </c>
      <c r="G10" s="16">
        <f t="shared" si="0"/>
        <v>105000</v>
      </c>
      <c r="H10" s="16">
        <v>0</v>
      </c>
      <c r="I10" s="27">
        <v>1</v>
      </c>
      <c r="J10" s="16">
        <f t="shared" si="1"/>
        <v>0</v>
      </c>
      <c r="K10" s="28">
        <f>'MS ANGLE (2)'!L97</f>
        <v>1000</v>
      </c>
      <c r="L10" s="27">
        <v>1</v>
      </c>
      <c r="M10" s="16">
        <f t="shared" si="2"/>
        <v>21000</v>
      </c>
      <c r="N10" s="16">
        <f t="shared" si="3"/>
        <v>1000</v>
      </c>
      <c r="O10" s="27">
        <v>1</v>
      </c>
      <c r="P10" s="16">
        <f t="shared" si="4"/>
        <v>21000</v>
      </c>
      <c r="Q10" s="16"/>
    </row>
    <row r="11" spans="1:17" ht="42" customHeight="1">
      <c r="A11" s="16">
        <v>6</v>
      </c>
      <c r="B11" s="17" t="s">
        <v>51</v>
      </c>
      <c r="C11" s="26" t="s">
        <v>44</v>
      </c>
      <c r="D11" s="26">
        <v>995461</v>
      </c>
      <c r="E11" s="16">
        <v>800</v>
      </c>
      <c r="F11" s="16">
        <v>35</v>
      </c>
      <c r="G11" s="16">
        <f t="shared" si="0"/>
        <v>28000</v>
      </c>
      <c r="H11" s="16">
        <v>140</v>
      </c>
      <c r="I11" s="27">
        <v>1</v>
      </c>
      <c r="J11" s="16">
        <f t="shared" si="1"/>
        <v>4900</v>
      </c>
      <c r="K11" s="30">
        <f>tray!H6</f>
        <v>337.00000000000006</v>
      </c>
      <c r="L11" s="27">
        <v>1</v>
      </c>
      <c r="M11" s="16">
        <f t="shared" si="2"/>
        <v>11795.000000000002</v>
      </c>
      <c r="N11" s="16">
        <f t="shared" si="3"/>
        <v>477.00000000000006</v>
      </c>
      <c r="O11" s="27">
        <v>1</v>
      </c>
      <c r="P11" s="16">
        <f t="shared" si="4"/>
        <v>16695.000000000004</v>
      </c>
      <c r="Q11" s="16"/>
    </row>
    <row r="12" spans="1:17" ht="42" customHeight="1">
      <c r="A12" s="16">
        <v>7</v>
      </c>
      <c r="B12" s="17" t="s">
        <v>52</v>
      </c>
      <c r="C12" s="26" t="s">
        <v>44</v>
      </c>
      <c r="D12" s="26">
        <v>995461</v>
      </c>
      <c r="E12" s="16">
        <v>750</v>
      </c>
      <c r="F12" s="16">
        <v>32</v>
      </c>
      <c r="G12" s="16">
        <f t="shared" si="0"/>
        <v>24000</v>
      </c>
      <c r="H12" s="16">
        <v>380</v>
      </c>
      <c r="I12" s="27">
        <v>1</v>
      </c>
      <c r="J12" s="16">
        <f t="shared" si="1"/>
        <v>12160</v>
      </c>
      <c r="K12" s="30">
        <f>tray!H18</f>
        <v>353.10000000000014</v>
      </c>
      <c r="L12" s="27">
        <v>1</v>
      </c>
      <c r="M12" s="16">
        <f t="shared" si="2"/>
        <v>11299.200000000004</v>
      </c>
      <c r="N12" s="16">
        <f t="shared" si="3"/>
        <v>733.10000000000014</v>
      </c>
      <c r="O12" s="27">
        <v>1</v>
      </c>
      <c r="P12" s="16">
        <f t="shared" si="4"/>
        <v>23459.200000000004</v>
      </c>
      <c r="Q12" s="16"/>
    </row>
    <row r="13" spans="1:17" ht="42" customHeight="1">
      <c r="A13" s="16">
        <v>8</v>
      </c>
      <c r="B13" s="17" t="s">
        <v>53</v>
      </c>
      <c r="C13" s="26" t="s">
        <v>44</v>
      </c>
      <c r="D13" s="26">
        <v>995461</v>
      </c>
      <c r="E13" s="16">
        <v>100</v>
      </c>
      <c r="F13" s="16">
        <v>30</v>
      </c>
      <c r="G13" s="16">
        <f t="shared" si="0"/>
        <v>3000</v>
      </c>
      <c r="H13" s="16">
        <v>0</v>
      </c>
      <c r="I13" s="27">
        <v>1</v>
      </c>
      <c r="J13" s="16">
        <f t="shared" si="1"/>
        <v>0</v>
      </c>
      <c r="K13" s="30">
        <v>0</v>
      </c>
      <c r="L13" s="27">
        <v>1</v>
      </c>
      <c r="M13" s="16">
        <f t="shared" si="2"/>
        <v>0</v>
      </c>
      <c r="N13" s="16">
        <f t="shared" si="3"/>
        <v>0</v>
      </c>
      <c r="O13" s="27">
        <v>1</v>
      </c>
      <c r="P13" s="16">
        <f t="shared" si="4"/>
        <v>0</v>
      </c>
      <c r="Q13" s="16"/>
    </row>
    <row r="14" spans="1:17" ht="42" customHeight="1">
      <c r="A14" s="16">
        <v>9</v>
      </c>
      <c r="B14" s="17" t="s">
        <v>54</v>
      </c>
      <c r="C14" s="26" t="s">
        <v>44</v>
      </c>
      <c r="D14" s="26">
        <v>995461</v>
      </c>
      <c r="E14" s="16">
        <v>100</v>
      </c>
      <c r="F14" s="16">
        <v>30</v>
      </c>
      <c r="G14" s="16">
        <f t="shared" si="0"/>
        <v>3000</v>
      </c>
      <c r="H14" s="16">
        <v>0</v>
      </c>
      <c r="I14" s="27">
        <v>1</v>
      </c>
      <c r="J14" s="16">
        <f t="shared" si="1"/>
        <v>0</v>
      </c>
      <c r="K14" s="30">
        <v>0</v>
      </c>
      <c r="L14" s="27">
        <v>1</v>
      </c>
      <c r="M14" s="16">
        <f t="shared" si="2"/>
        <v>0</v>
      </c>
      <c r="N14" s="16">
        <f t="shared" si="3"/>
        <v>0</v>
      </c>
      <c r="O14" s="27">
        <v>1</v>
      </c>
      <c r="P14" s="16">
        <f t="shared" si="4"/>
        <v>0</v>
      </c>
      <c r="Q14" s="16"/>
    </row>
    <row r="15" spans="1:17" ht="42" customHeight="1">
      <c r="A15" s="16">
        <v>10</v>
      </c>
      <c r="B15" s="17" t="s">
        <v>55</v>
      </c>
      <c r="C15" s="26" t="s">
        <v>44</v>
      </c>
      <c r="D15" s="26">
        <v>995461</v>
      </c>
      <c r="E15" s="16">
        <v>100</v>
      </c>
      <c r="F15" s="16">
        <v>75</v>
      </c>
      <c r="G15" s="16">
        <f t="shared" si="0"/>
        <v>7500</v>
      </c>
      <c r="H15" s="16">
        <v>0</v>
      </c>
      <c r="I15" s="27">
        <v>1</v>
      </c>
      <c r="J15" s="16">
        <f t="shared" si="1"/>
        <v>0</v>
      </c>
      <c r="K15" s="30">
        <v>0</v>
      </c>
      <c r="L15" s="27">
        <v>1</v>
      </c>
      <c r="M15" s="16">
        <f t="shared" si="2"/>
        <v>0</v>
      </c>
      <c r="N15" s="16">
        <f t="shared" si="3"/>
        <v>0</v>
      </c>
      <c r="O15" s="27">
        <v>1</v>
      </c>
      <c r="P15" s="16">
        <f t="shared" si="4"/>
        <v>0</v>
      </c>
      <c r="Q15" s="16"/>
    </row>
    <row r="16" spans="1:17" ht="42" customHeight="1">
      <c r="A16" s="16">
        <v>11</v>
      </c>
      <c r="B16" s="17" t="s">
        <v>56</v>
      </c>
      <c r="C16" s="26" t="s">
        <v>44</v>
      </c>
      <c r="D16" s="26">
        <v>995461</v>
      </c>
      <c r="E16" s="16">
        <v>3000</v>
      </c>
      <c r="F16" s="16">
        <v>70</v>
      </c>
      <c r="G16" s="16">
        <f t="shared" si="0"/>
        <v>210000</v>
      </c>
      <c r="H16" s="16">
        <v>60</v>
      </c>
      <c r="I16" s="27">
        <v>1</v>
      </c>
      <c r="J16" s="16">
        <f t="shared" si="1"/>
        <v>4200</v>
      </c>
      <c r="K16" s="30">
        <f>tray!H31</f>
        <v>230.39999999999998</v>
      </c>
      <c r="L16" s="27">
        <v>1</v>
      </c>
      <c r="M16" s="16">
        <f t="shared" si="2"/>
        <v>16127.999999999998</v>
      </c>
      <c r="N16" s="16">
        <f t="shared" si="3"/>
        <v>290.39999999999998</v>
      </c>
      <c r="O16" s="27">
        <v>1</v>
      </c>
      <c r="P16" s="16">
        <f t="shared" si="4"/>
        <v>20328</v>
      </c>
      <c r="Q16" s="16"/>
    </row>
    <row r="17" spans="1:17" ht="42" customHeight="1">
      <c r="A17" s="16">
        <v>12</v>
      </c>
      <c r="B17" s="17" t="s">
        <v>57</v>
      </c>
      <c r="C17" s="26" t="s">
        <v>44</v>
      </c>
      <c r="D17" s="26">
        <v>995461</v>
      </c>
      <c r="E17" s="16">
        <v>25</v>
      </c>
      <c r="F17" s="16">
        <v>60</v>
      </c>
      <c r="G17" s="16">
        <f t="shared" si="0"/>
        <v>1500</v>
      </c>
      <c r="H17" s="16">
        <v>0</v>
      </c>
      <c r="I17" s="27">
        <v>1</v>
      </c>
      <c r="J17" s="16">
        <f t="shared" si="1"/>
        <v>0</v>
      </c>
      <c r="K17" s="31">
        <f>tray!H38</f>
        <v>25</v>
      </c>
      <c r="L17" s="27">
        <v>1</v>
      </c>
      <c r="M17" s="16">
        <f t="shared" si="2"/>
        <v>1500</v>
      </c>
      <c r="N17" s="16">
        <f t="shared" si="3"/>
        <v>25</v>
      </c>
      <c r="O17" s="27">
        <v>1</v>
      </c>
      <c r="P17" s="16">
        <f t="shared" si="4"/>
        <v>1500</v>
      </c>
      <c r="Q17" s="16"/>
    </row>
    <row r="18" spans="1:17" ht="42" customHeight="1">
      <c r="A18" s="16">
        <v>13</v>
      </c>
      <c r="B18" s="17" t="s">
        <v>58</v>
      </c>
      <c r="C18" s="26" t="s">
        <v>44</v>
      </c>
      <c r="D18" s="26">
        <v>995461</v>
      </c>
      <c r="E18" s="16">
        <v>100</v>
      </c>
      <c r="F18" s="16">
        <v>55</v>
      </c>
      <c r="G18" s="16">
        <f t="shared" si="0"/>
        <v>5500</v>
      </c>
      <c r="H18" s="16">
        <v>0</v>
      </c>
      <c r="I18" s="27">
        <v>1</v>
      </c>
      <c r="J18" s="16">
        <f t="shared" si="1"/>
        <v>0</v>
      </c>
      <c r="K18" s="30">
        <f>tray!H39</f>
        <v>59.5</v>
      </c>
      <c r="L18" s="27">
        <v>1</v>
      </c>
      <c r="M18" s="16">
        <f t="shared" si="2"/>
        <v>3272.5</v>
      </c>
      <c r="N18" s="16">
        <f t="shared" si="3"/>
        <v>59.5</v>
      </c>
      <c r="O18" s="27">
        <v>1</v>
      </c>
      <c r="P18" s="16">
        <f t="shared" si="4"/>
        <v>3272.5</v>
      </c>
      <c r="Q18" s="16"/>
    </row>
    <row r="19" spans="1:17" ht="42" customHeight="1">
      <c r="A19" s="16">
        <v>14</v>
      </c>
      <c r="B19" s="17" t="s">
        <v>59</v>
      </c>
      <c r="C19" s="26" t="s">
        <v>44</v>
      </c>
      <c r="D19" s="26">
        <v>995461</v>
      </c>
      <c r="E19" s="16">
        <v>100</v>
      </c>
      <c r="F19" s="16">
        <v>35</v>
      </c>
      <c r="G19" s="16">
        <f t="shared" si="0"/>
        <v>3500</v>
      </c>
      <c r="H19" s="16">
        <v>0</v>
      </c>
      <c r="I19" s="27">
        <v>1</v>
      </c>
      <c r="J19" s="16">
        <f t="shared" si="1"/>
        <v>0</v>
      </c>
      <c r="K19" s="30">
        <f>tray!H41</f>
        <v>16.600000000000001</v>
      </c>
      <c r="L19" s="27">
        <v>1</v>
      </c>
      <c r="M19" s="16">
        <f t="shared" si="2"/>
        <v>581</v>
      </c>
      <c r="N19" s="16">
        <f t="shared" si="3"/>
        <v>16.600000000000001</v>
      </c>
      <c r="O19" s="27">
        <v>1</v>
      </c>
      <c r="P19" s="16">
        <f t="shared" si="4"/>
        <v>581</v>
      </c>
      <c r="Q19" s="16"/>
    </row>
    <row r="20" spans="1:17" ht="42" customHeight="1">
      <c r="A20" s="16">
        <v>15</v>
      </c>
      <c r="B20" s="17" t="s">
        <v>60</v>
      </c>
      <c r="C20" s="26" t="s">
        <v>44</v>
      </c>
      <c r="D20" s="26">
        <v>995461</v>
      </c>
      <c r="E20" s="16">
        <v>200</v>
      </c>
      <c r="F20" s="16">
        <v>30</v>
      </c>
      <c r="G20" s="16">
        <f t="shared" si="0"/>
        <v>6000</v>
      </c>
      <c r="H20" s="16">
        <v>0</v>
      </c>
      <c r="I20" s="27">
        <v>1</v>
      </c>
      <c r="J20" s="16">
        <f t="shared" si="1"/>
        <v>0</v>
      </c>
      <c r="K20" s="30">
        <f>tray!H40</f>
        <v>23.099999999999998</v>
      </c>
      <c r="L20" s="27">
        <v>1</v>
      </c>
      <c r="M20" s="16">
        <f t="shared" si="2"/>
        <v>692.99999999999989</v>
      </c>
      <c r="N20" s="16">
        <f t="shared" si="3"/>
        <v>23.099999999999998</v>
      </c>
      <c r="O20" s="27">
        <v>1</v>
      </c>
      <c r="P20" s="16">
        <f t="shared" si="4"/>
        <v>692.99999999999989</v>
      </c>
      <c r="Q20" s="16"/>
    </row>
    <row r="21" spans="1:17" ht="42" customHeight="1">
      <c r="A21" s="16">
        <v>16</v>
      </c>
      <c r="B21" s="17" t="s">
        <v>61</v>
      </c>
      <c r="C21" s="26" t="s">
        <v>44</v>
      </c>
      <c r="D21" s="26">
        <v>995461</v>
      </c>
      <c r="E21" s="16">
        <v>200</v>
      </c>
      <c r="F21" s="16">
        <v>35</v>
      </c>
      <c r="G21" s="16">
        <f t="shared" si="0"/>
        <v>7000</v>
      </c>
      <c r="H21" s="16">
        <v>0</v>
      </c>
      <c r="I21" s="27">
        <v>1</v>
      </c>
      <c r="J21" s="16">
        <f t="shared" si="1"/>
        <v>0</v>
      </c>
      <c r="K21" s="30">
        <v>0</v>
      </c>
      <c r="L21" s="27">
        <v>1</v>
      </c>
      <c r="M21" s="16">
        <f t="shared" si="2"/>
        <v>0</v>
      </c>
      <c r="N21" s="16">
        <f t="shared" si="3"/>
        <v>0</v>
      </c>
      <c r="O21" s="27">
        <v>1</v>
      </c>
      <c r="P21" s="16">
        <f t="shared" si="4"/>
        <v>0</v>
      </c>
      <c r="Q21" s="16"/>
    </row>
    <row r="22" spans="1:17" ht="42" customHeight="1">
      <c r="A22" s="16">
        <v>17</v>
      </c>
      <c r="B22" s="17" t="s">
        <v>62</v>
      </c>
      <c r="C22" s="26" t="s">
        <v>44</v>
      </c>
      <c r="D22" s="26">
        <v>995461</v>
      </c>
      <c r="E22" s="16">
        <v>350</v>
      </c>
      <c r="F22" s="16">
        <v>78</v>
      </c>
      <c r="G22" s="16">
        <f t="shared" si="0"/>
        <v>27300</v>
      </c>
      <c r="H22" s="16">
        <v>45</v>
      </c>
      <c r="I22" s="27">
        <v>1</v>
      </c>
      <c r="J22" s="16">
        <f t="shared" si="1"/>
        <v>3510</v>
      </c>
      <c r="K22" s="30">
        <f>tray!H23</f>
        <v>238.10000000000002</v>
      </c>
      <c r="L22" s="27">
        <v>1</v>
      </c>
      <c r="M22" s="16">
        <f t="shared" si="2"/>
        <v>18571.800000000003</v>
      </c>
      <c r="N22" s="16">
        <f t="shared" si="3"/>
        <v>283.10000000000002</v>
      </c>
      <c r="O22" s="27">
        <v>1</v>
      </c>
      <c r="P22" s="16">
        <f t="shared" si="4"/>
        <v>22081.800000000003</v>
      </c>
      <c r="Q22" s="16"/>
    </row>
    <row r="23" spans="1:17" ht="42" customHeight="1">
      <c r="A23" s="16">
        <v>18</v>
      </c>
      <c r="B23" s="17" t="s">
        <v>63</v>
      </c>
      <c r="C23" s="26" t="s">
        <v>44</v>
      </c>
      <c r="D23" s="26">
        <v>995461</v>
      </c>
      <c r="E23" s="16">
        <v>350</v>
      </c>
      <c r="F23" s="16">
        <v>70</v>
      </c>
      <c r="G23" s="16">
        <f t="shared" si="0"/>
        <v>24500</v>
      </c>
      <c r="H23" s="16">
        <v>30</v>
      </c>
      <c r="I23" s="27">
        <v>1</v>
      </c>
      <c r="J23" s="16">
        <f t="shared" si="1"/>
        <v>2100</v>
      </c>
      <c r="K23" s="30">
        <f>tray!H36</f>
        <v>83.8</v>
      </c>
      <c r="L23" s="27">
        <v>1</v>
      </c>
      <c r="M23" s="16">
        <f t="shared" si="2"/>
        <v>5866</v>
      </c>
      <c r="N23" s="16">
        <f t="shared" si="3"/>
        <v>113.8</v>
      </c>
      <c r="O23" s="27">
        <v>1</v>
      </c>
      <c r="P23" s="16">
        <f t="shared" si="4"/>
        <v>7966</v>
      </c>
      <c r="Q23" s="16"/>
    </row>
    <row r="24" spans="1:17" ht="42" customHeight="1">
      <c r="A24" s="16">
        <v>19</v>
      </c>
      <c r="B24" s="17" t="s">
        <v>64</v>
      </c>
      <c r="C24" s="26" t="s">
        <v>44</v>
      </c>
      <c r="D24" s="26">
        <v>995461</v>
      </c>
      <c r="E24" s="16">
        <v>50</v>
      </c>
      <c r="F24" s="16">
        <v>65</v>
      </c>
      <c r="G24" s="16">
        <f t="shared" si="0"/>
        <v>3250</v>
      </c>
      <c r="H24" s="16">
        <v>0</v>
      </c>
      <c r="I24" s="27">
        <v>1</v>
      </c>
      <c r="J24" s="16">
        <f t="shared" si="1"/>
        <v>0</v>
      </c>
      <c r="K24" s="30">
        <v>0</v>
      </c>
      <c r="L24" s="27">
        <v>1</v>
      </c>
      <c r="M24" s="16">
        <f t="shared" si="2"/>
        <v>0</v>
      </c>
      <c r="N24" s="16">
        <f t="shared" si="3"/>
        <v>0</v>
      </c>
      <c r="O24" s="27">
        <v>1</v>
      </c>
      <c r="P24" s="16">
        <f t="shared" si="4"/>
        <v>0</v>
      </c>
      <c r="Q24" s="16"/>
    </row>
    <row r="25" spans="1:17" ht="42" customHeight="1">
      <c r="A25" s="16">
        <v>20</v>
      </c>
      <c r="B25" s="17" t="s">
        <v>65</v>
      </c>
      <c r="C25" s="26" t="s">
        <v>44</v>
      </c>
      <c r="D25" s="26">
        <v>995461</v>
      </c>
      <c r="E25" s="16">
        <v>50</v>
      </c>
      <c r="F25" s="16">
        <v>40</v>
      </c>
      <c r="G25" s="16">
        <f t="shared" si="0"/>
        <v>2000</v>
      </c>
      <c r="H25" s="16">
        <v>0</v>
      </c>
      <c r="I25" s="27">
        <v>1</v>
      </c>
      <c r="J25" s="16">
        <f t="shared" si="1"/>
        <v>0</v>
      </c>
      <c r="K25" s="30">
        <v>0</v>
      </c>
      <c r="L25" s="27">
        <v>1</v>
      </c>
      <c r="M25" s="16">
        <f t="shared" si="2"/>
        <v>0</v>
      </c>
      <c r="N25" s="16">
        <f t="shared" si="3"/>
        <v>0</v>
      </c>
      <c r="O25" s="27">
        <v>1</v>
      </c>
      <c r="P25" s="16">
        <f t="shared" si="4"/>
        <v>0</v>
      </c>
      <c r="Q25" s="16"/>
    </row>
    <row r="26" spans="1:17" ht="42" customHeight="1">
      <c r="A26" s="16">
        <v>21</v>
      </c>
      <c r="B26" s="17" t="s">
        <v>66</v>
      </c>
      <c r="C26" s="26" t="s">
        <v>44</v>
      </c>
      <c r="D26" s="26">
        <v>995461</v>
      </c>
      <c r="E26" s="16">
        <v>4000</v>
      </c>
      <c r="F26" s="16">
        <v>25</v>
      </c>
      <c r="G26" s="16">
        <f t="shared" si="0"/>
        <v>100000</v>
      </c>
      <c r="H26" s="16">
        <v>0</v>
      </c>
      <c r="I26" s="27">
        <v>1</v>
      </c>
      <c r="J26" s="16">
        <f t="shared" si="1"/>
        <v>0</v>
      </c>
      <c r="K26" s="30">
        <v>0</v>
      </c>
      <c r="L26" s="27">
        <v>1</v>
      </c>
      <c r="M26" s="16">
        <f t="shared" si="2"/>
        <v>0</v>
      </c>
      <c r="N26" s="16">
        <f t="shared" si="3"/>
        <v>0</v>
      </c>
      <c r="O26" s="27">
        <v>1</v>
      </c>
      <c r="P26" s="16">
        <f t="shared" si="4"/>
        <v>0</v>
      </c>
      <c r="Q26" s="16"/>
    </row>
    <row r="27" spans="1:17" ht="42" customHeight="1">
      <c r="A27" s="16">
        <v>22</v>
      </c>
      <c r="B27" s="17" t="s">
        <v>67</v>
      </c>
      <c r="C27" s="26" t="s">
        <v>44</v>
      </c>
      <c r="D27" s="26">
        <v>995461</v>
      </c>
      <c r="E27" s="16">
        <v>4000</v>
      </c>
      <c r="F27" s="16">
        <v>22</v>
      </c>
      <c r="G27" s="16">
        <f t="shared" si="0"/>
        <v>88000</v>
      </c>
      <c r="H27" s="16">
        <v>0</v>
      </c>
      <c r="I27" s="27">
        <v>1</v>
      </c>
      <c r="J27" s="16">
        <f t="shared" si="1"/>
        <v>0</v>
      </c>
      <c r="K27" s="30">
        <v>0</v>
      </c>
      <c r="L27" s="27">
        <v>1</v>
      </c>
      <c r="M27" s="16">
        <f t="shared" si="2"/>
        <v>0</v>
      </c>
      <c r="N27" s="16">
        <f t="shared" si="3"/>
        <v>0</v>
      </c>
      <c r="O27" s="27">
        <v>1</v>
      </c>
      <c r="P27" s="16">
        <f t="shared" si="4"/>
        <v>0</v>
      </c>
      <c r="Q27" s="16"/>
    </row>
    <row r="28" spans="1:17" ht="42" customHeight="1">
      <c r="A28" s="16">
        <v>23</v>
      </c>
      <c r="B28" s="17" t="s">
        <v>68</v>
      </c>
      <c r="C28" s="26" t="s">
        <v>44</v>
      </c>
      <c r="D28" s="26">
        <v>995461</v>
      </c>
      <c r="E28" s="16">
        <v>4000</v>
      </c>
      <c r="F28" s="16">
        <v>20</v>
      </c>
      <c r="G28" s="16">
        <f t="shared" si="0"/>
        <v>80000</v>
      </c>
      <c r="H28" s="16">
        <v>0</v>
      </c>
      <c r="I28" s="27">
        <v>1</v>
      </c>
      <c r="J28" s="16">
        <f t="shared" si="1"/>
        <v>0</v>
      </c>
      <c r="K28" s="30">
        <v>0</v>
      </c>
      <c r="L28" s="27">
        <v>1</v>
      </c>
      <c r="M28" s="16">
        <f t="shared" si="2"/>
        <v>0</v>
      </c>
      <c r="N28" s="16">
        <f t="shared" si="3"/>
        <v>0</v>
      </c>
      <c r="O28" s="27">
        <v>1</v>
      </c>
      <c r="P28" s="16">
        <f t="shared" si="4"/>
        <v>0</v>
      </c>
      <c r="Q28" s="16"/>
    </row>
    <row r="29" spans="1:17" ht="42" customHeight="1">
      <c r="A29" s="16">
        <v>24</v>
      </c>
      <c r="B29" s="17" t="s">
        <v>69</v>
      </c>
      <c r="C29" s="26" t="s">
        <v>44</v>
      </c>
      <c r="D29" s="26">
        <v>995461</v>
      </c>
      <c r="E29" s="16">
        <v>500</v>
      </c>
      <c r="F29" s="16">
        <v>22</v>
      </c>
      <c r="G29" s="16">
        <f t="shared" si="0"/>
        <v>11000</v>
      </c>
      <c r="H29" s="16">
        <v>0</v>
      </c>
      <c r="I29" s="27">
        <v>1</v>
      </c>
      <c r="J29" s="16">
        <f t="shared" si="1"/>
        <v>0</v>
      </c>
      <c r="K29" s="30">
        <v>0</v>
      </c>
      <c r="L29" s="27">
        <v>1</v>
      </c>
      <c r="M29" s="16">
        <f t="shared" si="2"/>
        <v>0</v>
      </c>
      <c r="N29" s="16">
        <f t="shared" si="3"/>
        <v>0</v>
      </c>
      <c r="O29" s="27">
        <v>1</v>
      </c>
      <c r="P29" s="16">
        <f t="shared" si="4"/>
        <v>0</v>
      </c>
      <c r="Q29" s="16"/>
    </row>
    <row r="30" spans="1:17" ht="42" customHeight="1">
      <c r="A30" s="16">
        <v>25</v>
      </c>
      <c r="B30" s="17" t="s">
        <v>70</v>
      </c>
      <c r="C30" s="26" t="s">
        <v>44</v>
      </c>
      <c r="D30" s="26">
        <v>995461</v>
      </c>
      <c r="E30" s="16">
        <v>25</v>
      </c>
      <c r="F30" s="16">
        <v>20</v>
      </c>
      <c r="G30" s="16">
        <f t="shared" si="0"/>
        <v>500</v>
      </c>
      <c r="H30" s="16">
        <v>0</v>
      </c>
      <c r="I30" s="27">
        <v>1</v>
      </c>
      <c r="J30" s="16">
        <f t="shared" si="1"/>
        <v>0</v>
      </c>
      <c r="K30" s="30">
        <v>0</v>
      </c>
      <c r="L30" s="27">
        <v>1</v>
      </c>
      <c r="M30" s="16">
        <f t="shared" si="2"/>
        <v>0</v>
      </c>
      <c r="N30" s="16">
        <f t="shared" si="3"/>
        <v>0</v>
      </c>
      <c r="O30" s="27">
        <v>1</v>
      </c>
      <c r="P30" s="16">
        <f t="shared" si="4"/>
        <v>0</v>
      </c>
      <c r="Q30" s="16"/>
    </row>
    <row r="31" spans="1:17" ht="42" customHeight="1">
      <c r="A31" s="16">
        <v>26</v>
      </c>
      <c r="B31" s="17" t="s">
        <v>71</v>
      </c>
      <c r="C31" s="26" t="s">
        <v>44</v>
      </c>
      <c r="D31" s="26">
        <v>995461</v>
      </c>
      <c r="E31" s="16">
        <v>2500</v>
      </c>
      <c r="F31" s="16">
        <v>6</v>
      </c>
      <c r="G31" s="16">
        <f t="shared" si="0"/>
        <v>15000</v>
      </c>
      <c r="H31" s="16">
        <v>0</v>
      </c>
      <c r="I31" s="27">
        <v>1</v>
      </c>
      <c r="J31" s="16">
        <f t="shared" si="1"/>
        <v>0</v>
      </c>
      <c r="K31" s="30">
        <v>0</v>
      </c>
      <c r="L31" s="27">
        <v>1</v>
      </c>
      <c r="M31" s="16">
        <f t="shared" si="2"/>
        <v>0</v>
      </c>
      <c r="N31" s="16">
        <f t="shared" si="3"/>
        <v>0</v>
      </c>
      <c r="O31" s="27">
        <v>1</v>
      </c>
      <c r="P31" s="16">
        <f t="shared" si="4"/>
        <v>0</v>
      </c>
      <c r="Q31" s="16"/>
    </row>
    <row r="32" spans="1:17" ht="42" customHeight="1">
      <c r="A32" s="16">
        <v>27</v>
      </c>
      <c r="B32" s="17" t="s">
        <v>72</v>
      </c>
      <c r="C32" s="26" t="s">
        <v>44</v>
      </c>
      <c r="D32" s="26">
        <v>995461</v>
      </c>
      <c r="E32" s="16">
        <v>1000</v>
      </c>
      <c r="F32" s="16">
        <v>8</v>
      </c>
      <c r="G32" s="16">
        <f t="shared" si="0"/>
        <v>8000</v>
      </c>
      <c r="H32" s="16">
        <v>0</v>
      </c>
      <c r="I32" s="27">
        <v>1</v>
      </c>
      <c r="J32" s="16">
        <f t="shared" si="1"/>
        <v>0</v>
      </c>
      <c r="K32" s="30">
        <v>0</v>
      </c>
      <c r="L32" s="27">
        <v>1</v>
      </c>
      <c r="M32" s="16">
        <f t="shared" si="2"/>
        <v>0</v>
      </c>
      <c r="N32" s="16">
        <f t="shared" si="3"/>
        <v>0</v>
      </c>
      <c r="O32" s="27">
        <v>1</v>
      </c>
      <c r="P32" s="16">
        <f t="shared" si="4"/>
        <v>0</v>
      </c>
      <c r="Q32" s="16"/>
    </row>
    <row r="33" spans="1:17" ht="42" customHeight="1">
      <c r="A33" s="16">
        <v>28</v>
      </c>
      <c r="B33" s="17" t="s">
        <v>73</v>
      </c>
      <c r="C33" s="26" t="s">
        <v>44</v>
      </c>
      <c r="D33" s="26">
        <v>995461</v>
      </c>
      <c r="E33" s="16">
        <v>50</v>
      </c>
      <c r="F33" s="16">
        <v>100</v>
      </c>
      <c r="G33" s="16">
        <f t="shared" si="0"/>
        <v>5000</v>
      </c>
      <c r="H33" s="16">
        <v>0</v>
      </c>
      <c r="I33" s="27">
        <v>1</v>
      </c>
      <c r="J33" s="16">
        <f t="shared" si="1"/>
        <v>0</v>
      </c>
      <c r="K33" s="30">
        <v>0</v>
      </c>
      <c r="L33" s="27">
        <v>1</v>
      </c>
      <c r="M33" s="16">
        <f t="shared" si="2"/>
        <v>0</v>
      </c>
      <c r="N33" s="16">
        <f t="shared" si="3"/>
        <v>0</v>
      </c>
      <c r="O33" s="27">
        <v>1</v>
      </c>
      <c r="P33" s="16">
        <f t="shared" si="4"/>
        <v>0</v>
      </c>
      <c r="Q33" s="16"/>
    </row>
    <row r="34" spans="1:17" ht="15.75" customHeight="1">
      <c r="A34" s="16"/>
      <c r="B34" s="17"/>
      <c r="C34" s="26"/>
      <c r="D34" s="26"/>
      <c r="E34" s="16"/>
      <c r="F34" s="16"/>
      <c r="G34" s="16"/>
      <c r="H34" s="16"/>
      <c r="I34" s="27"/>
      <c r="J34" s="16"/>
      <c r="K34" s="28"/>
      <c r="L34" s="27"/>
      <c r="M34" s="16"/>
      <c r="N34" s="16"/>
      <c r="O34" s="27"/>
      <c r="P34" s="16"/>
      <c r="Q34" s="16"/>
    </row>
    <row r="35" spans="1:17" ht="18.75" customHeight="1">
      <c r="A35" s="16"/>
      <c r="B35" s="32" t="s">
        <v>74</v>
      </c>
      <c r="C35" s="33"/>
      <c r="D35" s="33"/>
      <c r="E35" s="33"/>
      <c r="F35" s="33"/>
      <c r="G35" s="34">
        <f>SUM(G6:G34)</f>
        <v>1672350</v>
      </c>
      <c r="H35" s="33"/>
      <c r="I35" s="27"/>
      <c r="J35" s="34">
        <f>SUM(J6:J34)</f>
        <v>195870</v>
      </c>
      <c r="K35" s="33"/>
      <c r="L35" s="33"/>
      <c r="M35" s="34">
        <f>SUM(M6:M34)</f>
        <v>340724.28799999994</v>
      </c>
      <c r="N35" s="33"/>
      <c r="O35" s="33"/>
      <c r="P35" s="34">
        <f>SUM(P6:P34)</f>
        <v>536594.28799999994</v>
      </c>
      <c r="Q35" s="33"/>
    </row>
    <row r="36" spans="1:17" ht="15.75" customHeight="1"/>
    <row r="37" spans="1:17" ht="15.75" customHeight="1">
      <c r="A37" s="35"/>
    </row>
    <row r="38" spans="1:17" ht="15.75" customHeight="1"/>
    <row r="39" spans="1:17" ht="15.75" customHeight="1">
      <c r="B39" s="36" t="s">
        <v>75</v>
      </c>
      <c r="C39" s="36"/>
      <c r="D39" s="36"/>
      <c r="E39" s="36" t="s">
        <v>76</v>
      </c>
      <c r="F39" s="36"/>
      <c r="G39" s="36"/>
      <c r="H39" s="37"/>
      <c r="I39" s="36" t="s">
        <v>77</v>
      </c>
      <c r="J39" s="36"/>
      <c r="K39" s="36"/>
      <c r="L39" s="36"/>
      <c r="M39" s="204" t="s">
        <v>78</v>
      </c>
      <c r="N39" s="170"/>
      <c r="O39" s="170"/>
      <c r="P39" s="170"/>
      <c r="Q39" s="36"/>
    </row>
    <row r="40" spans="1:17" ht="15.75" customHeight="1"/>
    <row r="41" spans="1:17" ht="15.75" customHeight="1"/>
    <row r="42" spans="1:17" ht="15.75" customHeight="1"/>
    <row r="43" spans="1:17" ht="15.75" customHeight="1"/>
    <row r="44" spans="1:17" ht="15.75" customHeight="1"/>
    <row r="45" spans="1:17" ht="15.75" customHeight="1">
      <c r="G45" s="38"/>
    </row>
    <row r="46" spans="1:17" ht="15.75" customHeight="1"/>
    <row r="47" spans="1:17" ht="15.75" customHeight="1"/>
    <row r="48" spans="1: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24">
    <mergeCell ref="M39:P39"/>
    <mergeCell ref="A3:B3"/>
    <mergeCell ref="H3:J3"/>
    <mergeCell ref="C4:C5"/>
    <mergeCell ref="H4:J4"/>
    <mergeCell ref="A4:A5"/>
    <mergeCell ref="B4:B5"/>
    <mergeCell ref="H1:J1"/>
    <mergeCell ref="K1:L1"/>
    <mergeCell ref="C2:G2"/>
    <mergeCell ref="H2:J2"/>
    <mergeCell ref="K4:M4"/>
    <mergeCell ref="K3:L3"/>
    <mergeCell ref="M3:Q3"/>
    <mergeCell ref="M1:Q1"/>
    <mergeCell ref="K2:L2"/>
    <mergeCell ref="M2:Q2"/>
    <mergeCell ref="N4:P4"/>
    <mergeCell ref="Q4:Q5"/>
    <mergeCell ref="A1:B1"/>
    <mergeCell ref="A2:B2"/>
    <mergeCell ref="C3:G3"/>
    <mergeCell ref="D4:G4"/>
    <mergeCell ref="C1:G1"/>
  </mergeCells>
  <pageMargins left="0.48" right="0.17" top="0.75" bottom="0.75" header="0" footer="0"/>
  <pageSetup paperSize="9" orientation="landscape"/>
</worksheet>
</file>

<file path=xl/worksheets/sheet3.xml><?xml version="1.0" encoding="utf-8"?>
<worksheet xmlns="http://schemas.openxmlformats.org/spreadsheetml/2006/main" xmlns:r="http://schemas.openxmlformats.org/officeDocument/2006/relationships">
  <dimension ref="A1:P90"/>
  <sheetViews>
    <sheetView zoomScale="60" zoomScaleNormal="60" workbookViewId="0">
      <pane xSplit="7" ySplit="5" topLeftCell="H10" activePane="bottomRight" state="frozen"/>
      <selection pane="topRight" activeCell="H1" sqref="H1"/>
      <selection pane="bottomLeft" activeCell="A6" sqref="A6"/>
      <selection pane="bottomRight" activeCell="K22" sqref="K22"/>
    </sheetView>
  </sheetViews>
  <sheetFormatPr defaultColWidth="14.42578125" defaultRowHeight="15" customHeight="1"/>
  <cols>
    <col min="1" max="1" width="8.7109375" customWidth="1"/>
    <col min="2" max="2" width="52.5703125" customWidth="1"/>
    <col min="3" max="3" width="8.7109375" customWidth="1"/>
    <col min="4" max="4" width="10.7109375" customWidth="1"/>
    <col min="5" max="5" width="8.7109375" customWidth="1"/>
    <col min="6" max="6" width="15.28515625" customWidth="1"/>
    <col min="7" max="7" width="24" bestFit="1" customWidth="1"/>
    <col min="8" max="9" width="19.42578125" customWidth="1"/>
    <col min="10" max="10" width="8.7109375" customWidth="1"/>
    <col min="11" max="11" width="15.42578125" customWidth="1"/>
    <col min="12" max="12" width="13.5703125" customWidth="1"/>
    <col min="13" max="13" width="21.7109375" bestFit="1" customWidth="1"/>
    <col min="14" max="14" width="13.7109375" customWidth="1"/>
    <col min="15" max="15" width="21.7109375" bestFit="1" customWidth="1"/>
    <col min="16" max="16" width="14.7109375" customWidth="1"/>
  </cols>
  <sheetData>
    <row r="1" spans="1:16" ht="21">
      <c r="A1" s="214" t="s">
        <v>22</v>
      </c>
      <c r="B1" s="207"/>
      <c r="C1" s="145" t="s">
        <v>79</v>
      </c>
      <c r="D1" s="146"/>
      <c r="E1" s="146"/>
      <c r="F1" s="146"/>
      <c r="G1" s="146"/>
      <c r="H1" s="146"/>
      <c r="I1" s="146"/>
      <c r="J1" s="215" t="s">
        <v>80</v>
      </c>
      <c r="K1" s="207"/>
      <c r="L1" s="147" t="s">
        <v>24</v>
      </c>
      <c r="M1" s="205" t="s">
        <v>25</v>
      </c>
      <c r="N1" s="206"/>
      <c r="O1" s="206"/>
      <c r="P1" s="207"/>
    </row>
    <row r="2" spans="1:16" ht="21">
      <c r="A2" s="214" t="s">
        <v>26</v>
      </c>
      <c r="B2" s="207"/>
      <c r="C2" s="214" t="s">
        <v>27</v>
      </c>
      <c r="D2" s="206"/>
      <c r="E2" s="206"/>
      <c r="F2" s="206"/>
      <c r="G2" s="207"/>
      <c r="H2" s="147"/>
      <c r="I2" s="147"/>
      <c r="J2" s="205" t="s">
        <v>28</v>
      </c>
      <c r="K2" s="207"/>
      <c r="L2" s="147" t="s">
        <v>29</v>
      </c>
      <c r="M2" s="205"/>
      <c r="N2" s="206"/>
      <c r="O2" s="206"/>
      <c r="P2" s="207"/>
    </row>
    <row r="3" spans="1:16" ht="21">
      <c r="A3" s="214" t="s">
        <v>30</v>
      </c>
      <c r="B3" s="207"/>
      <c r="C3" s="214">
        <v>1</v>
      </c>
      <c r="D3" s="206"/>
      <c r="E3" s="206"/>
      <c r="F3" s="206"/>
      <c r="G3" s="207"/>
      <c r="H3" s="147"/>
      <c r="I3" s="147"/>
      <c r="J3" s="205"/>
      <c r="K3" s="207"/>
      <c r="L3" s="147" t="s">
        <v>31</v>
      </c>
      <c r="M3" s="205" t="s">
        <v>81</v>
      </c>
      <c r="N3" s="206"/>
      <c r="O3" s="206"/>
      <c r="P3" s="207"/>
    </row>
    <row r="4" spans="1:16" ht="21">
      <c r="A4" s="208" t="s">
        <v>13</v>
      </c>
      <c r="B4" s="208" t="s">
        <v>33</v>
      </c>
      <c r="C4" s="208" t="s">
        <v>34</v>
      </c>
      <c r="D4" s="210" t="s">
        <v>35</v>
      </c>
      <c r="E4" s="206"/>
      <c r="F4" s="206"/>
      <c r="G4" s="207"/>
      <c r="H4" s="210" t="s">
        <v>82</v>
      </c>
      <c r="I4" s="207"/>
      <c r="J4" s="205" t="s">
        <v>16</v>
      </c>
      <c r="K4" s="207"/>
      <c r="L4" s="205" t="s">
        <v>18</v>
      </c>
      <c r="M4" s="207"/>
      <c r="N4" s="205" t="s">
        <v>17</v>
      </c>
      <c r="O4" s="207"/>
      <c r="P4" s="208" t="s">
        <v>36</v>
      </c>
    </row>
    <row r="5" spans="1:16" ht="21">
      <c r="A5" s="209"/>
      <c r="B5" s="209"/>
      <c r="C5" s="209"/>
      <c r="D5" s="148" t="s">
        <v>37</v>
      </c>
      <c r="E5" s="148" t="s">
        <v>38</v>
      </c>
      <c r="F5" s="149" t="s">
        <v>39</v>
      </c>
      <c r="G5" s="148" t="s">
        <v>40</v>
      </c>
      <c r="H5" s="148" t="s">
        <v>83</v>
      </c>
      <c r="I5" s="148" t="s">
        <v>84</v>
      </c>
      <c r="J5" s="148" t="s">
        <v>38</v>
      </c>
      <c r="K5" s="148" t="s">
        <v>42</v>
      </c>
      <c r="L5" s="148" t="s">
        <v>38</v>
      </c>
      <c r="M5" s="148" t="s">
        <v>42</v>
      </c>
      <c r="N5" s="148" t="s">
        <v>38</v>
      </c>
      <c r="O5" s="148" t="s">
        <v>42</v>
      </c>
      <c r="P5" s="209"/>
    </row>
    <row r="6" spans="1:16" ht="136.5">
      <c r="A6" s="152">
        <v>1</v>
      </c>
      <c r="B6" s="153" t="s">
        <v>85</v>
      </c>
      <c r="C6" s="154"/>
      <c r="D6" s="154"/>
      <c r="E6" s="154">
        <v>6</v>
      </c>
      <c r="F6" s="155">
        <v>5000</v>
      </c>
      <c r="G6" s="155">
        <f t="shared" ref="G6:G12" si="0">E6*F6</f>
        <v>30000</v>
      </c>
      <c r="H6" s="155">
        <f>'HUME PIPE'!D41</f>
        <v>4.5</v>
      </c>
      <c r="I6" s="155"/>
      <c r="J6" s="153"/>
      <c r="K6" s="154"/>
      <c r="L6" s="155">
        <f t="shared" ref="L6:L12" si="1">H6</f>
        <v>4.5</v>
      </c>
      <c r="M6" s="155">
        <f t="shared" ref="M6:M12" si="2">L6*F6</f>
        <v>22500</v>
      </c>
      <c r="N6" s="155">
        <f t="shared" ref="N6:N12" si="3">L6-J6</f>
        <v>4.5</v>
      </c>
      <c r="O6" s="155">
        <f t="shared" ref="O6:O12" si="4">N6*F6</f>
        <v>22500</v>
      </c>
      <c r="P6" s="152"/>
    </row>
    <row r="7" spans="1:16" ht="351">
      <c r="A7" s="152">
        <v>2</v>
      </c>
      <c r="B7" s="153" t="s">
        <v>86</v>
      </c>
      <c r="C7" s="154"/>
      <c r="D7" s="154"/>
      <c r="E7" s="154">
        <v>15</v>
      </c>
      <c r="F7" s="155">
        <v>2300</v>
      </c>
      <c r="G7" s="155">
        <f t="shared" si="0"/>
        <v>34500</v>
      </c>
      <c r="H7" s="155"/>
      <c r="I7" s="155"/>
      <c r="J7" s="153"/>
      <c r="K7" s="154"/>
      <c r="L7" s="155">
        <f t="shared" si="1"/>
        <v>0</v>
      </c>
      <c r="M7" s="155">
        <f t="shared" si="2"/>
        <v>0</v>
      </c>
      <c r="N7" s="155">
        <f t="shared" si="3"/>
        <v>0</v>
      </c>
      <c r="O7" s="155">
        <f t="shared" si="4"/>
        <v>0</v>
      </c>
      <c r="P7" s="152"/>
    </row>
    <row r="8" spans="1:16" ht="136.5">
      <c r="A8" s="152">
        <v>3</v>
      </c>
      <c r="B8" s="153" t="s">
        <v>87</v>
      </c>
      <c r="C8" s="154"/>
      <c r="D8" s="154"/>
      <c r="E8" s="154">
        <v>64</v>
      </c>
      <c r="F8" s="155">
        <v>2500</v>
      </c>
      <c r="G8" s="155">
        <f t="shared" si="0"/>
        <v>160000</v>
      </c>
      <c r="H8" s="155">
        <v>3.6</v>
      </c>
      <c r="I8" s="155"/>
      <c r="J8" s="153"/>
      <c r="K8" s="154"/>
      <c r="L8" s="155">
        <f t="shared" si="1"/>
        <v>3.6</v>
      </c>
      <c r="M8" s="155">
        <f t="shared" si="2"/>
        <v>9000</v>
      </c>
      <c r="N8" s="155">
        <f t="shared" si="3"/>
        <v>3.6</v>
      </c>
      <c r="O8" s="155">
        <f t="shared" si="4"/>
        <v>9000</v>
      </c>
      <c r="P8" s="152"/>
    </row>
    <row r="9" spans="1:16" ht="39">
      <c r="A9" s="152">
        <v>4</v>
      </c>
      <c r="B9" s="153" t="s">
        <v>88</v>
      </c>
      <c r="C9" s="154"/>
      <c r="D9" s="154"/>
      <c r="E9" s="154">
        <v>100</v>
      </c>
      <c r="F9" s="155">
        <v>50</v>
      </c>
      <c r="G9" s="155">
        <f t="shared" si="0"/>
        <v>5000</v>
      </c>
      <c r="H9" s="155"/>
      <c r="I9" s="155"/>
      <c r="J9" s="153"/>
      <c r="K9" s="154"/>
      <c r="L9" s="155">
        <f t="shared" si="1"/>
        <v>0</v>
      </c>
      <c r="M9" s="155">
        <f t="shared" si="2"/>
        <v>0</v>
      </c>
      <c r="N9" s="155">
        <f t="shared" si="3"/>
        <v>0</v>
      </c>
      <c r="O9" s="155">
        <f t="shared" si="4"/>
        <v>0</v>
      </c>
      <c r="P9" s="152"/>
    </row>
    <row r="10" spans="1:16" ht="39">
      <c r="A10" s="152">
        <v>5</v>
      </c>
      <c r="B10" s="153" t="s">
        <v>89</v>
      </c>
      <c r="C10" s="154"/>
      <c r="D10" s="154"/>
      <c r="E10" s="154">
        <v>50</v>
      </c>
      <c r="F10" s="155">
        <v>30</v>
      </c>
      <c r="G10" s="155">
        <f t="shared" si="0"/>
        <v>1500</v>
      </c>
      <c r="H10" s="155"/>
      <c r="I10" s="155"/>
      <c r="J10" s="153"/>
      <c r="K10" s="154"/>
      <c r="L10" s="155">
        <f t="shared" si="1"/>
        <v>0</v>
      </c>
      <c r="M10" s="155">
        <f t="shared" si="2"/>
        <v>0</v>
      </c>
      <c r="N10" s="155">
        <f t="shared" si="3"/>
        <v>0</v>
      </c>
      <c r="O10" s="155">
        <f t="shared" si="4"/>
        <v>0</v>
      </c>
      <c r="P10" s="152"/>
    </row>
    <row r="11" spans="1:16" ht="58.5">
      <c r="A11" s="152">
        <v>6</v>
      </c>
      <c r="B11" s="153" t="s">
        <v>90</v>
      </c>
      <c r="C11" s="154"/>
      <c r="D11" s="154"/>
      <c r="E11" s="154">
        <v>200</v>
      </c>
      <c r="F11" s="155">
        <v>150</v>
      </c>
      <c r="G11" s="155">
        <f t="shared" si="0"/>
        <v>30000</v>
      </c>
      <c r="H11" s="155">
        <f>'HUME PIPE'!F16</f>
        <v>160</v>
      </c>
      <c r="I11" s="155" t="s">
        <v>91</v>
      </c>
      <c r="J11" s="153"/>
      <c r="K11" s="154"/>
      <c r="L11" s="155">
        <f t="shared" si="1"/>
        <v>160</v>
      </c>
      <c r="M11" s="155">
        <f t="shared" si="2"/>
        <v>24000</v>
      </c>
      <c r="N11" s="155">
        <f t="shared" si="3"/>
        <v>160</v>
      </c>
      <c r="O11" s="155">
        <f t="shared" si="4"/>
        <v>24000</v>
      </c>
      <c r="P11" s="152"/>
    </row>
    <row r="12" spans="1:16" ht="39">
      <c r="A12" s="152">
        <v>7</v>
      </c>
      <c r="B12" s="153" t="s">
        <v>92</v>
      </c>
      <c r="C12" s="154"/>
      <c r="D12" s="154"/>
      <c r="E12" s="154">
        <v>50</v>
      </c>
      <c r="F12" s="155">
        <v>260</v>
      </c>
      <c r="G12" s="155">
        <f t="shared" si="0"/>
        <v>13000</v>
      </c>
      <c r="H12" s="155">
        <f>'HUME PIPE'!F20</f>
        <v>15.875999999999999</v>
      </c>
      <c r="I12" s="155"/>
      <c r="J12" s="153"/>
      <c r="K12" s="154"/>
      <c r="L12" s="155">
        <f t="shared" si="1"/>
        <v>15.875999999999999</v>
      </c>
      <c r="M12" s="155">
        <f t="shared" si="2"/>
        <v>4127.76</v>
      </c>
      <c r="N12" s="155">
        <f t="shared" si="3"/>
        <v>15.875999999999999</v>
      </c>
      <c r="O12" s="155">
        <f t="shared" si="4"/>
        <v>4127.76</v>
      </c>
      <c r="P12" s="152"/>
    </row>
    <row r="13" spans="1:16" ht="15.75" customHeight="1">
      <c r="A13" s="152"/>
      <c r="B13" s="153"/>
      <c r="C13" s="154"/>
      <c r="D13" s="154"/>
      <c r="E13" s="154"/>
      <c r="F13" s="155"/>
      <c r="G13" s="155"/>
      <c r="H13" s="155"/>
      <c r="I13" s="155"/>
      <c r="J13" s="153"/>
      <c r="K13" s="154"/>
      <c r="L13" s="154"/>
      <c r="M13" s="155"/>
      <c r="N13" s="155"/>
      <c r="O13" s="155"/>
      <c r="P13" s="152"/>
    </row>
    <row r="14" spans="1:16" ht="27" customHeight="1">
      <c r="A14" s="211" t="s">
        <v>93</v>
      </c>
      <c r="B14" s="212"/>
      <c r="C14" s="212"/>
      <c r="D14" s="212"/>
      <c r="E14" s="212"/>
      <c r="F14" s="213"/>
      <c r="G14" s="156">
        <f>SUM(G6:G13)</f>
        <v>274000</v>
      </c>
      <c r="H14" s="156"/>
      <c r="I14" s="156"/>
      <c r="J14" s="157"/>
      <c r="K14" s="156">
        <f>SUM(K6:K13)</f>
        <v>0</v>
      </c>
      <c r="L14" s="157"/>
      <c r="M14" s="156">
        <f>SUM(M6:M13)</f>
        <v>59627.76</v>
      </c>
      <c r="N14" s="157"/>
      <c r="O14" s="156">
        <f>SUM(O6:O13)</f>
        <v>59627.76</v>
      </c>
      <c r="P14" s="157"/>
    </row>
    <row r="15" spans="1:16" ht="15.75" customHeight="1">
      <c r="A15" s="150"/>
      <c r="B15" s="150"/>
      <c r="C15" s="150"/>
      <c r="D15" s="150"/>
      <c r="E15" s="150"/>
      <c r="F15" s="151"/>
      <c r="G15" s="150"/>
      <c r="H15" s="150"/>
      <c r="I15" s="150"/>
      <c r="J15" s="150"/>
      <c r="K15" s="150"/>
      <c r="L15" s="150"/>
      <c r="M15" s="150"/>
      <c r="N15" s="150"/>
      <c r="O15" s="150"/>
      <c r="P15" s="150"/>
    </row>
    <row r="16" spans="1:16" ht="15.75" customHeight="1">
      <c r="A16" s="150"/>
      <c r="B16" s="150"/>
      <c r="C16" s="150"/>
      <c r="D16" s="150"/>
      <c r="E16" s="150"/>
      <c r="F16" s="151"/>
      <c r="G16" s="150"/>
      <c r="H16" s="150"/>
      <c r="I16" s="150"/>
      <c r="J16" s="150"/>
      <c r="K16" s="150"/>
      <c r="L16" s="150"/>
      <c r="M16" s="150"/>
      <c r="N16" s="150"/>
      <c r="O16" s="150"/>
      <c r="P16" s="150"/>
    </row>
    <row r="17" spans="1:16" ht="15.75" customHeight="1">
      <c r="A17" s="150"/>
      <c r="B17" s="150"/>
      <c r="C17" s="150"/>
      <c r="D17" s="150"/>
      <c r="E17" s="150"/>
      <c r="F17" s="151"/>
      <c r="G17" s="150"/>
      <c r="H17" s="150"/>
      <c r="I17" s="150"/>
      <c r="J17" s="150"/>
      <c r="K17" s="150"/>
      <c r="L17" s="150"/>
      <c r="M17" s="150"/>
      <c r="N17" s="150"/>
      <c r="O17" s="150"/>
      <c r="P17" s="150"/>
    </row>
    <row r="18" spans="1:16" ht="15.75" customHeight="1">
      <c r="A18" s="150"/>
      <c r="B18" s="150"/>
      <c r="C18" s="150"/>
      <c r="D18" s="150"/>
      <c r="E18" s="150"/>
      <c r="F18" s="151"/>
      <c r="G18" s="150"/>
      <c r="H18" s="150"/>
      <c r="I18" s="150"/>
      <c r="J18" s="150"/>
      <c r="K18" s="150"/>
      <c r="L18" s="150"/>
      <c r="M18" s="150"/>
      <c r="N18" s="150"/>
      <c r="O18" s="150"/>
      <c r="P18" s="150"/>
    </row>
    <row r="19" spans="1:16" ht="15.75" customHeight="1">
      <c r="A19" s="150"/>
      <c r="B19" s="150"/>
      <c r="C19" s="150"/>
      <c r="D19" s="150"/>
      <c r="E19" s="150"/>
      <c r="F19" s="151"/>
      <c r="G19" s="150"/>
      <c r="H19" s="150"/>
      <c r="I19" s="150"/>
      <c r="J19" s="150"/>
      <c r="K19" s="150"/>
      <c r="L19" s="150"/>
      <c r="M19" s="150"/>
      <c r="N19" s="150"/>
      <c r="O19" s="150"/>
      <c r="P19" s="150"/>
    </row>
    <row r="20" spans="1:16" ht="15.75" customHeight="1">
      <c r="A20" s="150"/>
      <c r="B20" s="150"/>
      <c r="C20" s="150"/>
      <c r="D20" s="150"/>
      <c r="E20" s="150"/>
      <c r="F20" s="151"/>
      <c r="G20" s="150"/>
      <c r="H20" s="150"/>
      <c r="I20" s="150"/>
      <c r="J20" s="150"/>
      <c r="K20" s="150"/>
      <c r="L20" s="150"/>
      <c r="M20" s="150"/>
      <c r="N20" s="150"/>
      <c r="O20" s="150"/>
      <c r="P20" s="150"/>
    </row>
    <row r="21" spans="1:16" ht="15.75" customHeight="1">
      <c r="A21" s="150"/>
      <c r="B21" s="150"/>
      <c r="C21" s="150"/>
      <c r="D21" s="150"/>
      <c r="E21" s="150"/>
      <c r="F21" s="151"/>
      <c r="G21" s="150"/>
      <c r="H21" s="150"/>
      <c r="I21" s="150"/>
      <c r="J21" s="150"/>
      <c r="K21" s="150"/>
      <c r="L21" s="150"/>
      <c r="M21" s="150"/>
      <c r="N21" s="150"/>
      <c r="O21" s="150"/>
      <c r="P21" s="150"/>
    </row>
    <row r="22" spans="1:16" ht="15.75" customHeight="1">
      <c r="A22" s="150"/>
      <c r="B22" s="150"/>
      <c r="C22" s="150"/>
      <c r="D22" s="150"/>
      <c r="E22" s="150"/>
      <c r="F22" s="151"/>
      <c r="G22" s="150"/>
      <c r="H22" s="150"/>
      <c r="I22" s="150"/>
      <c r="J22" s="150"/>
      <c r="K22" s="150"/>
      <c r="L22" s="150"/>
      <c r="M22" s="150"/>
      <c r="N22" s="150"/>
      <c r="O22" s="150"/>
      <c r="P22" s="150"/>
    </row>
    <row r="23" spans="1:16" ht="15.75" customHeight="1">
      <c r="A23" s="150"/>
      <c r="B23" s="150"/>
      <c r="C23" s="150"/>
      <c r="D23" s="150"/>
      <c r="E23" s="150"/>
      <c r="F23" s="151"/>
      <c r="G23" s="150"/>
      <c r="H23" s="150"/>
      <c r="I23" s="150"/>
      <c r="J23" s="150"/>
      <c r="K23" s="150"/>
      <c r="L23" s="150"/>
      <c r="M23" s="150"/>
      <c r="N23" s="150"/>
      <c r="O23" s="150"/>
      <c r="P23" s="150"/>
    </row>
    <row r="24" spans="1:16" ht="15.75" customHeight="1">
      <c r="A24" s="150"/>
      <c r="B24" s="150"/>
      <c r="C24" s="150"/>
      <c r="D24" s="150"/>
      <c r="E24" s="150"/>
      <c r="F24" s="151"/>
      <c r="G24" s="150"/>
      <c r="H24" s="150"/>
      <c r="I24" s="150"/>
      <c r="J24" s="150"/>
      <c r="K24" s="150"/>
      <c r="L24" s="150"/>
      <c r="M24" s="150"/>
      <c r="N24" s="150"/>
      <c r="O24" s="150"/>
      <c r="P24" s="150"/>
    </row>
    <row r="25" spans="1:16" ht="15.75" customHeight="1">
      <c r="A25" s="150"/>
      <c r="B25" s="150"/>
      <c r="C25" s="150"/>
      <c r="D25" s="150"/>
      <c r="E25" s="150"/>
      <c r="F25" s="151"/>
      <c r="G25" s="150"/>
      <c r="H25" s="150"/>
      <c r="I25" s="150"/>
      <c r="J25" s="150"/>
      <c r="K25" s="150"/>
      <c r="L25" s="150"/>
      <c r="M25" s="150"/>
      <c r="N25" s="150"/>
      <c r="O25" s="150"/>
      <c r="P25" s="150"/>
    </row>
    <row r="26" spans="1:16" ht="15.75" customHeight="1">
      <c r="A26" s="150"/>
      <c r="B26" s="150"/>
      <c r="C26" s="150"/>
      <c r="D26" s="150"/>
      <c r="E26" s="150"/>
      <c r="F26" s="151"/>
      <c r="G26" s="150"/>
      <c r="H26" s="150"/>
      <c r="I26" s="150"/>
      <c r="J26" s="150"/>
      <c r="K26" s="150"/>
      <c r="L26" s="150"/>
      <c r="M26" s="150"/>
      <c r="N26" s="150"/>
      <c r="O26" s="150"/>
      <c r="P26" s="150"/>
    </row>
    <row r="27" spans="1:16" ht="15.75" customHeight="1">
      <c r="A27" s="150"/>
      <c r="B27" s="150"/>
      <c r="C27" s="150"/>
      <c r="D27" s="150"/>
      <c r="E27" s="150"/>
      <c r="F27" s="151"/>
      <c r="G27" s="150"/>
      <c r="H27" s="150"/>
      <c r="I27" s="150"/>
      <c r="J27" s="150"/>
      <c r="K27" s="150"/>
      <c r="L27" s="150"/>
      <c r="M27" s="150"/>
      <c r="N27" s="150"/>
      <c r="O27" s="150"/>
      <c r="P27" s="150"/>
    </row>
    <row r="28" spans="1:16" ht="15.75" customHeight="1">
      <c r="A28" s="150"/>
      <c r="B28" s="150"/>
      <c r="C28" s="150"/>
      <c r="D28" s="150"/>
      <c r="E28" s="150"/>
      <c r="F28" s="151"/>
      <c r="G28" s="150"/>
      <c r="H28" s="150"/>
      <c r="I28" s="150"/>
      <c r="J28" s="150"/>
      <c r="K28" s="150"/>
      <c r="L28" s="150"/>
      <c r="M28" s="150"/>
      <c r="N28" s="150"/>
      <c r="O28" s="150"/>
      <c r="P28" s="150"/>
    </row>
    <row r="29" spans="1:16" ht="15.75" customHeight="1">
      <c r="A29" s="150"/>
      <c r="B29" s="150"/>
      <c r="C29" s="150"/>
      <c r="D29" s="150"/>
      <c r="E29" s="150"/>
      <c r="F29" s="151"/>
      <c r="G29" s="150"/>
      <c r="H29" s="150"/>
      <c r="I29" s="150"/>
      <c r="J29" s="150"/>
      <c r="K29" s="150"/>
      <c r="L29" s="150"/>
      <c r="M29" s="150"/>
      <c r="N29" s="150"/>
      <c r="O29" s="150"/>
      <c r="P29" s="150"/>
    </row>
    <row r="30" spans="1:16" ht="15.75" customHeight="1">
      <c r="A30" s="150"/>
      <c r="B30" s="150"/>
      <c r="C30" s="150"/>
      <c r="D30" s="150"/>
      <c r="E30" s="150"/>
      <c r="F30" s="151"/>
      <c r="G30" s="150"/>
      <c r="H30" s="150"/>
      <c r="I30" s="150"/>
      <c r="J30" s="150"/>
      <c r="K30" s="150"/>
      <c r="L30" s="150"/>
      <c r="M30" s="150"/>
      <c r="N30" s="150"/>
      <c r="O30" s="150"/>
      <c r="P30" s="150"/>
    </row>
    <row r="31" spans="1:16" ht="15.75" customHeight="1">
      <c r="A31" s="150"/>
      <c r="B31" s="150"/>
      <c r="C31" s="150"/>
      <c r="D31" s="150"/>
      <c r="E31" s="150"/>
      <c r="F31" s="151"/>
      <c r="G31" s="150"/>
      <c r="H31" s="150"/>
      <c r="I31" s="150"/>
      <c r="J31" s="150"/>
      <c r="K31" s="150"/>
      <c r="L31" s="150"/>
      <c r="M31" s="150"/>
      <c r="N31" s="150"/>
      <c r="O31" s="150"/>
      <c r="P31" s="150"/>
    </row>
    <row r="32" spans="1:16" ht="15.75" customHeight="1">
      <c r="A32" s="150"/>
      <c r="B32" s="150"/>
      <c r="C32" s="150"/>
      <c r="D32" s="150"/>
      <c r="E32" s="150"/>
      <c r="F32" s="151"/>
      <c r="G32" s="150"/>
      <c r="H32" s="150"/>
      <c r="I32" s="150"/>
      <c r="J32" s="150"/>
      <c r="K32" s="150"/>
      <c r="L32" s="150"/>
      <c r="M32" s="150"/>
      <c r="N32" s="150"/>
      <c r="O32" s="150"/>
      <c r="P32" s="150"/>
    </row>
    <row r="33" spans="1:16" ht="15.75" customHeight="1">
      <c r="A33" s="150"/>
      <c r="B33" s="150"/>
      <c r="C33" s="150"/>
      <c r="D33" s="150"/>
      <c r="E33" s="150"/>
      <c r="F33" s="151"/>
      <c r="G33" s="150"/>
      <c r="H33" s="150"/>
      <c r="I33" s="150"/>
      <c r="J33" s="150"/>
      <c r="K33" s="150"/>
      <c r="L33" s="150"/>
      <c r="M33" s="150"/>
      <c r="N33" s="150"/>
      <c r="O33" s="150"/>
      <c r="P33" s="150"/>
    </row>
    <row r="34" spans="1:16" ht="15.75" customHeight="1">
      <c r="A34" s="150"/>
      <c r="B34" s="150"/>
      <c r="C34" s="150"/>
      <c r="D34" s="150"/>
      <c r="E34" s="150"/>
      <c r="F34" s="151"/>
      <c r="G34" s="150"/>
      <c r="H34" s="150"/>
      <c r="I34" s="150"/>
      <c r="J34" s="150"/>
      <c r="K34" s="150"/>
      <c r="L34" s="150"/>
      <c r="M34" s="150"/>
      <c r="N34" s="150"/>
      <c r="O34" s="150"/>
      <c r="P34" s="150"/>
    </row>
    <row r="35" spans="1:16" ht="15.75" customHeight="1">
      <c r="A35" s="150"/>
      <c r="B35" s="150"/>
      <c r="C35" s="150"/>
      <c r="D35" s="150"/>
      <c r="E35" s="150"/>
      <c r="F35" s="151"/>
      <c r="G35" s="150"/>
      <c r="H35" s="150"/>
      <c r="I35" s="150"/>
      <c r="J35" s="150"/>
      <c r="K35" s="150"/>
      <c r="L35" s="150"/>
      <c r="M35" s="150"/>
      <c r="N35" s="150"/>
      <c r="O35" s="150"/>
      <c r="P35" s="150"/>
    </row>
    <row r="36" spans="1:16" ht="15.75" customHeight="1">
      <c r="A36" s="150"/>
      <c r="B36" s="150"/>
      <c r="C36" s="150"/>
      <c r="D36" s="150"/>
      <c r="E36" s="150"/>
      <c r="F36" s="151"/>
      <c r="G36" s="150"/>
      <c r="H36" s="150"/>
      <c r="I36" s="150"/>
      <c r="J36" s="150"/>
      <c r="K36" s="150"/>
      <c r="L36" s="150"/>
      <c r="M36" s="150"/>
      <c r="N36" s="150"/>
      <c r="O36" s="150"/>
      <c r="P36" s="150"/>
    </row>
    <row r="37" spans="1:16" ht="15.75" customHeight="1">
      <c r="A37" s="150"/>
      <c r="B37" s="150"/>
      <c r="C37" s="150"/>
      <c r="D37" s="150"/>
      <c r="E37" s="150"/>
      <c r="F37" s="151"/>
      <c r="G37" s="150"/>
      <c r="H37" s="150"/>
      <c r="I37" s="150"/>
      <c r="J37" s="150"/>
      <c r="K37" s="150"/>
      <c r="L37" s="150"/>
      <c r="M37" s="150"/>
      <c r="N37" s="150"/>
      <c r="O37" s="150"/>
      <c r="P37" s="150"/>
    </row>
    <row r="38" spans="1:16" ht="15.75" customHeight="1">
      <c r="A38" s="150"/>
      <c r="B38" s="150"/>
      <c r="C38" s="150"/>
      <c r="D38" s="150"/>
      <c r="E38" s="150"/>
      <c r="F38" s="151"/>
      <c r="G38" s="150"/>
      <c r="H38" s="150"/>
      <c r="I38" s="150"/>
      <c r="J38" s="150"/>
      <c r="K38" s="150"/>
      <c r="L38" s="150"/>
      <c r="M38" s="150"/>
      <c r="N38" s="150"/>
      <c r="O38" s="150"/>
      <c r="P38" s="150"/>
    </row>
    <row r="39" spans="1:16" ht="15.75" customHeight="1">
      <c r="A39" s="150"/>
      <c r="B39" s="150"/>
      <c r="C39" s="150"/>
      <c r="D39" s="150"/>
      <c r="E39" s="150"/>
      <c r="F39" s="151"/>
      <c r="G39" s="150"/>
      <c r="H39" s="150"/>
      <c r="I39" s="150"/>
      <c r="J39" s="150"/>
      <c r="K39" s="150"/>
      <c r="L39" s="150"/>
      <c r="M39" s="150"/>
      <c r="N39" s="150"/>
      <c r="O39" s="150"/>
      <c r="P39" s="150"/>
    </row>
    <row r="40" spans="1:16" ht="15.75" customHeight="1">
      <c r="A40" s="150"/>
      <c r="B40" s="150"/>
      <c r="C40" s="150"/>
      <c r="D40" s="150"/>
      <c r="E40" s="150"/>
      <c r="F40" s="151"/>
      <c r="G40" s="150"/>
      <c r="H40" s="150"/>
      <c r="I40" s="150"/>
      <c r="J40" s="150"/>
      <c r="K40" s="150"/>
      <c r="L40" s="150"/>
      <c r="M40" s="150"/>
      <c r="N40" s="150"/>
      <c r="O40" s="150"/>
      <c r="P40" s="150"/>
    </row>
    <row r="41" spans="1:16" ht="15.75" customHeight="1">
      <c r="A41" s="150"/>
      <c r="B41" s="150"/>
      <c r="C41" s="150"/>
      <c r="D41" s="150"/>
      <c r="E41" s="150"/>
      <c r="F41" s="151"/>
      <c r="G41" s="150"/>
      <c r="H41" s="150"/>
      <c r="I41" s="150"/>
      <c r="J41" s="150"/>
      <c r="K41" s="150"/>
      <c r="L41" s="150"/>
      <c r="M41" s="150"/>
      <c r="N41" s="150"/>
      <c r="O41" s="150"/>
      <c r="P41" s="150"/>
    </row>
    <row r="42" spans="1:16" ht="15.75" customHeight="1">
      <c r="F42" s="40"/>
    </row>
    <row r="43" spans="1:16" ht="15.75" customHeight="1">
      <c r="F43" s="40"/>
    </row>
    <row r="44" spans="1:16" ht="15.75" customHeight="1">
      <c r="F44" s="40"/>
    </row>
    <row r="45" spans="1:16" ht="15.75" customHeight="1">
      <c r="F45" s="40"/>
    </row>
    <row r="46" spans="1:16" ht="15.75" customHeight="1">
      <c r="F46" s="40"/>
    </row>
    <row r="47" spans="1:16" ht="15.75" customHeight="1">
      <c r="F47" s="40"/>
    </row>
    <row r="48" spans="1:16" ht="15.75" customHeight="1">
      <c r="F48" s="40"/>
    </row>
    <row r="49" spans="6:6" ht="15.75" customHeight="1">
      <c r="F49" s="40"/>
    </row>
    <row r="50" spans="6:6" ht="15.75" customHeight="1">
      <c r="F50" s="40"/>
    </row>
    <row r="51" spans="6:6" ht="15.75" customHeight="1">
      <c r="F51" s="40"/>
    </row>
    <row r="52" spans="6:6" ht="15.75" customHeight="1">
      <c r="F52" s="40"/>
    </row>
    <row r="53" spans="6:6" ht="15.75" customHeight="1">
      <c r="F53" s="40"/>
    </row>
    <row r="54" spans="6:6" ht="15.75" customHeight="1">
      <c r="F54" s="40"/>
    </row>
    <row r="55" spans="6:6" ht="15.75" customHeight="1">
      <c r="F55" s="40"/>
    </row>
    <row r="56" spans="6:6" ht="15.75" customHeight="1">
      <c r="F56" s="40"/>
    </row>
    <row r="57" spans="6:6" ht="15.75" customHeight="1">
      <c r="F57" s="40"/>
    </row>
    <row r="58" spans="6:6" ht="15.75" customHeight="1">
      <c r="F58" s="40"/>
    </row>
    <row r="59" spans="6:6" ht="15.75" customHeight="1">
      <c r="F59" s="40"/>
    </row>
    <row r="60" spans="6:6" ht="15.75" customHeight="1">
      <c r="F60" s="40"/>
    </row>
    <row r="61" spans="6:6" ht="15.75" customHeight="1">
      <c r="F61" s="40"/>
    </row>
    <row r="62" spans="6:6" ht="15.75" customHeight="1">
      <c r="F62" s="40"/>
    </row>
    <row r="63" spans="6:6" ht="15.75" customHeight="1">
      <c r="F63" s="40"/>
    </row>
    <row r="64" spans="6:6" ht="15.75" customHeight="1">
      <c r="F64" s="40"/>
    </row>
    <row r="65" spans="6:6" ht="15.75" customHeight="1">
      <c r="F65" s="40"/>
    </row>
    <row r="66" spans="6:6" ht="15.75" customHeight="1">
      <c r="F66" s="40"/>
    </row>
    <row r="67" spans="6:6" ht="15.75" customHeight="1">
      <c r="F67" s="40"/>
    </row>
    <row r="68" spans="6:6" ht="15.75" customHeight="1">
      <c r="F68" s="40"/>
    </row>
    <row r="69" spans="6:6" ht="15.75" customHeight="1">
      <c r="F69" s="40"/>
    </row>
    <row r="70" spans="6:6" ht="15.75" customHeight="1">
      <c r="F70" s="40"/>
    </row>
    <row r="71" spans="6:6" ht="15.75" customHeight="1">
      <c r="F71" s="40"/>
    </row>
    <row r="72" spans="6:6" ht="15.75" customHeight="1">
      <c r="F72" s="40"/>
    </row>
    <row r="73" spans="6:6" ht="15.75" customHeight="1">
      <c r="F73" s="40"/>
    </row>
    <row r="74" spans="6:6" ht="15.75" customHeight="1">
      <c r="F74" s="40"/>
    </row>
    <row r="75" spans="6:6" ht="15.75" customHeight="1">
      <c r="F75" s="40"/>
    </row>
    <row r="76" spans="6:6" ht="15.75" customHeight="1">
      <c r="F76" s="40"/>
    </row>
    <row r="77" spans="6:6" ht="15.75" customHeight="1">
      <c r="F77" s="40"/>
    </row>
    <row r="78" spans="6:6" ht="15.75" customHeight="1">
      <c r="F78" s="40"/>
    </row>
    <row r="79" spans="6:6" ht="15.75" customHeight="1">
      <c r="F79" s="40"/>
    </row>
    <row r="80" spans="6:6" ht="15.75" customHeight="1">
      <c r="F80" s="40"/>
    </row>
    <row r="81" spans="6:6" ht="15.75" customHeight="1">
      <c r="F81" s="40"/>
    </row>
    <row r="82" spans="6:6" ht="15.75" customHeight="1">
      <c r="F82" s="40"/>
    </row>
    <row r="83" spans="6:6" ht="15.75" customHeight="1">
      <c r="F83" s="40"/>
    </row>
    <row r="84" spans="6:6" ht="15.75" customHeight="1">
      <c r="F84" s="40"/>
    </row>
    <row r="85" spans="6:6" ht="15.75" customHeight="1">
      <c r="F85" s="40"/>
    </row>
    <row r="86" spans="6:6" ht="15.75" customHeight="1">
      <c r="F86" s="40"/>
    </row>
    <row r="87" spans="6:6" ht="15.75" customHeight="1">
      <c r="F87" s="40"/>
    </row>
    <row r="88" spans="6:6" ht="15.75" customHeight="1">
      <c r="F88" s="40"/>
    </row>
    <row r="89" spans="6:6" ht="15.75" customHeight="1">
      <c r="F89" s="40"/>
    </row>
    <row r="90" spans="6:6" ht="15.75" customHeight="1">
      <c r="F90" s="40"/>
    </row>
  </sheetData>
  <mergeCells count="21">
    <mergeCell ref="H4:I4"/>
    <mergeCell ref="D4:G4"/>
    <mergeCell ref="A14:F14"/>
    <mergeCell ref="A1:B1"/>
    <mergeCell ref="J1:K1"/>
    <mergeCell ref="C2:G2"/>
    <mergeCell ref="J2:K2"/>
    <mergeCell ref="J3:K3"/>
    <mergeCell ref="C4:C5"/>
    <mergeCell ref="J4:K4"/>
    <mergeCell ref="A3:B3"/>
    <mergeCell ref="C3:G3"/>
    <mergeCell ref="A2:B2"/>
    <mergeCell ref="A4:A5"/>
    <mergeCell ref="B4:B5"/>
    <mergeCell ref="M1:P1"/>
    <mergeCell ref="M2:P2"/>
    <mergeCell ref="N4:O4"/>
    <mergeCell ref="L4:M4"/>
    <mergeCell ref="P4:P5"/>
    <mergeCell ref="M3:P3"/>
  </mergeCells>
  <pageMargins left="0.7" right="0.7" top="0.75" bottom="0.75" header="0" footer="0"/>
  <pageSetup paperSize="9" scale="41" orientation="landscape" r:id="rId1"/>
</worksheet>
</file>

<file path=xl/worksheets/sheet4.xml><?xml version="1.0" encoding="utf-8"?>
<worksheet xmlns="http://schemas.openxmlformats.org/spreadsheetml/2006/main" xmlns:r="http://schemas.openxmlformats.org/officeDocument/2006/relationships">
  <dimension ref="A3:I97"/>
  <sheetViews>
    <sheetView tabSelected="1" topLeftCell="A13" workbookViewId="0">
      <selection activeCell="I52" sqref="I52"/>
    </sheetView>
  </sheetViews>
  <sheetFormatPr defaultColWidth="14.42578125" defaultRowHeight="15" customHeight="1"/>
  <cols>
    <col min="1" max="1" width="5.7109375" customWidth="1"/>
    <col min="2" max="2" width="19.42578125" customWidth="1"/>
    <col min="3" max="4" width="11.42578125" customWidth="1"/>
    <col min="5" max="5" width="14.28515625" customWidth="1"/>
    <col min="6" max="6" width="13.85546875" customWidth="1"/>
    <col min="7" max="7" width="13.140625" customWidth="1"/>
    <col min="8" max="10" width="8.7109375" customWidth="1"/>
    <col min="11" max="11" width="15" customWidth="1"/>
    <col min="12" max="12" width="14.85546875" customWidth="1"/>
  </cols>
  <sheetData>
    <row r="3" spans="1:9">
      <c r="A3" s="41" t="s">
        <v>95</v>
      </c>
    </row>
    <row r="4" spans="1:9">
      <c r="A4" s="42" t="s">
        <v>96</v>
      </c>
      <c r="B4" s="42" t="s">
        <v>97</v>
      </c>
      <c r="C4" s="42" t="s">
        <v>98</v>
      </c>
      <c r="D4" s="42" t="s">
        <v>99</v>
      </c>
      <c r="E4" s="42" t="s">
        <v>100</v>
      </c>
      <c r="F4" s="42" t="s">
        <v>101</v>
      </c>
      <c r="G4" s="42" t="s">
        <v>84</v>
      </c>
      <c r="H4" s="43"/>
      <c r="I4" s="43"/>
    </row>
    <row r="5" spans="1:9">
      <c r="A5" s="33">
        <v>1</v>
      </c>
      <c r="B5" s="219" t="s">
        <v>102</v>
      </c>
      <c r="C5" s="33" t="s">
        <v>103</v>
      </c>
      <c r="D5" s="33" t="s">
        <v>104</v>
      </c>
      <c r="E5" s="33" t="s">
        <v>105</v>
      </c>
      <c r="F5" s="67">
        <v>10.1</v>
      </c>
      <c r="G5" s="33" t="s">
        <v>91</v>
      </c>
    </row>
    <row r="6" spans="1:9">
      <c r="A6" s="33">
        <v>2</v>
      </c>
      <c r="B6" s="220"/>
      <c r="C6" s="33" t="s">
        <v>103</v>
      </c>
      <c r="D6" s="33" t="s">
        <v>105</v>
      </c>
      <c r="E6" s="33" t="s">
        <v>106</v>
      </c>
      <c r="F6" s="67">
        <v>10.1</v>
      </c>
      <c r="G6" s="33" t="s">
        <v>91</v>
      </c>
    </row>
    <row r="7" spans="1:9">
      <c r="A7" s="33">
        <v>3</v>
      </c>
      <c r="B7" s="221"/>
      <c r="C7" s="33" t="s">
        <v>103</v>
      </c>
      <c r="D7" s="33" t="s">
        <v>106</v>
      </c>
      <c r="E7" s="33" t="s">
        <v>107</v>
      </c>
      <c r="F7" s="67">
        <v>10.199999999999999</v>
      </c>
      <c r="G7" s="33" t="s">
        <v>91</v>
      </c>
    </row>
    <row r="8" spans="1:9">
      <c r="A8" s="33">
        <v>5</v>
      </c>
      <c r="B8" s="223" t="s">
        <v>108</v>
      </c>
      <c r="C8" s="33" t="s">
        <v>103</v>
      </c>
      <c r="D8" s="33" t="s">
        <v>105</v>
      </c>
      <c r="E8" s="33" t="s">
        <v>106</v>
      </c>
      <c r="F8" s="67">
        <v>14.1</v>
      </c>
      <c r="G8" s="33" t="s">
        <v>91</v>
      </c>
    </row>
    <row r="9" spans="1:9">
      <c r="A9" s="33">
        <v>7</v>
      </c>
      <c r="B9" s="224"/>
      <c r="C9" s="33" t="s">
        <v>103</v>
      </c>
      <c r="D9" s="33" t="s">
        <v>107</v>
      </c>
      <c r="E9" s="33" t="s">
        <v>109</v>
      </c>
      <c r="F9" s="67">
        <v>16.100000000000001</v>
      </c>
      <c r="G9" s="33" t="s">
        <v>91</v>
      </c>
    </row>
    <row r="10" spans="1:9">
      <c r="A10" s="33">
        <v>8</v>
      </c>
      <c r="B10" s="224"/>
      <c r="C10" s="33" t="s">
        <v>103</v>
      </c>
      <c r="D10" s="33" t="s">
        <v>109</v>
      </c>
      <c r="E10" s="33" t="s">
        <v>110</v>
      </c>
      <c r="F10" s="67">
        <v>14.3</v>
      </c>
      <c r="G10" s="33" t="s">
        <v>91</v>
      </c>
    </row>
    <row r="11" spans="1:9">
      <c r="A11" s="33">
        <v>9</v>
      </c>
      <c r="B11" s="224"/>
      <c r="C11" s="33" t="s">
        <v>103</v>
      </c>
      <c r="D11" s="33" t="s">
        <v>110</v>
      </c>
      <c r="E11" s="33" t="s">
        <v>111</v>
      </c>
      <c r="F11" s="67">
        <v>16.5</v>
      </c>
      <c r="G11" s="33" t="s">
        <v>91</v>
      </c>
    </row>
    <row r="12" spans="1:9">
      <c r="A12" s="33">
        <v>10</v>
      </c>
      <c r="B12" s="224"/>
      <c r="C12" s="33" t="s">
        <v>103</v>
      </c>
      <c r="D12" s="33" t="s">
        <v>111</v>
      </c>
      <c r="E12" s="33" t="s">
        <v>112</v>
      </c>
      <c r="F12" s="67">
        <v>14.5</v>
      </c>
      <c r="G12" s="33" t="s">
        <v>91</v>
      </c>
    </row>
    <row r="13" spans="1:9">
      <c r="A13" s="33">
        <v>11</v>
      </c>
      <c r="B13" s="224"/>
      <c r="C13" s="33" t="s">
        <v>103</v>
      </c>
      <c r="D13" s="33" t="s">
        <v>112</v>
      </c>
      <c r="E13" s="33" t="s">
        <v>113</v>
      </c>
      <c r="F13" s="67">
        <v>18.100000000000001</v>
      </c>
      <c r="G13" s="33" t="s">
        <v>91</v>
      </c>
    </row>
    <row r="14" spans="1:9" ht="15" customHeight="1">
      <c r="A14" s="33">
        <v>12</v>
      </c>
      <c r="B14" s="224"/>
      <c r="C14" s="33" t="s">
        <v>103</v>
      </c>
      <c r="D14" s="33" t="s">
        <v>113</v>
      </c>
      <c r="E14" s="33" t="s">
        <v>114</v>
      </c>
      <c r="F14" s="67">
        <v>16</v>
      </c>
      <c r="G14" s="33" t="s">
        <v>91</v>
      </c>
    </row>
    <row r="15" spans="1:9">
      <c r="A15" s="33">
        <v>13</v>
      </c>
      <c r="B15" s="225"/>
      <c r="C15" s="33" t="s">
        <v>103</v>
      </c>
      <c r="D15" s="33" t="s">
        <v>114</v>
      </c>
      <c r="E15" s="33" t="s">
        <v>115</v>
      </c>
      <c r="F15" s="67">
        <v>20</v>
      </c>
      <c r="G15" s="33" t="s">
        <v>91</v>
      </c>
    </row>
    <row r="16" spans="1:9">
      <c r="A16" s="222" t="s">
        <v>116</v>
      </c>
      <c r="B16" s="164"/>
      <c r="C16" s="164"/>
      <c r="D16" s="164"/>
      <c r="E16" s="165"/>
      <c r="F16" s="69">
        <f>SUM(F5:F15)</f>
        <v>160</v>
      </c>
      <c r="G16" s="33" t="s">
        <v>91</v>
      </c>
    </row>
    <row r="18" spans="1:7" ht="15" customHeight="1">
      <c r="A18" s="132" t="s">
        <v>92</v>
      </c>
      <c r="B18" s="132"/>
      <c r="C18" s="132"/>
      <c r="D18" s="132"/>
    </row>
    <row r="19" spans="1:7" ht="15.75" customHeight="1">
      <c r="A19" s="134" t="s">
        <v>96</v>
      </c>
      <c r="B19" s="134" t="s">
        <v>97</v>
      </c>
      <c r="C19" s="216" t="s">
        <v>1016</v>
      </c>
      <c r="D19" s="217"/>
      <c r="E19" s="217"/>
      <c r="F19" s="134" t="s">
        <v>101</v>
      </c>
      <c r="G19" s="130" t="s">
        <v>1018</v>
      </c>
    </row>
    <row r="20" spans="1:7" ht="15.75" customHeight="1">
      <c r="A20" s="127">
        <v>1</v>
      </c>
      <c r="B20" s="135" t="s">
        <v>1016</v>
      </c>
      <c r="C20" s="216" t="s">
        <v>1017</v>
      </c>
      <c r="D20" s="217"/>
      <c r="E20" s="217"/>
      <c r="F20" s="133">
        <f>0.9*1.2*14.7</f>
        <v>15.875999999999999</v>
      </c>
      <c r="G20" s="130" t="s">
        <v>1018</v>
      </c>
    </row>
    <row r="21" spans="1:7" ht="15.75" customHeight="1"/>
    <row r="22" spans="1:7" ht="15.75" customHeight="1">
      <c r="A22" s="143" t="s">
        <v>1019</v>
      </c>
    </row>
    <row r="23" spans="1:7" ht="15.75" customHeight="1">
      <c r="A23" s="134" t="s">
        <v>96</v>
      </c>
      <c r="B23" s="134" t="s">
        <v>97</v>
      </c>
      <c r="C23" s="216" t="s">
        <v>101</v>
      </c>
      <c r="D23" s="217"/>
      <c r="E23" s="217"/>
      <c r="F23" s="140"/>
      <c r="G23" s="141"/>
    </row>
    <row r="24" spans="1:7" ht="15.75" customHeight="1">
      <c r="A24" s="129">
        <v>1</v>
      </c>
      <c r="B24" s="125" t="s">
        <v>1020</v>
      </c>
      <c r="C24" s="233">
        <v>6</v>
      </c>
      <c r="D24" s="233"/>
      <c r="E24" s="233"/>
      <c r="F24" s="142"/>
      <c r="G24" s="142"/>
    </row>
    <row r="25" spans="1:7" ht="15.75" customHeight="1">
      <c r="A25" s="234" t="s">
        <v>1021</v>
      </c>
      <c r="B25" s="234"/>
      <c r="C25" s="234">
        <f>C24*0.6</f>
        <v>3.5999999999999996</v>
      </c>
      <c r="D25" s="234"/>
      <c r="E25" s="234"/>
    </row>
    <row r="26" spans="1:7" ht="15.75" customHeight="1"/>
    <row r="27" spans="1:7" ht="15.75" customHeight="1"/>
    <row r="28" spans="1:7" ht="15.75" customHeight="1">
      <c r="A28" s="41" t="s">
        <v>94</v>
      </c>
    </row>
    <row r="29" spans="1:7" ht="15.75" customHeight="1">
      <c r="A29" s="41" t="s">
        <v>1012</v>
      </c>
    </row>
    <row r="30" spans="1:7" ht="15.75" customHeight="1">
      <c r="A30" s="42" t="s">
        <v>96</v>
      </c>
      <c r="B30" s="42" t="s">
        <v>97</v>
      </c>
      <c r="C30" s="42" t="s">
        <v>100</v>
      </c>
      <c r="D30" s="42" t="s">
        <v>101</v>
      </c>
      <c r="E30" s="42" t="s">
        <v>84</v>
      </c>
    </row>
    <row r="31" spans="1:7" ht="15.75" customHeight="1">
      <c r="A31" s="33">
        <v>1</v>
      </c>
      <c r="B31" s="226" t="s">
        <v>1013</v>
      </c>
      <c r="C31" s="33" t="s">
        <v>105</v>
      </c>
      <c r="D31" s="33">
        <v>1</v>
      </c>
      <c r="E31" s="128" t="s">
        <v>1014</v>
      </c>
    </row>
    <row r="32" spans="1:7" ht="15.75" customHeight="1">
      <c r="A32" s="33">
        <v>2</v>
      </c>
      <c r="B32" s="227"/>
      <c r="C32" s="33" t="s">
        <v>106</v>
      </c>
      <c r="D32" s="33">
        <v>1</v>
      </c>
      <c r="E32" s="128" t="s">
        <v>1014</v>
      </c>
    </row>
    <row r="33" spans="1:6" ht="15.75" customHeight="1">
      <c r="A33" s="33">
        <v>3</v>
      </c>
      <c r="B33" s="228" t="s">
        <v>1015</v>
      </c>
      <c r="C33" s="33" t="s">
        <v>105</v>
      </c>
      <c r="D33" s="127">
        <v>1</v>
      </c>
      <c r="E33" s="126" t="s">
        <v>1014</v>
      </c>
    </row>
    <row r="34" spans="1:6" ht="15.75" customHeight="1">
      <c r="A34" s="33">
        <v>4</v>
      </c>
      <c r="B34" s="229"/>
      <c r="C34" s="33" t="s">
        <v>106</v>
      </c>
      <c r="D34" s="127">
        <v>1</v>
      </c>
      <c r="E34" s="126" t="s">
        <v>1014</v>
      </c>
    </row>
    <row r="35" spans="1:6" ht="15.75" customHeight="1">
      <c r="A35" s="33">
        <v>5</v>
      </c>
      <c r="B35" s="229"/>
      <c r="C35" s="33" t="s">
        <v>107</v>
      </c>
      <c r="D35" s="127">
        <v>1</v>
      </c>
      <c r="E35" s="126" t="s">
        <v>1014</v>
      </c>
    </row>
    <row r="36" spans="1:6" ht="15.75" customHeight="1">
      <c r="A36" s="33">
        <v>6</v>
      </c>
      <c r="B36" s="229"/>
      <c r="C36" s="33" t="s">
        <v>109</v>
      </c>
      <c r="D36" s="127">
        <v>1</v>
      </c>
      <c r="E36" s="126" t="s">
        <v>1014</v>
      </c>
    </row>
    <row r="37" spans="1:6" ht="15.75" customHeight="1">
      <c r="A37" s="33">
        <v>7</v>
      </c>
      <c r="B37" s="229"/>
      <c r="C37" s="33" t="s">
        <v>110</v>
      </c>
      <c r="D37" s="127">
        <v>1</v>
      </c>
      <c r="E37" s="126" t="s">
        <v>1014</v>
      </c>
    </row>
    <row r="38" spans="1:6" ht="15.75" customHeight="1">
      <c r="A38" s="33">
        <v>8</v>
      </c>
      <c r="B38" s="229"/>
      <c r="C38" s="33" t="s">
        <v>111</v>
      </c>
      <c r="D38" s="139">
        <v>1</v>
      </c>
      <c r="E38" s="126" t="s">
        <v>1014</v>
      </c>
    </row>
    <row r="39" spans="1:6" ht="15.75" customHeight="1">
      <c r="A39" s="33">
        <v>9</v>
      </c>
      <c r="B39" s="230"/>
      <c r="C39" s="33" t="s">
        <v>112</v>
      </c>
      <c r="D39" s="136">
        <v>1</v>
      </c>
      <c r="E39" s="126" t="s">
        <v>1014</v>
      </c>
    </row>
    <row r="40" spans="1:6" ht="15.75" customHeight="1">
      <c r="A40" s="125"/>
      <c r="B40" s="218" t="s">
        <v>116</v>
      </c>
      <c r="C40" s="218"/>
      <c r="D40" s="131">
        <f>SUM(D31:D39)</f>
        <v>9</v>
      </c>
      <c r="E40" s="126" t="s">
        <v>1014</v>
      </c>
    </row>
    <row r="41" spans="1:6" ht="15.75" customHeight="1">
      <c r="A41" s="138"/>
      <c r="B41" s="234" t="s">
        <v>1021</v>
      </c>
      <c r="C41" s="234"/>
      <c r="D41" s="144">
        <f>D40*50%</f>
        <v>4.5</v>
      </c>
      <c r="E41" s="126" t="s">
        <v>1014</v>
      </c>
    </row>
    <row r="42" spans="1:6" ht="15.75" customHeight="1"/>
    <row r="43" spans="1:6" ht="15.75" customHeight="1">
      <c r="A43" s="231" t="s">
        <v>1029</v>
      </c>
      <c r="B43" s="232"/>
      <c r="C43" s="144" t="s">
        <v>1022</v>
      </c>
      <c r="D43" s="144" t="s">
        <v>1023</v>
      </c>
      <c r="E43" s="130" t="s">
        <v>84</v>
      </c>
      <c r="F43" s="161" t="s">
        <v>1026</v>
      </c>
    </row>
    <row r="44" spans="1:6" ht="15.75" customHeight="1">
      <c r="A44" s="129">
        <v>1</v>
      </c>
      <c r="B44" s="162" t="s">
        <v>1024</v>
      </c>
      <c r="C44" s="158" t="s">
        <v>1025</v>
      </c>
      <c r="D44" s="129">
        <v>44</v>
      </c>
      <c r="E44" s="137" t="s">
        <v>1014</v>
      </c>
      <c r="F44" s="127">
        <v>44041</v>
      </c>
    </row>
    <row r="45" spans="1:6" ht="15.75" customHeight="1">
      <c r="A45" s="129">
        <v>2</v>
      </c>
      <c r="B45" s="162" t="s">
        <v>1024</v>
      </c>
      <c r="C45" s="158" t="s">
        <v>1025</v>
      </c>
      <c r="D45" s="129">
        <v>10</v>
      </c>
      <c r="E45" s="137" t="s">
        <v>1014</v>
      </c>
      <c r="F45" s="127">
        <v>44041</v>
      </c>
    </row>
    <row r="46" spans="1:6" ht="15.75" customHeight="1">
      <c r="A46" s="129">
        <v>3</v>
      </c>
      <c r="B46" s="162" t="s">
        <v>1027</v>
      </c>
      <c r="C46" s="158" t="s">
        <v>1025</v>
      </c>
      <c r="D46" s="129">
        <v>6</v>
      </c>
      <c r="E46" s="137" t="s">
        <v>1014</v>
      </c>
      <c r="F46" s="127">
        <v>44041</v>
      </c>
    </row>
    <row r="47" spans="1:6" ht="15.75" customHeight="1">
      <c r="A47" s="160">
        <v>4</v>
      </c>
      <c r="B47" s="162" t="s">
        <v>1024</v>
      </c>
      <c r="C47" s="159" t="s">
        <v>1028</v>
      </c>
      <c r="D47" s="160">
        <v>13</v>
      </c>
      <c r="E47" s="137" t="s">
        <v>1014</v>
      </c>
      <c r="F47" s="136">
        <v>44042</v>
      </c>
    </row>
    <row r="48" spans="1:6" ht="15.75" customHeight="1">
      <c r="A48" s="160">
        <v>5</v>
      </c>
      <c r="B48" s="162" t="s">
        <v>1024</v>
      </c>
      <c r="C48" s="254" t="s">
        <v>1035</v>
      </c>
      <c r="D48" s="160">
        <v>13</v>
      </c>
      <c r="E48" s="137" t="s">
        <v>1014</v>
      </c>
      <c r="F48" s="127">
        <v>44050</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sheetData>
  <mergeCells count="14">
    <mergeCell ref="A43:B43"/>
    <mergeCell ref="C23:E23"/>
    <mergeCell ref="C24:E24"/>
    <mergeCell ref="A25:B25"/>
    <mergeCell ref="C25:E25"/>
    <mergeCell ref="B41:C41"/>
    <mergeCell ref="C19:E19"/>
    <mergeCell ref="C20:E20"/>
    <mergeCell ref="B40:C40"/>
    <mergeCell ref="B5:B7"/>
    <mergeCell ref="A16:E16"/>
    <mergeCell ref="B8:B15"/>
    <mergeCell ref="B31:B32"/>
    <mergeCell ref="B33:B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M100"/>
  <sheetViews>
    <sheetView workbookViewId="0"/>
  </sheetViews>
  <sheetFormatPr defaultColWidth="14.42578125" defaultRowHeight="15" customHeight="1"/>
  <cols>
    <col min="1" max="1" width="8.7109375" customWidth="1"/>
    <col min="2" max="2" width="32.42578125" customWidth="1"/>
    <col min="3" max="3" width="20.85546875" customWidth="1"/>
    <col min="4" max="4" width="13.7109375" customWidth="1"/>
    <col min="5" max="5" width="22.5703125" customWidth="1"/>
    <col min="6" max="7" width="8.7109375" customWidth="1"/>
    <col min="8" max="8" width="20" customWidth="1"/>
    <col min="9" max="13" width="8.7109375" customWidth="1"/>
  </cols>
  <sheetData>
    <row r="1" spans="1:10" ht="45">
      <c r="A1" s="39" t="s">
        <v>117</v>
      </c>
      <c r="B1" s="39" t="s">
        <v>99</v>
      </c>
      <c r="C1" s="39" t="s">
        <v>100</v>
      </c>
      <c r="D1" s="39" t="s">
        <v>98</v>
      </c>
      <c r="E1" s="45" t="s">
        <v>118</v>
      </c>
      <c r="F1" s="45" t="s">
        <v>119</v>
      </c>
      <c r="G1" s="45" t="s">
        <v>120</v>
      </c>
      <c r="H1" s="45" t="s">
        <v>121</v>
      </c>
      <c r="I1" s="45" t="s">
        <v>122</v>
      </c>
      <c r="J1" s="45" t="s">
        <v>123</v>
      </c>
    </row>
    <row r="2" spans="1:10">
      <c r="A2" s="39">
        <v>1</v>
      </c>
      <c r="B2" s="39" t="s">
        <v>124</v>
      </c>
      <c r="C2" s="39" t="s">
        <v>125</v>
      </c>
      <c r="D2" s="39" t="s">
        <v>126</v>
      </c>
      <c r="E2" s="46" t="s">
        <v>127</v>
      </c>
      <c r="F2" s="39">
        <f>1.29+1.3+1.3+1.3+1.29</f>
        <v>6.4799999999999995</v>
      </c>
      <c r="G2" s="39">
        <v>6.8</v>
      </c>
      <c r="H2" s="39">
        <f>F2*G2</f>
        <v>44.063999999999993</v>
      </c>
      <c r="I2" s="39">
        <v>32</v>
      </c>
      <c r="J2" s="39">
        <f t="shared" ref="J2:J8" si="0">I2*H2</f>
        <v>1410.0479999999998</v>
      </c>
    </row>
    <row r="3" spans="1:10">
      <c r="A3" s="39">
        <v>2</v>
      </c>
      <c r="B3" s="39" t="s">
        <v>124</v>
      </c>
      <c r="C3" s="39" t="s">
        <v>125</v>
      </c>
      <c r="D3" s="39" t="s">
        <v>126</v>
      </c>
      <c r="E3" s="46" t="s">
        <v>128</v>
      </c>
      <c r="F3" s="39">
        <f>1.37+1.3+1.3+1.3+1.37</f>
        <v>6.64</v>
      </c>
      <c r="G3" s="39">
        <v>6.8</v>
      </c>
      <c r="H3" s="39">
        <f t="shared" ref="H3:H8" si="1">G3*F3</f>
        <v>45.151999999999994</v>
      </c>
      <c r="I3" s="39">
        <v>1</v>
      </c>
      <c r="J3" s="39">
        <f t="shared" si="0"/>
        <v>45.151999999999994</v>
      </c>
    </row>
    <row r="4" spans="1:10">
      <c r="A4" s="39">
        <v>3</v>
      </c>
      <c r="B4" s="39" t="s">
        <v>124</v>
      </c>
      <c r="C4" s="39" t="s">
        <v>125</v>
      </c>
      <c r="D4" s="39" t="s">
        <v>126</v>
      </c>
      <c r="E4" s="46" t="s">
        <v>129</v>
      </c>
      <c r="F4" s="39">
        <f>1.63+1.3+1.3+1.3+1.63</f>
        <v>7.1599999999999993</v>
      </c>
      <c r="G4" s="39">
        <v>6.8</v>
      </c>
      <c r="H4" s="39">
        <f t="shared" si="1"/>
        <v>48.687999999999995</v>
      </c>
      <c r="I4" s="39">
        <v>1</v>
      </c>
      <c r="J4" s="39">
        <f t="shared" si="0"/>
        <v>48.687999999999995</v>
      </c>
    </row>
    <row r="5" spans="1:10">
      <c r="A5" s="39">
        <v>4</v>
      </c>
      <c r="B5" s="39" t="s">
        <v>124</v>
      </c>
      <c r="C5" s="39" t="s">
        <v>125</v>
      </c>
      <c r="D5" s="39" t="s">
        <v>126</v>
      </c>
      <c r="E5" s="46" t="s">
        <v>130</v>
      </c>
      <c r="F5" s="39">
        <f>0.82+1.3+1.3+1.3+0.82</f>
        <v>5.54</v>
      </c>
      <c r="G5" s="39">
        <v>6.8</v>
      </c>
      <c r="H5" s="39">
        <f t="shared" si="1"/>
        <v>37.671999999999997</v>
      </c>
      <c r="I5" s="39">
        <v>1</v>
      </c>
      <c r="J5" s="39">
        <f t="shared" si="0"/>
        <v>37.671999999999997</v>
      </c>
    </row>
    <row r="6" spans="1:10">
      <c r="A6" s="39">
        <v>5</v>
      </c>
      <c r="B6" s="39" t="s">
        <v>124</v>
      </c>
      <c r="C6" s="39" t="s">
        <v>125</v>
      </c>
      <c r="D6" s="39" t="s">
        <v>126</v>
      </c>
      <c r="E6" s="46" t="s">
        <v>131</v>
      </c>
      <c r="F6" s="39">
        <f>1.09+1.3+1.3+1.3+1.09</f>
        <v>6.08</v>
      </c>
      <c r="G6" s="39">
        <v>6.8</v>
      </c>
      <c r="H6" s="39">
        <f t="shared" si="1"/>
        <v>41.344000000000001</v>
      </c>
      <c r="I6" s="39">
        <v>1</v>
      </c>
      <c r="J6" s="39">
        <f t="shared" si="0"/>
        <v>41.344000000000001</v>
      </c>
    </row>
    <row r="7" spans="1:10">
      <c r="A7" s="39">
        <v>6</v>
      </c>
      <c r="B7" s="39" t="s">
        <v>124</v>
      </c>
      <c r="C7" s="39" t="s">
        <v>125</v>
      </c>
      <c r="D7" s="39" t="s">
        <v>126</v>
      </c>
      <c r="E7" s="46" t="s">
        <v>132</v>
      </c>
      <c r="F7" s="39">
        <f>0.75+1.3+1.3+1.3+0.75</f>
        <v>5.3999999999999995</v>
      </c>
      <c r="G7" s="39">
        <v>6.8</v>
      </c>
      <c r="H7" s="39">
        <f t="shared" si="1"/>
        <v>36.72</v>
      </c>
      <c r="I7" s="39">
        <v>10</v>
      </c>
      <c r="J7" s="39">
        <f t="shared" si="0"/>
        <v>367.2</v>
      </c>
    </row>
    <row r="8" spans="1:10">
      <c r="A8" s="39">
        <v>7</v>
      </c>
      <c r="B8" s="39" t="s">
        <v>124</v>
      </c>
      <c r="C8" s="39" t="s">
        <v>125</v>
      </c>
      <c r="D8" s="39" t="s">
        <v>126</v>
      </c>
      <c r="E8" s="46" t="s">
        <v>133</v>
      </c>
      <c r="F8" s="46">
        <f>1.8+1.3+1.3+1.3+1.8</f>
        <v>7.5</v>
      </c>
      <c r="G8" s="39">
        <v>6.8</v>
      </c>
      <c r="H8" s="39">
        <f t="shared" si="1"/>
        <v>51</v>
      </c>
      <c r="I8" s="39">
        <v>2</v>
      </c>
      <c r="J8" s="39">
        <f t="shared" si="0"/>
        <v>102</v>
      </c>
    </row>
    <row r="9" spans="1:10">
      <c r="A9" s="39"/>
      <c r="B9" s="39"/>
      <c r="C9" s="39"/>
      <c r="D9" s="39"/>
      <c r="E9" s="39"/>
      <c r="F9" s="39"/>
      <c r="G9" s="39"/>
      <c r="H9" s="44" t="s">
        <v>116</v>
      </c>
      <c r="I9" s="44">
        <f t="shared" ref="I9:J9" si="2">SUM(I2:I8)</f>
        <v>48</v>
      </c>
      <c r="J9" s="44">
        <f t="shared" si="2"/>
        <v>2052.1040000000003</v>
      </c>
    </row>
    <row r="10" spans="1:10">
      <c r="A10" s="39"/>
      <c r="B10" s="39"/>
      <c r="C10" s="39"/>
      <c r="D10" s="39"/>
      <c r="E10" s="39"/>
      <c r="F10" s="39"/>
      <c r="G10" s="39"/>
      <c r="H10" s="39"/>
      <c r="I10" s="39"/>
      <c r="J10" s="39"/>
    </row>
    <row r="11" spans="1:10" ht="45">
      <c r="A11" s="39" t="s">
        <v>117</v>
      </c>
      <c r="B11" s="39" t="s">
        <v>99</v>
      </c>
      <c r="C11" s="39" t="s">
        <v>100</v>
      </c>
      <c r="D11" s="39" t="s">
        <v>98</v>
      </c>
      <c r="E11" s="45" t="s">
        <v>118</v>
      </c>
      <c r="F11" s="45" t="s">
        <v>119</v>
      </c>
      <c r="G11" s="45" t="s">
        <v>120</v>
      </c>
      <c r="H11" s="45" t="s">
        <v>121</v>
      </c>
      <c r="I11" s="45" t="s">
        <v>122</v>
      </c>
      <c r="J11" s="45" t="s">
        <v>123</v>
      </c>
    </row>
    <row r="12" spans="1:10">
      <c r="A12" s="39">
        <v>1</v>
      </c>
      <c r="B12" s="39" t="s">
        <v>134</v>
      </c>
      <c r="C12" s="39" t="s">
        <v>125</v>
      </c>
      <c r="D12" s="39" t="s">
        <v>126</v>
      </c>
      <c r="E12" s="46" t="s">
        <v>135</v>
      </c>
      <c r="F12" s="39">
        <f>1.06+1.3+1.3+1.06</f>
        <v>4.7200000000000006</v>
      </c>
      <c r="G12" s="39">
        <v>6.8</v>
      </c>
      <c r="H12" s="39">
        <f t="shared" ref="H12:H18" si="3">G12*F12</f>
        <v>32.096000000000004</v>
      </c>
      <c r="I12" s="39">
        <v>35</v>
      </c>
      <c r="J12" s="39">
        <f t="shared" ref="J12:J20" si="4">I12*H12</f>
        <v>1123.3600000000001</v>
      </c>
    </row>
    <row r="13" spans="1:10">
      <c r="A13" s="39">
        <v>2</v>
      </c>
      <c r="B13" s="39" t="s">
        <v>134</v>
      </c>
      <c r="C13" s="39" t="s">
        <v>125</v>
      </c>
      <c r="D13" s="39" t="s">
        <v>126</v>
      </c>
      <c r="E13" s="46" t="s">
        <v>136</v>
      </c>
      <c r="F13" s="39">
        <f>0.52+1.3+1.3+0.52</f>
        <v>3.64</v>
      </c>
      <c r="G13" s="39">
        <v>6.8</v>
      </c>
      <c r="H13" s="39">
        <f t="shared" si="3"/>
        <v>24.751999999999999</v>
      </c>
      <c r="I13" s="39">
        <v>9</v>
      </c>
      <c r="J13" s="39">
        <f t="shared" si="4"/>
        <v>222.768</v>
      </c>
    </row>
    <row r="14" spans="1:10">
      <c r="A14" s="39">
        <v>3</v>
      </c>
      <c r="B14" s="39" t="s">
        <v>134</v>
      </c>
      <c r="C14" s="39" t="s">
        <v>125</v>
      </c>
      <c r="D14" s="39" t="s">
        <v>126</v>
      </c>
      <c r="E14" s="46" t="s">
        <v>137</v>
      </c>
      <c r="F14" s="39">
        <f>1.4+1.3+1.3+1.4</f>
        <v>5.4</v>
      </c>
      <c r="G14" s="39">
        <v>6.8</v>
      </c>
      <c r="H14" s="39">
        <f t="shared" si="3"/>
        <v>36.72</v>
      </c>
      <c r="I14" s="39">
        <v>1</v>
      </c>
      <c r="J14" s="39">
        <f t="shared" si="4"/>
        <v>36.72</v>
      </c>
    </row>
    <row r="15" spans="1:10">
      <c r="A15" s="39">
        <v>4</v>
      </c>
      <c r="B15" s="39" t="s">
        <v>134</v>
      </c>
      <c r="C15" s="39" t="s">
        <v>125</v>
      </c>
      <c r="D15" s="39" t="s">
        <v>126</v>
      </c>
      <c r="E15" s="46" t="s">
        <v>138</v>
      </c>
      <c r="F15" s="39">
        <f>0.91+1.3+1.3+0.91</f>
        <v>4.42</v>
      </c>
      <c r="G15" s="39">
        <v>6.8</v>
      </c>
      <c r="H15" s="39">
        <f t="shared" si="3"/>
        <v>30.055999999999997</v>
      </c>
      <c r="I15" s="39">
        <v>1</v>
      </c>
      <c r="J15" s="39">
        <f t="shared" si="4"/>
        <v>30.055999999999997</v>
      </c>
    </row>
    <row r="16" spans="1:10">
      <c r="A16" s="39">
        <v>5</v>
      </c>
      <c r="B16" s="39" t="s">
        <v>134</v>
      </c>
      <c r="C16" s="39" t="s">
        <v>125</v>
      </c>
      <c r="D16" s="39" t="s">
        <v>126</v>
      </c>
      <c r="E16" s="46" t="s">
        <v>139</v>
      </c>
      <c r="F16" s="39">
        <f>1.25+1.3+1.3+1.25</f>
        <v>5.0999999999999996</v>
      </c>
      <c r="G16" s="39">
        <v>6.8</v>
      </c>
      <c r="H16" s="39">
        <f t="shared" si="3"/>
        <v>34.68</v>
      </c>
      <c r="I16" s="39">
        <v>1</v>
      </c>
      <c r="J16" s="39">
        <f t="shared" si="4"/>
        <v>34.68</v>
      </c>
    </row>
    <row r="17" spans="1:13">
      <c r="A17" s="39">
        <v>6</v>
      </c>
      <c r="B17" s="39" t="s">
        <v>134</v>
      </c>
      <c r="C17" s="39" t="s">
        <v>125</v>
      </c>
      <c r="D17" s="39" t="s">
        <v>126</v>
      </c>
      <c r="E17" s="46" t="s">
        <v>140</v>
      </c>
      <c r="F17" s="39">
        <f>0.64+1.3+1.3+0.64</f>
        <v>3.8800000000000003</v>
      </c>
      <c r="G17" s="39">
        <v>6.8</v>
      </c>
      <c r="H17" s="39">
        <f t="shared" si="3"/>
        <v>26.384</v>
      </c>
      <c r="I17" s="39">
        <v>1</v>
      </c>
      <c r="J17" s="39">
        <f t="shared" si="4"/>
        <v>26.384</v>
      </c>
    </row>
    <row r="18" spans="1:13">
      <c r="A18" s="39">
        <v>7</v>
      </c>
      <c r="B18" s="39" t="s">
        <v>134</v>
      </c>
      <c r="C18" s="39" t="s">
        <v>125</v>
      </c>
      <c r="D18" s="39" t="s">
        <v>126</v>
      </c>
      <c r="E18" s="46" t="s">
        <v>141</v>
      </c>
      <c r="F18" s="46">
        <f>1.37+1.3+1.3+1.37</f>
        <v>5.34</v>
      </c>
      <c r="G18" s="39">
        <v>6.8</v>
      </c>
      <c r="H18" s="39">
        <f t="shared" si="3"/>
        <v>36.311999999999998</v>
      </c>
      <c r="I18" s="39">
        <v>3</v>
      </c>
      <c r="J18" s="39">
        <f t="shared" si="4"/>
        <v>108.93599999999999</v>
      </c>
    </row>
    <row r="19" spans="1:13">
      <c r="A19" s="39">
        <v>8</v>
      </c>
      <c r="B19" s="39" t="s">
        <v>134</v>
      </c>
      <c r="C19" s="39" t="s">
        <v>125</v>
      </c>
      <c r="D19" s="39" t="s">
        <v>126</v>
      </c>
      <c r="E19" s="46" t="s">
        <v>137</v>
      </c>
      <c r="F19" s="46">
        <f>1.4+1.3+1.3+1.4</f>
        <v>5.4</v>
      </c>
      <c r="G19" s="39">
        <v>6.8</v>
      </c>
      <c r="H19" s="39">
        <f t="shared" ref="H19:H20" si="5">F19*G19</f>
        <v>36.72</v>
      </c>
      <c r="I19" s="39">
        <v>2</v>
      </c>
      <c r="J19" s="39">
        <f t="shared" si="4"/>
        <v>73.44</v>
      </c>
    </row>
    <row r="20" spans="1:13">
      <c r="A20" s="39">
        <v>9</v>
      </c>
      <c r="B20" s="39" t="s">
        <v>134</v>
      </c>
      <c r="C20" s="39" t="s">
        <v>125</v>
      </c>
      <c r="D20" s="39" t="s">
        <v>126</v>
      </c>
      <c r="E20" s="46" t="s">
        <v>142</v>
      </c>
      <c r="F20" s="46">
        <f>0.87+1.3+1.3+0.87</f>
        <v>4.34</v>
      </c>
      <c r="G20" s="39">
        <v>6.8</v>
      </c>
      <c r="H20" s="39">
        <f t="shared" si="5"/>
        <v>29.511999999999997</v>
      </c>
      <c r="I20" s="39">
        <v>1</v>
      </c>
      <c r="J20" s="39">
        <f t="shared" si="4"/>
        <v>29.511999999999997</v>
      </c>
    </row>
    <row r="21" spans="1:13" ht="15.75" customHeight="1">
      <c r="A21" s="39"/>
      <c r="B21" s="39"/>
      <c r="C21" s="39"/>
      <c r="D21" s="39"/>
      <c r="E21" s="39"/>
      <c r="F21" s="39"/>
      <c r="G21" s="39"/>
      <c r="H21" s="44" t="s">
        <v>116</v>
      </c>
      <c r="I21" s="44">
        <f t="shared" ref="I21:J21" si="6">SUM(I12:I20)</f>
        <v>54</v>
      </c>
      <c r="J21" s="44">
        <f t="shared" si="6"/>
        <v>1685.8560000000002</v>
      </c>
    </row>
    <row r="22" spans="1:13" ht="15.75" customHeight="1">
      <c r="A22" s="39"/>
      <c r="B22" s="39"/>
      <c r="C22" s="39"/>
      <c r="D22" s="39"/>
      <c r="E22" s="39"/>
      <c r="F22" s="39"/>
      <c r="G22" s="39"/>
      <c r="H22" s="39"/>
      <c r="I22" s="39"/>
      <c r="J22" s="39"/>
    </row>
    <row r="23" spans="1:13" ht="15.75" customHeight="1">
      <c r="A23" s="39" t="s">
        <v>143</v>
      </c>
      <c r="B23" s="39" t="s">
        <v>144</v>
      </c>
      <c r="C23" s="39" t="s">
        <v>145</v>
      </c>
      <c r="D23" s="39" t="s">
        <v>146</v>
      </c>
      <c r="E23" s="39" t="s">
        <v>147</v>
      </c>
      <c r="F23" s="39"/>
      <c r="G23" s="39"/>
      <c r="H23" s="39"/>
      <c r="I23" s="39"/>
      <c r="J23" s="39"/>
    </row>
    <row r="24" spans="1:13" ht="15.75" customHeight="1">
      <c r="A24" s="39">
        <v>1</v>
      </c>
      <c r="B24" s="39" t="s">
        <v>148</v>
      </c>
      <c r="C24" s="39">
        <v>1.07</v>
      </c>
      <c r="D24" s="39">
        <v>830</v>
      </c>
      <c r="E24" s="44">
        <f>D24*C24</f>
        <v>888.1</v>
      </c>
      <c r="F24" s="39"/>
      <c r="G24" s="39"/>
      <c r="H24" s="39"/>
      <c r="I24" s="39"/>
      <c r="J24" s="39"/>
    </row>
    <row r="25" spans="1:13" ht="15.75" customHeight="1">
      <c r="A25" s="39"/>
      <c r="B25" s="39"/>
      <c r="C25" s="39"/>
      <c r="D25" s="39"/>
      <c r="E25" s="39"/>
      <c r="F25" s="39"/>
      <c r="G25" s="39"/>
      <c r="H25" s="39"/>
      <c r="I25" s="39"/>
      <c r="J25" s="39"/>
    </row>
    <row r="26" spans="1:13" ht="15.75" customHeight="1">
      <c r="A26" s="39"/>
      <c r="B26" s="39"/>
      <c r="C26" s="39"/>
      <c r="D26" s="39"/>
      <c r="E26" s="39"/>
      <c r="F26" s="39"/>
      <c r="G26" s="39"/>
      <c r="H26" s="44" t="s">
        <v>149</v>
      </c>
      <c r="I26" s="39"/>
      <c r="J26" s="44">
        <f>J21+J9</f>
        <v>3737.9600000000005</v>
      </c>
    </row>
    <row r="27" spans="1:13" ht="15.75" customHeight="1">
      <c r="A27" s="39"/>
      <c r="B27" s="39"/>
      <c r="C27" s="39"/>
      <c r="D27" s="39"/>
      <c r="E27" s="39"/>
      <c r="F27" s="39"/>
      <c r="G27" s="39"/>
      <c r="H27" s="44"/>
      <c r="I27" s="39"/>
      <c r="J27" s="44">
        <f>'ms angle'!J50</f>
        <v>4375.1679999999997</v>
      </c>
    </row>
    <row r="28" spans="1:13" ht="15.75" customHeight="1">
      <c r="A28" s="39"/>
      <c r="B28" s="39"/>
      <c r="C28" s="39"/>
      <c r="D28" s="39"/>
      <c r="E28" s="39"/>
      <c r="F28" s="39"/>
      <c r="G28" s="39"/>
      <c r="H28" s="44" t="s">
        <v>150</v>
      </c>
      <c r="I28" s="39"/>
      <c r="J28" s="44">
        <f>E24</f>
        <v>888.1</v>
      </c>
    </row>
    <row r="29" spans="1:13" ht="15.75" customHeight="1">
      <c r="A29" s="39"/>
      <c r="B29" s="39"/>
      <c r="C29" s="39"/>
      <c r="D29" s="39"/>
      <c r="E29" s="39"/>
      <c r="F29" s="39"/>
      <c r="G29" s="39"/>
      <c r="H29" s="44" t="s">
        <v>151</v>
      </c>
      <c r="I29" s="39"/>
      <c r="J29" s="44">
        <f>SUM(J26:J28)</f>
        <v>9001.228000000001</v>
      </c>
    </row>
    <row r="30" spans="1:13" ht="15.75" customHeight="1">
      <c r="A30" s="39"/>
      <c r="B30" s="39"/>
      <c r="C30" s="39"/>
      <c r="D30" s="39"/>
      <c r="E30" s="39"/>
      <c r="F30" s="39"/>
      <c r="G30" s="39"/>
      <c r="H30" s="39"/>
      <c r="I30" s="39"/>
      <c r="J30" s="39"/>
    </row>
    <row r="31" spans="1:13" ht="15.75" customHeight="1">
      <c r="A31" s="39"/>
      <c r="B31" s="39"/>
      <c r="C31" s="39"/>
      <c r="D31" s="39"/>
      <c r="E31" s="39"/>
      <c r="F31" s="39"/>
      <c r="G31" s="39"/>
      <c r="H31" s="39"/>
      <c r="I31" s="39"/>
      <c r="J31" s="39"/>
      <c r="M31" t="s">
        <v>152</v>
      </c>
    </row>
    <row r="32" spans="1: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dimension ref="A1:K100"/>
  <sheetViews>
    <sheetView workbookViewId="0"/>
  </sheetViews>
  <sheetFormatPr defaultColWidth="14.42578125" defaultRowHeight="15" customHeight="1"/>
  <cols>
    <col min="1" max="1" width="8.85546875" customWidth="1"/>
    <col min="2" max="2" width="23.85546875" customWidth="1"/>
    <col min="3" max="3" width="28.28515625" customWidth="1"/>
    <col min="4" max="4" width="8.85546875" customWidth="1"/>
    <col min="5" max="5" width="20.85546875" customWidth="1"/>
    <col min="6" max="11" width="8.85546875" customWidth="1"/>
  </cols>
  <sheetData>
    <row r="1" spans="1:11" ht="45">
      <c r="A1" s="47" t="s">
        <v>117</v>
      </c>
      <c r="B1" s="48" t="s">
        <v>153</v>
      </c>
      <c r="C1" s="48" t="s">
        <v>154</v>
      </c>
      <c r="D1" s="48" t="s">
        <v>98</v>
      </c>
      <c r="E1" s="49" t="s">
        <v>118</v>
      </c>
      <c r="F1" s="49" t="s">
        <v>119</v>
      </c>
      <c r="G1" s="49" t="s">
        <v>120</v>
      </c>
      <c r="H1" s="49" t="s">
        <v>155</v>
      </c>
      <c r="I1" s="49" t="s">
        <v>122</v>
      </c>
      <c r="J1" s="50" t="s">
        <v>123</v>
      </c>
      <c r="K1" s="51"/>
    </row>
    <row r="2" spans="1:11">
      <c r="A2" s="52">
        <v>1</v>
      </c>
      <c r="B2" s="53" t="s">
        <v>156</v>
      </c>
      <c r="C2" s="53" t="s">
        <v>157</v>
      </c>
      <c r="D2" s="53" t="s">
        <v>126</v>
      </c>
      <c r="E2" s="53" t="s">
        <v>158</v>
      </c>
      <c r="F2" s="53">
        <f>0.95+1.1+1.1+0.95</f>
        <v>4.0999999999999996</v>
      </c>
      <c r="G2" s="53">
        <v>6.8</v>
      </c>
      <c r="H2" s="53">
        <f t="shared" ref="H2:H5" si="0">F2*G2</f>
        <v>27.879999999999995</v>
      </c>
      <c r="I2" s="53">
        <v>1</v>
      </c>
      <c r="J2" s="54">
        <f>I2*H2</f>
        <v>27.879999999999995</v>
      </c>
      <c r="K2" s="51"/>
    </row>
    <row r="3" spans="1:11">
      <c r="A3" s="52">
        <v>2</v>
      </c>
      <c r="B3" s="53" t="s">
        <v>156</v>
      </c>
      <c r="C3" s="53" t="s">
        <v>157</v>
      </c>
      <c r="D3" s="53" t="s">
        <v>126</v>
      </c>
      <c r="E3" s="53" t="s">
        <v>159</v>
      </c>
      <c r="F3" s="53">
        <f>1.3+1.1+1.1+1.33</f>
        <v>4.83</v>
      </c>
      <c r="G3" s="53">
        <v>6.8</v>
      </c>
      <c r="H3" s="53">
        <f t="shared" si="0"/>
        <v>32.844000000000001</v>
      </c>
      <c r="I3" s="53">
        <v>4</v>
      </c>
      <c r="J3" s="54">
        <f t="shared" ref="J3:J5" si="1">H3*I3</f>
        <v>131.376</v>
      </c>
      <c r="K3" s="51"/>
    </row>
    <row r="4" spans="1:11">
      <c r="A4" s="52">
        <v>3</v>
      </c>
      <c r="B4" s="53" t="s">
        <v>160</v>
      </c>
      <c r="C4" s="53" t="s">
        <v>157</v>
      </c>
      <c r="D4" s="53" t="s">
        <v>161</v>
      </c>
      <c r="E4" s="53" t="s">
        <v>162</v>
      </c>
      <c r="F4" s="53">
        <f>1.6+1.1+1.6</f>
        <v>4.3000000000000007</v>
      </c>
      <c r="G4" s="53">
        <v>4.8</v>
      </c>
      <c r="H4" s="53">
        <f t="shared" si="0"/>
        <v>20.640000000000004</v>
      </c>
      <c r="I4" s="53">
        <v>15</v>
      </c>
      <c r="J4" s="54">
        <f t="shared" si="1"/>
        <v>309.60000000000008</v>
      </c>
      <c r="K4" s="51"/>
    </row>
    <row r="5" spans="1:11">
      <c r="A5" s="52">
        <v>4</v>
      </c>
      <c r="B5" s="53" t="s">
        <v>160</v>
      </c>
      <c r="C5" s="53" t="s">
        <v>157</v>
      </c>
      <c r="D5" s="53" t="s">
        <v>161</v>
      </c>
      <c r="E5" s="53" t="s">
        <v>163</v>
      </c>
      <c r="F5" s="53">
        <f>1.6+1.1+1.35</f>
        <v>4.0500000000000007</v>
      </c>
      <c r="G5" s="53">
        <v>4.8</v>
      </c>
      <c r="H5" s="53">
        <f t="shared" si="0"/>
        <v>19.440000000000001</v>
      </c>
      <c r="I5" s="53">
        <v>2</v>
      </c>
      <c r="J5" s="54">
        <f t="shared" si="1"/>
        <v>38.880000000000003</v>
      </c>
      <c r="K5" s="51"/>
    </row>
    <row r="6" spans="1:11">
      <c r="A6" s="52"/>
      <c r="B6" s="53"/>
      <c r="C6" s="53"/>
      <c r="D6" s="53"/>
      <c r="E6" s="53"/>
      <c r="F6" s="53"/>
      <c r="G6" s="53"/>
      <c r="H6" s="53"/>
      <c r="I6" s="53"/>
      <c r="J6" s="54"/>
      <c r="K6" s="51"/>
    </row>
    <row r="7" spans="1:11">
      <c r="A7" s="52"/>
      <c r="B7" s="53"/>
      <c r="C7" s="53"/>
      <c r="D7" s="53"/>
      <c r="E7" s="53"/>
      <c r="F7" s="53"/>
      <c r="G7" s="53"/>
      <c r="H7" s="55" t="s">
        <v>116</v>
      </c>
      <c r="I7" s="55">
        <f t="shared" ref="I7:J7" si="2">SUM(I2:I6)</f>
        <v>22</v>
      </c>
      <c r="J7" s="56">
        <f t="shared" si="2"/>
        <v>507.7360000000001</v>
      </c>
      <c r="K7" s="51"/>
    </row>
    <row r="8" spans="1:11">
      <c r="A8" s="52"/>
      <c r="B8" s="53"/>
      <c r="C8" s="53"/>
      <c r="D8" s="53"/>
      <c r="E8" s="53"/>
      <c r="F8" s="53"/>
      <c r="G8" s="53"/>
      <c r="H8" s="55"/>
      <c r="I8" s="55"/>
      <c r="J8" s="56"/>
      <c r="K8" s="51"/>
    </row>
    <row r="9" spans="1:11" ht="45">
      <c r="A9" s="52" t="s">
        <v>117</v>
      </c>
      <c r="B9" s="53" t="s">
        <v>99</v>
      </c>
      <c r="C9" s="53" t="s">
        <v>100</v>
      </c>
      <c r="D9" s="53" t="s">
        <v>98</v>
      </c>
      <c r="E9" s="57" t="s">
        <v>118</v>
      </c>
      <c r="F9" s="57" t="s">
        <v>119</v>
      </c>
      <c r="G9" s="57" t="s">
        <v>120</v>
      </c>
      <c r="H9" s="57" t="s">
        <v>155</v>
      </c>
      <c r="I9" s="57" t="s">
        <v>122</v>
      </c>
      <c r="J9" s="58" t="s">
        <v>123</v>
      </c>
      <c r="K9" s="51"/>
    </row>
    <row r="10" spans="1:11">
      <c r="A10" s="52">
        <v>1</v>
      </c>
      <c r="B10" s="53" t="s">
        <v>164</v>
      </c>
      <c r="C10" s="53" t="s">
        <v>165</v>
      </c>
      <c r="D10" s="53" t="s">
        <v>126</v>
      </c>
      <c r="E10" s="53" t="s">
        <v>166</v>
      </c>
      <c r="F10" s="53">
        <f>1.04+1.1+1.1+1.04</f>
        <v>4.28</v>
      </c>
      <c r="G10" s="53">
        <v>6.8</v>
      </c>
      <c r="H10" s="53">
        <f t="shared" ref="H10:H11" si="3">F10*G10</f>
        <v>29.103999999999999</v>
      </c>
      <c r="I10" s="53">
        <v>18</v>
      </c>
      <c r="J10" s="54">
        <f t="shared" ref="J10:J14" si="4">H10*I10</f>
        <v>523.87199999999996</v>
      </c>
      <c r="K10" s="51"/>
    </row>
    <row r="11" spans="1:11">
      <c r="A11" s="52">
        <v>2</v>
      </c>
      <c r="B11" s="53" t="s">
        <v>164</v>
      </c>
      <c r="C11" s="53" t="s">
        <v>165</v>
      </c>
      <c r="D11" s="53" t="s">
        <v>126</v>
      </c>
      <c r="E11" s="53" t="s">
        <v>167</v>
      </c>
      <c r="F11" s="53">
        <f>1.5+1.1+1.1+1.5</f>
        <v>5.2</v>
      </c>
      <c r="G11" s="53">
        <v>6.8</v>
      </c>
      <c r="H11" s="53">
        <f t="shared" si="3"/>
        <v>35.36</v>
      </c>
      <c r="I11" s="53">
        <v>5</v>
      </c>
      <c r="J11" s="54">
        <f t="shared" si="4"/>
        <v>176.8</v>
      </c>
      <c r="K11" s="51"/>
    </row>
    <row r="12" spans="1:11">
      <c r="A12" s="52">
        <v>3</v>
      </c>
      <c r="B12" s="53" t="s">
        <v>164</v>
      </c>
      <c r="C12" s="53" t="s">
        <v>165</v>
      </c>
      <c r="D12" s="53" t="s">
        <v>126</v>
      </c>
      <c r="E12" s="53" t="s">
        <v>168</v>
      </c>
      <c r="F12" s="53">
        <f>1.2+1.1+1.1+1.2</f>
        <v>4.5999999999999996</v>
      </c>
      <c r="G12" s="53">
        <v>6.8</v>
      </c>
      <c r="H12" s="53">
        <f>G12*F12</f>
        <v>31.279999999999998</v>
      </c>
      <c r="I12" s="53">
        <v>1</v>
      </c>
      <c r="J12" s="54">
        <f t="shared" si="4"/>
        <v>31.279999999999998</v>
      </c>
      <c r="K12" s="51"/>
    </row>
    <row r="13" spans="1:11">
      <c r="A13" s="52">
        <v>4</v>
      </c>
      <c r="B13" s="53" t="s">
        <v>164</v>
      </c>
      <c r="C13" s="53" t="s">
        <v>165</v>
      </c>
      <c r="D13" s="53" t="s">
        <v>126</v>
      </c>
      <c r="E13" s="53" t="s">
        <v>169</v>
      </c>
      <c r="F13" s="53">
        <f>0.78+1.1+0.78</f>
        <v>2.66</v>
      </c>
      <c r="G13" s="53">
        <v>6.8</v>
      </c>
      <c r="H13" s="53">
        <f>F13*G13</f>
        <v>18.088000000000001</v>
      </c>
      <c r="I13" s="53">
        <v>1</v>
      </c>
      <c r="J13" s="54">
        <f t="shared" si="4"/>
        <v>18.088000000000001</v>
      </c>
      <c r="K13" s="51"/>
    </row>
    <row r="14" spans="1:11">
      <c r="A14" s="52">
        <v>5</v>
      </c>
      <c r="B14" s="53" t="s">
        <v>164</v>
      </c>
      <c r="C14" s="53" t="s">
        <v>165</v>
      </c>
      <c r="D14" s="53" t="s">
        <v>126</v>
      </c>
      <c r="E14" s="53" t="s">
        <v>170</v>
      </c>
      <c r="F14" s="53">
        <f>0.2+1.1+0.2</f>
        <v>1.5</v>
      </c>
      <c r="G14" s="53">
        <v>6.8</v>
      </c>
      <c r="H14" s="53">
        <f>G14*F14</f>
        <v>10.199999999999999</v>
      </c>
      <c r="I14" s="53">
        <v>1</v>
      </c>
      <c r="J14" s="54">
        <f t="shared" si="4"/>
        <v>10.199999999999999</v>
      </c>
      <c r="K14" s="51"/>
    </row>
    <row r="15" spans="1:11">
      <c r="A15" s="52"/>
      <c r="B15" s="53"/>
      <c r="C15" s="53"/>
      <c r="D15" s="53"/>
      <c r="E15" s="53"/>
      <c r="F15" s="53"/>
      <c r="G15" s="53"/>
      <c r="H15" s="55" t="s">
        <v>116</v>
      </c>
      <c r="I15" s="55">
        <f t="shared" ref="I15:J15" si="5">SUM(I10:I14)</f>
        <v>26</v>
      </c>
      <c r="J15" s="56">
        <f t="shared" si="5"/>
        <v>760.24</v>
      </c>
      <c r="K15" s="51"/>
    </row>
    <row r="16" spans="1:11">
      <c r="A16" s="52"/>
      <c r="B16" s="53"/>
      <c r="C16" s="53"/>
      <c r="D16" s="53"/>
      <c r="E16" s="53"/>
      <c r="F16" s="53"/>
      <c r="G16" s="53"/>
      <c r="H16" s="53"/>
      <c r="I16" s="53"/>
      <c r="J16" s="54"/>
      <c r="K16" s="51"/>
    </row>
    <row r="17" spans="1:11" ht="45">
      <c r="A17" s="52" t="s">
        <v>117</v>
      </c>
      <c r="B17" s="53" t="s">
        <v>153</v>
      </c>
      <c r="C17" s="53" t="s">
        <v>154</v>
      </c>
      <c r="D17" s="53" t="s">
        <v>171</v>
      </c>
      <c r="E17" s="57" t="s">
        <v>118</v>
      </c>
      <c r="F17" s="57" t="s">
        <v>119</v>
      </c>
      <c r="G17" s="57" t="s">
        <v>120</v>
      </c>
      <c r="H17" s="57" t="s">
        <v>155</v>
      </c>
      <c r="I17" s="57" t="s">
        <v>122</v>
      </c>
      <c r="J17" s="58" t="s">
        <v>123</v>
      </c>
      <c r="K17" s="51"/>
    </row>
    <row r="18" spans="1:11">
      <c r="A18" s="52">
        <v>1</v>
      </c>
      <c r="B18" s="53" t="s">
        <v>172</v>
      </c>
      <c r="C18" s="53" t="s">
        <v>157</v>
      </c>
      <c r="D18" s="53" t="s">
        <v>126</v>
      </c>
      <c r="E18" s="53" t="s">
        <v>173</v>
      </c>
      <c r="F18" s="53">
        <f>1.6+1.1+1.1+1.1+1.6</f>
        <v>6.5</v>
      </c>
      <c r="G18" s="53">
        <v>6.8</v>
      </c>
      <c r="H18" s="53">
        <f t="shared" ref="H18:H20" si="6">F18*G18</f>
        <v>44.199999999999996</v>
      </c>
      <c r="I18" s="53">
        <v>6</v>
      </c>
      <c r="J18" s="54">
        <f t="shared" ref="J18:J19" si="7">H18*I18</f>
        <v>265.2</v>
      </c>
      <c r="K18" s="51"/>
    </row>
    <row r="19" spans="1:11">
      <c r="A19" s="52">
        <v>2</v>
      </c>
      <c r="B19" s="53" t="s">
        <v>172</v>
      </c>
      <c r="C19" s="53" t="s">
        <v>157</v>
      </c>
      <c r="D19" s="53" t="s">
        <v>126</v>
      </c>
      <c r="E19" s="53" t="s">
        <v>174</v>
      </c>
      <c r="F19" s="53">
        <f>1.7+1.1+1.1+1.1+1.7</f>
        <v>6.7</v>
      </c>
      <c r="G19" s="53">
        <v>6.8</v>
      </c>
      <c r="H19" s="53">
        <f t="shared" si="6"/>
        <v>45.56</v>
      </c>
      <c r="I19" s="53">
        <v>3</v>
      </c>
      <c r="J19" s="54">
        <f t="shared" si="7"/>
        <v>136.68</v>
      </c>
      <c r="K19" s="51"/>
    </row>
    <row r="20" spans="1:11">
      <c r="A20" s="52">
        <v>3</v>
      </c>
      <c r="B20" s="53" t="s">
        <v>172</v>
      </c>
      <c r="C20" s="53" t="s">
        <v>157</v>
      </c>
      <c r="D20" s="53" t="s">
        <v>126</v>
      </c>
      <c r="E20" s="53" t="s">
        <v>175</v>
      </c>
      <c r="F20" s="53">
        <f>1.35+1.1+1.1+1.1+1.35</f>
        <v>6</v>
      </c>
      <c r="G20" s="53">
        <v>6.8</v>
      </c>
      <c r="H20" s="53">
        <f t="shared" si="6"/>
        <v>40.799999999999997</v>
      </c>
      <c r="I20" s="53">
        <v>1</v>
      </c>
      <c r="J20" s="54">
        <f t="shared" ref="J20:J21" si="8">I20*H20</f>
        <v>40.799999999999997</v>
      </c>
      <c r="K20" s="51"/>
    </row>
    <row r="21" spans="1:11" ht="15.75" customHeight="1">
      <c r="A21" s="52">
        <v>4</v>
      </c>
      <c r="B21" s="53" t="s">
        <v>172</v>
      </c>
      <c r="C21" s="53" t="s">
        <v>157</v>
      </c>
      <c r="D21" s="53" t="s">
        <v>126</v>
      </c>
      <c r="E21" s="53" t="s">
        <v>176</v>
      </c>
      <c r="F21" s="53">
        <f>1.165+1.1+1.1+1.1+1.165</f>
        <v>5.63</v>
      </c>
      <c r="G21" s="53">
        <v>6.8</v>
      </c>
      <c r="H21" s="53">
        <f>G21*F21</f>
        <v>38.283999999999999</v>
      </c>
      <c r="I21" s="53">
        <v>2</v>
      </c>
      <c r="J21" s="54">
        <f t="shared" si="8"/>
        <v>76.567999999999998</v>
      </c>
      <c r="K21" s="51"/>
    </row>
    <row r="22" spans="1:11" ht="15.75" customHeight="1">
      <c r="A22" s="52"/>
      <c r="B22" s="53"/>
      <c r="C22" s="53"/>
      <c r="D22" s="53"/>
      <c r="E22" s="53"/>
      <c r="F22" s="53"/>
      <c r="G22" s="53"/>
      <c r="H22" s="55" t="s">
        <v>116</v>
      </c>
      <c r="I22" s="55">
        <f>SUM(I18:I21)</f>
        <v>12</v>
      </c>
      <c r="J22" s="56">
        <f>SUM(J18)</f>
        <v>265.2</v>
      </c>
      <c r="K22" s="51"/>
    </row>
    <row r="23" spans="1:11" ht="15.75" customHeight="1">
      <c r="A23" s="52"/>
      <c r="B23" s="53"/>
      <c r="C23" s="53"/>
      <c r="D23" s="53"/>
      <c r="E23" s="53"/>
      <c r="F23" s="53"/>
      <c r="G23" s="53"/>
      <c r="H23" s="53"/>
      <c r="I23" s="53"/>
      <c r="J23" s="54"/>
      <c r="K23" s="51"/>
    </row>
    <row r="24" spans="1:11" ht="15.75" customHeight="1">
      <c r="A24" s="52"/>
      <c r="B24" s="53"/>
      <c r="C24" s="53"/>
      <c r="D24" s="53"/>
      <c r="E24" s="53"/>
      <c r="F24" s="53"/>
      <c r="G24" s="53"/>
      <c r="H24" s="53"/>
      <c r="I24" s="53"/>
      <c r="J24" s="54"/>
      <c r="K24" s="51"/>
    </row>
    <row r="25" spans="1:11" ht="15.75" customHeight="1">
      <c r="A25" s="52" t="s">
        <v>117</v>
      </c>
      <c r="B25" s="53" t="s">
        <v>99</v>
      </c>
      <c r="C25" s="53" t="s">
        <v>100</v>
      </c>
      <c r="D25" s="53" t="s">
        <v>98</v>
      </c>
      <c r="E25" s="57" t="s">
        <v>118</v>
      </c>
      <c r="F25" s="57" t="s">
        <v>119</v>
      </c>
      <c r="G25" s="57" t="s">
        <v>120</v>
      </c>
      <c r="H25" s="57" t="s">
        <v>155</v>
      </c>
      <c r="I25" s="57" t="s">
        <v>122</v>
      </c>
      <c r="J25" s="58" t="s">
        <v>123</v>
      </c>
      <c r="K25" s="51"/>
    </row>
    <row r="26" spans="1:11" ht="15.75" customHeight="1">
      <c r="A26" s="52">
        <v>1</v>
      </c>
      <c r="B26" s="53" t="s">
        <v>164</v>
      </c>
      <c r="C26" s="53" t="s">
        <v>177</v>
      </c>
      <c r="D26" s="53" t="s">
        <v>126</v>
      </c>
      <c r="E26" s="53" t="s">
        <v>178</v>
      </c>
      <c r="F26" s="53">
        <f>1+1.1+1.1+1</f>
        <v>4.2</v>
      </c>
      <c r="G26" s="53">
        <v>6.8</v>
      </c>
      <c r="H26" s="53">
        <f t="shared" ref="H26:H37" si="9">G26*F26</f>
        <v>28.56</v>
      </c>
      <c r="I26" s="53">
        <v>25</v>
      </c>
      <c r="J26" s="54">
        <f t="shared" ref="J26:J37" si="10">I26*H26</f>
        <v>714</v>
      </c>
      <c r="K26" s="51"/>
    </row>
    <row r="27" spans="1:11" ht="15.75" customHeight="1">
      <c r="A27" s="52">
        <v>2</v>
      </c>
      <c r="B27" s="53" t="s">
        <v>164</v>
      </c>
      <c r="C27" s="53" t="s">
        <v>177</v>
      </c>
      <c r="D27" s="53" t="s">
        <v>126</v>
      </c>
      <c r="E27" s="53" t="s">
        <v>179</v>
      </c>
      <c r="F27" s="53">
        <f>1+1.1+1</f>
        <v>3.1</v>
      </c>
      <c r="G27" s="53">
        <v>6.8</v>
      </c>
      <c r="H27" s="53">
        <f t="shared" si="9"/>
        <v>21.08</v>
      </c>
      <c r="I27" s="53">
        <v>2</v>
      </c>
      <c r="J27" s="54">
        <f t="shared" si="10"/>
        <v>42.16</v>
      </c>
      <c r="K27" s="51"/>
    </row>
    <row r="28" spans="1:11" ht="15.75" customHeight="1">
      <c r="A28" s="52">
        <v>3</v>
      </c>
      <c r="B28" s="53" t="s">
        <v>164</v>
      </c>
      <c r="C28" s="53" t="s">
        <v>177</v>
      </c>
      <c r="D28" s="53" t="s">
        <v>126</v>
      </c>
      <c r="E28" s="53" t="s">
        <v>180</v>
      </c>
      <c r="F28" s="53">
        <f>0.61+1.1+0.61</f>
        <v>2.3199999999999998</v>
      </c>
      <c r="G28" s="53">
        <v>6.8</v>
      </c>
      <c r="H28" s="53">
        <f t="shared" si="9"/>
        <v>15.775999999999998</v>
      </c>
      <c r="I28" s="53">
        <v>7</v>
      </c>
      <c r="J28" s="54">
        <f t="shared" si="10"/>
        <v>110.43199999999999</v>
      </c>
      <c r="K28" s="51"/>
    </row>
    <row r="29" spans="1:11" ht="15.75" customHeight="1">
      <c r="A29" s="52">
        <v>4</v>
      </c>
      <c r="B29" s="53" t="s">
        <v>164</v>
      </c>
      <c r="C29" s="53" t="s">
        <v>177</v>
      </c>
      <c r="D29" s="53" t="s">
        <v>126</v>
      </c>
      <c r="E29" s="53" t="s">
        <v>181</v>
      </c>
      <c r="F29" s="53">
        <f>0.15+1.1+0.15</f>
        <v>1.4</v>
      </c>
      <c r="G29" s="53">
        <v>6.8</v>
      </c>
      <c r="H29" s="53">
        <f t="shared" si="9"/>
        <v>9.52</v>
      </c>
      <c r="I29" s="53">
        <v>1</v>
      </c>
      <c r="J29" s="54">
        <f t="shared" si="10"/>
        <v>9.52</v>
      </c>
      <c r="K29" s="51"/>
    </row>
    <row r="30" spans="1:11" ht="15.75" customHeight="1">
      <c r="A30" s="52">
        <v>5</v>
      </c>
      <c r="B30" s="53" t="s">
        <v>164</v>
      </c>
      <c r="C30" s="53" t="s">
        <v>177</v>
      </c>
      <c r="D30" s="53" t="s">
        <v>126</v>
      </c>
      <c r="E30" s="53" t="s">
        <v>182</v>
      </c>
      <c r="F30" s="53">
        <f>0.71+1.1+0.71</f>
        <v>2.52</v>
      </c>
      <c r="G30" s="53">
        <v>6.8</v>
      </c>
      <c r="H30" s="53">
        <f t="shared" si="9"/>
        <v>17.135999999999999</v>
      </c>
      <c r="I30" s="53">
        <v>10</v>
      </c>
      <c r="J30" s="54">
        <f t="shared" si="10"/>
        <v>171.35999999999999</v>
      </c>
      <c r="K30" s="51"/>
    </row>
    <row r="31" spans="1:11" ht="15.75" customHeight="1">
      <c r="A31" s="52">
        <v>6</v>
      </c>
      <c r="B31" s="53" t="s">
        <v>164</v>
      </c>
      <c r="C31" s="53" t="s">
        <v>177</v>
      </c>
      <c r="D31" s="53" t="s">
        <v>126</v>
      </c>
      <c r="E31" s="53" t="s">
        <v>183</v>
      </c>
      <c r="F31" s="53">
        <f>0.88+1.1+0.88</f>
        <v>2.86</v>
      </c>
      <c r="G31" s="53">
        <v>6.8</v>
      </c>
      <c r="H31" s="53">
        <f t="shared" si="9"/>
        <v>19.448</v>
      </c>
      <c r="I31" s="53">
        <v>3</v>
      </c>
      <c r="J31" s="54">
        <f t="shared" si="10"/>
        <v>58.344000000000001</v>
      </c>
      <c r="K31" s="51"/>
    </row>
    <row r="32" spans="1:11" ht="15.75" customHeight="1">
      <c r="A32" s="52">
        <v>7</v>
      </c>
      <c r="B32" s="53" t="s">
        <v>164</v>
      </c>
      <c r="C32" s="53" t="s">
        <v>177</v>
      </c>
      <c r="D32" s="53" t="s">
        <v>126</v>
      </c>
      <c r="E32" s="53" t="s">
        <v>184</v>
      </c>
      <c r="F32" s="53">
        <f>0.33+1.1+0.33</f>
        <v>1.7600000000000002</v>
      </c>
      <c r="G32" s="53">
        <v>6.8</v>
      </c>
      <c r="H32" s="53">
        <f t="shared" si="9"/>
        <v>11.968000000000002</v>
      </c>
      <c r="I32" s="53">
        <v>1</v>
      </c>
      <c r="J32" s="54">
        <f t="shared" si="10"/>
        <v>11.968000000000002</v>
      </c>
      <c r="K32" s="51"/>
    </row>
    <row r="33" spans="1:11" ht="15.75" customHeight="1">
      <c r="A33" s="52">
        <v>8</v>
      </c>
      <c r="B33" s="53" t="s">
        <v>164</v>
      </c>
      <c r="C33" s="53" t="s">
        <v>177</v>
      </c>
      <c r="D33" s="53" t="s">
        <v>126</v>
      </c>
      <c r="E33" s="53" t="s">
        <v>185</v>
      </c>
      <c r="F33" s="53">
        <f>0.81+1.1+0.81</f>
        <v>2.72</v>
      </c>
      <c r="G33" s="53">
        <v>6.8</v>
      </c>
      <c r="H33" s="53">
        <f t="shared" si="9"/>
        <v>18.496000000000002</v>
      </c>
      <c r="I33" s="53">
        <v>7</v>
      </c>
      <c r="J33" s="54">
        <f t="shared" si="10"/>
        <v>129.47200000000001</v>
      </c>
      <c r="K33" s="51"/>
    </row>
    <row r="34" spans="1:11" ht="15.75" customHeight="1">
      <c r="A34" s="52">
        <v>9</v>
      </c>
      <c r="B34" s="53" t="s">
        <v>164</v>
      </c>
      <c r="C34" s="53" t="s">
        <v>177</v>
      </c>
      <c r="D34" s="53" t="s">
        <v>126</v>
      </c>
      <c r="E34" s="53" t="s">
        <v>186</v>
      </c>
      <c r="F34" s="53">
        <f>0.2+1.1+0.2</f>
        <v>1.5</v>
      </c>
      <c r="G34" s="53">
        <v>6.8</v>
      </c>
      <c r="H34" s="53">
        <f t="shared" si="9"/>
        <v>10.199999999999999</v>
      </c>
      <c r="I34" s="53">
        <v>4</v>
      </c>
      <c r="J34" s="54">
        <f t="shared" si="10"/>
        <v>40.799999999999997</v>
      </c>
      <c r="K34" s="51"/>
    </row>
    <row r="35" spans="1:11" ht="15.75" customHeight="1">
      <c r="A35" s="52">
        <v>10</v>
      </c>
      <c r="B35" s="53" t="s">
        <v>164</v>
      </c>
      <c r="C35" s="53" t="s">
        <v>177</v>
      </c>
      <c r="D35" s="53" t="s">
        <v>126</v>
      </c>
      <c r="E35" s="53" t="s">
        <v>187</v>
      </c>
      <c r="F35" s="53">
        <f>0.51+1.1+0.51</f>
        <v>2.12</v>
      </c>
      <c r="G35" s="53">
        <v>6.8</v>
      </c>
      <c r="H35" s="53">
        <f t="shared" si="9"/>
        <v>14.416</v>
      </c>
      <c r="I35" s="53">
        <v>1</v>
      </c>
      <c r="J35" s="54">
        <f t="shared" si="10"/>
        <v>14.416</v>
      </c>
      <c r="K35" s="51"/>
    </row>
    <row r="36" spans="1:11" ht="15.75" customHeight="1">
      <c r="A36" s="52">
        <v>11</v>
      </c>
      <c r="B36" s="53" t="s">
        <v>164</v>
      </c>
      <c r="C36" s="53" t="s">
        <v>177</v>
      </c>
      <c r="D36" s="53" t="s">
        <v>126</v>
      </c>
      <c r="E36" s="53" t="s">
        <v>188</v>
      </c>
      <c r="F36" s="53">
        <f>1.02+1.1+1.02</f>
        <v>3.14</v>
      </c>
      <c r="G36" s="53">
        <v>6.8</v>
      </c>
      <c r="H36" s="53">
        <f t="shared" si="9"/>
        <v>21.352</v>
      </c>
      <c r="I36" s="53">
        <v>1</v>
      </c>
      <c r="J36" s="54">
        <f t="shared" si="10"/>
        <v>21.352</v>
      </c>
      <c r="K36" s="51"/>
    </row>
    <row r="37" spans="1:11" ht="15.75" customHeight="1">
      <c r="A37" s="52">
        <v>12</v>
      </c>
      <c r="B37" s="53" t="s">
        <v>164</v>
      </c>
      <c r="C37" s="53" t="s">
        <v>177</v>
      </c>
      <c r="D37" s="53" t="s">
        <v>126</v>
      </c>
      <c r="E37" s="53" t="s">
        <v>189</v>
      </c>
      <c r="F37" s="53">
        <f>0.31+1.1+0.81</f>
        <v>2.2200000000000002</v>
      </c>
      <c r="G37" s="53">
        <v>6.8</v>
      </c>
      <c r="H37" s="53">
        <f t="shared" si="9"/>
        <v>15.096</v>
      </c>
      <c r="I37" s="53">
        <v>3</v>
      </c>
      <c r="J37" s="54">
        <f t="shared" si="10"/>
        <v>45.287999999999997</v>
      </c>
      <c r="K37" s="51"/>
    </row>
    <row r="38" spans="1:11" ht="15.75" customHeight="1">
      <c r="A38" s="52"/>
      <c r="B38" s="53"/>
      <c r="C38" s="53"/>
      <c r="D38" s="53"/>
      <c r="E38" s="53"/>
      <c r="F38" s="53"/>
      <c r="G38" s="53"/>
      <c r="H38" s="53"/>
      <c r="I38" s="53"/>
      <c r="J38" s="54"/>
      <c r="K38" s="51"/>
    </row>
    <row r="39" spans="1:11" ht="15.75" customHeight="1">
      <c r="A39" s="52"/>
      <c r="B39" s="53"/>
      <c r="C39" s="53"/>
      <c r="D39" s="53"/>
      <c r="E39" s="53"/>
      <c r="F39" s="53"/>
      <c r="G39" s="53"/>
      <c r="H39" s="55" t="s">
        <v>116</v>
      </c>
      <c r="I39" s="55">
        <f t="shared" ref="I39:J39" si="11">SUM(I26:I38)</f>
        <v>65</v>
      </c>
      <c r="J39" s="56">
        <f t="shared" si="11"/>
        <v>1369.1120000000001</v>
      </c>
      <c r="K39" s="51"/>
    </row>
    <row r="40" spans="1:11" ht="15.75" customHeight="1">
      <c r="A40" s="52"/>
      <c r="B40" s="53"/>
      <c r="C40" s="53"/>
      <c r="D40" s="53"/>
      <c r="E40" s="53"/>
      <c r="F40" s="53"/>
      <c r="G40" s="53"/>
      <c r="H40" s="53"/>
      <c r="I40" s="53"/>
      <c r="J40" s="54"/>
      <c r="K40" s="51"/>
    </row>
    <row r="41" spans="1:11" ht="15.75" customHeight="1">
      <c r="A41" s="52"/>
      <c r="B41" s="53"/>
      <c r="C41" s="55" t="s">
        <v>190</v>
      </c>
      <c r="D41" s="53"/>
      <c r="E41" s="53"/>
      <c r="F41" s="53"/>
      <c r="G41" s="53"/>
      <c r="H41" s="53"/>
      <c r="I41" s="53"/>
      <c r="J41" s="54"/>
      <c r="K41" s="51"/>
    </row>
    <row r="42" spans="1:11" ht="43.5" customHeight="1">
      <c r="A42" s="52" t="s">
        <v>117</v>
      </c>
      <c r="B42" s="53" t="s">
        <v>99</v>
      </c>
      <c r="C42" s="53" t="s">
        <v>100</v>
      </c>
      <c r="D42" s="53" t="s">
        <v>98</v>
      </c>
      <c r="E42" s="57" t="s">
        <v>118</v>
      </c>
      <c r="F42" s="57" t="s">
        <v>119</v>
      </c>
      <c r="G42" s="57" t="s">
        <v>120</v>
      </c>
      <c r="H42" s="57" t="s">
        <v>155</v>
      </c>
      <c r="I42" s="57" t="s">
        <v>122</v>
      </c>
      <c r="J42" s="58" t="s">
        <v>123</v>
      </c>
      <c r="K42" s="51"/>
    </row>
    <row r="43" spans="1:11" ht="15.75" customHeight="1">
      <c r="A43" s="52">
        <v>1</v>
      </c>
      <c r="B43" s="53" t="s">
        <v>191</v>
      </c>
      <c r="C43" s="53" t="s">
        <v>192</v>
      </c>
      <c r="D43" s="53" t="s">
        <v>126</v>
      </c>
      <c r="E43" s="53" t="s">
        <v>193</v>
      </c>
      <c r="F43" s="53">
        <f>1+1.3+1.3+1</f>
        <v>4.5999999999999996</v>
      </c>
      <c r="G43" s="53">
        <v>6.8</v>
      </c>
      <c r="H43" s="53">
        <f t="shared" ref="H43:H47" si="12">G43*F43</f>
        <v>31.279999999999998</v>
      </c>
      <c r="I43" s="53">
        <v>35</v>
      </c>
      <c r="J43" s="54">
        <f t="shared" ref="J43:J47" si="13">I43*H43</f>
        <v>1094.8</v>
      </c>
      <c r="K43" s="51"/>
    </row>
    <row r="44" spans="1:11" ht="15.75" customHeight="1">
      <c r="A44" s="52">
        <v>2</v>
      </c>
      <c r="B44" s="53" t="s">
        <v>191</v>
      </c>
      <c r="C44" s="53" t="s">
        <v>192</v>
      </c>
      <c r="D44" s="53" t="s">
        <v>126</v>
      </c>
      <c r="E44" s="53" t="s">
        <v>194</v>
      </c>
      <c r="F44" s="53">
        <f>0.5+1.3+1.3+0.5</f>
        <v>3.6</v>
      </c>
      <c r="G44" s="53">
        <v>6.8</v>
      </c>
      <c r="H44" s="53">
        <f t="shared" si="12"/>
        <v>24.48</v>
      </c>
      <c r="I44" s="53">
        <v>6</v>
      </c>
      <c r="J44" s="54">
        <f t="shared" si="13"/>
        <v>146.88</v>
      </c>
      <c r="K44" s="51"/>
    </row>
    <row r="45" spans="1:11" ht="15.75" customHeight="1">
      <c r="A45" s="52">
        <v>3</v>
      </c>
      <c r="B45" s="53" t="s">
        <v>191</v>
      </c>
      <c r="C45" s="53" t="s">
        <v>192</v>
      </c>
      <c r="D45" s="53" t="s">
        <v>126</v>
      </c>
      <c r="E45" s="53" t="s">
        <v>195</v>
      </c>
      <c r="F45" s="53">
        <f>1+1.3+1.3+1.3+1</f>
        <v>5.8999999999999995</v>
      </c>
      <c r="G45" s="53">
        <v>6.8</v>
      </c>
      <c r="H45" s="53">
        <f t="shared" si="12"/>
        <v>40.119999999999997</v>
      </c>
      <c r="I45" s="53">
        <v>2</v>
      </c>
      <c r="J45" s="54">
        <f t="shared" si="13"/>
        <v>80.239999999999995</v>
      </c>
      <c r="K45" s="51"/>
    </row>
    <row r="46" spans="1:11" ht="15.75" customHeight="1">
      <c r="A46" s="52">
        <v>4</v>
      </c>
      <c r="B46" s="53" t="s">
        <v>196</v>
      </c>
      <c r="C46" s="53" t="s">
        <v>192</v>
      </c>
      <c r="D46" s="53" t="s">
        <v>126</v>
      </c>
      <c r="E46" s="53" t="s">
        <v>197</v>
      </c>
      <c r="F46" s="53">
        <f>0.5+1.1+1.1+0.5</f>
        <v>3.2</v>
      </c>
      <c r="G46" s="53">
        <v>6.8</v>
      </c>
      <c r="H46" s="53">
        <f t="shared" si="12"/>
        <v>21.76</v>
      </c>
      <c r="I46" s="53">
        <v>3</v>
      </c>
      <c r="J46" s="54">
        <f t="shared" si="13"/>
        <v>65.28</v>
      </c>
      <c r="K46" s="51"/>
    </row>
    <row r="47" spans="1:11" ht="15.75" customHeight="1">
      <c r="A47" s="52">
        <v>5</v>
      </c>
      <c r="B47" s="53" t="s">
        <v>198</v>
      </c>
      <c r="C47" s="53" t="s">
        <v>192</v>
      </c>
      <c r="D47" s="53" t="s">
        <v>126</v>
      </c>
      <c r="E47" s="53" t="s">
        <v>178</v>
      </c>
      <c r="F47" s="53">
        <f>1+1.1+1.1+1</f>
        <v>4.2</v>
      </c>
      <c r="G47" s="53">
        <v>6.8</v>
      </c>
      <c r="H47" s="53">
        <f t="shared" si="12"/>
        <v>28.56</v>
      </c>
      <c r="I47" s="53">
        <v>3</v>
      </c>
      <c r="J47" s="54">
        <f t="shared" si="13"/>
        <v>85.679999999999993</v>
      </c>
      <c r="K47" s="51"/>
    </row>
    <row r="48" spans="1:11" ht="15.75" customHeight="1">
      <c r="A48" s="52"/>
      <c r="B48" s="53"/>
      <c r="C48" s="53"/>
      <c r="D48" s="53"/>
      <c r="E48" s="53"/>
      <c r="F48" s="53"/>
      <c r="G48" s="53"/>
      <c r="H48" s="53"/>
      <c r="I48" s="53"/>
      <c r="J48" s="54"/>
      <c r="K48" s="51"/>
    </row>
    <row r="49" spans="1:11" ht="15.75" customHeight="1">
      <c r="A49" s="52"/>
      <c r="B49" s="53"/>
      <c r="C49" s="53"/>
      <c r="D49" s="53"/>
      <c r="E49" s="53"/>
      <c r="F49" s="53"/>
      <c r="G49" s="53"/>
      <c r="H49" s="55" t="s">
        <v>116</v>
      </c>
      <c r="I49" s="55">
        <f t="shared" ref="I49:J49" si="14">SUM(I43:I47)</f>
        <v>49</v>
      </c>
      <c r="J49" s="56">
        <f t="shared" si="14"/>
        <v>1472.8799999999999</v>
      </c>
      <c r="K49" s="51"/>
    </row>
    <row r="50" spans="1:11" ht="15.75" customHeight="1">
      <c r="A50" s="59"/>
      <c r="B50" s="60"/>
      <c r="C50" s="60"/>
      <c r="D50" s="60"/>
      <c r="E50" s="60"/>
      <c r="F50" s="60"/>
      <c r="G50" s="60"/>
      <c r="H50" s="61" t="s">
        <v>199</v>
      </c>
      <c r="I50" s="60"/>
      <c r="J50" s="62">
        <f>J49+J39+J22+J15+J7</f>
        <v>4375.1679999999997</v>
      </c>
      <c r="K50" s="51"/>
    </row>
    <row r="51" spans="1:11" ht="15.75" customHeight="1">
      <c r="A51" s="51"/>
      <c r="B51" s="51"/>
      <c r="C51" s="51"/>
      <c r="D51" s="51"/>
      <c r="E51" s="51"/>
      <c r="F51" s="51"/>
      <c r="G51" s="51"/>
      <c r="H51" s="51"/>
      <c r="I51" s="51"/>
      <c r="J51" s="51"/>
      <c r="K51" s="51"/>
    </row>
    <row r="52" spans="1:11" ht="15.75" customHeight="1">
      <c r="A52" s="51"/>
      <c r="B52" s="51"/>
      <c r="C52" s="51"/>
      <c r="D52" s="51"/>
      <c r="E52" s="51"/>
      <c r="F52" s="51"/>
      <c r="G52" s="51"/>
      <c r="H52" s="51"/>
      <c r="I52" s="51"/>
      <c r="J52" s="51"/>
      <c r="K52" s="51"/>
    </row>
    <row r="53" spans="1:11" ht="15.75" customHeight="1">
      <c r="A53" s="51"/>
      <c r="B53" s="51"/>
      <c r="C53" s="51"/>
      <c r="D53" s="51"/>
      <c r="E53" s="51"/>
      <c r="F53" s="51"/>
      <c r="G53" s="51"/>
      <c r="H53" s="51"/>
      <c r="I53" s="51"/>
      <c r="J53" s="51"/>
      <c r="K53" s="51"/>
    </row>
    <row r="54" spans="1:11" ht="15.75" customHeight="1">
      <c r="A54" s="51"/>
      <c r="B54" s="51"/>
      <c r="C54" s="51"/>
      <c r="D54" s="51"/>
      <c r="E54" s="51"/>
      <c r="F54" s="51"/>
      <c r="G54" s="51"/>
      <c r="H54" s="51"/>
      <c r="I54" s="51"/>
      <c r="J54" s="51"/>
      <c r="K54" s="51"/>
    </row>
    <row r="55" spans="1:11" ht="15.75" customHeight="1">
      <c r="A55" s="51"/>
      <c r="B55" s="51"/>
      <c r="C55" s="51"/>
      <c r="D55" s="51"/>
      <c r="E55" s="51"/>
      <c r="F55" s="51"/>
      <c r="G55" s="51"/>
      <c r="H55" s="51"/>
      <c r="I55" s="51"/>
      <c r="J55" s="51"/>
      <c r="K55" s="51"/>
    </row>
    <row r="56" spans="1:11" ht="15.75" customHeight="1">
      <c r="A56" s="51"/>
      <c r="B56" s="51"/>
      <c r="C56" s="51"/>
      <c r="D56" s="51"/>
      <c r="E56" s="51"/>
      <c r="F56" s="51"/>
      <c r="G56" s="51"/>
      <c r="H56" s="51"/>
      <c r="I56" s="51"/>
      <c r="J56" s="51"/>
      <c r="K56" s="51"/>
    </row>
    <row r="57" spans="1:11" ht="15.75" customHeight="1">
      <c r="A57" s="51"/>
      <c r="B57" s="51"/>
      <c r="C57" s="51"/>
      <c r="D57" s="51"/>
      <c r="E57" s="51"/>
      <c r="F57" s="51"/>
      <c r="G57" s="51"/>
      <c r="H57" s="51"/>
      <c r="I57" s="51"/>
      <c r="J57" s="51"/>
      <c r="K57" s="51"/>
    </row>
    <row r="58" spans="1:11" ht="15.75" customHeight="1">
      <c r="A58" s="51"/>
      <c r="B58" s="51"/>
      <c r="C58" s="51"/>
      <c r="D58" s="51"/>
      <c r="E58" s="51"/>
      <c r="F58" s="51"/>
      <c r="G58" s="51"/>
      <c r="H58" s="51"/>
      <c r="I58" s="51"/>
      <c r="J58" s="51"/>
      <c r="K58" s="51"/>
    </row>
    <row r="59" spans="1:11" ht="15.75" customHeight="1">
      <c r="A59" s="51"/>
      <c r="B59" s="51"/>
      <c r="C59" s="51"/>
      <c r="D59" s="51"/>
      <c r="E59" s="51"/>
      <c r="F59" s="51"/>
      <c r="G59" s="51"/>
      <c r="H59" s="51"/>
      <c r="I59" s="51"/>
      <c r="J59" s="51"/>
      <c r="K59" s="51"/>
    </row>
    <row r="60" spans="1:11" ht="15.75" customHeight="1">
      <c r="A60" s="51"/>
      <c r="B60" s="51"/>
      <c r="C60" s="51"/>
      <c r="D60" s="51"/>
      <c r="E60" s="51"/>
      <c r="F60" s="51"/>
      <c r="G60" s="51"/>
      <c r="H60" s="51"/>
      <c r="I60" s="51"/>
      <c r="J60" s="51"/>
      <c r="K60" s="51"/>
    </row>
    <row r="61" spans="1:11" ht="15.75" customHeight="1">
      <c r="A61" s="51"/>
      <c r="B61" s="51"/>
      <c r="C61" s="51"/>
      <c r="D61" s="51"/>
      <c r="E61" s="51"/>
      <c r="F61" s="51"/>
      <c r="G61" s="51"/>
      <c r="H61" s="51"/>
      <c r="I61" s="51"/>
      <c r="J61" s="51"/>
      <c r="K61" s="51"/>
    </row>
    <row r="62" spans="1:11" ht="15.75" customHeight="1">
      <c r="A62" s="51"/>
      <c r="B62" s="51"/>
      <c r="C62" s="51"/>
      <c r="D62" s="51"/>
      <c r="E62" s="51"/>
      <c r="F62" s="51"/>
      <c r="G62" s="51"/>
      <c r="H62" s="51"/>
      <c r="I62" s="51"/>
      <c r="J62" s="51"/>
      <c r="K62" s="51"/>
    </row>
    <row r="63" spans="1:11" ht="15.75" customHeight="1">
      <c r="A63" s="51"/>
      <c r="B63" s="51"/>
      <c r="C63" s="51"/>
      <c r="D63" s="51"/>
      <c r="E63" s="51"/>
      <c r="F63" s="51"/>
      <c r="G63" s="51"/>
      <c r="H63" s="51"/>
      <c r="I63" s="51"/>
      <c r="J63" s="51"/>
      <c r="K63" s="51"/>
    </row>
    <row r="64" spans="1:11" ht="15.75" customHeight="1">
      <c r="A64" s="51"/>
      <c r="B64" s="51"/>
      <c r="C64" s="51"/>
      <c r="D64" s="51"/>
      <c r="E64" s="51"/>
      <c r="F64" s="51"/>
      <c r="G64" s="51"/>
      <c r="H64" s="51"/>
      <c r="I64" s="51"/>
      <c r="J64" s="51"/>
      <c r="K64" s="51"/>
    </row>
    <row r="65" spans="1:11" ht="15.75" customHeight="1">
      <c r="A65" s="51"/>
      <c r="B65" s="51"/>
      <c r="C65" s="51"/>
      <c r="D65" s="51"/>
      <c r="E65" s="51"/>
      <c r="F65" s="51"/>
      <c r="G65" s="51"/>
      <c r="H65" s="51"/>
      <c r="I65" s="51"/>
      <c r="J65" s="51"/>
      <c r="K65" s="51"/>
    </row>
    <row r="66" spans="1:11" ht="15.75" customHeight="1">
      <c r="A66" s="51"/>
      <c r="B66" s="51"/>
      <c r="C66" s="51"/>
      <c r="D66" s="51"/>
      <c r="E66" s="51"/>
      <c r="F66" s="51"/>
      <c r="G66" s="51"/>
      <c r="H66" s="51"/>
      <c r="I66" s="51"/>
      <c r="J66" s="51"/>
      <c r="K66" s="51"/>
    </row>
    <row r="67" spans="1:11" ht="15.75" customHeight="1">
      <c r="A67" s="51"/>
      <c r="B67" s="51"/>
      <c r="C67" s="51"/>
      <c r="D67" s="51"/>
      <c r="E67" s="51"/>
      <c r="F67" s="51"/>
      <c r="G67" s="51"/>
      <c r="H67" s="51"/>
      <c r="I67" s="51"/>
      <c r="J67" s="51"/>
      <c r="K67" s="51"/>
    </row>
    <row r="68" spans="1:11" ht="15.75" customHeight="1">
      <c r="A68" s="51"/>
      <c r="B68" s="51"/>
      <c r="C68" s="51"/>
      <c r="D68" s="51"/>
      <c r="E68" s="51"/>
      <c r="F68" s="51"/>
      <c r="G68" s="51"/>
      <c r="H68" s="51"/>
      <c r="I68" s="51"/>
      <c r="J68" s="51"/>
      <c r="K68" s="51"/>
    </row>
    <row r="69" spans="1:11" ht="15.75" customHeight="1">
      <c r="A69" s="51"/>
      <c r="B69" s="51"/>
      <c r="C69" s="51"/>
      <c r="D69" s="51"/>
      <c r="E69" s="51"/>
      <c r="F69" s="51"/>
      <c r="G69" s="51"/>
      <c r="H69" s="51"/>
      <c r="I69" s="51"/>
      <c r="J69" s="51"/>
      <c r="K69" s="51"/>
    </row>
    <row r="70" spans="1:11" ht="15.75" customHeight="1">
      <c r="A70" s="51"/>
      <c r="B70" s="51"/>
      <c r="C70" s="51"/>
      <c r="D70" s="51"/>
      <c r="E70" s="51"/>
      <c r="F70" s="51"/>
      <c r="G70" s="51"/>
      <c r="H70" s="51"/>
      <c r="I70" s="51"/>
      <c r="J70" s="51"/>
      <c r="K70" s="51"/>
    </row>
    <row r="71" spans="1:11" ht="15.75" customHeight="1">
      <c r="A71" s="51"/>
      <c r="B71" s="51"/>
      <c r="C71" s="51"/>
      <c r="D71" s="51"/>
      <c r="E71" s="51"/>
      <c r="F71" s="51"/>
      <c r="G71" s="51"/>
      <c r="H71" s="51"/>
      <c r="I71" s="51"/>
      <c r="J71" s="51"/>
      <c r="K71" s="51"/>
    </row>
    <row r="72" spans="1:11" ht="15.75" customHeight="1">
      <c r="A72" s="51"/>
      <c r="B72" s="51"/>
      <c r="C72" s="51"/>
      <c r="D72" s="51"/>
      <c r="E72" s="51"/>
      <c r="F72" s="51"/>
      <c r="G72" s="51"/>
      <c r="H72" s="51"/>
      <c r="I72" s="51"/>
      <c r="J72" s="51"/>
      <c r="K72" s="51"/>
    </row>
    <row r="73" spans="1:11" ht="15.75" customHeight="1">
      <c r="A73" s="51"/>
      <c r="B73" s="51"/>
      <c r="C73" s="51"/>
      <c r="D73" s="51"/>
      <c r="E73" s="51"/>
      <c r="F73" s="51"/>
      <c r="G73" s="51"/>
      <c r="H73" s="51"/>
      <c r="I73" s="51"/>
      <c r="J73" s="51"/>
      <c r="K73" s="51"/>
    </row>
    <row r="74" spans="1:11" ht="15.75" customHeight="1">
      <c r="A74" s="51"/>
      <c r="B74" s="51"/>
      <c r="C74" s="51"/>
      <c r="D74" s="51"/>
      <c r="E74" s="51"/>
      <c r="F74" s="51"/>
      <c r="G74" s="51"/>
      <c r="H74" s="51"/>
      <c r="I74" s="51"/>
      <c r="J74" s="51"/>
      <c r="K74" s="51"/>
    </row>
    <row r="75" spans="1:11" ht="15.75" customHeight="1">
      <c r="A75" s="51"/>
      <c r="B75" s="51"/>
      <c r="C75" s="51"/>
      <c r="D75" s="51"/>
      <c r="E75" s="51"/>
      <c r="F75" s="51"/>
      <c r="G75" s="51"/>
      <c r="H75" s="51"/>
      <c r="I75" s="51"/>
      <c r="J75" s="51"/>
      <c r="K75" s="51"/>
    </row>
    <row r="76" spans="1:11" ht="15.75" customHeight="1">
      <c r="A76" s="51"/>
      <c r="B76" s="51"/>
      <c r="C76" s="51"/>
      <c r="D76" s="51"/>
      <c r="E76" s="51"/>
      <c r="F76" s="51"/>
      <c r="G76" s="51"/>
      <c r="H76" s="51"/>
      <c r="I76" s="51"/>
      <c r="J76" s="51"/>
      <c r="K76" s="51"/>
    </row>
    <row r="77" spans="1:11" ht="15.75" customHeight="1">
      <c r="A77" s="51"/>
      <c r="B77" s="51"/>
      <c r="C77" s="51"/>
      <c r="D77" s="51"/>
      <c r="E77" s="51"/>
      <c r="F77" s="51"/>
      <c r="G77" s="51"/>
      <c r="H77" s="51"/>
      <c r="I77" s="51"/>
      <c r="J77" s="51"/>
      <c r="K77" s="51"/>
    </row>
    <row r="78" spans="1:11" ht="15.75" customHeight="1">
      <c r="A78" s="51"/>
      <c r="B78" s="51"/>
      <c r="C78" s="51"/>
      <c r="D78" s="51"/>
      <c r="E78" s="51"/>
      <c r="F78" s="51"/>
      <c r="G78" s="51"/>
      <c r="H78" s="51"/>
      <c r="I78" s="51"/>
      <c r="J78" s="51"/>
      <c r="K78" s="51"/>
    </row>
    <row r="79" spans="1:11" ht="15.75" customHeight="1">
      <c r="A79" s="51"/>
      <c r="B79" s="51"/>
      <c r="C79" s="51"/>
      <c r="D79" s="51"/>
      <c r="E79" s="51"/>
      <c r="F79" s="51"/>
      <c r="G79" s="51"/>
      <c r="H79" s="51"/>
      <c r="I79" s="51"/>
      <c r="J79" s="51"/>
      <c r="K79" s="51"/>
    </row>
    <row r="80" spans="1:11" ht="15.75" customHeight="1">
      <c r="A80" s="51"/>
      <c r="B80" s="51"/>
      <c r="C80" s="51"/>
      <c r="D80" s="51"/>
      <c r="E80" s="51"/>
      <c r="F80" s="51"/>
      <c r="G80" s="51"/>
      <c r="H80" s="51"/>
      <c r="I80" s="51"/>
      <c r="J80" s="51"/>
      <c r="K80" s="51"/>
    </row>
    <row r="81" spans="1:11" ht="15.75" customHeight="1">
      <c r="A81" s="51"/>
      <c r="B81" s="51"/>
      <c r="C81" s="51"/>
      <c r="D81" s="51"/>
      <c r="E81" s="51"/>
      <c r="F81" s="51"/>
      <c r="G81" s="51"/>
      <c r="H81" s="51"/>
      <c r="I81" s="51"/>
      <c r="J81" s="51"/>
      <c r="K81" s="51"/>
    </row>
    <row r="82" spans="1:11" ht="15.75" customHeight="1">
      <c r="A82" s="51"/>
      <c r="B82" s="51"/>
      <c r="C82" s="51"/>
      <c r="D82" s="51"/>
      <c r="E82" s="51"/>
      <c r="F82" s="51"/>
      <c r="G82" s="51"/>
      <c r="H82" s="51"/>
      <c r="I82" s="51"/>
      <c r="J82" s="51"/>
      <c r="K82" s="51"/>
    </row>
    <row r="83" spans="1:11" ht="15.75" customHeight="1">
      <c r="A83" s="51"/>
      <c r="B83" s="51"/>
      <c r="C83" s="51"/>
      <c r="D83" s="51"/>
      <c r="E83" s="51"/>
      <c r="F83" s="51"/>
      <c r="G83" s="51"/>
      <c r="H83" s="51"/>
      <c r="I83" s="51"/>
      <c r="J83" s="51"/>
      <c r="K83" s="51"/>
    </row>
    <row r="84" spans="1:11" ht="15.75" customHeight="1">
      <c r="A84" s="51"/>
      <c r="B84" s="51"/>
      <c r="C84" s="51"/>
      <c r="D84" s="51"/>
      <c r="E84" s="51"/>
      <c r="F84" s="51"/>
      <c r="G84" s="51"/>
      <c r="H84" s="51"/>
      <c r="I84" s="51"/>
      <c r="J84" s="51"/>
      <c r="K84" s="51"/>
    </row>
    <row r="85" spans="1:11" ht="15.75" customHeight="1">
      <c r="A85" s="51"/>
      <c r="B85" s="51"/>
      <c r="C85" s="51"/>
      <c r="D85" s="51"/>
      <c r="E85" s="51"/>
      <c r="F85" s="51"/>
      <c r="G85" s="51"/>
      <c r="H85" s="51"/>
      <c r="I85" s="51"/>
      <c r="J85" s="51"/>
      <c r="K85" s="51"/>
    </row>
    <row r="86" spans="1:11" ht="15.75" customHeight="1">
      <c r="A86" s="51"/>
      <c r="B86" s="51"/>
      <c r="C86" s="51"/>
      <c r="D86" s="51"/>
      <c r="E86" s="51"/>
      <c r="F86" s="51"/>
      <c r="G86" s="51"/>
      <c r="H86" s="51"/>
      <c r="I86" s="51"/>
      <c r="J86" s="51"/>
      <c r="K86" s="51"/>
    </row>
    <row r="87" spans="1:11" ht="15.75" customHeight="1">
      <c r="A87" s="51"/>
      <c r="B87" s="51"/>
      <c r="C87" s="51"/>
      <c r="D87" s="51"/>
      <c r="E87" s="51"/>
      <c r="F87" s="51"/>
      <c r="G87" s="51"/>
      <c r="H87" s="51"/>
      <c r="I87" s="51"/>
      <c r="J87" s="51"/>
      <c r="K87" s="51"/>
    </row>
    <row r="88" spans="1:11" ht="15.75" customHeight="1">
      <c r="A88" s="51"/>
      <c r="B88" s="51"/>
      <c r="C88" s="51"/>
      <c r="D88" s="51"/>
      <c r="E88" s="51"/>
      <c r="F88" s="51"/>
      <c r="G88" s="51"/>
      <c r="H88" s="51"/>
      <c r="I88" s="51"/>
      <c r="J88" s="51"/>
      <c r="K88" s="51"/>
    </row>
    <row r="89" spans="1:11" ht="15.75" customHeight="1">
      <c r="A89" s="51"/>
      <c r="B89" s="51"/>
      <c r="C89" s="51"/>
      <c r="D89" s="51"/>
      <c r="E89" s="51"/>
      <c r="F89" s="51"/>
      <c r="G89" s="51"/>
      <c r="H89" s="51"/>
      <c r="I89" s="51"/>
      <c r="J89" s="51"/>
      <c r="K89" s="51"/>
    </row>
    <row r="90" spans="1:11" ht="15.75" customHeight="1">
      <c r="A90" s="51"/>
      <c r="B90" s="51"/>
      <c r="C90" s="51"/>
      <c r="D90" s="51"/>
      <c r="E90" s="51"/>
      <c r="F90" s="51"/>
      <c r="G90" s="51"/>
      <c r="H90" s="51"/>
      <c r="I90" s="51"/>
      <c r="J90" s="51"/>
      <c r="K90" s="51"/>
    </row>
    <row r="91" spans="1:11" ht="15.75" customHeight="1">
      <c r="A91" s="51"/>
      <c r="B91" s="51"/>
      <c r="C91" s="51"/>
      <c r="D91" s="51"/>
      <c r="E91" s="51"/>
      <c r="F91" s="51"/>
      <c r="G91" s="51"/>
      <c r="H91" s="51"/>
      <c r="I91" s="51"/>
      <c r="J91" s="51"/>
      <c r="K91" s="51"/>
    </row>
    <row r="92" spans="1:11" ht="15.75" customHeight="1">
      <c r="A92" s="51"/>
      <c r="B92" s="51"/>
      <c r="C92" s="51"/>
      <c r="D92" s="51"/>
      <c r="E92" s="51"/>
      <c r="F92" s="51"/>
      <c r="G92" s="51"/>
      <c r="H92" s="51"/>
      <c r="I92" s="51"/>
      <c r="J92" s="51"/>
      <c r="K92" s="51"/>
    </row>
    <row r="93" spans="1:11" ht="15.75" customHeight="1">
      <c r="A93" s="51"/>
      <c r="B93" s="51"/>
      <c r="C93" s="51"/>
      <c r="D93" s="51"/>
      <c r="E93" s="51"/>
      <c r="F93" s="51"/>
      <c r="G93" s="51"/>
      <c r="H93" s="51"/>
      <c r="I93" s="51"/>
      <c r="J93" s="51"/>
      <c r="K93" s="51"/>
    </row>
    <row r="94" spans="1:11" ht="15.75" customHeight="1">
      <c r="A94" s="51"/>
      <c r="B94" s="51"/>
      <c r="C94" s="51"/>
      <c r="D94" s="51"/>
      <c r="E94" s="51"/>
      <c r="F94" s="51"/>
      <c r="G94" s="51"/>
      <c r="H94" s="51"/>
      <c r="I94" s="51"/>
      <c r="J94" s="51"/>
      <c r="K94" s="51"/>
    </row>
    <row r="95" spans="1:11" ht="15.75" customHeight="1">
      <c r="A95" s="51"/>
      <c r="B95" s="51"/>
      <c r="C95" s="51"/>
      <c r="D95" s="51"/>
      <c r="E95" s="51"/>
      <c r="F95" s="51"/>
      <c r="G95" s="51"/>
      <c r="H95" s="51"/>
      <c r="I95" s="51"/>
      <c r="J95" s="51"/>
      <c r="K95" s="51"/>
    </row>
    <row r="96" spans="1:11" ht="15.75" customHeight="1">
      <c r="A96" s="51"/>
      <c r="B96" s="51"/>
      <c r="C96" s="51"/>
      <c r="D96" s="51"/>
      <c r="E96" s="51"/>
      <c r="F96" s="51"/>
      <c r="G96" s="51"/>
      <c r="H96" s="51"/>
      <c r="I96" s="51"/>
      <c r="J96" s="51"/>
      <c r="K96" s="51"/>
    </row>
    <row r="97" spans="1:11" ht="15.75" customHeight="1">
      <c r="A97" s="51"/>
      <c r="B97" s="51"/>
      <c r="C97" s="51"/>
      <c r="D97" s="51"/>
      <c r="E97" s="51"/>
      <c r="F97" s="51"/>
      <c r="G97" s="51"/>
      <c r="H97" s="51"/>
      <c r="I97" s="51"/>
      <c r="J97" s="51"/>
      <c r="K97" s="51"/>
    </row>
    <row r="98" spans="1:11" ht="15.75" customHeight="1">
      <c r="A98" s="51"/>
      <c r="B98" s="51"/>
      <c r="C98" s="51"/>
      <c r="D98" s="51"/>
      <c r="E98" s="51"/>
      <c r="F98" s="51"/>
      <c r="G98" s="51"/>
      <c r="H98" s="51"/>
      <c r="I98" s="51"/>
      <c r="J98" s="51"/>
      <c r="K98" s="51"/>
    </row>
    <row r="99" spans="1:11" ht="15.75" customHeight="1">
      <c r="A99" s="51"/>
      <c r="B99" s="51"/>
      <c r="C99" s="51"/>
      <c r="D99" s="51"/>
      <c r="E99" s="51"/>
      <c r="F99" s="51"/>
      <c r="G99" s="51"/>
      <c r="H99" s="51"/>
      <c r="I99" s="51"/>
      <c r="J99" s="51"/>
      <c r="K99" s="51"/>
    </row>
    <row r="100" spans="1:11" ht="15.75" customHeight="1">
      <c r="A100" s="51"/>
      <c r="B100" s="51"/>
      <c r="C100" s="51"/>
      <c r="D100" s="51"/>
      <c r="E100" s="51"/>
      <c r="F100" s="51"/>
      <c r="G100" s="51"/>
      <c r="H100" s="51"/>
      <c r="I100" s="51"/>
      <c r="J100" s="51"/>
      <c r="K100" s="51"/>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dimension ref="A1:H100"/>
  <sheetViews>
    <sheetView workbookViewId="0"/>
  </sheetViews>
  <sheetFormatPr defaultColWidth="14.42578125" defaultRowHeight="15" customHeight="1"/>
  <cols>
    <col min="1" max="1" width="8.7109375" customWidth="1"/>
    <col min="2" max="2" width="22" customWidth="1"/>
    <col min="3" max="3" width="36.42578125" customWidth="1"/>
    <col min="4" max="4" width="16.5703125" customWidth="1"/>
    <col min="5" max="5" width="11.85546875" customWidth="1"/>
    <col min="6" max="6" width="27.42578125" customWidth="1"/>
    <col min="7" max="11" width="8.7109375" customWidth="1"/>
  </cols>
  <sheetData>
    <row r="1" spans="1:8">
      <c r="A1" s="63" t="s">
        <v>117</v>
      </c>
      <c r="B1" s="64" t="s">
        <v>99</v>
      </c>
      <c r="C1" s="64" t="s">
        <v>100</v>
      </c>
      <c r="D1" s="64" t="s">
        <v>200</v>
      </c>
      <c r="E1" s="64" t="s">
        <v>201</v>
      </c>
      <c r="F1" s="64" t="s">
        <v>202</v>
      </c>
      <c r="G1" s="64" t="s">
        <v>203</v>
      </c>
      <c r="H1" s="65" t="s">
        <v>204</v>
      </c>
    </row>
    <row r="2" spans="1:8">
      <c r="A2" s="66">
        <v>1</v>
      </c>
      <c r="B2" s="67" t="s">
        <v>205</v>
      </c>
      <c r="C2" s="67" t="s">
        <v>206</v>
      </c>
      <c r="D2" s="67">
        <v>1200</v>
      </c>
      <c r="E2" s="67">
        <v>3</v>
      </c>
      <c r="F2" s="67" t="s">
        <v>207</v>
      </c>
      <c r="G2" s="67">
        <f t="shared" ref="G2:G3" si="0">30+0.8+10+30.6+24</f>
        <v>95.4</v>
      </c>
      <c r="H2" s="68">
        <f t="shared" ref="H2:H3" si="1">G2*E2</f>
        <v>286.20000000000005</v>
      </c>
    </row>
    <row r="3" spans="1:8">
      <c r="A3" s="66">
        <v>2</v>
      </c>
      <c r="B3" s="67" t="s">
        <v>208</v>
      </c>
      <c r="C3" s="67" t="s">
        <v>206</v>
      </c>
      <c r="D3" s="67">
        <v>1200</v>
      </c>
      <c r="E3" s="67">
        <v>2</v>
      </c>
      <c r="F3" s="67" t="s">
        <v>207</v>
      </c>
      <c r="G3" s="67">
        <f t="shared" si="0"/>
        <v>95.4</v>
      </c>
      <c r="H3" s="68">
        <f t="shared" si="1"/>
        <v>190.8</v>
      </c>
    </row>
    <row r="4" spans="1:8">
      <c r="A4" s="66" t="s">
        <v>209</v>
      </c>
      <c r="B4" s="67"/>
      <c r="C4" s="67"/>
      <c r="D4" s="67"/>
      <c r="E4" s="67"/>
      <c r="F4" s="69" t="s">
        <v>210</v>
      </c>
      <c r="G4" s="69"/>
      <c r="H4" s="70">
        <f>SUM(H2:H3)</f>
        <v>477.00000000000006</v>
      </c>
    </row>
    <row r="5" spans="1:8">
      <c r="A5" s="66"/>
      <c r="B5" s="67"/>
      <c r="C5" s="67"/>
      <c r="D5" s="67"/>
      <c r="E5" s="67"/>
      <c r="F5" s="69" t="s">
        <v>211</v>
      </c>
      <c r="G5" s="69"/>
      <c r="H5" s="70">
        <v>140</v>
      </c>
    </row>
    <row r="6" spans="1:8">
      <c r="A6" s="66"/>
      <c r="B6" s="67"/>
      <c r="C6" s="67"/>
      <c r="D6" s="67"/>
      <c r="E6" s="67"/>
      <c r="F6" s="69" t="s">
        <v>212</v>
      </c>
      <c r="G6" s="69"/>
      <c r="H6" s="70">
        <f>H4-H5</f>
        <v>337.00000000000006</v>
      </c>
    </row>
    <row r="7" spans="1:8">
      <c r="A7" s="66"/>
      <c r="B7" s="67"/>
      <c r="C7" s="67"/>
      <c r="D7" s="67"/>
      <c r="E7" s="67"/>
      <c r="F7" s="69"/>
      <c r="G7" s="69"/>
      <c r="H7" s="70"/>
    </row>
    <row r="8" spans="1:8">
      <c r="A8" s="66">
        <v>1</v>
      </c>
      <c r="B8" s="67" t="s">
        <v>172</v>
      </c>
      <c r="C8" s="67" t="s">
        <v>206</v>
      </c>
      <c r="D8" s="67">
        <v>1000</v>
      </c>
      <c r="E8" s="67">
        <v>3</v>
      </c>
      <c r="F8" s="67" t="s">
        <v>213</v>
      </c>
      <c r="G8" s="67">
        <f>5.3+1+10.4+25+15+6.5</f>
        <v>63.2</v>
      </c>
      <c r="H8" s="68">
        <f>G8*E8</f>
        <v>189.60000000000002</v>
      </c>
    </row>
    <row r="9" spans="1:8">
      <c r="A9" s="66">
        <f t="shared" ref="A9:A14" si="2">A8+1</f>
        <v>2</v>
      </c>
      <c r="B9" s="67" t="s">
        <v>160</v>
      </c>
      <c r="C9" s="67" t="s">
        <v>214</v>
      </c>
      <c r="D9" s="67">
        <v>1000</v>
      </c>
      <c r="E9" s="67">
        <v>3</v>
      </c>
      <c r="F9" s="67" t="s">
        <v>215</v>
      </c>
      <c r="G9" s="67">
        <f>23.6+1+25+18.3+2</f>
        <v>69.900000000000006</v>
      </c>
      <c r="H9" s="68">
        <f t="shared" ref="H9:H10" si="3">E9*G9</f>
        <v>209.70000000000002</v>
      </c>
    </row>
    <row r="10" spans="1:8">
      <c r="A10" s="66">
        <f t="shared" si="2"/>
        <v>3</v>
      </c>
      <c r="B10" s="67" t="s">
        <v>160</v>
      </c>
      <c r="C10" s="67" t="s">
        <v>214</v>
      </c>
      <c r="D10" s="67">
        <v>1000</v>
      </c>
      <c r="E10" s="67">
        <v>2</v>
      </c>
      <c r="F10" s="67">
        <v>8.3000000000000007</v>
      </c>
      <c r="G10" s="67">
        <v>8.3000000000000007</v>
      </c>
      <c r="H10" s="68">
        <f t="shared" si="3"/>
        <v>16.600000000000001</v>
      </c>
    </row>
    <row r="11" spans="1:8">
      <c r="A11" s="66">
        <f t="shared" si="2"/>
        <v>4</v>
      </c>
      <c r="B11" s="67" t="s">
        <v>156</v>
      </c>
      <c r="C11" s="67" t="s">
        <v>216</v>
      </c>
      <c r="D11" s="67">
        <v>1000</v>
      </c>
      <c r="E11" s="67">
        <v>2</v>
      </c>
      <c r="F11" s="67" t="s">
        <v>217</v>
      </c>
      <c r="G11" s="67">
        <f>4.8+25.2+22.1</f>
        <v>52.1</v>
      </c>
      <c r="H11" s="68">
        <f t="shared" ref="H11:H14" si="4">G11*E11</f>
        <v>104.2</v>
      </c>
    </row>
    <row r="12" spans="1:8">
      <c r="A12" s="66">
        <f t="shared" si="2"/>
        <v>5</v>
      </c>
      <c r="B12" s="67" t="s">
        <v>156</v>
      </c>
      <c r="C12" s="67" t="s">
        <v>216</v>
      </c>
      <c r="D12" s="67">
        <v>1000</v>
      </c>
      <c r="E12" s="67">
        <v>1</v>
      </c>
      <c r="F12" s="67" t="s">
        <v>218</v>
      </c>
      <c r="G12" s="67">
        <f>30.3+15.4+16.3</f>
        <v>62</v>
      </c>
      <c r="H12" s="68">
        <f t="shared" si="4"/>
        <v>62</v>
      </c>
    </row>
    <row r="13" spans="1:8">
      <c r="A13" s="66">
        <f t="shared" si="2"/>
        <v>6</v>
      </c>
      <c r="B13" s="67" t="s">
        <v>205</v>
      </c>
      <c r="C13" s="67" t="s">
        <v>219</v>
      </c>
      <c r="D13" s="67">
        <v>1000</v>
      </c>
      <c r="E13" s="67">
        <v>2</v>
      </c>
      <c r="F13" s="67" t="s">
        <v>220</v>
      </c>
      <c r="G13" s="67">
        <f>30+9+0.6</f>
        <v>39.6</v>
      </c>
      <c r="H13" s="68">
        <f t="shared" si="4"/>
        <v>79.2</v>
      </c>
    </row>
    <row r="14" spans="1:8">
      <c r="A14" s="66">
        <f t="shared" si="2"/>
        <v>7</v>
      </c>
      <c r="B14" s="67" t="s">
        <v>208</v>
      </c>
      <c r="C14" s="67" t="s">
        <v>221</v>
      </c>
      <c r="D14" s="67">
        <v>1000</v>
      </c>
      <c r="E14" s="67">
        <v>1</v>
      </c>
      <c r="F14" s="67" t="s">
        <v>222</v>
      </c>
      <c r="G14" s="67">
        <f>15.5+15.3+11+1.8+28.2</f>
        <v>71.8</v>
      </c>
      <c r="H14" s="68">
        <f t="shared" si="4"/>
        <v>71.8</v>
      </c>
    </row>
    <row r="15" spans="1:8">
      <c r="A15" s="66"/>
      <c r="B15" s="67"/>
      <c r="C15" s="67"/>
      <c r="D15" s="67"/>
      <c r="E15" s="67"/>
      <c r="F15" s="67"/>
      <c r="G15" s="67"/>
      <c r="H15" s="68"/>
    </row>
    <row r="16" spans="1:8">
      <c r="A16" s="66"/>
      <c r="B16" s="67"/>
      <c r="C16" s="67"/>
      <c r="D16" s="67"/>
      <c r="E16" s="67"/>
      <c r="F16" s="69" t="s">
        <v>210</v>
      </c>
      <c r="G16" s="69"/>
      <c r="H16" s="70">
        <f>SUM(H8:H15)</f>
        <v>733.10000000000014</v>
      </c>
    </row>
    <row r="17" spans="1:8">
      <c r="A17" s="66"/>
      <c r="B17" s="67"/>
      <c r="C17" s="67"/>
      <c r="D17" s="67"/>
      <c r="E17" s="67"/>
      <c r="F17" s="69" t="s">
        <v>211</v>
      </c>
      <c r="G17" s="69"/>
      <c r="H17" s="70">
        <v>380</v>
      </c>
    </row>
    <row r="18" spans="1:8">
      <c r="A18" s="66"/>
      <c r="B18" s="67"/>
      <c r="C18" s="67"/>
      <c r="D18" s="67"/>
      <c r="E18" s="67"/>
      <c r="F18" s="69" t="s">
        <v>212</v>
      </c>
      <c r="G18" s="69"/>
      <c r="H18" s="70">
        <f>H16-H17</f>
        <v>353.10000000000014</v>
      </c>
    </row>
    <row r="19" spans="1:8">
      <c r="A19" s="66"/>
      <c r="B19" s="67"/>
      <c r="C19" s="67"/>
      <c r="D19" s="67"/>
      <c r="E19" s="67"/>
      <c r="F19" s="69"/>
      <c r="G19" s="69"/>
      <c r="H19" s="70"/>
    </row>
    <row r="20" spans="1:8" ht="45">
      <c r="A20" s="66">
        <v>1</v>
      </c>
      <c r="B20" s="67" t="s">
        <v>223</v>
      </c>
      <c r="C20" s="67" t="s">
        <v>224</v>
      </c>
      <c r="D20" s="71" t="s">
        <v>225</v>
      </c>
      <c r="E20" s="67">
        <v>1</v>
      </c>
      <c r="F20" s="71" t="s">
        <v>226</v>
      </c>
      <c r="G20" s="71">
        <f>16.6+14.8+0.5+30.2+26.2+21+11.6+1.5+22+2.5+1.3+31+18.4+11.2+11.6+10+30.6+2.5+16.6+3</f>
        <v>283.10000000000002</v>
      </c>
      <c r="H20" s="68">
        <f>G20*E20</f>
        <v>283.10000000000002</v>
      </c>
    </row>
    <row r="21" spans="1:8" ht="15.75" customHeight="1">
      <c r="A21" s="66"/>
      <c r="B21" s="67"/>
      <c r="C21" s="67"/>
      <c r="D21" s="71"/>
      <c r="E21" s="67"/>
      <c r="F21" s="69" t="s">
        <v>210</v>
      </c>
      <c r="G21" s="69"/>
      <c r="H21" s="70">
        <v>283.10000000000002</v>
      </c>
    </row>
    <row r="22" spans="1:8" ht="15.75" customHeight="1">
      <c r="A22" s="66"/>
      <c r="B22" s="67"/>
      <c r="C22" s="67"/>
      <c r="D22" s="71"/>
      <c r="E22" s="67"/>
      <c r="F22" s="69" t="s">
        <v>211</v>
      </c>
      <c r="G22" s="69"/>
      <c r="H22" s="70">
        <v>45</v>
      </c>
    </row>
    <row r="23" spans="1:8" ht="15.75" customHeight="1">
      <c r="A23" s="66"/>
      <c r="B23" s="67"/>
      <c r="C23" s="67"/>
      <c r="D23" s="71"/>
      <c r="E23" s="67"/>
      <c r="F23" s="69" t="s">
        <v>212</v>
      </c>
      <c r="G23" s="69"/>
      <c r="H23" s="70">
        <f>H21-H22</f>
        <v>238.10000000000002</v>
      </c>
    </row>
    <row r="24" spans="1:8" ht="15.75" customHeight="1">
      <c r="A24" s="66"/>
      <c r="B24" s="67"/>
      <c r="C24" s="67"/>
      <c r="D24" s="71"/>
      <c r="E24" s="67"/>
      <c r="F24" s="69"/>
      <c r="G24" s="69"/>
      <c r="H24" s="68"/>
    </row>
    <row r="25" spans="1:8" ht="15.75" customHeight="1">
      <c r="A25" s="66">
        <v>1</v>
      </c>
      <c r="B25" s="67" t="s">
        <v>227</v>
      </c>
      <c r="C25" s="67" t="s">
        <v>228</v>
      </c>
      <c r="D25" s="67" t="s">
        <v>229</v>
      </c>
      <c r="E25" s="67">
        <v>1</v>
      </c>
      <c r="F25" s="67" t="s">
        <v>230</v>
      </c>
      <c r="G25" s="67">
        <f>30+2+18.6+30+28.3</f>
        <v>108.89999999999999</v>
      </c>
      <c r="H25" s="68">
        <f t="shared" ref="H25:H28" si="5">G25*E25</f>
        <v>108.89999999999999</v>
      </c>
    </row>
    <row r="26" spans="1:8" ht="15.75" customHeight="1">
      <c r="A26" s="66">
        <f t="shared" ref="A26:A28" si="6">A25+1</f>
        <v>2</v>
      </c>
      <c r="B26" s="67" t="s">
        <v>231</v>
      </c>
      <c r="C26" s="67" t="s">
        <v>228</v>
      </c>
      <c r="D26" s="67" t="s">
        <v>229</v>
      </c>
      <c r="E26" s="67">
        <v>1</v>
      </c>
      <c r="F26" s="67" t="s">
        <v>232</v>
      </c>
      <c r="G26" s="67">
        <f>30.6+20+3.8+30</f>
        <v>84.4</v>
      </c>
      <c r="H26" s="68">
        <f t="shared" si="5"/>
        <v>84.4</v>
      </c>
    </row>
    <row r="27" spans="1:8" ht="15.75" customHeight="1">
      <c r="A27" s="66">
        <f t="shared" si="6"/>
        <v>3</v>
      </c>
      <c r="B27" s="67" t="s">
        <v>233</v>
      </c>
      <c r="C27" s="67" t="s">
        <v>228</v>
      </c>
      <c r="D27" s="67" t="s">
        <v>229</v>
      </c>
      <c r="E27" s="67">
        <v>1</v>
      </c>
      <c r="F27" s="67" t="s">
        <v>234</v>
      </c>
      <c r="G27" s="67">
        <f>19+5+20+6</f>
        <v>50</v>
      </c>
      <c r="H27" s="68">
        <f t="shared" si="5"/>
        <v>50</v>
      </c>
    </row>
    <row r="28" spans="1:8" ht="15.75" customHeight="1">
      <c r="A28" s="66">
        <f t="shared" si="6"/>
        <v>4</v>
      </c>
      <c r="B28" s="67" t="s">
        <v>235</v>
      </c>
      <c r="C28" s="67" t="s">
        <v>236</v>
      </c>
      <c r="D28" s="67" t="s">
        <v>229</v>
      </c>
      <c r="E28" s="67">
        <v>1</v>
      </c>
      <c r="F28" s="67" t="s">
        <v>237</v>
      </c>
      <c r="G28" s="67">
        <f>30+7.8+9.3</f>
        <v>47.099999999999994</v>
      </c>
      <c r="H28" s="68">
        <f t="shared" si="5"/>
        <v>47.099999999999994</v>
      </c>
    </row>
    <row r="29" spans="1:8" ht="15.75" customHeight="1">
      <c r="A29" s="66"/>
      <c r="B29" s="67"/>
      <c r="C29" s="67"/>
      <c r="D29" s="67"/>
      <c r="E29" s="67"/>
      <c r="F29" s="69" t="s">
        <v>210</v>
      </c>
      <c r="G29" s="67"/>
      <c r="H29" s="70">
        <f>SUM(H25:H28)</f>
        <v>290.39999999999998</v>
      </c>
    </row>
    <row r="30" spans="1:8" ht="15.75" customHeight="1">
      <c r="A30" s="66"/>
      <c r="B30" s="67"/>
      <c r="C30" s="67"/>
      <c r="D30" s="67"/>
      <c r="E30" s="67"/>
      <c r="F30" s="69" t="s">
        <v>211</v>
      </c>
      <c r="G30" s="67"/>
      <c r="H30" s="70">
        <v>60</v>
      </c>
    </row>
    <row r="31" spans="1:8" ht="15.75" customHeight="1">
      <c r="A31" s="66"/>
      <c r="B31" s="67"/>
      <c r="C31" s="67"/>
      <c r="D31" s="67"/>
      <c r="E31" s="67"/>
      <c r="F31" s="69" t="s">
        <v>212</v>
      </c>
      <c r="G31" s="67"/>
      <c r="H31" s="70">
        <f>H29-H30</f>
        <v>230.39999999999998</v>
      </c>
    </row>
    <row r="32" spans="1:8" ht="15.75" customHeight="1">
      <c r="A32" s="66">
        <v>1</v>
      </c>
      <c r="B32" s="67" t="s">
        <v>238</v>
      </c>
      <c r="C32" s="67"/>
      <c r="D32" s="67"/>
      <c r="E32" s="67"/>
      <c r="F32" s="67"/>
      <c r="G32" s="67"/>
      <c r="H32" s="68"/>
    </row>
    <row r="33" spans="1:8" ht="15.75" customHeight="1">
      <c r="A33" s="66">
        <v>2</v>
      </c>
      <c r="B33" s="67" t="s">
        <v>239</v>
      </c>
      <c r="C33" s="67" t="s">
        <v>236</v>
      </c>
      <c r="D33" s="67" t="s">
        <v>240</v>
      </c>
      <c r="E33" s="67">
        <v>1</v>
      </c>
      <c r="F33" s="67" t="s">
        <v>241</v>
      </c>
      <c r="G33" s="67">
        <f>7.5+30.3+30+30+8.5+7.5</f>
        <v>113.8</v>
      </c>
      <c r="H33" s="68">
        <f>G33*E33</f>
        <v>113.8</v>
      </c>
    </row>
    <row r="34" spans="1:8" ht="15.75" customHeight="1">
      <c r="A34" s="66"/>
      <c r="B34" s="67"/>
      <c r="C34" s="67"/>
      <c r="D34" s="67"/>
      <c r="E34" s="67"/>
      <c r="F34" s="69" t="s">
        <v>210</v>
      </c>
      <c r="G34" s="67"/>
      <c r="H34" s="70">
        <v>113.8</v>
      </c>
    </row>
    <row r="35" spans="1:8" ht="15.75" customHeight="1">
      <c r="A35" s="66"/>
      <c r="B35" s="67"/>
      <c r="C35" s="67"/>
      <c r="D35" s="67"/>
      <c r="E35" s="67"/>
      <c r="F35" s="69" t="s">
        <v>211</v>
      </c>
      <c r="G35" s="67"/>
      <c r="H35" s="70">
        <v>30</v>
      </c>
    </row>
    <row r="36" spans="1:8" ht="15.75" customHeight="1">
      <c r="A36" s="66"/>
      <c r="B36" s="67"/>
      <c r="C36" s="67"/>
      <c r="D36" s="67"/>
      <c r="E36" s="67"/>
      <c r="F36" s="69" t="s">
        <v>212</v>
      </c>
      <c r="G36" s="67"/>
      <c r="H36" s="70">
        <f>H34-H35</f>
        <v>83.8</v>
      </c>
    </row>
    <row r="37" spans="1:8" ht="15.75" customHeight="1">
      <c r="A37" s="66"/>
      <c r="B37" s="67"/>
      <c r="C37" s="67"/>
      <c r="D37" s="67"/>
      <c r="E37" s="67"/>
      <c r="F37" s="67"/>
      <c r="G37" s="67"/>
      <c r="H37" s="68"/>
    </row>
    <row r="38" spans="1:8" ht="15.75" customHeight="1">
      <c r="A38" s="66">
        <v>1</v>
      </c>
      <c r="B38" s="67" t="s">
        <v>242</v>
      </c>
      <c r="C38" s="67" t="s">
        <v>228</v>
      </c>
      <c r="D38" s="67" t="s">
        <v>243</v>
      </c>
      <c r="E38" s="67">
        <v>1</v>
      </c>
      <c r="F38" s="67">
        <v>25</v>
      </c>
      <c r="G38" s="67">
        <v>25</v>
      </c>
      <c r="H38" s="70">
        <f t="shared" ref="H38:H41" si="7">G38*E38</f>
        <v>25</v>
      </c>
    </row>
    <row r="39" spans="1:8" ht="15.75" customHeight="1">
      <c r="A39" s="66">
        <v>2</v>
      </c>
      <c r="B39" s="67" t="s">
        <v>239</v>
      </c>
      <c r="C39" s="67" t="s">
        <v>236</v>
      </c>
      <c r="D39" s="67" t="s">
        <v>244</v>
      </c>
      <c r="E39" s="67">
        <v>1</v>
      </c>
      <c r="F39" s="67" t="s">
        <v>245</v>
      </c>
      <c r="G39" s="67">
        <f>21+30+8.5</f>
        <v>59.5</v>
      </c>
      <c r="H39" s="70">
        <f t="shared" si="7"/>
        <v>59.5</v>
      </c>
    </row>
    <row r="40" spans="1:8" ht="15.75" customHeight="1">
      <c r="A40" s="66">
        <v>3</v>
      </c>
      <c r="B40" s="67" t="s">
        <v>239</v>
      </c>
      <c r="C40" s="67" t="s">
        <v>236</v>
      </c>
      <c r="D40" s="67" t="s">
        <v>246</v>
      </c>
      <c r="E40" s="67">
        <v>1</v>
      </c>
      <c r="F40" s="67" t="s">
        <v>247</v>
      </c>
      <c r="G40" s="67">
        <f>3.3+3.3+2.5+3.3+2.7+5+1.5+1.5</f>
        <v>23.099999999999998</v>
      </c>
      <c r="H40" s="70">
        <f t="shared" si="7"/>
        <v>23.099999999999998</v>
      </c>
    </row>
    <row r="41" spans="1:8" ht="15.75" customHeight="1">
      <c r="A41" s="72">
        <v>4</v>
      </c>
      <c r="B41" s="73" t="s">
        <v>239</v>
      </c>
      <c r="C41" s="73" t="s">
        <v>236</v>
      </c>
      <c r="D41" s="73" t="s">
        <v>248</v>
      </c>
      <c r="E41" s="73">
        <v>1</v>
      </c>
      <c r="F41" s="73">
        <v>16.600000000000001</v>
      </c>
      <c r="G41" s="73">
        <v>16.600000000000001</v>
      </c>
      <c r="H41" s="74">
        <f t="shared" si="7"/>
        <v>16.600000000000001</v>
      </c>
    </row>
    <row r="42" spans="1:8" ht="15.75" customHeight="1"/>
    <row r="43" spans="1:8" ht="15.75" customHeight="1"/>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dimension ref="C2:M100"/>
  <sheetViews>
    <sheetView workbookViewId="0"/>
  </sheetViews>
  <sheetFormatPr defaultColWidth="14.42578125" defaultRowHeight="15" customHeight="1"/>
  <cols>
    <col min="1" max="3" width="8.7109375" customWidth="1"/>
    <col min="4" max="4" width="42.140625" customWidth="1"/>
    <col min="5" max="5" width="17.42578125" customWidth="1"/>
    <col min="6" max="6" width="11.7109375" customWidth="1"/>
    <col min="7" max="8" width="8.7109375" customWidth="1"/>
    <col min="9" max="9" width="12.140625" customWidth="1"/>
    <col min="10" max="12" width="8.7109375" customWidth="1"/>
    <col min="13" max="13" width="8.7109375" hidden="1" customWidth="1"/>
  </cols>
  <sheetData>
    <row r="2" spans="3:13">
      <c r="C2" s="235" t="s">
        <v>249</v>
      </c>
      <c r="D2" s="164"/>
      <c r="E2" s="164"/>
      <c r="F2" s="164"/>
      <c r="G2" s="164"/>
      <c r="H2" s="164"/>
      <c r="I2" s="164"/>
      <c r="J2" s="164"/>
      <c r="K2" s="164"/>
      <c r="L2" s="164"/>
      <c r="M2" s="165"/>
    </row>
    <row r="3" spans="3:13" ht="63">
      <c r="C3" s="32" t="s">
        <v>117</v>
      </c>
      <c r="D3" s="32" t="s">
        <v>33</v>
      </c>
      <c r="E3" s="75"/>
      <c r="F3" s="76" t="s">
        <v>250</v>
      </c>
      <c r="G3" s="76" t="s">
        <v>251</v>
      </c>
      <c r="H3" s="76" t="s">
        <v>252</v>
      </c>
      <c r="I3" s="75" t="s">
        <v>253</v>
      </c>
      <c r="J3" s="76" t="s">
        <v>254</v>
      </c>
      <c r="K3" s="76" t="s">
        <v>255</v>
      </c>
      <c r="L3" s="76" t="s">
        <v>256</v>
      </c>
      <c r="M3" s="76" t="s">
        <v>257</v>
      </c>
    </row>
    <row r="4" spans="3:13" ht="15.75">
      <c r="C4" s="236" t="s">
        <v>258</v>
      </c>
      <c r="D4" s="165"/>
      <c r="E4" s="75"/>
      <c r="F4" s="76"/>
      <c r="G4" s="76"/>
      <c r="H4" s="76"/>
      <c r="I4" s="75"/>
      <c r="J4" s="76"/>
      <c r="K4" s="76"/>
      <c r="L4" s="76"/>
      <c r="M4" s="76"/>
    </row>
    <row r="5" spans="3:13" ht="15.75">
      <c r="C5" s="44" t="s">
        <v>259</v>
      </c>
      <c r="D5" s="75"/>
      <c r="E5" s="75"/>
      <c r="F5" s="76"/>
      <c r="G5" s="76"/>
      <c r="H5" s="76"/>
      <c r="I5" s="75"/>
      <c r="J5" s="76"/>
      <c r="K5" s="76"/>
      <c r="L5" s="76"/>
      <c r="M5" s="76"/>
    </row>
    <row r="6" spans="3:13">
      <c r="C6" s="67">
        <v>1</v>
      </c>
      <c r="D6" s="39" t="s">
        <v>260</v>
      </c>
      <c r="E6" s="39">
        <f>1.29+1.3+1.3+1.3+1.29</f>
        <v>6.4799999999999995</v>
      </c>
      <c r="F6" s="39">
        <v>49</v>
      </c>
      <c r="G6" s="39">
        <f t="shared" ref="G6:G11" si="0">E6*F6</f>
        <v>317.52</v>
      </c>
      <c r="H6" s="39">
        <v>6.8</v>
      </c>
      <c r="I6" s="39">
        <v>2</v>
      </c>
      <c r="J6" s="39">
        <f t="shared" ref="J6:J11" si="1">F6*I6</f>
        <v>98</v>
      </c>
      <c r="K6" s="39">
        <v>1.05</v>
      </c>
      <c r="L6" s="39">
        <f t="shared" ref="L6:L11" si="2">G6*H6</f>
        <v>2159.136</v>
      </c>
      <c r="M6" s="39">
        <f t="shared" ref="M6:M11" si="3">J6*K6</f>
        <v>102.9</v>
      </c>
    </row>
    <row r="7" spans="3:13">
      <c r="C7" s="67">
        <f t="shared" ref="C7:C11" si="4">C6+1</f>
        <v>2</v>
      </c>
      <c r="D7" s="39" t="s">
        <v>261</v>
      </c>
      <c r="E7" s="39">
        <f>1.63+1.3+1.3+1.3+1.63</f>
        <v>7.1599999999999993</v>
      </c>
      <c r="F7" s="39">
        <v>1</v>
      </c>
      <c r="G7" s="39">
        <f t="shared" si="0"/>
        <v>7.1599999999999993</v>
      </c>
      <c r="H7" s="39">
        <v>6.8</v>
      </c>
      <c r="I7" s="39">
        <v>2</v>
      </c>
      <c r="J7" s="39">
        <f t="shared" si="1"/>
        <v>2</v>
      </c>
      <c r="K7" s="39">
        <v>1.05</v>
      </c>
      <c r="L7" s="39">
        <f t="shared" si="2"/>
        <v>48.687999999999995</v>
      </c>
      <c r="M7" s="39">
        <f t="shared" si="3"/>
        <v>2.1</v>
      </c>
    </row>
    <row r="8" spans="3:13">
      <c r="C8" s="67">
        <f t="shared" si="4"/>
        <v>3</v>
      </c>
      <c r="D8" s="39" t="s">
        <v>262</v>
      </c>
      <c r="E8" s="39">
        <f>1.35+1.3+1.3+1.3+1.35</f>
        <v>6.6</v>
      </c>
      <c r="F8" s="39">
        <v>1</v>
      </c>
      <c r="G8" s="39">
        <f t="shared" si="0"/>
        <v>6.6</v>
      </c>
      <c r="H8" s="39">
        <v>6.8</v>
      </c>
      <c r="I8" s="39">
        <v>2</v>
      </c>
      <c r="J8" s="39">
        <f t="shared" si="1"/>
        <v>2</v>
      </c>
      <c r="K8" s="39">
        <v>1.05</v>
      </c>
      <c r="L8" s="39">
        <f t="shared" si="2"/>
        <v>44.879999999999995</v>
      </c>
      <c r="M8" s="39">
        <f t="shared" si="3"/>
        <v>2.1</v>
      </c>
    </row>
    <row r="9" spans="3:13">
      <c r="C9" s="67">
        <f t="shared" si="4"/>
        <v>4</v>
      </c>
      <c r="D9" s="39" t="s">
        <v>263</v>
      </c>
      <c r="E9" s="39">
        <f>0.75+1.3+1.3+1.3+0.75</f>
        <v>5.3999999999999995</v>
      </c>
      <c r="F9" s="39">
        <v>10</v>
      </c>
      <c r="G9" s="39">
        <f t="shared" si="0"/>
        <v>53.999999999999993</v>
      </c>
      <c r="H9" s="39">
        <v>6.8</v>
      </c>
      <c r="I9" s="39">
        <v>2</v>
      </c>
      <c r="J9" s="39">
        <f t="shared" si="1"/>
        <v>20</v>
      </c>
      <c r="K9" s="39">
        <v>1.05</v>
      </c>
      <c r="L9" s="39">
        <f t="shared" si="2"/>
        <v>367.19999999999993</v>
      </c>
      <c r="M9" s="39">
        <f t="shared" si="3"/>
        <v>21</v>
      </c>
    </row>
    <row r="10" spans="3:13">
      <c r="C10" s="67">
        <f t="shared" si="4"/>
        <v>5</v>
      </c>
      <c r="D10" s="39" t="s">
        <v>264</v>
      </c>
      <c r="E10" s="39">
        <f>0.85+1.3+1.3+1.3+0.85</f>
        <v>5.6</v>
      </c>
      <c r="F10" s="39">
        <v>1</v>
      </c>
      <c r="G10" s="39">
        <f t="shared" si="0"/>
        <v>5.6</v>
      </c>
      <c r="H10" s="39">
        <v>6.8</v>
      </c>
      <c r="I10" s="39">
        <v>2</v>
      </c>
      <c r="J10" s="39">
        <f t="shared" si="1"/>
        <v>2</v>
      </c>
      <c r="K10" s="39">
        <v>1.05</v>
      </c>
      <c r="L10" s="39">
        <f t="shared" si="2"/>
        <v>38.08</v>
      </c>
      <c r="M10" s="39">
        <f t="shared" si="3"/>
        <v>2.1</v>
      </c>
    </row>
    <row r="11" spans="3:13">
      <c r="C11" s="67">
        <f t="shared" si="4"/>
        <v>6</v>
      </c>
      <c r="D11" s="39" t="s">
        <v>133</v>
      </c>
      <c r="E11" s="39">
        <f>1.8+1.3+1.3+1.3+1.8</f>
        <v>7.5</v>
      </c>
      <c r="F11" s="39">
        <v>2</v>
      </c>
      <c r="G11" s="39">
        <f t="shared" si="0"/>
        <v>15</v>
      </c>
      <c r="H11" s="39">
        <v>6.8</v>
      </c>
      <c r="I11" s="39">
        <v>2</v>
      </c>
      <c r="J11" s="39">
        <f t="shared" si="1"/>
        <v>4</v>
      </c>
      <c r="K11" s="39">
        <v>1.05</v>
      </c>
      <c r="L11" s="39">
        <f t="shared" si="2"/>
        <v>102</v>
      </c>
      <c r="M11" s="39">
        <f t="shared" si="3"/>
        <v>4.2</v>
      </c>
    </row>
    <row r="12" spans="3:13">
      <c r="C12" s="67"/>
      <c r="D12" s="39"/>
      <c r="E12" s="39"/>
      <c r="F12" s="39"/>
      <c r="G12" s="39"/>
      <c r="H12" s="39"/>
      <c r="I12" s="39"/>
      <c r="J12" s="39"/>
      <c r="K12" s="39"/>
      <c r="L12" s="39"/>
      <c r="M12" s="39"/>
    </row>
    <row r="13" spans="3:13">
      <c r="C13" s="67"/>
      <c r="D13" s="39"/>
      <c r="E13" s="39"/>
      <c r="F13" s="39"/>
      <c r="G13" s="39"/>
      <c r="H13" s="39"/>
      <c r="I13" s="39"/>
      <c r="J13" s="39"/>
      <c r="K13" s="39"/>
      <c r="L13" s="39"/>
      <c r="M13" s="39"/>
    </row>
    <row r="14" spans="3:13">
      <c r="C14" s="69" t="s">
        <v>265</v>
      </c>
      <c r="D14" s="39"/>
      <c r="E14" s="39"/>
      <c r="F14" s="39"/>
      <c r="G14" s="39"/>
      <c r="H14" s="39"/>
      <c r="I14" s="39"/>
      <c r="J14" s="39"/>
      <c r="K14" s="39"/>
      <c r="L14" s="39"/>
      <c r="M14" s="39"/>
    </row>
    <row r="15" spans="3:13">
      <c r="C15" s="67">
        <v>1</v>
      </c>
      <c r="D15" s="39" t="s">
        <v>266</v>
      </c>
      <c r="E15" s="39">
        <f>1.06+1.3+1.3+1.06</f>
        <v>4.7200000000000006</v>
      </c>
      <c r="F15" s="39">
        <v>48</v>
      </c>
      <c r="G15" s="39">
        <f t="shared" ref="G15:G21" si="5">E15*F15</f>
        <v>226.56000000000003</v>
      </c>
      <c r="H15" s="39">
        <v>6.8</v>
      </c>
      <c r="I15" s="39">
        <v>2</v>
      </c>
      <c r="J15" s="39">
        <f t="shared" ref="J15:J21" si="6">F15*I15</f>
        <v>96</v>
      </c>
      <c r="K15" s="39">
        <v>1.05</v>
      </c>
      <c r="L15" s="39">
        <f t="shared" ref="L15:L21" si="7">G15*H15</f>
        <v>1540.6080000000002</v>
      </c>
      <c r="M15" s="39">
        <f t="shared" ref="M15:M21" si="8">J15*K15</f>
        <v>100.80000000000001</v>
      </c>
    </row>
    <row r="16" spans="3:13">
      <c r="C16" s="67">
        <f t="shared" ref="C16:C21" si="9">C15+1</f>
        <v>2</v>
      </c>
      <c r="D16" s="39" t="s">
        <v>137</v>
      </c>
      <c r="E16" s="39">
        <f>1.4+1.3+1.3+1.4</f>
        <v>5.4</v>
      </c>
      <c r="F16" s="39">
        <v>1</v>
      </c>
      <c r="G16" s="39">
        <f t="shared" si="5"/>
        <v>5.4</v>
      </c>
      <c r="H16" s="39">
        <v>6.8</v>
      </c>
      <c r="I16" s="39">
        <v>2</v>
      </c>
      <c r="J16" s="39">
        <f t="shared" si="6"/>
        <v>2</v>
      </c>
      <c r="K16" s="39">
        <v>1.05</v>
      </c>
      <c r="L16" s="39">
        <f t="shared" si="7"/>
        <v>36.72</v>
      </c>
      <c r="M16" s="39">
        <f t="shared" si="8"/>
        <v>2.1</v>
      </c>
    </row>
    <row r="17" spans="3:13">
      <c r="C17" s="67">
        <f t="shared" si="9"/>
        <v>3</v>
      </c>
      <c r="D17" s="39" t="s">
        <v>136</v>
      </c>
      <c r="E17" s="39">
        <f>0.52+1.3+1.3+0.52</f>
        <v>3.64</v>
      </c>
      <c r="F17" s="39">
        <v>9</v>
      </c>
      <c r="G17" s="39">
        <f t="shared" si="5"/>
        <v>32.76</v>
      </c>
      <c r="H17" s="39">
        <v>6.8</v>
      </c>
      <c r="I17" s="39">
        <v>2</v>
      </c>
      <c r="J17" s="39">
        <f t="shared" si="6"/>
        <v>18</v>
      </c>
      <c r="K17" s="39">
        <v>1.05</v>
      </c>
      <c r="L17" s="39">
        <f t="shared" si="7"/>
        <v>222.76799999999997</v>
      </c>
      <c r="M17" s="39">
        <f t="shared" si="8"/>
        <v>18.900000000000002</v>
      </c>
    </row>
    <row r="18" spans="3:13">
      <c r="C18" s="67">
        <f t="shared" si="9"/>
        <v>4</v>
      </c>
      <c r="D18" s="39" t="s">
        <v>138</v>
      </c>
      <c r="E18" s="39">
        <f>0.91+1.3+1.3+0.91</f>
        <v>4.42</v>
      </c>
      <c r="F18" s="39">
        <v>1</v>
      </c>
      <c r="G18" s="39">
        <f t="shared" si="5"/>
        <v>4.42</v>
      </c>
      <c r="H18" s="39">
        <v>6.8</v>
      </c>
      <c r="I18" s="39">
        <v>2</v>
      </c>
      <c r="J18" s="39">
        <f t="shared" si="6"/>
        <v>2</v>
      </c>
      <c r="K18" s="39">
        <v>1.05</v>
      </c>
      <c r="L18" s="39">
        <f t="shared" si="7"/>
        <v>30.055999999999997</v>
      </c>
      <c r="M18" s="39">
        <f t="shared" si="8"/>
        <v>2.1</v>
      </c>
    </row>
    <row r="19" spans="3:13">
      <c r="C19" s="67">
        <f t="shared" si="9"/>
        <v>5</v>
      </c>
      <c r="D19" s="39" t="s">
        <v>137</v>
      </c>
      <c r="E19" s="39">
        <f>1.4+1.3+1.3+1.4</f>
        <v>5.4</v>
      </c>
      <c r="F19" s="39">
        <v>2</v>
      </c>
      <c r="G19" s="39">
        <f t="shared" si="5"/>
        <v>10.8</v>
      </c>
      <c r="H19" s="39">
        <v>6.8</v>
      </c>
      <c r="I19" s="39">
        <v>2</v>
      </c>
      <c r="J19" s="39">
        <f t="shared" si="6"/>
        <v>4</v>
      </c>
      <c r="K19" s="39">
        <v>1.05</v>
      </c>
      <c r="L19" s="39">
        <f t="shared" si="7"/>
        <v>73.44</v>
      </c>
      <c r="M19" s="39">
        <f t="shared" si="8"/>
        <v>4.2</v>
      </c>
    </row>
    <row r="20" spans="3:13">
      <c r="C20" s="67">
        <f t="shared" si="9"/>
        <v>6</v>
      </c>
      <c r="D20" s="39" t="s">
        <v>267</v>
      </c>
      <c r="E20" s="39">
        <f>0.62+1.3+1.3+0.62</f>
        <v>3.84</v>
      </c>
      <c r="F20" s="39">
        <v>1</v>
      </c>
      <c r="G20" s="39">
        <f t="shared" si="5"/>
        <v>3.84</v>
      </c>
      <c r="H20" s="39">
        <v>6.8</v>
      </c>
      <c r="I20" s="39">
        <v>2</v>
      </c>
      <c r="J20" s="39">
        <f t="shared" si="6"/>
        <v>2</v>
      </c>
      <c r="K20" s="39">
        <v>1.05</v>
      </c>
      <c r="L20" s="39">
        <f t="shared" si="7"/>
        <v>26.111999999999998</v>
      </c>
      <c r="M20" s="39">
        <f t="shared" si="8"/>
        <v>2.1</v>
      </c>
    </row>
    <row r="21" spans="3:13" ht="15.75" customHeight="1">
      <c r="C21" s="67">
        <f t="shared" si="9"/>
        <v>7</v>
      </c>
      <c r="D21" s="39" t="s">
        <v>268</v>
      </c>
      <c r="E21" s="39">
        <f>1.12+1.3+1.3+1.12</f>
        <v>4.84</v>
      </c>
      <c r="F21" s="39">
        <v>1</v>
      </c>
      <c r="G21" s="39">
        <f t="shared" si="5"/>
        <v>4.84</v>
      </c>
      <c r="H21" s="39">
        <v>6.8</v>
      </c>
      <c r="I21" s="39">
        <v>2</v>
      </c>
      <c r="J21" s="39">
        <f t="shared" si="6"/>
        <v>2</v>
      </c>
      <c r="K21" s="39">
        <v>1.05</v>
      </c>
      <c r="L21" s="39">
        <f t="shared" si="7"/>
        <v>32.911999999999999</v>
      </c>
      <c r="M21" s="39">
        <f t="shared" si="8"/>
        <v>2.1</v>
      </c>
    </row>
    <row r="22" spans="3:13" ht="15.75" customHeight="1">
      <c r="C22" s="67"/>
      <c r="D22" s="39"/>
      <c r="E22" s="39"/>
      <c r="F22" s="39"/>
      <c r="G22" s="39"/>
      <c r="H22" s="39"/>
      <c r="I22" s="39"/>
      <c r="J22" s="39"/>
      <c r="K22" s="39"/>
      <c r="L22" s="39"/>
      <c r="M22" s="39"/>
    </row>
    <row r="23" spans="3:13" ht="15.75" customHeight="1">
      <c r="C23" s="67"/>
      <c r="D23" s="39"/>
      <c r="E23" s="39"/>
      <c r="F23" s="39"/>
      <c r="G23" s="39"/>
      <c r="H23" s="39"/>
      <c r="I23" s="39"/>
      <c r="J23" s="39"/>
      <c r="K23" s="39"/>
      <c r="L23" s="39"/>
      <c r="M23" s="39"/>
    </row>
    <row r="24" spans="3:13" ht="15.75" customHeight="1">
      <c r="C24" s="69" t="s">
        <v>269</v>
      </c>
      <c r="D24" s="39"/>
      <c r="E24" s="39"/>
      <c r="F24" s="39"/>
      <c r="G24" s="39"/>
      <c r="H24" s="39"/>
      <c r="I24" s="39"/>
      <c r="J24" s="39"/>
      <c r="K24" s="39"/>
      <c r="L24" s="39"/>
      <c r="M24" s="39"/>
    </row>
    <row r="25" spans="3:13" ht="15.75" customHeight="1">
      <c r="C25" s="67">
        <v>1</v>
      </c>
      <c r="D25" s="39" t="s">
        <v>270</v>
      </c>
      <c r="E25" s="39">
        <f>0.31+1.1+0.81</f>
        <v>2.2200000000000002</v>
      </c>
      <c r="F25" s="39">
        <v>3</v>
      </c>
      <c r="G25" s="39">
        <f t="shared" ref="G25:G34" si="10">E25*F25</f>
        <v>6.66</v>
      </c>
      <c r="H25" s="39">
        <v>6.8</v>
      </c>
      <c r="I25" s="39">
        <v>2</v>
      </c>
      <c r="J25" s="39">
        <f t="shared" ref="J25:J34" si="11">F25*I25</f>
        <v>6</v>
      </c>
      <c r="K25" s="39">
        <v>1.05</v>
      </c>
      <c r="L25" s="39">
        <f t="shared" ref="L25:L34" si="12">G25*H25</f>
        <v>45.287999999999997</v>
      </c>
      <c r="M25" s="39">
        <f t="shared" ref="M25:M34" si="13">J25*K25</f>
        <v>6.3000000000000007</v>
      </c>
    </row>
    <row r="26" spans="3:13" ht="15.75" customHeight="1">
      <c r="C26" s="67">
        <f t="shared" ref="C26:C34" si="14">C25+1</f>
        <v>2</v>
      </c>
      <c r="D26" s="39" t="s">
        <v>271</v>
      </c>
      <c r="E26" s="39">
        <f>1.02+1.1+1.02</f>
        <v>3.14</v>
      </c>
      <c r="F26" s="39">
        <v>1</v>
      </c>
      <c r="G26" s="39">
        <f t="shared" si="10"/>
        <v>3.14</v>
      </c>
      <c r="H26" s="39">
        <v>6.8</v>
      </c>
      <c r="I26" s="39">
        <v>2</v>
      </c>
      <c r="J26" s="39">
        <f t="shared" si="11"/>
        <v>2</v>
      </c>
      <c r="K26" s="39">
        <v>1.05</v>
      </c>
      <c r="L26" s="39">
        <f t="shared" si="12"/>
        <v>21.352</v>
      </c>
      <c r="M26" s="39">
        <f t="shared" si="13"/>
        <v>2.1</v>
      </c>
    </row>
    <row r="27" spans="3:13" ht="15.75" customHeight="1">
      <c r="C27" s="67">
        <f t="shared" si="14"/>
        <v>3</v>
      </c>
      <c r="D27" s="39" t="s">
        <v>272</v>
      </c>
      <c r="E27" s="39">
        <f>0.51+1.1+0.51</f>
        <v>2.12</v>
      </c>
      <c r="F27" s="39">
        <v>1</v>
      </c>
      <c r="G27" s="39">
        <f t="shared" si="10"/>
        <v>2.12</v>
      </c>
      <c r="H27" s="39">
        <v>6.8</v>
      </c>
      <c r="I27" s="39">
        <v>2</v>
      </c>
      <c r="J27" s="39">
        <f t="shared" si="11"/>
        <v>2</v>
      </c>
      <c r="K27" s="39">
        <v>1.05</v>
      </c>
      <c r="L27" s="39">
        <f t="shared" si="12"/>
        <v>14.416</v>
      </c>
      <c r="M27" s="39">
        <f t="shared" si="13"/>
        <v>2.1</v>
      </c>
    </row>
    <row r="28" spans="3:13" ht="15.75" customHeight="1">
      <c r="C28" s="67">
        <f t="shared" si="14"/>
        <v>4</v>
      </c>
      <c r="D28" s="39" t="s">
        <v>273</v>
      </c>
      <c r="E28" s="39">
        <f>0.2+1.1+0.2</f>
        <v>1.5</v>
      </c>
      <c r="F28" s="39">
        <v>4</v>
      </c>
      <c r="G28" s="39">
        <f t="shared" si="10"/>
        <v>6</v>
      </c>
      <c r="H28" s="39">
        <v>6.8</v>
      </c>
      <c r="I28" s="39">
        <v>2</v>
      </c>
      <c r="J28" s="39">
        <f t="shared" si="11"/>
        <v>8</v>
      </c>
      <c r="K28" s="39">
        <v>1.05</v>
      </c>
      <c r="L28" s="39">
        <f t="shared" si="12"/>
        <v>40.799999999999997</v>
      </c>
      <c r="M28" s="39">
        <f t="shared" si="13"/>
        <v>8.4</v>
      </c>
    </row>
    <row r="29" spans="3:13" ht="15.75" customHeight="1">
      <c r="C29" s="67">
        <f t="shared" si="14"/>
        <v>5</v>
      </c>
      <c r="D29" s="39" t="s">
        <v>274</v>
      </c>
      <c r="E29" s="39">
        <f>0.81+1.1+0.81</f>
        <v>2.72</v>
      </c>
      <c r="F29" s="39">
        <v>7</v>
      </c>
      <c r="G29" s="39">
        <f t="shared" si="10"/>
        <v>19.040000000000003</v>
      </c>
      <c r="H29" s="39">
        <v>6.8</v>
      </c>
      <c r="I29" s="39">
        <v>2</v>
      </c>
      <c r="J29" s="39">
        <f t="shared" si="11"/>
        <v>14</v>
      </c>
      <c r="K29" s="39">
        <v>1.05</v>
      </c>
      <c r="L29" s="39">
        <f t="shared" si="12"/>
        <v>129.47200000000001</v>
      </c>
      <c r="M29" s="39">
        <f t="shared" si="13"/>
        <v>14.700000000000001</v>
      </c>
    </row>
    <row r="30" spans="3:13" ht="15.75" customHeight="1">
      <c r="C30" s="67">
        <f t="shared" si="14"/>
        <v>6</v>
      </c>
      <c r="D30" s="39" t="s">
        <v>275</v>
      </c>
      <c r="E30" s="39">
        <f>0.71+1.1+0.71</f>
        <v>2.52</v>
      </c>
      <c r="F30" s="39">
        <v>11</v>
      </c>
      <c r="G30" s="39">
        <f t="shared" si="10"/>
        <v>27.72</v>
      </c>
      <c r="H30" s="39">
        <v>6.8</v>
      </c>
      <c r="I30" s="39">
        <v>2</v>
      </c>
      <c r="J30" s="39">
        <f t="shared" si="11"/>
        <v>22</v>
      </c>
      <c r="K30" s="39">
        <v>1.05</v>
      </c>
      <c r="L30" s="39">
        <f t="shared" si="12"/>
        <v>188.49599999999998</v>
      </c>
      <c r="M30" s="39">
        <f t="shared" si="13"/>
        <v>23.1</v>
      </c>
    </row>
    <row r="31" spans="3:13" ht="15.75" customHeight="1">
      <c r="C31" s="67">
        <f t="shared" si="14"/>
        <v>7</v>
      </c>
      <c r="D31" s="39" t="s">
        <v>276</v>
      </c>
      <c r="E31" s="39">
        <f>0.15+1.1+0.15</f>
        <v>1.4</v>
      </c>
      <c r="F31" s="39">
        <v>3</v>
      </c>
      <c r="G31" s="39">
        <f t="shared" si="10"/>
        <v>4.1999999999999993</v>
      </c>
      <c r="H31" s="39">
        <v>6.8</v>
      </c>
      <c r="I31" s="39">
        <v>2</v>
      </c>
      <c r="J31" s="39">
        <f t="shared" si="11"/>
        <v>6</v>
      </c>
      <c r="K31" s="39">
        <v>1.05</v>
      </c>
      <c r="L31" s="39">
        <f t="shared" si="12"/>
        <v>28.559999999999995</v>
      </c>
      <c r="M31" s="39">
        <f t="shared" si="13"/>
        <v>6.3000000000000007</v>
      </c>
    </row>
    <row r="32" spans="3:13" ht="15.75" customHeight="1">
      <c r="C32" s="67">
        <f t="shared" si="14"/>
        <v>8</v>
      </c>
      <c r="D32" s="39" t="s">
        <v>179</v>
      </c>
      <c r="E32" s="39">
        <f>1+1.1+1</f>
        <v>3.1</v>
      </c>
      <c r="F32" s="39">
        <v>2</v>
      </c>
      <c r="G32" s="39">
        <f t="shared" si="10"/>
        <v>6.2</v>
      </c>
      <c r="H32" s="39">
        <v>6.8</v>
      </c>
      <c r="I32" s="39">
        <v>2</v>
      </c>
      <c r="J32" s="39">
        <f t="shared" si="11"/>
        <v>4</v>
      </c>
      <c r="K32" s="39">
        <v>1.05</v>
      </c>
      <c r="L32" s="39">
        <f t="shared" si="12"/>
        <v>42.16</v>
      </c>
      <c r="M32" s="39">
        <f t="shared" si="13"/>
        <v>4.2</v>
      </c>
    </row>
    <row r="33" spans="3:13" ht="15.75" customHeight="1">
      <c r="C33" s="67">
        <f t="shared" si="14"/>
        <v>9</v>
      </c>
      <c r="D33" s="39" t="s">
        <v>277</v>
      </c>
      <c r="E33" s="39">
        <f>0.61+1.1+0.61</f>
        <v>2.3199999999999998</v>
      </c>
      <c r="F33" s="39">
        <v>7</v>
      </c>
      <c r="G33" s="39">
        <f t="shared" si="10"/>
        <v>16.239999999999998</v>
      </c>
      <c r="H33" s="39">
        <v>6.8</v>
      </c>
      <c r="I33" s="39">
        <v>2</v>
      </c>
      <c r="J33" s="39">
        <f t="shared" si="11"/>
        <v>14</v>
      </c>
      <c r="K33" s="39">
        <v>1.05</v>
      </c>
      <c r="L33" s="39">
        <f t="shared" si="12"/>
        <v>110.43199999999999</v>
      </c>
      <c r="M33" s="39">
        <f t="shared" si="13"/>
        <v>14.700000000000001</v>
      </c>
    </row>
    <row r="34" spans="3:13" ht="15.75" customHeight="1">
      <c r="C34" s="67">
        <f t="shared" si="14"/>
        <v>10</v>
      </c>
      <c r="D34" s="39" t="s">
        <v>276</v>
      </c>
      <c r="E34" s="39">
        <f>0.15+1.1+0.15</f>
        <v>1.4</v>
      </c>
      <c r="F34" s="39">
        <v>2</v>
      </c>
      <c r="G34" s="39">
        <f t="shared" si="10"/>
        <v>2.8</v>
      </c>
      <c r="H34" s="39">
        <v>6.8</v>
      </c>
      <c r="I34" s="39">
        <v>2</v>
      </c>
      <c r="J34" s="39">
        <f t="shared" si="11"/>
        <v>4</v>
      </c>
      <c r="K34" s="39">
        <v>1.05</v>
      </c>
      <c r="L34" s="39">
        <f t="shared" si="12"/>
        <v>19.04</v>
      </c>
      <c r="M34" s="39">
        <f t="shared" si="13"/>
        <v>4.2</v>
      </c>
    </row>
    <row r="35" spans="3:13" ht="15.75" customHeight="1">
      <c r="C35" s="67"/>
      <c r="D35" s="39"/>
      <c r="E35" s="39"/>
      <c r="F35" s="39"/>
      <c r="G35" s="39"/>
      <c r="H35" s="39"/>
      <c r="I35" s="39"/>
      <c r="J35" s="39"/>
      <c r="K35" s="39"/>
      <c r="L35" s="39"/>
      <c r="M35" s="39"/>
    </row>
    <row r="36" spans="3:13" ht="15.75" customHeight="1">
      <c r="C36" s="67">
        <v>1</v>
      </c>
      <c r="D36" s="39" t="s">
        <v>178</v>
      </c>
      <c r="E36" s="39">
        <f>1+1.1+1.1+1</f>
        <v>4.2</v>
      </c>
      <c r="F36" s="39">
        <v>25</v>
      </c>
      <c r="G36" s="39">
        <f>E36*F36</f>
        <v>105</v>
      </c>
      <c r="H36" s="39">
        <v>6.8</v>
      </c>
      <c r="I36" s="39">
        <v>2</v>
      </c>
      <c r="J36" s="39">
        <f>F36*I36</f>
        <v>50</v>
      </c>
      <c r="K36" s="39">
        <v>1.05</v>
      </c>
      <c r="L36" s="39">
        <f>G36*H36</f>
        <v>714</v>
      </c>
      <c r="M36" s="39">
        <f>J36*K36</f>
        <v>52.5</v>
      </c>
    </row>
    <row r="37" spans="3:13" ht="15.75" customHeight="1">
      <c r="C37" s="67"/>
      <c r="D37" s="39"/>
      <c r="E37" s="39"/>
      <c r="F37" s="39"/>
      <c r="G37" s="39"/>
      <c r="H37" s="39"/>
      <c r="I37" s="39"/>
      <c r="J37" s="39"/>
      <c r="K37" s="39"/>
      <c r="L37" s="39"/>
      <c r="M37" s="39"/>
    </row>
    <row r="38" spans="3:13" ht="15.75" customHeight="1">
      <c r="C38" s="69" t="s">
        <v>196</v>
      </c>
      <c r="D38" s="39"/>
      <c r="E38" s="39"/>
      <c r="F38" s="39"/>
      <c r="G38" s="39"/>
      <c r="H38" s="39"/>
      <c r="I38" s="39"/>
      <c r="J38" s="39"/>
      <c r="K38" s="39"/>
      <c r="L38" s="39"/>
      <c r="M38" s="39"/>
    </row>
    <row r="39" spans="3:13" ht="15.75" customHeight="1">
      <c r="C39" s="67">
        <v>1</v>
      </c>
      <c r="D39" s="39" t="s">
        <v>278</v>
      </c>
      <c r="E39" s="39">
        <f>1.41+1.1+1.1</f>
        <v>3.61</v>
      </c>
      <c r="F39" s="39">
        <v>5</v>
      </c>
      <c r="G39" s="39">
        <f t="shared" ref="G39:G42" si="15">E39*F39</f>
        <v>18.05</v>
      </c>
      <c r="H39" s="39">
        <v>6.8</v>
      </c>
      <c r="I39" s="39">
        <v>2</v>
      </c>
      <c r="J39" s="39">
        <f t="shared" ref="J39:J42" si="16">F39*I39</f>
        <v>10</v>
      </c>
      <c r="K39" s="39">
        <v>1.05</v>
      </c>
      <c r="L39" s="39">
        <f t="shared" ref="L39:L42" si="17">G39*H39</f>
        <v>122.74</v>
      </c>
      <c r="M39" s="39">
        <f t="shared" ref="M39:M42" si="18">J39*K39</f>
        <v>10.5</v>
      </c>
    </row>
    <row r="40" spans="3:13" ht="15.75" customHeight="1">
      <c r="C40" s="67">
        <f t="shared" ref="C40:C42" si="19">C39+1</f>
        <v>2</v>
      </c>
      <c r="D40" s="39" t="s">
        <v>279</v>
      </c>
      <c r="E40" s="39">
        <f>1.17+1.1+1.41</f>
        <v>3.6799999999999997</v>
      </c>
      <c r="F40" s="39">
        <v>5</v>
      </c>
      <c r="G40" s="39">
        <f t="shared" si="15"/>
        <v>18.399999999999999</v>
      </c>
      <c r="H40" s="39">
        <v>6.8</v>
      </c>
      <c r="I40" s="39">
        <v>2</v>
      </c>
      <c r="J40" s="39">
        <f t="shared" si="16"/>
        <v>10</v>
      </c>
      <c r="K40" s="39">
        <v>1.05</v>
      </c>
      <c r="L40" s="39">
        <f t="shared" si="17"/>
        <v>125.11999999999999</v>
      </c>
      <c r="M40" s="39">
        <f t="shared" si="18"/>
        <v>10.5</v>
      </c>
    </row>
    <row r="41" spans="3:13" ht="15.75" customHeight="1">
      <c r="C41" s="67">
        <f t="shared" si="19"/>
        <v>3</v>
      </c>
      <c r="D41" s="39" t="s">
        <v>162</v>
      </c>
      <c r="E41" s="39">
        <f>1.6+1.1+1.6</f>
        <v>4.3000000000000007</v>
      </c>
      <c r="F41" s="39">
        <v>3</v>
      </c>
      <c r="G41" s="39">
        <f t="shared" si="15"/>
        <v>12.900000000000002</v>
      </c>
      <c r="H41" s="39">
        <v>6.8</v>
      </c>
      <c r="I41" s="39">
        <v>2</v>
      </c>
      <c r="J41" s="39">
        <f t="shared" si="16"/>
        <v>6</v>
      </c>
      <c r="K41" s="39">
        <v>1.05</v>
      </c>
      <c r="L41" s="39">
        <f t="shared" si="17"/>
        <v>87.720000000000013</v>
      </c>
      <c r="M41" s="39">
        <f t="shared" si="18"/>
        <v>6.3000000000000007</v>
      </c>
    </row>
    <row r="42" spans="3:13" ht="15.75" customHeight="1">
      <c r="C42" s="67">
        <f t="shared" si="19"/>
        <v>4</v>
      </c>
      <c r="D42" s="39" t="s">
        <v>280</v>
      </c>
      <c r="E42" s="39">
        <f>1.6+1.1+1.3</f>
        <v>4</v>
      </c>
      <c r="F42" s="39">
        <v>3</v>
      </c>
      <c r="G42" s="39">
        <f t="shared" si="15"/>
        <v>12</v>
      </c>
      <c r="H42" s="39">
        <v>6.8</v>
      </c>
      <c r="I42" s="39">
        <v>2</v>
      </c>
      <c r="J42" s="39">
        <f t="shared" si="16"/>
        <v>6</v>
      </c>
      <c r="K42" s="39">
        <v>1.05</v>
      </c>
      <c r="L42" s="39">
        <f t="shared" si="17"/>
        <v>81.599999999999994</v>
      </c>
      <c r="M42" s="39">
        <f t="shared" si="18"/>
        <v>6.3000000000000007</v>
      </c>
    </row>
    <row r="43" spans="3:13" ht="15.75" customHeight="1">
      <c r="C43" s="67"/>
      <c r="D43" s="39"/>
      <c r="E43" s="39"/>
      <c r="F43" s="39"/>
      <c r="G43" s="39"/>
      <c r="H43" s="39"/>
      <c r="I43" s="39"/>
      <c r="J43" s="39"/>
      <c r="K43" s="39"/>
      <c r="L43" s="39"/>
      <c r="M43" s="39"/>
    </row>
    <row r="44" spans="3:13" ht="15.75" customHeight="1">
      <c r="C44" s="67"/>
      <c r="D44" s="39"/>
      <c r="E44" s="39"/>
      <c r="F44" s="39"/>
      <c r="G44" s="39"/>
      <c r="H44" s="39"/>
      <c r="I44" s="39"/>
      <c r="J44" s="39"/>
      <c r="K44" s="39"/>
      <c r="L44" s="39"/>
      <c r="M44" s="39"/>
    </row>
    <row r="45" spans="3:13" ht="15.75" customHeight="1">
      <c r="C45" s="69" t="s">
        <v>269</v>
      </c>
      <c r="D45" s="39"/>
      <c r="E45" s="39"/>
      <c r="F45" s="39"/>
      <c r="G45" s="39"/>
      <c r="H45" s="39"/>
      <c r="I45" s="39"/>
      <c r="J45" s="39"/>
      <c r="K45" s="39"/>
      <c r="L45" s="39"/>
      <c r="M45" s="39"/>
    </row>
    <row r="46" spans="3:13" ht="15.75" customHeight="1">
      <c r="C46" s="67">
        <v>1</v>
      </c>
      <c r="D46" s="39" t="s">
        <v>281</v>
      </c>
      <c r="E46" s="39">
        <f>0.78+1.1+0.78</f>
        <v>2.66</v>
      </c>
      <c r="F46" s="39">
        <v>7</v>
      </c>
      <c r="G46" s="39">
        <f t="shared" ref="G46:G50" si="20">E46*F46</f>
        <v>18.62</v>
      </c>
      <c r="H46" s="39">
        <v>6.8</v>
      </c>
      <c r="I46" s="39">
        <v>2</v>
      </c>
      <c r="J46" s="39">
        <f t="shared" ref="J46:J50" si="21">F46*I46</f>
        <v>14</v>
      </c>
      <c r="K46" s="39">
        <v>1.05</v>
      </c>
      <c r="L46" s="39">
        <f t="shared" ref="L46:L50" si="22">G46*H46</f>
        <v>126.616</v>
      </c>
      <c r="M46" s="39">
        <f t="shared" ref="M46:M50" si="23">J46*K46</f>
        <v>14.700000000000001</v>
      </c>
    </row>
    <row r="47" spans="3:13" ht="15.75" customHeight="1">
      <c r="C47" s="67">
        <f t="shared" ref="C47:C50" si="24">C46+1</f>
        <v>2</v>
      </c>
      <c r="D47" s="39" t="s">
        <v>170</v>
      </c>
      <c r="E47" s="39">
        <f>0.2+1.1+0.2</f>
        <v>1.5</v>
      </c>
      <c r="F47" s="39">
        <v>1</v>
      </c>
      <c r="G47" s="39">
        <f t="shared" si="20"/>
        <v>1.5</v>
      </c>
      <c r="H47" s="39">
        <v>6.8</v>
      </c>
      <c r="I47" s="39">
        <v>2</v>
      </c>
      <c r="J47" s="39">
        <f t="shared" si="21"/>
        <v>2</v>
      </c>
      <c r="K47" s="39">
        <v>1.05</v>
      </c>
      <c r="L47" s="39">
        <f t="shared" si="22"/>
        <v>10.199999999999999</v>
      </c>
      <c r="M47" s="39">
        <f t="shared" si="23"/>
        <v>2.1</v>
      </c>
    </row>
    <row r="48" spans="3:13" ht="15.75" customHeight="1">
      <c r="C48" s="67">
        <f t="shared" si="24"/>
        <v>3</v>
      </c>
      <c r="D48" s="39" t="s">
        <v>282</v>
      </c>
      <c r="E48" s="39">
        <f>1.25+1.1+1</f>
        <v>3.35</v>
      </c>
      <c r="F48" s="39">
        <v>1</v>
      </c>
      <c r="G48" s="39">
        <f t="shared" si="20"/>
        <v>3.35</v>
      </c>
      <c r="H48" s="39">
        <v>6.8</v>
      </c>
      <c r="I48" s="39">
        <v>2</v>
      </c>
      <c r="J48" s="39">
        <f t="shared" si="21"/>
        <v>2</v>
      </c>
      <c r="K48" s="39">
        <v>1.05</v>
      </c>
      <c r="L48" s="39">
        <f t="shared" si="22"/>
        <v>22.78</v>
      </c>
      <c r="M48" s="39">
        <f t="shared" si="23"/>
        <v>2.1</v>
      </c>
    </row>
    <row r="49" spans="3:13" ht="15.75" customHeight="1">
      <c r="C49" s="67">
        <f t="shared" si="24"/>
        <v>4</v>
      </c>
      <c r="D49" s="39" t="s">
        <v>283</v>
      </c>
      <c r="E49" s="39">
        <f>1.25+1.1+1.25</f>
        <v>3.6</v>
      </c>
      <c r="F49" s="39">
        <v>9</v>
      </c>
      <c r="G49" s="39">
        <f t="shared" si="20"/>
        <v>32.4</v>
      </c>
      <c r="H49" s="39">
        <v>6.8</v>
      </c>
      <c r="I49" s="39">
        <v>2</v>
      </c>
      <c r="J49" s="39">
        <f t="shared" si="21"/>
        <v>18</v>
      </c>
      <c r="K49" s="39">
        <v>1.05</v>
      </c>
      <c r="L49" s="39">
        <f t="shared" si="22"/>
        <v>220.32</v>
      </c>
      <c r="M49" s="39">
        <f t="shared" si="23"/>
        <v>18.900000000000002</v>
      </c>
    </row>
    <row r="50" spans="3:13" ht="15.75" customHeight="1">
      <c r="C50" s="67">
        <f t="shared" si="24"/>
        <v>5</v>
      </c>
      <c r="D50" s="39" t="s">
        <v>284</v>
      </c>
      <c r="E50" s="39">
        <f>0.75+1.1+0.75</f>
        <v>2.6</v>
      </c>
      <c r="F50" s="39">
        <v>2</v>
      </c>
      <c r="G50" s="39">
        <f t="shared" si="20"/>
        <v>5.2</v>
      </c>
      <c r="H50" s="39">
        <v>6.8</v>
      </c>
      <c r="I50" s="39">
        <v>2</v>
      </c>
      <c r="J50" s="39">
        <f t="shared" si="21"/>
        <v>4</v>
      </c>
      <c r="K50" s="39">
        <v>1.05</v>
      </c>
      <c r="L50" s="39">
        <f t="shared" si="22"/>
        <v>35.36</v>
      </c>
      <c r="M50" s="39">
        <f t="shared" si="23"/>
        <v>4.2</v>
      </c>
    </row>
    <row r="51" spans="3:13" ht="15.75" customHeight="1">
      <c r="C51" s="67"/>
      <c r="D51" s="39"/>
      <c r="E51" s="39"/>
      <c r="F51" s="39"/>
      <c r="G51" s="39"/>
      <c r="H51" s="39"/>
      <c r="I51" s="39"/>
      <c r="J51" s="39"/>
      <c r="K51" s="39"/>
      <c r="L51" s="39"/>
      <c r="M51" s="39"/>
    </row>
    <row r="52" spans="3:13" ht="15.75" customHeight="1">
      <c r="C52" s="67">
        <v>1</v>
      </c>
      <c r="D52" s="39" t="s">
        <v>285</v>
      </c>
      <c r="E52" s="39">
        <f>0.99+1.1+1.1+0.99</f>
        <v>4.18</v>
      </c>
      <c r="F52" s="39">
        <v>9</v>
      </c>
      <c r="G52" s="39">
        <f t="shared" ref="G52:G56" si="25">E52*F52</f>
        <v>37.619999999999997</v>
      </c>
      <c r="H52" s="39">
        <v>6.8</v>
      </c>
      <c r="I52" s="39">
        <v>2</v>
      </c>
      <c r="J52" s="39">
        <f t="shared" ref="J52:J56" si="26">F52*I52</f>
        <v>18</v>
      </c>
      <c r="K52" s="39">
        <v>1.05</v>
      </c>
      <c r="L52" s="39">
        <f t="shared" ref="L52:L56" si="27">G52*H52</f>
        <v>255.81599999999997</v>
      </c>
      <c r="M52" s="39">
        <f t="shared" ref="M52:M56" si="28">J52*K52</f>
        <v>18.900000000000002</v>
      </c>
    </row>
    <row r="53" spans="3:13" ht="15.75" customHeight="1">
      <c r="C53" s="67">
        <f t="shared" ref="C53:C56" si="29">C52+1</f>
        <v>2</v>
      </c>
      <c r="D53" s="39" t="s">
        <v>286</v>
      </c>
      <c r="E53" s="39">
        <f>1.04+1.1+1.1+1.04</f>
        <v>4.28</v>
      </c>
      <c r="F53" s="39">
        <v>18</v>
      </c>
      <c r="G53" s="39">
        <f t="shared" si="25"/>
        <v>77.040000000000006</v>
      </c>
      <c r="H53" s="39">
        <v>6.8</v>
      </c>
      <c r="I53" s="39">
        <v>2</v>
      </c>
      <c r="J53" s="39">
        <f t="shared" si="26"/>
        <v>36</v>
      </c>
      <c r="K53" s="39">
        <v>1.05</v>
      </c>
      <c r="L53" s="39">
        <f t="shared" si="27"/>
        <v>523.87200000000007</v>
      </c>
      <c r="M53" s="39">
        <f t="shared" si="28"/>
        <v>37.800000000000004</v>
      </c>
    </row>
    <row r="54" spans="3:13" ht="15.75" customHeight="1">
      <c r="C54" s="67">
        <f t="shared" si="29"/>
        <v>3</v>
      </c>
      <c r="D54" s="39" t="s">
        <v>167</v>
      </c>
      <c r="E54" s="39">
        <f>1.5+1.1+1.1+1.5</f>
        <v>5.2</v>
      </c>
      <c r="F54" s="39">
        <v>1</v>
      </c>
      <c r="G54" s="39">
        <f t="shared" si="25"/>
        <v>5.2</v>
      </c>
      <c r="H54" s="39">
        <v>6.8</v>
      </c>
      <c r="I54" s="39">
        <v>2</v>
      </c>
      <c r="J54" s="39">
        <f t="shared" si="26"/>
        <v>2</v>
      </c>
      <c r="K54" s="39">
        <v>1.05</v>
      </c>
      <c r="L54" s="39">
        <f t="shared" si="27"/>
        <v>35.36</v>
      </c>
      <c r="M54" s="39">
        <f t="shared" si="28"/>
        <v>2.1</v>
      </c>
    </row>
    <row r="55" spans="3:13" ht="15.75" customHeight="1">
      <c r="C55" s="67">
        <f t="shared" si="29"/>
        <v>4</v>
      </c>
      <c r="D55" s="39" t="s">
        <v>168</v>
      </c>
      <c r="E55" s="39">
        <f>1.2+1.1+1.1+1.2</f>
        <v>4.5999999999999996</v>
      </c>
      <c r="F55" s="39">
        <v>1</v>
      </c>
      <c r="G55" s="39">
        <f t="shared" si="25"/>
        <v>4.5999999999999996</v>
      </c>
      <c r="H55" s="39">
        <v>6.8</v>
      </c>
      <c r="I55" s="39">
        <v>2</v>
      </c>
      <c r="J55" s="39">
        <f t="shared" si="26"/>
        <v>2</v>
      </c>
      <c r="K55" s="39">
        <v>1.05</v>
      </c>
      <c r="L55" s="39">
        <f t="shared" si="27"/>
        <v>31.279999999999998</v>
      </c>
      <c r="M55" s="39">
        <f t="shared" si="28"/>
        <v>2.1</v>
      </c>
    </row>
    <row r="56" spans="3:13" ht="15.75" customHeight="1">
      <c r="C56" s="67">
        <f t="shared" si="29"/>
        <v>5</v>
      </c>
      <c r="D56" s="46" t="s">
        <v>167</v>
      </c>
      <c r="E56" s="46"/>
      <c r="F56" s="46">
        <v>4</v>
      </c>
      <c r="G56" s="39">
        <f t="shared" si="25"/>
        <v>0</v>
      </c>
      <c r="H56" s="39">
        <v>6.8</v>
      </c>
      <c r="I56" s="39">
        <v>2</v>
      </c>
      <c r="J56" s="39">
        <f t="shared" si="26"/>
        <v>8</v>
      </c>
      <c r="K56" s="39">
        <v>1.05</v>
      </c>
      <c r="L56" s="39">
        <f t="shared" si="27"/>
        <v>0</v>
      </c>
      <c r="M56" s="39">
        <f t="shared" si="28"/>
        <v>8.4</v>
      </c>
    </row>
    <row r="57" spans="3:13" ht="15.75" customHeight="1">
      <c r="C57" s="67"/>
      <c r="D57" s="39"/>
      <c r="E57" s="39"/>
      <c r="F57" s="39"/>
      <c r="G57" s="39"/>
      <c r="H57" s="39"/>
      <c r="I57" s="39"/>
      <c r="J57" s="39"/>
      <c r="K57" s="39"/>
      <c r="L57" s="39"/>
      <c r="M57" s="39"/>
    </row>
    <row r="58" spans="3:13" ht="15.75" customHeight="1">
      <c r="C58" s="67">
        <v>1</v>
      </c>
      <c r="D58" s="39" t="s">
        <v>287</v>
      </c>
      <c r="E58" s="39">
        <f>1.3+1.1+1.3</f>
        <v>3.7</v>
      </c>
      <c r="F58" s="39">
        <v>16</v>
      </c>
      <c r="G58" s="39">
        <f t="shared" ref="G58:G59" si="30">E58*F58</f>
        <v>59.2</v>
      </c>
      <c r="H58" s="39">
        <v>6.8</v>
      </c>
      <c r="I58" s="39">
        <v>2</v>
      </c>
      <c r="J58" s="39">
        <f t="shared" ref="J58:J59" si="31">F58*I58</f>
        <v>32</v>
      </c>
      <c r="K58" s="39">
        <v>1.05</v>
      </c>
      <c r="L58" s="39">
        <f t="shared" ref="L58:L59" si="32">G58*H58</f>
        <v>402.56</v>
      </c>
      <c r="M58" s="39">
        <f t="shared" ref="M58:M59" si="33">J58*K58</f>
        <v>33.6</v>
      </c>
    </row>
    <row r="59" spans="3:13" ht="15.75" customHeight="1">
      <c r="C59" s="67">
        <v>2</v>
      </c>
      <c r="D59" s="39" t="s">
        <v>284</v>
      </c>
      <c r="E59" s="39">
        <f>0.75+1.1+0.75</f>
        <v>2.6</v>
      </c>
      <c r="F59" s="39">
        <v>4</v>
      </c>
      <c r="G59" s="39">
        <f t="shared" si="30"/>
        <v>10.4</v>
      </c>
      <c r="H59" s="39">
        <v>6.8</v>
      </c>
      <c r="I59" s="39">
        <v>2</v>
      </c>
      <c r="J59" s="39">
        <f t="shared" si="31"/>
        <v>8</v>
      </c>
      <c r="K59" s="39">
        <v>1.05</v>
      </c>
      <c r="L59" s="39">
        <f t="shared" si="32"/>
        <v>70.72</v>
      </c>
      <c r="M59" s="39">
        <f t="shared" si="33"/>
        <v>8.4</v>
      </c>
    </row>
    <row r="60" spans="3:13" ht="15.75" customHeight="1">
      <c r="C60" s="67"/>
      <c r="D60" s="39"/>
      <c r="E60" s="39"/>
      <c r="F60" s="39"/>
      <c r="G60" s="39"/>
      <c r="H60" s="39"/>
      <c r="I60" s="39"/>
      <c r="J60" s="39"/>
      <c r="K60" s="39"/>
      <c r="L60" s="39"/>
      <c r="M60" s="39"/>
    </row>
    <row r="61" spans="3:13" ht="15.75" customHeight="1">
      <c r="C61" s="69" t="s">
        <v>288</v>
      </c>
      <c r="D61" s="39"/>
      <c r="E61" s="39"/>
      <c r="F61" s="39"/>
      <c r="G61" s="39"/>
      <c r="H61" s="39"/>
      <c r="I61" s="39"/>
      <c r="J61" s="39"/>
      <c r="K61" s="39"/>
      <c r="L61" s="39"/>
      <c r="M61" s="39"/>
    </row>
    <row r="62" spans="3:13" ht="15.75" customHeight="1">
      <c r="C62" s="67">
        <v>1</v>
      </c>
      <c r="D62" s="39" t="s">
        <v>289</v>
      </c>
      <c r="E62" s="39">
        <f>1.62+1.1+1.1+1.1+1.62</f>
        <v>6.54</v>
      </c>
      <c r="F62" s="39">
        <v>35</v>
      </c>
      <c r="G62" s="39">
        <f t="shared" ref="G62:G67" si="34">E62*F62</f>
        <v>228.9</v>
      </c>
      <c r="H62" s="39">
        <v>6.8</v>
      </c>
      <c r="I62" s="39">
        <v>2</v>
      </c>
      <c r="J62" s="39">
        <f t="shared" ref="J62:J67" si="35">F62*I62</f>
        <v>70</v>
      </c>
      <c r="K62" s="39">
        <v>1.05</v>
      </c>
      <c r="L62" s="39">
        <f t="shared" ref="L62:L67" si="36">G62*H62</f>
        <v>1556.52</v>
      </c>
      <c r="M62" s="39">
        <f t="shared" ref="M62:M67" si="37">J62*K62</f>
        <v>73.5</v>
      </c>
    </row>
    <row r="63" spans="3:13" ht="15.75" customHeight="1">
      <c r="C63" s="67">
        <v>2</v>
      </c>
      <c r="D63" s="39" t="s">
        <v>174</v>
      </c>
      <c r="E63" s="39">
        <f>1.7+1.1+1.1+1.1+1.7</f>
        <v>6.7</v>
      </c>
      <c r="F63" s="39">
        <v>2</v>
      </c>
      <c r="G63" s="39">
        <f t="shared" si="34"/>
        <v>13.4</v>
      </c>
      <c r="H63" s="39">
        <v>6.8</v>
      </c>
      <c r="I63" s="39">
        <v>2</v>
      </c>
      <c r="J63" s="39">
        <f t="shared" si="35"/>
        <v>4</v>
      </c>
      <c r="K63" s="39">
        <v>1.05</v>
      </c>
      <c r="L63" s="39">
        <f t="shared" si="36"/>
        <v>91.12</v>
      </c>
      <c r="M63" s="39">
        <f t="shared" si="37"/>
        <v>4.2</v>
      </c>
    </row>
    <row r="64" spans="3:13" ht="15.75" customHeight="1">
      <c r="C64" s="67">
        <v>3</v>
      </c>
      <c r="D64" s="39" t="s">
        <v>290</v>
      </c>
      <c r="E64" s="39">
        <f>1.35+1.1+1.1+1.1+1.35</f>
        <v>6</v>
      </c>
      <c r="F64" s="39">
        <v>1</v>
      </c>
      <c r="G64" s="39">
        <f t="shared" si="34"/>
        <v>6</v>
      </c>
      <c r="H64" s="39">
        <v>6.8</v>
      </c>
      <c r="I64" s="39">
        <v>2</v>
      </c>
      <c r="J64" s="39">
        <f t="shared" si="35"/>
        <v>2</v>
      </c>
      <c r="K64" s="39">
        <v>1.05</v>
      </c>
      <c r="L64" s="39">
        <f t="shared" si="36"/>
        <v>40.799999999999997</v>
      </c>
      <c r="M64" s="39">
        <f t="shared" si="37"/>
        <v>2.1</v>
      </c>
    </row>
    <row r="65" spans="3:13" ht="15.75" customHeight="1">
      <c r="C65" s="67">
        <v>4</v>
      </c>
      <c r="D65" s="39" t="s">
        <v>291</v>
      </c>
      <c r="E65" s="39">
        <f>1.35+1.1+1.1+1.35</f>
        <v>4.9000000000000004</v>
      </c>
      <c r="F65" s="39">
        <v>1</v>
      </c>
      <c r="G65" s="39">
        <f t="shared" si="34"/>
        <v>4.9000000000000004</v>
      </c>
      <c r="H65" s="39">
        <v>6.8</v>
      </c>
      <c r="I65" s="39">
        <v>2</v>
      </c>
      <c r="J65" s="39">
        <f t="shared" si="35"/>
        <v>2</v>
      </c>
      <c r="K65" s="39">
        <v>1.05</v>
      </c>
      <c r="L65" s="39">
        <f t="shared" si="36"/>
        <v>33.32</v>
      </c>
      <c r="M65" s="39">
        <f t="shared" si="37"/>
        <v>2.1</v>
      </c>
    </row>
    <row r="66" spans="3:13" ht="15.75" customHeight="1">
      <c r="C66" s="67">
        <v>5</v>
      </c>
      <c r="D66" s="39" t="s">
        <v>292</v>
      </c>
      <c r="E66" s="39">
        <f>1.7+1.1+1.1+1.7</f>
        <v>5.6</v>
      </c>
      <c r="F66" s="39">
        <v>1</v>
      </c>
      <c r="G66" s="39">
        <f t="shared" si="34"/>
        <v>5.6</v>
      </c>
      <c r="H66" s="39">
        <v>6.8</v>
      </c>
      <c r="I66" s="39">
        <v>2</v>
      </c>
      <c r="J66" s="39">
        <f t="shared" si="35"/>
        <v>2</v>
      </c>
      <c r="K66" s="39">
        <v>1.05</v>
      </c>
      <c r="L66" s="39">
        <f t="shared" si="36"/>
        <v>38.08</v>
      </c>
      <c r="M66" s="39">
        <f t="shared" si="37"/>
        <v>2.1</v>
      </c>
    </row>
    <row r="67" spans="3:13" ht="15.75" customHeight="1">
      <c r="C67" s="67">
        <v>6</v>
      </c>
      <c r="D67" s="39" t="s">
        <v>293</v>
      </c>
      <c r="E67" s="39">
        <f>1.165+1.1+1.165</f>
        <v>3.43</v>
      </c>
      <c r="F67" s="39">
        <v>2</v>
      </c>
      <c r="G67" s="39">
        <f t="shared" si="34"/>
        <v>6.86</v>
      </c>
      <c r="H67" s="39">
        <v>6.8</v>
      </c>
      <c r="I67" s="39">
        <v>2</v>
      </c>
      <c r="J67" s="39">
        <f t="shared" si="35"/>
        <v>4</v>
      </c>
      <c r="K67" s="39">
        <v>1.05</v>
      </c>
      <c r="L67" s="39">
        <f t="shared" si="36"/>
        <v>46.648000000000003</v>
      </c>
      <c r="M67" s="39">
        <f t="shared" si="37"/>
        <v>4.2</v>
      </c>
    </row>
    <row r="68" spans="3:13" ht="15.75" customHeight="1">
      <c r="C68" s="67"/>
      <c r="D68" s="39"/>
      <c r="E68" s="39"/>
      <c r="F68" s="39"/>
      <c r="G68" s="39"/>
      <c r="H68" s="39"/>
      <c r="I68" s="39"/>
      <c r="J68" s="39"/>
      <c r="K68" s="39"/>
      <c r="L68" s="39"/>
      <c r="M68" s="39"/>
    </row>
    <row r="69" spans="3:13" ht="15.75" customHeight="1">
      <c r="C69" s="69" t="s">
        <v>294</v>
      </c>
      <c r="D69" s="39"/>
      <c r="E69" s="39"/>
      <c r="F69" s="39"/>
      <c r="G69" s="39"/>
      <c r="H69" s="39"/>
      <c r="I69" s="39"/>
      <c r="J69" s="39"/>
      <c r="K69" s="39"/>
      <c r="L69" s="39"/>
      <c r="M69" s="39"/>
    </row>
    <row r="70" spans="3:13" ht="15.75" customHeight="1">
      <c r="C70" s="67">
        <v>1</v>
      </c>
      <c r="D70" s="39" t="s">
        <v>173</v>
      </c>
      <c r="E70" s="39">
        <f>1.6+1.1+1.1+1.1+1.6</f>
        <v>6.5</v>
      </c>
      <c r="F70" s="39">
        <v>5</v>
      </c>
      <c r="G70" s="39">
        <f t="shared" ref="G70:G73" si="38">E70*F70</f>
        <v>32.5</v>
      </c>
      <c r="H70" s="39">
        <v>6.8</v>
      </c>
      <c r="I70" s="39">
        <v>2</v>
      </c>
      <c r="J70" s="39">
        <f t="shared" ref="J70:J73" si="39">F70*I70</f>
        <v>10</v>
      </c>
      <c r="K70" s="39">
        <v>1.05</v>
      </c>
      <c r="L70" s="39">
        <f t="shared" ref="L70:L73" si="40">G70*H70</f>
        <v>221</v>
      </c>
      <c r="M70" s="39">
        <f t="shared" ref="M70:M73" si="41">J70*K70</f>
        <v>10.5</v>
      </c>
    </row>
    <row r="71" spans="3:13" ht="15.75" customHeight="1">
      <c r="C71" s="67">
        <f t="shared" ref="C71:C73" si="42">C70+1</f>
        <v>2</v>
      </c>
      <c r="D71" s="39" t="s">
        <v>295</v>
      </c>
      <c r="E71" s="39">
        <f>1.55+1.1+1.1+1.1+1.55</f>
        <v>6.4</v>
      </c>
      <c r="F71" s="39">
        <v>13</v>
      </c>
      <c r="G71" s="39">
        <f t="shared" si="38"/>
        <v>83.2</v>
      </c>
      <c r="H71" s="39">
        <v>6.8</v>
      </c>
      <c r="I71" s="39">
        <v>2</v>
      </c>
      <c r="J71" s="39">
        <f t="shared" si="39"/>
        <v>26</v>
      </c>
      <c r="K71" s="39">
        <v>1.05</v>
      </c>
      <c r="L71" s="39">
        <f t="shared" si="40"/>
        <v>565.76</v>
      </c>
      <c r="M71" s="39">
        <f t="shared" si="41"/>
        <v>27.3</v>
      </c>
    </row>
    <row r="72" spans="3:13" ht="15.75" customHeight="1">
      <c r="C72" s="67">
        <f t="shared" si="42"/>
        <v>3</v>
      </c>
      <c r="D72" s="39" t="s">
        <v>296</v>
      </c>
      <c r="E72" s="39">
        <f>1.2+1.1+1.1+1.1+1.2</f>
        <v>5.7</v>
      </c>
      <c r="F72" s="39">
        <v>2</v>
      </c>
      <c r="G72" s="39">
        <f t="shared" si="38"/>
        <v>11.4</v>
      </c>
      <c r="H72" s="39">
        <v>6.8</v>
      </c>
      <c r="I72" s="39">
        <v>2</v>
      </c>
      <c r="J72" s="39">
        <f t="shared" si="39"/>
        <v>4</v>
      </c>
      <c r="K72" s="39">
        <v>1.05</v>
      </c>
      <c r="L72" s="39">
        <f t="shared" si="40"/>
        <v>77.52</v>
      </c>
      <c r="M72" s="39">
        <f t="shared" si="41"/>
        <v>4.2</v>
      </c>
    </row>
    <row r="73" spans="3:13" ht="15.75" customHeight="1">
      <c r="C73" s="67">
        <f t="shared" si="42"/>
        <v>4</v>
      </c>
      <c r="D73" s="39" t="s">
        <v>297</v>
      </c>
      <c r="E73" s="39">
        <f>1.25+1.1+1.1+1.25</f>
        <v>4.7</v>
      </c>
      <c r="F73" s="39">
        <v>2</v>
      </c>
      <c r="G73" s="39">
        <f t="shared" si="38"/>
        <v>9.4</v>
      </c>
      <c r="H73" s="39">
        <v>6.8</v>
      </c>
      <c r="I73" s="39">
        <v>2</v>
      </c>
      <c r="J73" s="39">
        <f t="shared" si="39"/>
        <v>4</v>
      </c>
      <c r="K73" s="39">
        <v>1.05</v>
      </c>
      <c r="L73" s="39">
        <f t="shared" si="40"/>
        <v>63.92</v>
      </c>
      <c r="M73" s="39">
        <f t="shared" si="41"/>
        <v>4.2</v>
      </c>
    </row>
    <row r="74" spans="3:13" ht="15.75" customHeight="1">
      <c r="C74" s="67"/>
      <c r="D74" s="39"/>
      <c r="E74" s="39"/>
      <c r="F74" s="39"/>
      <c r="G74" s="39"/>
      <c r="H74" s="39"/>
      <c r="I74" s="39"/>
      <c r="J74" s="39"/>
      <c r="K74" s="39"/>
      <c r="L74" s="39"/>
      <c r="M74" s="39"/>
    </row>
    <row r="75" spans="3:13" ht="15.75" customHeight="1">
      <c r="C75" s="67">
        <v>1</v>
      </c>
      <c r="D75" s="39" t="s">
        <v>298</v>
      </c>
      <c r="E75" s="39">
        <f>0.89+1.1+1.1+1.14</f>
        <v>4.2300000000000004</v>
      </c>
      <c r="F75" s="39">
        <v>3</v>
      </c>
      <c r="G75" s="39">
        <f t="shared" ref="G75:G78" si="43">E75*F75</f>
        <v>12.690000000000001</v>
      </c>
      <c r="H75" s="39">
        <v>6.8</v>
      </c>
      <c r="I75" s="39">
        <v>2</v>
      </c>
      <c r="J75" s="39">
        <f t="shared" ref="J75:J78" si="44">F75*I75</f>
        <v>6</v>
      </c>
      <c r="K75" s="39">
        <v>1.05</v>
      </c>
      <c r="L75" s="39">
        <f t="shared" ref="L75:L78" si="45">G75*H75</f>
        <v>86.292000000000002</v>
      </c>
      <c r="M75" s="39">
        <f t="shared" ref="M75:M78" si="46">J75*K75</f>
        <v>6.3000000000000007</v>
      </c>
    </row>
    <row r="76" spans="3:13" ht="15.75" customHeight="1">
      <c r="C76" s="67">
        <f t="shared" ref="C76:C78" si="47">C75+1</f>
        <v>2</v>
      </c>
      <c r="D76" s="39" t="s">
        <v>299</v>
      </c>
      <c r="E76" s="39">
        <f>1.19+1.1+1.1+1.19</f>
        <v>4.58</v>
      </c>
      <c r="F76" s="39">
        <v>9</v>
      </c>
      <c r="G76" s="39">
        <f t="shared" si="43"/>
        <v>41.22</v>
      </c>
      <c r="H76" s="39">
        <v>6.8</v>
      </c>
      <c r="I76" s="39">
        <v>2</v>
      </c>
      <c r="J76" s="39">
        <f t="shared" si="44"/>
        <v>18</v>
      </c>
      <c r="K76" s="39">
        <v>1.05</v>
      </c>
      <c r="L76" s="39">
        <f t="shared" si="45"/>
        <v>280.29599999999999</v>
      </c>
      <c r="M76" s="39">
        <f t="shared" si="46"/>
        <v>18.900000000000002</v>
      </c>
    </row>
    <row r="77" spans="3:13" ht="15.75" customHeight="1">
      <c r="C77" s="67">
        <f t="shared" si="47"/>
        <v>3</v>
      </c>
      <c r="D77" s="39" t="s">
        <v>300</v>
      </c>
      <c r="E77" s="39">
        <f>0.94+1.1+1.1+1.19</f>
        <v>4.33</v>
      </c>
      <c r="F77" s="39">
        <v>5</v>
      </c>
      <c r="G77" s="39">
        <f t="shared" si="43"/>
        <v>21.65</v>
      </c>
      <c r="H77" s="39">
        <v>6.8</v>
      </c>
      <c r="I77" s="39">
        <v>2</v>
      </c>
      <c r="J77" s="39">
        <f t="shared" si="44"/>
        <v>10</v>
      </c>
      <c r="K77" s="39">
        <v>1.05</v>
      </c>
      <c r="L77" s="39">
        <f t="shared" si="45"/>
        <v>147.22</v>
      </c>
      <c r="M77" s="39">
        <f t="shared" si="46"/>
        <v>10.5</v>
      </c>
    </row>
    <row r="78" spans="3:13" ht="15.75" customHeight="1">
      <c r="C78" s="67">
        <f t="shared" si="47"/>
        <v>4</v>
      </c>
      <c r="D78" s="39" t="s">
        <v>301</v>
      </c>
      <c r="E78" s="39">
        <f>1.01+1.1+1.1+1.01</f>
        <v>4.2200000000000006</v>
      </c>
      <c r="F78" s="39">
        <v>2</v>
      </c>
      <c r="G78" s="39">
        <f t="shared" si="43"/>
        <v>8.4400000000000013</v>
      </c>
      <c r="H78" s="39">
        <v>6.8</v>
      </c>
      <c r="I78" s="39">
        <v>2</v>
      </c>
      <c r="J78" s="39">
        <f t="shared" si="44"/>
        <v>4</v>
      </c>
      <c r="K78" s="39">
        <v>1.05</v>
      </c>
      <c r="L78" s="39">
        <f t="shared" si="45"/>
        <v>57.39200000000001</v>
      </c>
      <c r="M78" s="39">
        <f t="shared" si="46"/>
        <v>4.2</v>
      </c>
    </row>
    <row r="79" spans="3:13" ht="15.75" customHeight="1">
      <c r="C79" s="69" t="s">
        <v>302</v>
      </c>
      <c r="D79" s="39"/>
      <c r="E79" s="39"/>
      <c r="F79" s="39"/>
      <c r="G79" s="39"/>
      <c r="H79" s="39"/>
      <c r="I79" s="39"/>
      <c r="J79" s="39"/>
      <c r="K79" s="39"/>
      <c r="L79" s="39"/>
      <c r="M79" s="39"/>
    </row>
    <row r="80" spans="3:13" ht="15.75" customHeight="1">
      <c r="C80" s="67"/>
      <c r="D80" s="46" t="s">
        <v>303</v>
      </c>
      <c r="E80" s="46">
        <f>0.9+1.1+1.1+0.95</f>
        <v>4.05</v>
      </c>
      <c r="F80" s="46">
        <v>1</v>
      </c>
      <c r="G80" s="39">
        <f t="shared" ref="G80:G81" si="48">E80*F80</f>
        <v>4.05</v>
      </c>
      <c r="H80" s="39">
        <v>6.8</v>
      </c>
      <c r="I80" s="39">
        <v>2</v>
      </c>
      <c r="J80" s="39">
        <f t="shared" ref="J80:J81" si="49">F80*I80</f>
        <v>2</v>
      </c>
      <c r="K80" s="39">
        <v>1.05</v>
      </c>
      <c r="L80" s="39">
        <f t="shared" ref="L80:L81" si="50">G80*H80</f>
        <v>27.54</v>
      </c>
      <c r="M80" s="39">
        <f t="shared" ref="M80:M81" si="51">J80*K80</f>
        <v>2.1</v>
      </c>
    </row>
    <row r="81" spans="3:13" ht="15.75" customHeight="1">
      <c r="C81" s="67"/>
      <c r="D81" s="46" t="s">
        <v>304</v>
      </c>
      <c r="E81" s="46">
        <f>1.33+1.1+1.1+1.33</f>
        <v>4.8600000000000003</v>
      </c>
      <c r="F81" s="46">
        <v>4</v>
      </c>
      <c r="G81" s="39">
        <f t="shared" si="48"/>
        <v>19.440000000000001</v>
      </c>
      <c r="H81" s="39">
        <v>6.8</v>
      </c>
      <c r="I81" s="39">
        <v>2</v>
      </c>
      <c r="J81" s="39">
        <f t="shared" si="49"/>
        <v>8</v>
      </c>
      <c r="K81" s="39">
        <v>1.05</v>
      </c>
      <c r="L81" s="39">
        <f t="shared" si="50"/>
        <v>132.19200000000001</v>
      </c>
      <c r="M81" s="39">
        <f t="shared" si="51"/>
        <v>8.4</v>
      </c>
    </row>
    <row r="82" spans="3:13" ht="15.75" customHeight="1">
      <c r="C82" s="67"/>
      <c r="D82" s="39"/>
      <c r="E82" s="39"/>
      <c r="F82" s="39"/>
      <c r="G82" s="39"/>
      <c r="H82" s="39"/>
      <c r="I82" s="39"/>
      <c r="J82" s="39"/>
      <c r="K82" s="39"/>
      <c r="L82" s="39"/>
      <c r="M82" s="39"/>
    </row>
    <row r="83" spans="3:13" ht="15.75" customHeight="1">
      <c r="C83" s="67"/>
      <c r="D83" s="39"/>
      <c r="E83" s="39"/>
      <c r="F83" s="39"/>
      <c r="G83" s="39"/>
      <c r="H83" s="39"/>
      <c r="I83" s="39"/>
      <c r="J83" s="39"/>
      <c r="K83" s="39"/>
      <c r="L83" s="39"/>
      <c r="M83" s="39"/>
    </row>
    <row r="84" spans="3:13" ht="15.75" customHeight="1">
      <c r="C84" s="69" t="s">
        <v>206</v>
      </c>
      <c r="D84" s="39"/>
      <c r="E84" s="39"/>
      <c r="F84" s="39"/>
      <c r="G84" s="39"/>
      <c r="H84" s="39"/>
      <c r="I84" s="39"/>
      <c r="J84" s="39"/>
      <c r="K84" s="39"/>
      <c r="L84" s="39"/>
      <c r="M84" s="39"/>
    </row>
    <row r="85" spans="3:13" ht="15.75" customHeight="1">
      <c r="C85" s="67" t="s">
        <v>305</v>
      </c>
      <c r="D85" s="39" t="s">
        <v>193</v>
      </c>
      <c r="E85" s="39">
        <f>1+1.3+1.3+1</f>
        <v>4.5999999999999996</v>
      </c>
      <c r="F85" s="39">
        <v>35</v>
      </c>
      <c r="G85" s="39">
        <f t="shared" ref="G85:G92" si="52">E85*F85</f>
        <v>161</v>
      </c>
      <c r="H85" s="39">
        <v>6.8</v>
      </c>
      <c r="I85" s="39">
        <v>2</v>
      </c>
      <c r="J85" s="39">
        <f t="shared" ref="J85:J92" si="53">F85*I85</f>
        <v>70</v>
      </c>
      <c r="K85" s="39">
        <v>1.05</v>
      </c>
      <c r="L85" s="39">
        <f t="shared" ref="L85:L92" si="54">G85*H85</f>
        <v>1094.8</v>
      </c>
      <c r="M85" s="39">
        <f t="shared" ref="M85:M92" si="55">J85*K85</f>
        <v>73.5</v>
      </c>
    </row>
    <row r="86" spans="3:13" ht="15.75" customHeight="1">
      <c r="C86" s="67" t="s">
        <v>305</v>
      </c>
      <c r="D86" s="39" t="s">
        <v>306</v>
      </c>
      <c r="E86" s="39">
        <f>0.5+1.3+1.3+0.5</f>
        <v>3.6</v>
      </c>
      <c r="F86" s="39">
        <v>6</v>
      </c>
      <c r="G86" s="39">
        <f t="shared" si="52"/>
        <v>21.6</v>
      </c>
      <c r="H86" s="39">
        <v>6.8</v>
      </c>
      <c r="I86" s="39">
        <v>2</v>
      </c>
      <c r="J86" s="39">
        <f t="shared" si="53"/>
        <v>12</v>
      </c>
      <c r="K86" s="39">
        <v>1.05</v>
      </c>
      <c r="L86" s="39">
        <f t="shared" si="54"/>
        <v>146.88</v>
      </c>
      <c r="M86" s="39">
        <f t="shared" si="55"/>
        <v>12.600000000000001</v>
      </c>
    </row>
    <row r="87" spans="3:13" ht="15.75" customHeight="1">
      <c r="C87" s="67" t="s">
        <v>307</v>
      </c>
      <c r="D87" s="39" t="s">
        <v>195</v>
      </c>
      <c r="E87" s="39">
        <f>1+1.3+1.3+1.3+1</f>
        <v>5.8999999999999995</v>
      </c>
      <c r="F87" s="39">
        <v>2</v>
      </c>
      <c r="G87" s="39">
        <f t="shared" si="52"/>
        <v>11.799999999999999</v>
      </c>
      <c r="H87" s="39">
        <v>6.8</v>
      </c>
      <c r="I87" s="39">
        <v>2</v>
      </c>
      <c r="J87" s="39">
        <f t="shared" si="53"/>
        <v>4</v>
      </c>
      <c r="K87" s="39">
        <v>1.05</v>
      </c>
      <c r="L87" s="39">
        <f t="shared" si="54"/>
        <v>80.239999999999995</v>
      </c>
      <c r="M87" s="39">
        <f t="shared" si="55"/>
        <v>4.2</v>
      </c>
    </row>
    <row r="88" spans="3:13" ht="15.75" customHeight="1">
      <c r="C88" s="67" t="s">
        <v>294</v>
      </c>
      <c r="D88" s="39" t="s">
        <v>308</v>
      </c>
      <c r="E88" s="39">
        <f>0.5+1.1+1.1+0.5</f>
        <v>3.2</v>
      </c>
      <c r="F88" s="39">
        <v>3</v>
      </c>
      <c r="G88" s="39">
        <f t="shared" si="52"/>
        <v>9.6000000000000014</v>
      </c>
      <c r="H88" s="39">
        <v>6.8</v>
      </c>
      <c r="I88" s="39">
        <v>2</v>
      </c>
      <c r="J88" s="39">
        <f t="shared" si="53"/>
        <v>6</v>
      </c>
      <c r="K88" s="39">
        <v>1.05</v>
      </c>
      <c r="L88" s="39">
        <f t="shared" si="54"/>
        <v>65.28</v>
      </c>
      <c r="M88" s="39">
        <f t="shared" si="55"/>
        <v>6.3000000000000007</v>
      </c>
    </row>
    <row r="89" spans="3:13" ht="15.75" customHeight="1">
      <c r="C89" s="67" t="s">
        <v>288</v>
      </c>
      <c r="D89" s="39" t="s">
        <v>178</v>
      </c>
      <c r="E89" s="39">
        <f>1+1.1+1.1+1</f>
        <v>4.2</v>
      </c>
      <c r="F89" s="39">
        <v>3</v>
      </c>
      <c r="G89" s="39">
        <f t="shared" si="52"/>
        <v>12.600000000000001</v>
      </c>
      <c r="H89" s="39">
        <v>6.8</v>
      </c>
      <c r="I89" s="39">
        <v>2</v>
      </c>
      <c r="J89" s="39">
        <f t="shared" si="53"/>
        <v>6</v>
      </c>
      <c r="K89" s="39">
        <v>1.05</v>
      </c>
      <c r="L89" s="39">
        <f t="shared" si="54"/>
        <v>85.68</v>
      </c>
      <c r="M89" s="39">
        <f t="shared" si="55"/>
        <v>6.3000000000000007</v>
      </c>
    </row>
    <row r="90" spans="3:13" ht="15.75" customHeight="1">
      <c r="C90" s="67" t="s">
        <v>294</v>
      </c>
      <c r="D90" s="39" t="s">
        <v>309</v>
      </c>
      <c r="E90" s="39">
        <f>0.65+1.1+1.1+0.65</f>
        <v>3.5</v>
      </c>
      <c r="F90" s="39">
        <v>2</v>
      </c>
      <c r="G90" s="39">
        <f t="shared" si="52"/>
        <v>7</v>
      </c>
      <c r="H90" s="39">
        <v>6.8</v>
      </c>
      <c r="I90" s="39">
        <v>2</v>
      </c>
      <c r="J90" s="39">
        <f t="shared" si="53"/>
        <v>4</v>
      </c>
      <c r="K90" s="39">
        <v>1.05</v>
      </c>
      <c r="L90" s="39">
        <f t="shared" si="54"/>
        <v>47.6</v>
      </c>
      <c r="M90" s="39">
        <f t="shared" si="55"/>
        <v>4.2</v>
      </c>
    </row>
    <row r="91" spans="3:13" ht="15.75" customHeight="1">
      <c r="C91" s="67" t="s">
        <v>259</v>
      </c>
      <c r="D91" s="39" t="s">
        <v>141</v>
      </c>
      <c r="E91" s="39">
        <f>1.37+1.3+1.3+1.37</f>
        <v>5.34</v>
      </c>
      <c r="F91" s="39">
        <v>3</v>
      </c>
      <c r="G91" s="39">
        <f t="shared" si="52"/>
        <v>16.02</v>
      </c>
      <c r="H91" s="39">
        <v>6.8</v>
      </c>
      <c r="I91" s="39">
        <v>2</v>
      </c>
      <c r="J91" s="39">
        <f t="shared" si="53"/>
        <v>6</v>
      </c>
      <c r="K91" s="39">
        <v>1.05</v>
      </c>
      <c r="L91" s="39">
        <f t="shared" si="54"/>
        <v>108.93599999999999</v>
      </c>
      <c r="M91" s="39">
        <f t="shared" si="55"/>
        <v>6.3000000000000007</v>
      </c>
    </row>
    <row r="92" spans="3:13" ht="15.75" customHeight="1">
      <c r="C92" s="67" t="s">
        <v>259</v>
      </c>
      <c r="D92" s="39" t="s">
        <v>142</v>
      </c>
      <c r="E92" s="39">
        <f>0.87+1.3+1.3+0.87</f>
        <v>4.34</v>
      </c>
      <c r="F92" s="39">
        <v>1</v>
      </c>
      <c r="G92" s="39">
        <f t="shared" si="52"/>
        <v>4.34</v>
      </c>
      <c r="H92" s="39">
        <v>6.8</v>
      </c>
      <c r="I92" s="39">
        <v>2</v>
      </c>
      <c r="J92" s="39">
        <f t="shared" si="53"/>
        <v>2</v>
      </c>
      <c r="K92" s="39">
        <v>1.05</v>
      </c>
      <c r="L92" s="39">
        <f t="shared" si="54"/>
        <v>29.511999999999997</v>
      </c>
      <c r="M92" s="39">
        <f t="shared" si="55"/>
        <v>2.1</v>
      </c>
    </row>
    <row r="93" spans="3:13" ht="15.75" customHeight="1">
      <c r="C93" s="39"/>
      <c r="D93" s="39"/>
      <c r="E93" s="39"/>
      <c r="F93" s="39"/>
      <c r="G93" s="39"/>
      <c r="H93" s="39"/>
      <c r="I93" s="39"/>
      <c r="J93" s="39"/>
      <c r="K93" s="39"/>
      <c r="L93" s="77">
        <f>SUM(L6:L92)</f>
        <v>13353.227999999999</v>
      </c>
      <c r="M93" s="77"/>
    </row>
    <row r="94" spans="3:13" ht="15.75" customHeight="1">
      <c r="C94" s="39"/>
      <c r="D94" s="39"/>
      <c r="E94" s="39"/>
      <c r="F94" s="39"/>
      <c r="G94" s="39"/>
      <c r="H94" s="39"/>
      <c r="I94" s="39"/>
      <c r="J94" s="39"/>
      <c r="K94" s="39"/>
      <c r="L94" s="39"/>
      <c r="M94" s="39"/>
    </row>
    <row r="95" spans="3:13" ht="15.75" customHeight="1">
      <c r="C95" s="222" t="s">
        <v>310</v>
      </c>
      <c r="D95" s="165"/>
      <c r="E95" s="39"/>
      <c r="F95" s="39"/>
      <c r="G95" s="39"/>
      <c r="H95" s="39"/>
      <c r="I95" s="39"/>
      <c r="J95" s="39"/>
      <c r="K95" s="39"/>
      <c r="L95" s="77">
        <f>L93+M93</f>
        <v>13353.227999999999</v>
      </c>
      <c r="M95" s="39"/>
    </row>
    <row r="96" spans="3:13" ht="15.75" customHeight="1">
      <c r="D96" s="237" t="s">
        <v>311</v>
      </c>
      <c r="E96" s="164"/>
      <c r="F96" s="164"/>
      <c r="G96" s="164"/>
      <c r="H96" s="164"/>
      <c r="I96" s="164"/>
      <c r="J96" s="164"/>
      <c r="K96" s="165"/>
      <c r="L96" s="44">
        <f>L95-6600</f>
        <v>6753.2279999999992</v>
      </c>
      <c r="M96" s="39"/>
    </row>
    <row r="97" spans="4:12" ht="15.75" customHeight="1">
      <c r="D97" s="237" t="s">
        <v>312</v>
      </c>
      <c r="E97" s="164"/>
      <c r="F97" s="164"/>
      <c r="G97" s="164"/>
      <c r="H97" s="164"/>
      <c r="I97" s="164"/>
      <c r="J97" s="164"/>
      <c r="K97" s="165"/>
      <c r="L97" s="39">
        <f>L95-12353.228</f>
        <v>1000</v>
      </c>
    </row>
    <row r="98" spans="4:12" ht="15.75" customHeight="1"/>
    <row r="99" spans="4:12" ht="15.75" customHeight="1"/>
    <row r="100" spans="4:12" ht="15.75" customHeight="1"/>
  </sheetData>
  <mergeCells count="5">
    <mergeCell ref="C2:M2"/>
    <mergeCell ref="C4:D4"/>
    <mergeCell ref="C95:D95"/>
    <mergeCell ref="D96:K96"/>
    <mergeCell ref="D97:K97"/>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dimension ref="A2:H100"/>
  <sheetViews>
    <sheetView workbookViewId="0"/>
  </sheetViews>
  <sheetFormatPr defaultColWidth="14.42578125" defaultRowHeight="15" customHeight="1"/>
  <cols>
    <col min="1" max="1" width="8.7109375" customWidth="1"/>
    <col min="2" max="2" width="38.42578125" customWidth="1"/>
    <col min="3" max="3" width="8.7109375" customWidth="1"/>
    <col min="4" max="4" width="38.42578125" customWidth="1"/>
    <col min="5" max="11" width="8.7109375" customWidth="1"/>
  </cols>
  <sheetData>
    <row r="2" spans="1:8" ht="15.75">
      <c r="B2" s="78" t="s">
        <v>313</v>
      </c>
    </row>
    <row r="3" spans="1:8">
      <c r="A3" s="39"/>
      <c r="B3" s="44" t="s">
        <v>314</v>
      </c>
      <c r="C3" s="44" t="s">
        <v>315</v>
      </c>
      <c r="D3" s="44" t="s">
        <v>316</v>
      </c>
      <c r="E3" s="39"/>
      <c r="F3" s="44" t="s">
        <v>317</v>
      </c>
      <c r="G3" s="39"/>
      <c r="H3" s="44" t="s">
        <v>116</v>
      </c>
    </row>
    <row r="4" spans="1:8">
      <c r="A4" s="39">
        <v>1</v>
      </c>
      <c r="B4" s="39" t="s">
        <v>318</v>
      </c>
      <c r="C4" s="39">
        <v>1200</v>
      </c>
      <c r="D4" s="39" t="s">
        <v>319</v>
      </c>
      <c r="E4" s="39">
        <f>31+9.7+15+15+17+10.8</f>
        <v>98.5</v>
      </c>
      <c r="F4" s="39">
        <v>3</v>
      </c>
      <c r="G4" s="39">
        <f t="shared" ref="G4:G11" si="0">E4*F4</f>
        <v>295.5</v>
      </c>
      <c r="H4" s="238">
        <f>G4+G5</f>
        <v>490.32</v>
      </c>
    </row>
    <row r="5" spans="1:8">
      <c r="A5" s="39">
        <v>2</v>
      </c>
      <c r="B5" s="39" t="s">
        <v>320</v>
      </c>
      <c r="C5" s="39">
        <v>1200</v>
      </c>
      <c r="D5" s="39" t="s">
        <v>321</v>
      </c>
      <c r="E5" s="39">
        <f>31+8.61+15+15+17+10.8</f>
        <v>97.41</v>
      </c>
      <c r="F5" s="39">
        <v>2</v>
      </c>
      <c r="G5" s="39">
        <f t="shared" si="0"/>
        <v>194.82</v>
      </c>
      <c r="H5" s="203"/>
    </row>
    <row r="6" spans="1:8">
      <c r="A6" s="39">
        <v>3</v>
      </c>
      <c r="B6" s="39" t="s">
        <v>322</v>
      </c>
      <c r="C6" s="39">
        <v>1000</v>
      </c>
      <c r="D6" s="39" t="s">
        <v>323</v>
      </c>
      <c r="E6" s="39">
        <f>5.6+23+11.4+13.7+16</f>
        <v>69.7</v>
      </c>
      <c r="F6" s="39">
        <v>1</v>
      </c>
      <c r="G6" s="39">
        <f t="shared" si="0"/>
        <v>69.7</v>
      </c>
      <c r="H6" s="238">
        <f>SUM(G6:G11)</f>
        <v>708.4</v>
      </c>
    </row>
    <row r="7" spans="1:8">
      <c r="A7" s="39">
        <v>4</v>
      </c>
      <c r="B7" s="39" t="s">
        <v>322</v>
      </c>
      <c r="C7" s="39">
        <v>1000</v>
      </c>
      <c r="D7" s="39" t="s">
        <v>324</v>
      </c>
      <c r="E7" s="39">
        <f>17.5+12+8</f>
        <v>37.5</v>
      </c>
      <c r="F7" s="39">
        <v>2</v>
      </c>
      <c r="G7" s="39">
        <f t="shared" si="0"/>
        <v>75</v>
      </c>
      <c r="H7" s="239"/>
    </row>
    <row r="8" spans="1:8">
      <c r="A8" s="39">
        <v>5</v>
      </c>
      <c r="B8" s="39" t="s">
        <v>325</v>
      </c>
      <c r="C8" s="39">
        <v>1000</v>
      </c>
      <c r="D8" s="39" t="s">
        <v>326</v>
      </c>
      <c r="E8" s="39">
        <f>5.8+18+23+12.5</f>
        <v>59.3</v>
      </c>
      <c r="F8" s="39">
        <v>3</v>
      </c>
      <c r="G8" s="39">
        <f t="shared" si="0"/>
        <v>177.89999999999998</v>
      </c>
      <c r="H8" s="239"/>
    </row>
    <row r="9" spans="1:8">
      <c r="A9" s="39">
        <v>6</v>
      </c>
      <c r="B9" s="39" t="s">
        <v>294</v>
      </c>
      <c r="C9" s="39">
        <v>1000</v>
      </c>
      <c r="D9" s="39" t="s">
        <v>327</v>
      </c>
      <c r="E9" s="39">
        <f>26.5+43.3+3.3</f>
        <v>73.099999999999994</v>
      </c>
      <c r="F9" s="39">
        <v>3</v>
      </c>
      <c r="G9" s="39">
        <f t="shared" si="0"/>
        <v>219.29999999999998</v>
      </c>
      <c r="H9" s="239"/>
    </row>
    <row r="10" spans="1:8">
      <c r="A10" s="39">
        <v>7</v>
      </c>
      <c r="B10" s="39" t="s">
        <v>328</v>
      </c>
      <c r="C10" s="39">
        <v>1000</v>
      </c>
      <c r="D10" s="39" t="s">
        <v>329</v>
      </c>
      <c r="E10" s="39">
        <f>15.3+16.5+29.1</f>
        <v>60.900000000000006</v>
      </c>
      <c r="F10" s="39">
        <v>1</v>
      </c>
      <c r="G10" s="39">
        <f t="shared" si="0"/>
        <v>60.900000000000006</v>
      </c>
      <c r="H10" s="239"/>
    </row>
    <row r="11" spans="1:8">
      <c r="A11" s="39">
        <v>8</v>
      </c>
      <c r="B11" s="39" t="s">
        <v>328</v>
      </c>
      <c r="C11" s="39">
        <v>1000</v>
      </c>
      <c r="D11" s="39" t="s">
        <v>330</v>
      </c>
      <c r="E11" s="39">
        <f>21.6+26.5+4.7</f>
        <v>52.800000000000004</v>
      </c>
      <c r="F11" s="39">
        <v>2</v>
      </c>
      <c r="G11" s="39">
        <f t="shared" si="0"/>
        <v>105.60000000000001</v>
      </c>
      <c r="H11" s="203"/>
    </row>
    <row r="12" spans="1:8">
      <c r="A12" s="39">
        <v>9</v>
      </c>
      <c r="B12" s="39"/>
      <c r="C12" s="39"/>
      <c r="D12" s="39"/>
      <c r="E12" s="39"/>
      <c r="F12" s="39"/>
      <c r="G12" s="39"/>
      <c r="H12" s="79"/>
    </row>
    <row r="13" spans="1:8">
      <c r="A13" s="39">
        <v>10</v>
      </c>
      <c r="B13" s="39" t="s">
        <v>331</v>
      </c>
      <c r="C13" s="39">
        <v>300</v>
      </c>
      <c r="D13" s="39" t="s">
        <v>332</v>
      </c>
      <c r="E13" s="39">
        <f>15.3+22+19.8+15.1+7.4+10.7+19+19.2+3.5+3.5+2.7+22+15+14.2+3.9+30</f>
        <v>223.29999999999998</v>
      </c>
      <c r="F13" s="39">
        <v>1</v>
      </c>
      <c r="G13" s="39">
        <f t="shared" ref="G13:G15" si="1">E13*F13</f>
        <v>223.29999999999998</v>
      </c>
      <c r="H13" s="79">
        <f t="shared" ref="H13:H15" si="2">G13</f>
        <v>223.29999999999998</v>
      </c>
    </row>
    <row r="14" spans="1:8">
      <c r="A14" s="39">
        <v>11</v>
      </c>
      <c r="B14" s="39" t="s">
        <v>331</v>
      </c>
      <c r="C14" s="39">
        <v>150</v>
      </c>
      <c r="D14" s="39">
        <v>16.399999999999999</v>
      </c>
      <c r="E14" s="39">
        <v>16.399999999999999</v>
      </c>
      <c r="F14" s="39">
        <v>1</v>
      </c>
      <c r="G14" s="39">
        <f t="shared" si="1"/>
        <v>16.399999999999999</v>
      </c>
      <c r="H14" s="79">
        <f t="shared" si="2"/>
        <v>16.399999999999999</v>
      </c>
    </row>
    <row r="15" spans="1:8">
      <c r="A15" s="39">
        <v>12</v>
      </c>
      <c r="B15" s="39" t="s">
        <v>333</v>
      </c>
      <c r="C15" s="39">
        <v>450</v>
      </c>
      <c r="D15" s="39" t="s">
        <v>334</v>
      </c>
      <c r="E15" s="39">
        <f>4.5+18.9+3.4+28+9.2+28+9.2+12+8.3+17.4+31.5+3.1+13+3+3+5.3+21.5+21+10.5+37.5+14.6+18.6</f>
        <v>321.50000000000006</v>
      </c>
      <c r="F15" s="39">
        <v>1</v>
      </c>
      <c r="G15" s="39">
        <f t="shared" si="1"/>
        <v>321.50000000000006</v>
      </c>
      <c r="H15" s="79">
        <f t="shared" si="2"/>
        <v>321.50000000000006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2">
    <mergeCell ref="H4:H5"/>
    <mergeCell ref="H6:H1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Tax Invoice</vt:lpstr>
      <vt:lpstr>RA 02</vt:lpstr>
      <vt:lpstr>RA-01</vt:lpstr>
      <vt:lpstr>HUME PIPE</vt:lpstr>
      <vt:lpstr>ms angle1</vt:lpstr>
      <vt:lpstr>ms angle</vt:lpstr>
      <vt:lpstr>tray</vt:lpstr>
      <vt:lpstr>MS ANGLE (2)</vt:lpstr>
      <vt:lpstr>TRAY (2)</vt:lpstr>
      <vt:lpstr>B-1.</vt:lpstr>
      <vt:lpstr>B3-T3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Jishnu</cp:lastModifiedBy>
  <cp:lastPrinted>2023-07-20T14:18:08Z</cp:lastPrinted>
  <dcterms:created xsi:type="dcterms:W3CDTF">2021-07-27T12:07:43Z</dcterms:created>
  <dcterms:modified xsi:type="dcterms:W3CDTF">2023-07-31T07:27:00Z</dcterms:modified>
</cp:coreProperties>
</file>