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omments4.xml" ContentType="application/vnd.openxmlformats-officedocument.spreadsheetml.comments+xml"/>
  <Override PartName="/xl/drawings/drawing3.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showInkAnnotation="0"/>
  <mc:AlternateContent xmlns:mc="http://schemas.openxmlformats.org/markup-compatibility/2006">
    <mc:Choice Requires="x15">
      <x15ac:absPath xmlns:x15ac="http://schemas.microsoft.com/office/spreadsheetml/2010/11/ac" url="H:\Technology Coverage\simplified model\"/>
    </mc:Choice>
  </mc:AlternateContent>
  <xr:revisionPtr revIDLastSave="0" documentId="13_ncr:1_{33144566-6B0B-488B-BC2E-1DFDEDFDD979}" xr6:coauthVersionLast="47" xr6:coauthVersionMax="47" xr10:uidLastSave="{00000000-0000-0000-0000-000000000000}"/>
  <bookViews>
    <workbookView xWindow="25080" yWindow="-120" windowWidth="25440" windowHeight="15390" firstSheet="1" activeTab="2" xr2:uid="{00000000-000D-0000-FFFF-FFFF00000000}"/>
  </bookViews>
  <sheets>
    <sheet name="__FDSCACHE__" sheetId="12" state="veryHidden" r:id="rId1"/>
    <sheet name="Inputs" sheetId="59" r:id="rId2"/>
    <sheet name="Model" sheetId="1" r:id="rId3"/>
    <sheet name="Notes" sheetId="19" state="hidden" r:id="rId4"/>
    <sheet name="Front Page" sheetId="18" state="hidden" r:id="rId5"/>
    <sheet name="Competition" sheetId="21" state="hidden" r:id="rId6"/>
    <sheet name="Charts" sheetId="14" state="hidden" r:id="rId7"/>
    <sheet name="Charts 2 " sheetId="20" state="hidden" r:id="rId8"/>
    <sheet name="Diluted Share count" sheetId="17" state="hidden" r:id="rId9"/>
    <sheet name="Post Results Workbook" sheetId="7" state="hidden" r:id="rId10"/>
    <sheet name="_CIQHiddenCacheSheet" sheetId="58" state="veryHidden" r:id="rId11"/>
    <sheet name="Tear Sheet" sheetId="9" state="hidden" r:id="rId12"/>
    <sheet name="Standardized FS" sheetId="11" state="hidden" r:id="rId13"/>
  </sheets>
  <definedNames>
    <definedName name="CIQWBGuid" hidden="1">"ce6a48bf-f4f6-45b5-9bef-70714efbec8e"</definedName>
    <definedName name="CIQWBInfo" hidden="1">"{ ""CIQVersion"":""9.50.2716.4594"" }"</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"12/10/2022 15:08:17"</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117" i="1" l="1"/>
  <c r="AH115" i="1"/>
  <c r="AI111" i="1"/>
  <c r="AH153" i="1"/>
  <c r="AI94" i="1"/>
  <c r="AJ94" i="1"/>
  <c r="AK94" i="1"/>
  <c r="AL94" i="1"/>
  <c r="AM94" i="1"/>
  <c r="AN94" i="1"/>
  <c r="AO94" i="1"/>
  <c r="AP94" i="1"/>
  <c r="AQ94" i="1"/>
  <c r="AR94" i="1"/>
  <c r="AS94" i="1"/>
  <c r="AT94" i="1"/>
  <c r="AH94" i="1"/>
  <c r="AG95" i="1"/>
  <c r="AH96" i="1"/>
  <c r="AH110" i="1"/>
  <c r="AH114" i="1" s="1"/>
  <c r="AH113" i="1"/>
  <c r="AG116" i="1"/>
  <c r="AH116" i="1"/>
  <c r="AI118" i="1"/>
  <c r="AJ118" i="1"/>
  <c r="AK118" i="1"/>
  <c r="AL118" i="1"/>
  <c r="AM118" i="1"/>
  <c r="AN118" i="1"/>
  <c r="AO118" i="1"/>
  <c r="AP118" i="1"/>
  <c r="AQ118" i="1"/>
  <c r="AR118" i="1"/>
  <c r="AS118" i="1"/>
  <c r="AT118" i="1"/>
  <c r="AH118" i="1"/>
  <c r="AI127" i="1"/>
  <c r="AJ127" i="1"/>
  <c r="AK127" i="1"/>
  <c r="AL127" i="1"/>
  <c r="AM127" i="1"/>
  <c r="AN127" i="1"/>
  <c r="AO127" i="1"/>
  <c r="AP127" i="1"/>
  <c r="AQ127" i="1"/>
  <c r="AR127" i="1"/>
  <c r="AS127" i="1"/>
  <c r="AT127" i="1"/>
  <c r="AI140" i="1"/>
  <c r="AJ140" i="1"/>
  <c r="AK140" i="1"/>
  <c r="AL140" i="1"/>
  <c r="AM140" i="1"/>
  <c r="AN140" i="1"/>
  <c r="AO140" i="1"/>
  <c r="AP140" i="1"/>
  <c r="AQ140" i="1"/>
  <c r="AR140" i="1"/>
  <c r="AS140" i="1"/>
  <c r="AT140" i="1"/>
  <c r="AH140" i="1"/>
  <c r="AI139" i="1"/>
  <c r="AJ139" i="1"/>
  <c r="AK139" i="1"/>
  <c r="AL139" i="1"/>
  <c r="AM139" i="1"/>
  <c r="AN139" i="1"/>
  <c r="AO139" i="1"/>
  <c r="AP139" i="1"/>
  <c r="AQ139" i="1"/>
  <c r="AR139" i="1"/>
  <c r="AS139" i="1"/>
  <c r="AT139" i="1"/>
  <c r="AH139" i="1"/>
  <c r="AI107" i="1"/>
  <c r="AJ107" i="1"/>
  <c r="AK107" i="1"/>
  <c r="AL107" i="1"/>
  <c r="AM107" i="1" s="1"/>
  <c r="AN107" i="1" s="1"/>
  <c r="AO107" i="1" s="1"/>
  <c r="AP107" i="1" s="1"/>
  <c r="AQ107" i="1" s="1"/>
  <c r="AR107" i="1" s="1"/>
  <c r="AS107" i="1" s="1"/>
  <c r="AT107" i="1" s="1"/>
  <c r="AH107" i="1"/>
  <c r="AI112" i="1"/>
  <c r="AJ112" i="1"/>
  <c r="AK112" i="1"/>
  <c r="AL112" i="1" s="1"/>
  <c r="AM112" i="1" s="1"/>
  <c r="AN112" i="1" s="1"/>
  <c r="AO112" i="1" s="1"/>
  <c r="AP112" i="1" s="1"/>
  <c r="AQ112" i="1" s="1"/>
  <c r="AR112" i="1" s="1"/>
  <c r="AS112" i="1" s="1"/>
  <c r="AT112" i="1" s="1"/>
  <c r="AH112" i="1"/>
  <c r="AG109" i="1"/>
  <c r="B20" i="59"/>
  <c r="AH109" i="1" s="1"/>
  <c r="AJ149" i="1"/>
  <c r="AK149" i="1"/>
  <c r="AL149" i="1" s="1"/>
  <c r="AM149" i="1" s="1"/>
  <c r="AN149" i="1" s="1"/>
  <c r="AO149" i="1" s="1"/>
  <c r="AP149" i="1" s="1"/>
  <c r="AQ149" i="1" s="1"/>
  <c r="AR149" i="1" s="1"/>
  <c r="AS149" i="1" s="1"/>
  <c r="AT149" i="1" s="1"/>
  <c r="AI149" i="1"/>
  <c r="AI148" i="1"/>
  <c r="AJ148" i="1"/>
  <c r="AK148" i="1"/>
  <c r="AL148" i="1"/>
  <c r="AM148" i="1"/>
  <c r="AN148" i="1"/>
  <c r="AO148" i="1"/>
  <c r="AP148" i="1"/>
  <c r="AQ148" i="1"/>
  <c r="AR148" i="1"/>
  <c r="AS148" i="1"/>
  <c r="AT148" i="1"/>
  <c r="AH148" i="1"/>
  <c r="AI147" i="1"/>
  <c r="AJ147" i="1"/>
  <c r="AK147" i="1"/>
  <c r="AL147" i="1"/>
  <c r="AM147" i="1"/>
  <c r="AN147" i="1"/>
  <c r="AO147" i="1"/>
  <c r="AP147" i="1"/>
  <c r="AQ147" i="1"/>
  <c r="AR147" i="1"/>
  <c r="AS147" i="1"/>
  <c r="AT147" i="1"/>
  <c r="AH147" i="1"/>
  <c r="AI146" i="1"/>
  <c r="AJ146" i="1"/>
  <c r="AK146" i="1"/>
  <c r="AL146" i="1"/>
  <c r="AM146" i="1"/>
  <c r="AN146" i="1"/>
  <c r="AO146" i="1"/>
  <c r="AP146" i="1"/>
  <c r="AQ146" i="1"/>
  <c r="AR146" i="1"/>
  <c r="AS146" i="1"/>
  <c r="AT146" i="1"/>
  <c r="AH146" i="1"/>
  <c r="AI145" i="1"/>
  <c r="AJ145" i="1"/>
  <c r="AK145" i="1"/>
  <c r="AL145" i="1"/>
  <c r="AM145" i="1"/>
  <c r="AN145" i="1"/>
  <c r="AO145" i="1"/>
  <c r="AP145" i="1"/>
  <c r="AQ145" i="1"/>
  <c r="AR145" i="1"/>
  <c r="AS145" i="1"/>
  <c r="AT145" i="1"/>
  <c r="AH145" i="1"/>
  <c r="AI144" i="1"/>
  <c r="AJ144" i="1"/>
  <c r="AK144" i="1"/>
  <c r="AL144" i="1"/>
  <c r="AM144" i="1"/>
  <c r="AN144" i="1"/>
  <c r="AO144" i="1"/>
  <c r="AP144" i="1"/>
  <c r="AQ144" i="1"/>
  <c r="AR144" i="1"/>
  <c r="AS144" i="1"/>
  <c r="AT144" i="1"/>
  <c r="AH144" i="1"/>
  <c r="AH103" i="1"/>
  <c r="B15" i="59"/>
  <c r="C15" i="59" s="1"/>
  <c r="D15" i="59" s="1"/>
  <c r="E15" i="59" s="1"/>
  <c r="F15" i="59" s="1"/>
  <c r="G15" i="59" s="1"/>
  <c r="H15" i="59" s="1"/>
  <c r="I15" i="59" s="1"/>
  <c r="J15" i="59" s="1"/>
  <c r="K15" i="59" s="1"/>
  <c r="L15" i="59" s="1"/>
  <c r="M15" i="59" s="1"/>
  <c r="N15" i="59" s="1"/>
  <c r="B14" i="59"/>
  <c r="C14" i="59" s="1"/>
  <c r="D14" i="59" s="1"/>
  <c r="E14" i="59" s="1"/>
  <c r="F14" i="59" s="1"/>
  <c r="G14" i="59" s="1"/>
  <c r="H14" i="59" s="1"/>
  <c r="I14" i="59" s="1"/>
  <c r="J14" i="59" s="1"/>
  <c r="K14" i="59" s="1"/>
  <c r="L14" i="59" s="1"/>
  <c r="M14" i="59" s="1"/>
  <c r="N14" i="59" s="1"/>
  <c r="B13" i="59"/>
  <c r="AI53" i="1"/>
  <c r="AJ53" i="1"/>
  <c r="AK53" i="1"/>
  <c r="AL53" i="1"/>
  <c r="AM53" i="1"/>
  <c r="AN53" i="1"/>
  <c r="AO53" i="1"/>
  <c r="AP53" i="1"/>
  <c r="AQ53" i="1"/>
  <c r="AR53" i="1"/>
  <c r="AS53" i="1"/>
  <c r="AT53" i="1"/>
  <c r="AH53" i="1"/>
  <c r="AH79" i="1"/>
  <c r="AH126" i="1"/>
  <c r="AF105" i="1"/>
  <c r="AE105" i="1"/>
  <c r="AG105" i="1"/>
  <c r="N104" i="1"/>
  <c r="O104" i="1"/>
  <c r="P104" i="1"/>
  <c r="Q104" i="1"/>
  <c r="R104" i="1"/>
  <c r="S104" i="1"/>
  <c r="T104" i="1"/>
  <c r="U104" i="1"/>
  <c r="V104" i="1"/>
  <c r="W104" i="1"/>
  <c r="X104" i="1"/>
  <c r="Y104" i="1"/>
  <c r="M104" i="1"/>
  <c r="P127" i="1"/>
  <c r="Q127" i="1"/>
  <c r="R127" i="1"/>
  <c r="S127" i="1"/>
  <c r="T127" i="1"/>
  <c r="U127" i="1"/>
  <c r="V127" i="1"/>
  <c r="W127" i="1"/>
  <c r="X127" i="1"/>
  <c r="Y127" i="1"/>
  <c r="O127" i="1"/>
  <c r="AI163" i="1"/>
  <c r="AJ163" i="1" s="1"/>
  <c r="AK163" i="1" s="1"/>
  <c r="AL163" i="1" s="1"/>
  <c r="AM163" i="1" s="1"/>
  <c r="AN163" i="1" s="1"/>
  <c r="AO163" i="1" s="1"/>
  <c r="AP163" i="1" s="1"/>
  <c r="AQ163" i="1" s="1"/>
  <c r="AR163" i="1" s="1"/>
  <c r="AS163" i="1" s="1"/>
  <c r="AT163" i="1" s="1"/>
  <c r="AE166" i="1"/>
  <c r="AE165" i="1"/>
  <c r="AE167" i="1" s="1"/>
  <c r="AD103" i="1"/>
  <c r="AD104" i="1" s="1"/>
  <c r="AH102" i="1"/>
  <c r="AI102" i="1" s="1"/>
  <c r="AJ102" i="1" s="1"/>
  <c r="AK102" i="1" s="1"/>
  <c r="AL102" i="1" s="1"/>
  <c r="AM102" i="1" s="1"/>
  <c r="AN102" i="1" s="1"/>
  <c r="AO102" i="1" s="1"/>
  <c r="AP102" i="1" s="1"/>
  <c r="AQ102" i="1" s="1"/>
  <c r="AR102" i="1" s="1"/>
  <c r="AS102" i="1" s="1"/>
  <c r="AT102" i="1" s="1"/>
  <c r="C16" i="59"/>
  <c r="D16" i="59" s="1"/>
  <c r="E16" i="59" s="1"/>
  <c r="F16" i="59" s="1"/>
  <c r="G16" i="59" s="1"/>
  <c r="H16" i="59" s="1"/>
  <c r="I16" i="59" s="1"/>
  <c r="J16" i="59" s="1"/>
  <c r="K16" i="59" s="1"/>
  <c r="L16" i="59" s="1"/>
  <c r="M16" i="59" s="1"/>
  <c r="N16" i="59" s="1"/>
  <c r="C11" i="59"/>
  <c r="AI63" i="1" s="1"/>
  <c r="AH63" i="1"/>
  <c r="AH62" i="1" s="1"/>
  <c r="AG63" i="1"/>
  <c r="AG61" i="1"/>
  <c r="B10" i="59" s="1"/>
  <c r="AG59" i="1"/>
  <c r="B9" i="59" s="1"/>
  <c r="AF62" i="1"/>
  <c r="AF60" i="1"/>
  <c r="AD137" i="1"/>
  <c r="AE137" i="1"/>
  <c r="AF137" i="1"/>
  <c r="AG137" i="1"/>
  <c r="AI136" i="1"/>
  <c r="AJ136" i="1"/>
  <c r="AK136" i="1"/>
  <c r="AL136" i="1"/>
  <c r="AM136" i="1"/>
  <c r="AN136" i="1"/>
  <c r="AO136" i="1"/>
  <c r="AP136" i="1"/>
  <c r="AQ136" i="1"/>
  <c r="AR136" i="1"/>
  <c r="AS136" i="1"/>
  <c r="AT136" i="1"/>
  <c r="AH136" i="1"/>
  <c r="AH135" i="1" s="1"/>
  <c r="AC137" i="1"/>
  <c r="AI134" i="1"/>
  <c r="AJ134" i="1"/>
  <c r="AK134" i="1"/>
  <c r="AL134" i="1"/>
  <c r="AM134" i="1"/>
  <c r="AN134" i="1"/>
  <c r="AO134" i="1"/>
  <c r="AP134" i="1"/>
  <c r="AQ134" i="1"/>
  <c r="AR134" i="1"/>
  <c r="AS134" i="1"/>
  <c r="AT134" i="1"/>
  <c r="AH134" i="1"/>
  <c r="AH133" i="1" s="1"/>
  <c r="AE134" i="1"/>
  <c r="AF134" i="1"/>
  <c r="AG134" i="1"/>
  <c r="AD134" i="1"/>
  <c r="AI52" i="1"/>
  <c r="AJ52" i="1"/>
  <c r="AK52" i="1"/>
  <c r="AL52" i="1"/>
  <c r="AM52" i="1"/>
  <c r="AN52" i="1"/>
  <c r="AO52" i="1"/>
  <c r="AP52" i="1"/>
  <c r="AQ52" i="1"/>
  <c r="AR52" i="1"/>
  <c r="AS52" i="1"/>
  <c r="AT52" i="1"/>
  <c r="AH52" i="1"/>
  <c r="C4" i="59"/>
  <c r="AI50" i="1" s="1"/>
  <c r="AH50" i="1"/>
  <c r="AI47" i="1"/>
  <c r="AJ47" i="1"/>
  <c r="AK47" i="1"/>
  <c r="AL47" i="1"/>
  <c r="AM47" i="1"/>
  <c r="AN47" i="1"/>
  <c r="AO47" i="1"/>
  <c r="AP47" i="1"/>
  <c r="AQ47" i="1"/>
  <c r="AR47" i="1"/>
  <c r="AS47" i="1"/>
  <c r="AT47" i="1"/>
  <c r="AH47" i="1"/>
  <c r="AI44" i="1"/>
  <c r="AJ44" i="1"/>
  <c r="AK44" i="1"/>
  <c r="AL44" i="1"/>
  <c r="AM44" i="1"/>
  <c r="AN44" i="1"/>
  <c r="AO44" i="1"/>
  <c r="AP44" i="1"/>
  <c r="AQ44" i="1"/>
  <c r="AR44" i="1"/>
  <c r="AS44" i="1"/>
  <c r="AT44" i="1"/>
  <c r="AH44" i="1"/>
  <c r="E111" i="14"/>
  <c r="E112" i="14" s="1"/>
  <c r="AI115" i="1" l="1"/>
  <c r="AJ115" i="1" s="1"/>
  <c r="AK115" i="1" s="1"/>
  <c r="AL115" i="1" s="1"/>
  <c r="AM115" i="1" s="1"/>
  <c r="AN115" i="1" s="1"/>
  <c r="AO115" i="1" s="1"/>
  <c r="AP115" i="1" s="1"/>
  <c r="AQ115" i="1" s="1"/>
  <c r="AR115" i="1" s="1"/>
  <c r="AS115" i="1" s="1"/>
  <c r="AT115" i="1" s="1"/>
  <c r="AJ111" i="1"/>
  <c r="AK111" i="1" s="1"/>
  <c r="AL111" i="1" s="1"/>
  <c r="AM111" i="1" s="1"/>
  <c r="AN111" i="1" s="1"/>
  <c r="AO111" i="1" s="1"/>
  <c r="AP111" i="1" s="1"/>
  <c r="AQ111" i="1" s="1"/>
  <c r="AR111" i="1" s="1"/>
  <c r="AS111" i="1" s="1"/>
  <c r="AT111" i="1" s="1"/>
  <c r="AH119" i="1"/>
  <c r="AH120" i="1"/>
  <c r="AL150" i="1"/>
  <c r="AK150" i="1"/>
  <c r="AM150" i="1"/>
  <c r="AJ150" i="1"/>
  <c r="AH111" i="1"/>
  <c r="AI150" i="1"/>
  <c r="AH150" i="1"/>
  <c r="AE103" i="1"/>
  <c r="AE104" i="1" s="1"/>
  <c r="AH59" i="1"/>
  <c r="AH58" i="1" s="1"/>
  <c r="C9" i="59"/>
  <c r="AI59" i="1" s="1"/>
  <c r="AH61" i="1"/>
  <c r="AH60" i="1" s="1"/>
  <c r="AH100" i="1" s="1"/>
  <c r="C10" i="59"/>
  <c r="AH101" i="1"/>
  <c r="AI62" i="1" s="1"/>
  <c r="D11" i="59"/>
  <c r="AG138" i="1"/>
  <c r="AE138" i="1"/>
  <c r="AI133" i="1"/>
  <c r="AJ133" i="1" s="1"/>
  <c r="AK133" i="1" s="1"/>
  <c r="AL133" i="1" s="1"/>
  <c r="AM133" i="1" s="1"/>
  <c r="AN133" i="1" s="1"/>
  <c r="AO133" i="1" s="1"/>
  <c r="AP133" i="1" s="1"/>
  <c r="AQ133" i="1" s="1"/>
  <c r="AR133" i="1" s="1"/>
  <c r="AS133" i="1" s="1"/>
  <c r="AT133" i="1" s="1"/>
  <c r="AD138" i="1"/>
  <c r="AF138" i="1"/>
  <c r="D4" i="59"/>
  <c r="AI135" i="1"/>
  <c r="AJ135" i="1" s="1"/>
  <c r="AK135" i="1" s="1"/>
  <c r="AL135" i="1" s="1"/>
  <c r="AM135" i="1" s="1"/>
  <c r="AN135" i="1" s="1"/>
  <c r="AO135" i="1" s="1"/>
  <c r="AP135" i="1" s="1"/>
  <c r="AQ135" i="1" s="1"/>
  <c r="AR135" i="1" s="1"/>
  <c r="AS135" i="1" s="1"/>
  <c r="AT135" i="1" s="1"/>
  <c r="AH137" i="1"/>
  <c r="AH142" i="1" s="1"/>
  <c r="AH99" i="1" l="1"/>
  <c r="AH127" i="1"/>
  <c r="AI58" i="1"/>
  <c r="AI101" i="1"/>
  <c r="D9" i="59"/>
  <c r="E9" i="59" s="1"/>
  <c r="AK59" i="1" s="1"/>
  <c r="AI61" i="1"/>
  <c r="AI60" i="1" s="1"/>
  <c r="AI100" i="1" s="1"/>
  <c r="D10" i="59"/>
  <c r="AJ63" i="1"/>
  <c r="E11" i="59"/>
  <c r="AI137" i="1"/>
  <c r="AI142" i="1" s="1"/>
  <c r="AT137" i="1"/>
  <c r="AT142" i="1" s="1"/>
  <c r="AO137" i="1"/>
  <c r="AO142" i="1" s="1"/>
  <c r="AJ50" i="1"/>
  <c r="E4" i="59"/>
  <c r="AQ137" i="1"/>
  <c r="AQ142" i="1" s="1"/>
  <c r="AK137" i="1"/>
  <c r="AK142" i="1" s="1"/>
  <c r="AM137" i="1"/>
  <c r="AM142" i="1" s="1"/>
  <c r="AJ137" i="1"/>
  <c r="AJ142" i="1" s="1"/>
  <c r="AN137" i="1"/>
  <c r="AN142" i="1" s="1"/>
  <c r="AP137" i="1"/>
  <c r="AP142" i="1" s="1"/>
  <c r="AL137" i="1"/>
  <c r="AL142" i="1" s="1"/>
  <c r="AS137" i="1"/>
  <c r="AS142" i="1" s="1"/>
  <c r="AR137" i="1"/>
  <c r="AR142" i="1" s="1"/>
  <c r="AI99" i="1" l="1"/>
  <c r="AJ62" i="1"/>
  <c r="AJ101" i="1" s="1"/>
  <c r="AJ59" i="1"/>
  <c r="F9" i="59"/>
  <c r="AL59" i="1" s="1"/>
  <c r="E10" i="59"/>
  <c r="AJ61" i="1"/>
  <c r="AJ60" i="1" s="1"/>
  <c r="AJ100" i="1" s="1"/>
  <c r="AK63" i="1"/>
  <c r="F11" i="59"/>
  <c r="AK50" i="1"/>
  <c r="F4" i="59"/>
  <c r="AJ58" i="1" l="1"/>
  <c r="AK62" i="1"/>
  <c r="AK101" i="1" s="1"/>
  <c r="G9" i="59"/>
  <c r="H9" i="59" s="1"/>
  <c r="AN59" i="1" s="1"/>
  <c r="F10" i="59"/>
  <c r="AK61" i="1"/>
  <c r="AK60" i="1" s="1"/>
  <c r="AK100" i="1" s="1"/>
  <c r="G11" i="59"/>
  <c r="AL63" i="1"/>
  <c r="AL50" i="1"/>
  <c r="G4" i="59"/>
  <c r="AJ99" i="1" l="1"/>
  <c r="AK58" i="1" s="1"/>
  <c r="AL62" i="1"/>
  <c r="AL101" i="1" s="1"/>
  <c r="I9" i="59"/>
  <c r="AO59" i="1" s="1"/>
  <c r="AM59" i="1"/>
  <c r="G10" i="59"/>
  <c r="AL61" i="1"/>
  <c r="AL60" i="1" s="1"/>
  <c r="AL100" i="1" s="1"/>
  <c r="H11" i="59"/>
  <c r="AM63" i="1"/>
  <c r="H4" i="59"/>
  <c r="AM50" i="1"/>
  <c r="AK99" i="1" l="1"/>
  <c r="AL58" i="1" s="1"/>
  <c r="AM62" i="1"/>
  <c r="AM101" i="1" s="1"/>
  <c r="J9" i="59"/>
  <c r="K9" i="59" s="1"/>
  <c r="H10" i="59"/>
  <c r="AM61" i="1"/>
  <c r="AM60" i="1" s="1"/>
  <c r="AM100" i="1" s="1"/>
  <c r="I11" i="59"/>
  <c r="AN63" i="1"/>
  <c r="AN50" i="1"/>
  <c r="I4" i="59"/>
  <c r="AN62" i="1" l="1"/>
  <c r="AN101" i="1" s="1"/>
  <c r="AL99" i="1"/>
  <c r="AM58" i="1" s="1"/>
  <c r="AP59" i="1"/>
  <c r="I10" i="59"/>
  <c r="AN61" i="1"/>
  <c r="AN60" i="1" s="1"/>
  <c r="AN100" i="1" s="1"/>
  <c r="J11" i="59"/>
  <c r="AO63" i="1"/>
  <c r="AO62" i="1" s="1"/>
  <c r="AO101" i="1" s="1"/>
  <c r="L9" i="59"/>
  <c r="AQ59" i="1"/>
  <c r="AO50" i="1"/>
  <c r="J4" i="59"/>
  <c r="AM99" i="1" l="1"/>
  <c r="AN58" i="1" s="1"/>
  <c r="J10" i="59"/>
  <c r="AO61" i="1"/>
  <c r="AO60" i="1" s="1"/>
  <c r="AO100" i="1" s="1"/>
  <c r="K11" i="59"/>
  <c r="AP63" i="1"/>
  <c r="AP62" i="1" s="1"/>
  <c r="AP101" i="1" s="1"/>
  <c r="M9" i="59"/>
  <c r="AR59" i="1"/>
  <c r="AP50" i="1"/>
  <c r="K4" i="59"/>
  <c r="AN99" i="1" l="1"/>
  <c r="AO58" i="1" s="1"/>
  <c r="K10" i="59"/>
  <c r="AP61" i="1"/>
  <c r="AP60" i="1" s="1"/>
  <c r="AP100" i="1" s="1"/>
  <c r="L11" i="59"/>
  <c r="AQ63" i="1"/>
  <c r="AQ62" i="1" s="1"/>
  <c r="AQ101" i="1" s="1"/>
  <c r="N9" i="59"/>
  <c r="AT59" i="1" s="1"/>
  <c r="AS59" i="1"/>
  <c r="AQ50" i="1"/>
  <c r="L4" i="59"/>
  <c r="AO99" i="1" l="1"/>
  <c r="AP58" i="1" s="1"/>
  <c r="L10" i="59"/>
  <c r="AQ61" i="1"/>
  <c r="AQ60" i="1" s="1"/>
  <c r="AQ100" i="1" s="1"/>
  <c r="M11" i="59"/>
  <c r="AR63" i="1"/>
  <c r="AR62" i="1" s="1"/>
  <c r="AR101" i="1" s="1"/>
  <c r="M4" i="59"/>
  <c r="AR50" i="1"/>
  <c r="W6" i="1"/>
  <c r="X6" i="1"/>
  <c r="D9" i="21"/>
  <c r="C10" i="21"/>
  <c r="D10" i="21"/>
  <c r="C11" i="21"/>
  <c r="D11" i="21"/>
  <c r="C7" i="21"/>
  <c r="D7" i="21"/>
  <c r="C8" i="21"/>
  <c r="D8" i="21"/>
  <c r="C9" i="21"/>
  <c r="D4" i="21"/>
  <c r="C5" i="21"/>
  <c r="D5" i="21"/>
  <c r="C6" i="21"/>
  <c r="D6" i="21"/>
  <c r="C2" i="21"/>
  <c r="D2" i="21"/>
  <c r="C3" i="21"/>
  <c r="D3" i="21"/>
  <c r="C5" i="11"/>
  <c r="C23" i="11" s="1"/>
  <c r="C53" i="11" s="1"/>
  <c r="E5" i="11"/>
  <c r="E23" i="11" s="1"/>
  <c r="E53" i="11" s="1"/>
  <c r="B44" i="11"/>
  <c r="B45" i="11"/>
  <c r="D61" i="11"/>
  <c r="H64" i="11"/>
  <c r="I64" i="11"/>
  <c r="J64" i="11"/>
  <c r="K64" i="11"/>
  <c r="L64" i="11"/>
  <c r="M64" i="11"/>
  <c r="N64" i="11"/>
  <c r="O64" i="11"/>
  <c r="P64" i="11"/>
  <c r="Q64" i="11"/>
  <c r="R64" i="11"/>
  <c r="S64" i="11"/>
  <c r="H66" i="11"/>
  <c r="I66" i="11"/>
  <c r="J66" i="11"/>
  <c r="K66" i="11"/>
  <c r="L66" i="11"/>
  <c r="M66" i="11"/>
  <c r="N66" i="11"/>
  <c r="O66" i="11"/>
  <c r="P66" i="11"/>
  <c r="Q66" i="11"/>
  <c r="R66" i="11"/>
  <c r="S66" i="11"/>
  <c r="C67" i="11"/>
  <c r="C72" i="11"/>
  <c r="D72" i="11"/>
  <c r="C75" i="11"/>
  <c r="D15" i="9"/>
  <c r="D26" i="9" s="1"/>
  <c r="G23" i="17"/>
  <c r="B24" i="17"/>
  <c r="B38" i="17"/>
  <c r="G39" i="17"/>
  <c r="B41" i="17"/>
  <c r="B42" i="17"/>
  <c r="D3" i="14"/>
  <c r="F3" i="14"/>
  <c r="B6" i="14"/>
  <c r="B7" i="14"/>
  <c r="B9" i="14" s="1"/>
  <c r="B13" i="14"/>
  <c r="C13" i="14"/>
  <c r="D13" i="14"/>
  <c r="E13" i="14"/>
  <c r="A14" i="14"/>
  <c r="A15" i="14"/>
  <c r="A24" i="14"/>
  <c r="A29" i="14" s="1"/>
  <c r="B24" i="14"/>
  <c r="B25" i="14"/>
  <c r="A25" i="14"/>
  <c r="A30" i="14" s="1"/>
  <c r="B52" i="14"/>
  <c r="C52" i="14"/>
  <c r="D52" i="14"/>
  <c r="E52" i="14"/>
  <c r="F52" i="14"/>
  <c r="G52" i="14"/>
  <c r="H52" i="14"/>
  <c r="O56" i="14"/>
  <c r="O55" i="14" s="1"/>
  <c r="B104" i="14"/>
  <c r="C104" i="14"/>
  <c r="C106" i="14"/>
  <c r="A133" i="14"/>
  <c r="B133" i="14" s="1"/>
  <c r="B134" i="14"/>
  <c r="B135" i="14"/>
  <c r="B136" i="14"/>
  <c r="B137" i="14"/>
  <c r="B138" i="14"/>
  <c r="B139" i="14"/>
  <c r="B140" i="14"/>
  <c r="B141" i="14"/>
  <c r="B142" i="14"/>
  <c r="B151" i="14"/>
  <c r="E2" i="21"/>
  <c r="E3" i="21"/>
  <c r="E5" i="21"/>
  <c r="E6" i="21"/>
  <c r="E7" i="21"/>
  <c r="E8" i="21"/>
  <c r="E9" i="21"/>
  <c r="E10" i="21"/>
  <c r="E11" i="21"/>
  <c r="B3" i="18"/>
  <c r="B9" i="18"/>
  <c r="B11" i="18"/>
  <c r="B13" i="18"/>
  <c r="AG1" i="1"/>
  <c r="F13" i="14" s="1"/>
  <c r="Y4" i="1"/>
  <c r="Y8" i="1" s="1"/>
  <c r="Y9" i="1" s="1"/>
  <c r="AE4" i="1"/>
  <c r="AF4" i="1"/>
  <c r="AG4" i="1"/>
  <c r="R5" i="1"/>
  <c r="S5" i="1"/>
  <c r="T5" i="1"/>
  <c r="U5" i="1"/>
  <c r="V5" i="1"/>
  <c r="J8" i="1"/>
  <c r="K8" i="1"/>
  <c r="O8" i="1"/>
  <c r="N8" i="1" s="1"/>
  <c r="P6" i="1"/>
  <c r="B103" i="14" s="1"/>
  <c r="Q8" i="1"/>
  <c r="Q6" i="1" s="1"/>
  <c r="R8" i="1"/>
  <c r="R11" i="1" s="1"/>
  <c r="S8" i="1"/>
  <c r="S6" i="1" s="1"/>
  <c r="T8" i="1"/>
  <c r="T29" i="1" s="1"/>
  <c r="U8" i="1"/>
  <c r="V8" i="1"/>
  <c r="V6" i="1" s="1"/>
  <c r="AD6" i="1"/>
  <c r="AJ7" i="1"/>
  <c r="AK7" i="1" s="1"/>
  <c r="AL7" i="1" s="1"/>
  <c r="AM7" i="1" s="1"/>
  <c r="AN7" i="1" s="1"/>
  <c r="AO7" i="1" s="1"/>
  <c r="AP7" i="1" s="1"/>
  <c r="AQ7" i="1" s="1"/>
  <c r="AR7" i="1" s="1"/>
  <c r="AS7" i="1" s="1"/>
  <c r="AT7" i="1" s="1"/>
  <c r="AC8" i="1"/>
  <c r="B14" i="14" s="1"/>
  <c r="AD8" i="1"/>
  <c r="C14" i="14" s="1"/>
  <c r="X9" i="1"/>
  <c r="K10" i="1"/>
  <c r="J10" i="1" s="1"/>
  <c r="L10" i="1"/>
  <c r="O10" i="1"/>
  <c r="N10" i="1" s="1"/>
  <c r="P10" i="1"/>
  <c r="P11" i="1" s="1"/>
  <c r="P12" i="1" s="1"/>
  <c r="Q10" i="1"/>
  <c r="S10" i="1"/>
  <c r="T10" i="1"/>
  <c r="U10" i="1"/>
  <c r="V10" i="1"/>
  <c r="X11" i="1"/>
  <c r="X12" i="1" s="1"/>
  <c r="Y12" i="1" s="1"/>
  <c r="AC10" i="1"/>
  <c r="AD10" i="1"/>
  <c r="AE10" i="1"/>
  <c r="W11" i="1"/>
  <c r="W12" i="1" s="1"/>
  <c r="H14" i="1"/>
  <c r="I14" i="1"/>
  <c r="J14" i="1"/>
  <c r="J33" i="1" s="1"/>
  <c r="J37" i="1" s="1"/>
  <c r="K14" i="1"/>
  <c r="K33" i="1" s="1"/>
  <c r="K37" i="1" s="1"/>
  <c r="L14" i="1"/>
  <c r="L33" i="1" s="1"/>
  <c r="L37" i="1" s="1"/>
  <c r="M14" i="1"/>
  <c r="M33" i="1" s="1"/>
  <c r="M37" i="1" s="1"/>
  <c r="N14" i="1"/>
  <c r="N33" i="1" s="1"/>
  <c r="N37" i="1" s="1"/>
  <c r="O14" i="1"/>
  <c r="O33" i="1" s="1"/>
  <c r="O37" i="1" s="1"/>
  <c r="P14" i="1"/>
  <c r="P33" i="1" s="1"/>
  <c r="P37" i="1" s="1"/>
  <c r="Q14" i="1"/>
  <c r="Q33" i="1" s="1"/>
  <c r="Q37" i="1" s="1"/>
  <c r="R14" i="1"/>
  <c r="R33" i="1" s="1"/>
  <c r="R37" i="1" s="1"/>
  <c r="S14" i="1"/>
  <c r="S33" i="1" s="1"/>
  <c r="S37" i="1" s="1"/>
  <c r="T14" i="1"/>
  <c r="T33" i="1" s="1"/>
  <c r="T37" i="1" s="1"/>
  <c r="U14" i="1"/>
  <c r="U33" i="1" s="1"/>
  <c r="U37" i="1" s="1"/>
  <c r="V14" i="1"/>
  <c r="V33" i="1" s="1"/>
  <c r="V37" i="1" s="1"/>
  <c r="W14" i="1"/>
  <c r="W33" i="1" s="1"/>
  <c r="W37" i="1" s="1"/>
  <c r="X14" i="1"/>
  <c r="X33" i="1" s="1"/>
  <c r="X37" i="1" s="1"/>
  <c r="Y14" i="1"/>
  <c r="Y33" i="1" s="1"/>
  <c r="Y37" i="1" s="1"/>
  <c r="AC14" i="1"/>
  <c r="AD14" i="1"/>
  <c r="AD33" i="1" s="1"/>
  <c r="AD37" i="1" s="1"/>
  <c r="AE14" i="1"/>
  <c r="AE33" i="1" s="1"/>
  <c r="AE37" i="1" s="1"/>
  <c r="AF14" i="1"/>
  <c r="AF33" i="1" s="1"/>
  <c r="AF37" i="1" s="1"/>
  <c r="Q16" i="1"/>
  <c r="AF16" i="1" s="1"/>
  <c r="R16" i="1"/>
  <c r="R18" i="1" s="1"/>
  <c r="S16" i="1"/>
  <c r="S18" i="1" s="1"/>
  <c r="T16" i="1"/>
  <c r="T18" i="1" s="1"/>
  <c r="U16" i="1"/>
  <c r="U18" i="1" s="1"/>
  <c r="V16" i="1"/>
  <c r="W16" i="1"/>
  <c r="W18" i="1" s="1"/>
  <c r="X16" i="1"/>
  <c r="X18" i="1" s="1"/>
  <c r="Y16" i="1"/>
  <c r="O18" i="1"/>
  <c r="P18" i="1" s="1"/>
  <c r="Q19" i="1"/>
  <c r="R19" i="1" s="1"/>
  <c r="S19" i="1" s="1"/>
  <c r="T19" i="1" s="1"/>
  <c r="U19" i="1" s="1"/>
  <c r="V19" i="1" s="1"/>
  <c r="W19" i="1" s="1"/>
  <c r="X19" i="1" s="1"/>
  <c r="Y19" i="1" s="1"/>
  <c r="K22" i="1"/>
  <c r="J22" i="1" s="1"/>
  <c r="L22" i="1"/>
  <c r="O22" i="1"/>
  <c r="N22" i="1" s="1"/>
  <c r="P22" i="1"/>
  <c r="S22" i="1"/>
  <c r="U22" i="1"/>
  <c r="U23" i="1" s="1"/>
  <c r="V22" i="1"/>
  <c r="Y22" i="1"/>
  <c r="Y23" i="1" s="1"/>
  <c r="Q21" i="1"/>
  <c r="Q22" i="1"/>
  <c r="AC22" i="1"/>
  <c r="AD22" i="1"/>
  <c r="X23" i="1"/>
  <c r="K24" i="1"/>
  <c r="J24" i="1" s="1"/>
  <c r="L24" i="1"/>
  <c r="O24" i="1"/>
  <c r="N24" i="1" s="1"/>
  <c r="Q24" i="1"/>
  <c r="S24" i="1"/>
  <c r="T24" i="1"/>
  <c r="T25" i="1" s="1"/>
  <c r="U24" i="1"/>
  <c r="V24" i="1"/>
  <c r="W24" i="1"/>
  <c r="W25" i="1" s="1"/>
  <c r="W26" i="1" s="1"/>
  <c r="X25" i="1"/>
  <c r="AC24" i="1"/>
  <c r="AD24" i="1"/>
  <c r="R25" i="1"/>
  <c r="R26" i="1" s="1"/>
  <c r="X29" i="1"/>
  <c r="X34" i="1" s="1"/>
  <c r="X35" i="1" s="1"/>
  <c r="A34" i="1"/>
  <c r="W34" i="1"/>
  <c r="W35" i="1" s="1"/>
  <c r="A35" i="1"/>
  <c r="Z37" i="1"/>
  <c r="AA37" i="1"/>
  <c r="AB37" i="1"/>
  <c r="AC37" i="1"/>
  <c r="J38" i="1"/>
  <c r="N38" i="1"/>
  <c r="R40" i="1"/>
  <c r="H42" i="1"/>
  <c r="I42" i="1"/>
  <c r="J42" i="1"/>
  <c r="J90" i="1" s="1"/>
  <c r="J125" i="1" s="1"/>
  <c r="J156" i="1" s="1"/>
  <c r="J164" i="1" s="1"/>
  <c r="K42" i="1"/>
  <c r="K90" i="1" s="1"/>
  <c r="K125" i="1" s="1"/>
  <c r="K156" i="1" s="1"/>
  <c r="K164" i="1" s="1"/>
  <c r="L42" i="1"/>
  <c r="L90" i="1" s="1"/>
  <c r="L125" i="1" s="1"/>
  <c r="L156" i="1" s="1"/>
  <c r="L164" i="1" s="1"/>
  <c r="M42" i="1"/>
  <c r="M90" i="1" s="1"/>
  <c r="M125" i="1" s="1"/>
  <c r="M156" i="1" s="1"/>
  <c r="M164" i="1" s="1"/>
  <c r="N42" i="1"/>
  <c r="N90" i="1" s="1"/>
  <c r="N125" i="1" s="1"/>
  <c r="N156" i="1" s="1"/>
  <c r="N164" i="1" s="1"/>
  <c r="O42" i="1"/>
  <c r="O90" i="1" s="1"/>
  <c r="O125" i="1" s="1"/>
  <c r="O156" i="1" s="1"/>
  <c r="O164" i="1" s="1"/>
  <c r="P42" i="1"/>
  <c r="P90" i="1" s="1"/>
  <c r="P125" i="1" s="1"/>
  <c r="P156" i="1" s="1"/>
  <c r="P164" i="1" s="1"/>
  <c r="Q42" i="1"/>
  <c r="Q90" i="1" s="1"/>
  <c r="Q125" i="1" s="1"/>
  <c r="Q156" i="1" s="1"/>
  <c r="Q164" i="1" s="1"/>
  <c r="R42" i="1"/>
  <c r="R90" i="1" s="1"/>
  <c r="R125" i="1" s="1"/>
  <c r="R156" i="1" s="1"/>
  <c r="R164" i="1" s="1"/>
  <c r="S42" i="1"/>
  <c r="S90" i="1" s="1"/>
  <c r="S125" i="1" s="1"/>
  <c r="S156" i="1" s="1"/>
  <c r="S164" i="1" s="1"/>
  <c r="T42" i="1"/>
  <c r="T90" i="1" s="1"/>
  <c r="T125" i="1" s="1"/>
  <c r="T156" i="1" s="1"/>
  <c r="T164" i="1" s="1"/>
  <c r="U42" i="1"/>
  <c r="U90" i="1" s="1"/>
  <c r="U125" i="1" s="1"/>
  <c r="U156" i="1" s="1"/>
  <c r="U164" i="1" s="1"/>
  <c r="V42" i="1"/>
  <c r="V90" i="1" s="1"/>
  <c r="V125" i="1" s="1"/>
  <c r="V156" i="1" s="1"/>
  <c r="V164" i="1" s="1"/>
  <c r="W42" i="1"/>
  <c r="W90" i="1" s="1"/>
  <c r="W125" i="1" s="1"/>
  <c r="W156" i="1" s="1"/>
  <c r="W164" i="1" s="1"/>
  <c r="X42" i="1"/>
  <c r="X90" i="1" s="1"/>
  <c r="X125" i="1" s="1"/>
  <c r="X156" i="1" s="1"/>
  <c r="X164" i="1" s="1"/>
  <c r="Y42" i="1"/>
  <c r="Y90" i="1" s="1"/>
  <c r="Y125" i="1" s="1"/>
  <c r="Y156" i="1" s="1"/>
  <c r="Y164" i="1" s="1"/>
  <c r="AC42" i="1"/>
  <c r="AC90" i="1" s="1"/>
  <c r="AD42" i="1"/>
  <c r="AD90" i="1" s="1"/>
  <c r="AE42" i="1"/>
  <c r="AE90" i="1" s="1"/>
  <c r="AE125" i="1" s="1"/>
  <c r="AE156" i="1" s="1"/>
  <c r="AE164" i="1" s="1"/>
  <c r="AF42" i="1"/>
  <c r="C222" i="14" s="1"/>
  <c r="N93" i="1"/>
  <c r="O93" i="1"/>
  <c r="V92" i="1"/>
  <c r="Q53" i="1"/>
  <c r="Q128" i="1" s="1"/>
  <c r="T51" i="1"/>
  <c r="X51" i="1"/>
  <c r="AE52" i="1"/>
  <c r="R53" i="1"/>
  <c r="S53" i="1"/>
  <c r="S128" i="1" s="1"/>
  <c r="T53" i="1"/>
  <c r="T128" i="1" s="1"/>
  <c r="U53" i="1"/>
  <c r="U128" i="1" s="1"/>
  <c r="V53" i="1"/>
  <c r="V128" i="1" s="1"/>
  <c r="W53" i="1"/>
  <c r="W128" i="1" s="1"/>
  <c r="X53" i="1"/>
  <c r="X128" i="1" s="1"/>
  <c r="AE53" i="1"/>
  <c r="AE128" i="1" s="1"/>
  <c r="D58" i="11" s="1"/>
  <c r="W56" i="1"/>
  <c r="X56" i="1"/>
  <c r="D11" i="7" s="1"/>
  <c r="F11" i="7" s="1"/>
  <c r="AG56" i="1"/>
  <c r="C57" i="11"/>
  <c r="S137" i="1"/>
  <c r="T137" i="1" s="1"/>
  <c r="O91" i="1"/>
  <c r="O94" i="1"/>
  <c r="K64" i="1"/>
  <c r="J64" i="1" s="1"/>
  <c r="L64" i="1"/>
  <c r="N64" i="1"/>
  <c r="O64" i="1"/>
  <c r="P64" i="1"/>
  <c r="Q64" i="1"/>
  <c r="S64" i="1"/>
  <c r="U64" i="1"/>
  <c r="AC64" i="1"/>
  <c r="AH64" i="1"/>
  <c r="U107" i="1"/>
  <c r="AG107" i="1" s="1"/>
  <c r="U111" i="1"/>
  <c r="U91" i="1"/>
  <c r="AG91" i="1" s="1"/>
  <c r="AG158" i="1" s="1"/>
  <c r="V107" i="1"/>
  <c r="V111" i="1"/>
  <c r="V112" i="1" s="1"/>
  <c r="V113" i="1" s="1"/>
  <c r="X107" i="1"/>
  <c r="Y107" i="1" s="1"/>
  <c r="X111" i="1"/>
  <c r="Y111" i="1" s="1"/>
  <c r="Q107" i="1"/>
  <c r="Q111" i="1"/>
  <c r="Q91" i="1"/>
  <c r="AF91" i="1" s="1"/>
  <c r="AF158" i="1" s="1"/>
  <c r="P81" i="1"/>
  <c r="Q81" i="1" s="1"/>
  <c r="R81" i="1" s="1"/>
  <c r="S81" i="1" s="1"/>
  <c r="T81" i="1" s="1"/>
  <c r="U81" i="1" s="1"/>
  <c r="V81" i="1" s="1"/>
  <c r="W81" i="1" s="1"/>
  <c r="X81" i="1" s="1"/>
  <c r="Y81" i="1" s="1"/>
  <c r="Y128" i="1"/>
  <c r="X94" i="1"/>
  <c r="Y94" i="1" s="1"/>
  <c r="H58" i="11"/>
  <c r="I58" i="11"/>
  <c r="J58" i="11"/>
  <c r="K58" i="11"/>
  <c r="L58" i="11"/>
  <c r="M58" i="11"/>
  <c r="N58" i="11"/>
  <c r="O58" i="11"/>
  <c r="P58" i="11"/>
  <c r="Q58" i="11"/>
  <c r="R58" i="11"/>
  <c r="M107" i="1"/>
  <c r="M108" i="1" s="1"/>
  <c r="M111" i="1"/>
  <c r="M91" i="1"/>
  <c r="AE91" i="1" s="1"/>
  <c r="AE158" i="1" s="1"/>
  <c r="N107" i="1"/>
  <c r="N91" i="1"/>
  <c r="AE74" i="1"/>
  <c r="AF74" i="1"/>
  <c r="AG74" i="1"/>
  <c r="AH74" i="1"/>
  <c r="AE75" i="1"/>
  <c r="AF75" i="1"/>
  <c r="AG75" i="1"/>
  <c r="AH75" i="1"/>
  <c r="AE76" i="1"/>
  <c r="AH76" i="1"/>
  <c r="AF78" i="1"/>
  <c r="K79" i="1"/>
  <c r="J79" i="1" s="1"/>
  <c r="L79" i="1"/>
  <c r="N79" i="1"/>
  <c r="O79" i="1"/>
  <c r="P79" i="1"/>
  <c r="S79" i="1"/>
  <c r="T79" i="1"/>
  <c r="U79" i="1"/>
  <c r="X79" i="1"/>
  <c r="C15" i="11"/>
  <c r="AC81" i="1"/>
  <c r="AE81" i="1"/>
  <c r="V82" i="1"/>
  <c r="V126" i="1" s="1"/>
  <c r="W82" i="1"/>
  <c r="W126" i="1" s="1"/>
  <c r="Q84" i="1"/>
  <c r="AE84" i="1" s="1"/>
  <c r="AE85" i="1" s="1"/>
  <c r="V84" i="1"/>
  <c r="Y84" i="1"/>
  <c r="AG84" i="1"/>
  <c r="AH84" i="1" s="1"/>
  <c r="AI84" i="1" s="1"/>
  <c r="AJ84" i="1" s="1"/>
  <c r="AK84" i="1" s="1"/>
  <c r="AL84" i="1" s="1"/>
  <c r="AM84" i="1" s="1"/>
  <c r="AN84" i="1" s="1"/>
  <c r="AO84" i="1" s="1"/>
  <c r="AP84" i="1" s="1"/>
  <c r="AQ84" i="1" s="1"/>
  <c r="AR84" i="1" s="1"/>
  <c r="AS84" i="1" s="1"/>
  <c r="AT84" i="1" s="1"/>
  <c r="R91" i="1"/>
  <c r="S91" i="1"/>
  <c r="T91" i="1"/>
  <c r="AD91" i="1"/>
  <c r="S58" i="11"/>
  <c r="M92" i="1"/>
  <c r="AE92" i="1" s="1"/>
  <c r="D28" i="11" s="1"/>
  <c r="P92" i="1"/>
  <c r="Q92" i="1"/>
  <c r="R92" i="1"/>
  <c r="S92" i="1"/>
  <c r="T92" i="1"/>
  <c r="U92" i="1"/>
  <c r="AD92" i="1"/>
  <c r="C28" i="11" s="1"/>
  <c r="AD93" i="1"/>
  <c r="AE93" i="1"/>
  <c r="M94" i="1"/>
  <c r="AE94" i="1" s="1"/>
  <c r="D27" i="11" s="1"/>
  <c r="N94" i="1"/>
  <c r="P94" i="1"/>
  <c r="Q94" i="1"/>
  <c r="R94" i="1"/>
  <c r="S94" i="1"/>
  <c r="T94" i="1"/>
  <c r="U94" i="1"/>
  <c r="AG94" i="1" s="1"/>
  <c r="AD94" i="1"/>
  <c r="C27" i="11" s="1"/>
  <c r="AD95" i="1"/>
  <c r="AE95" i="1"/>
  <c r="M96" i="1"/>
  <c r="AE96" i="1" s="1"/>
  <c r="N96" i="1"/>
  <c r="P96" i="1"/>
  <c r="AD96" i="1"/>
  <c r="AD97" i="1"/>
  <c r="C30" i="11" s="1"/>
  <c r="F31" i="11"/>
  <c r="C31" i="11"/>
  <c r="D31" i="11"/>
  <c r="C32" i="11"/>
  <c r="C33" i="11"/>
  <c r="AD105" i="1"/>
  <c r="C34" i="11" s="1"/>
  <c r="O107" i="1"/>
  <c r="P107" i="1"/>
  <c r="R107" i="1"/>
  <c r="S107" i="1"/>
  <c r="T107" i="1"/>
  <c r="W107" i="1"/>
  <c r="W108" i="1" s="1"/>
  <c r="AD107" i="1"/>
  <c r="C37" i="11" s="1"/>
  <c r="N108" i="1"/>
  <c r="AD108" i="1"/>
  <c r="C38" i="11" s="1"/>
  <c r="AD109" i="1"/>
  <c r="AE109" i="1"/>
  <c r="AD110" i="1"/>
  <c r="C39" i="11" s="1"/>
  <c r="P111" i="1"/>
  <c r="P113" i="1" s="1"/>
  <c r="R111" i="1"/>
  <c r="R112" i="1" s="1"/>
  <c r="S111" i="1"/>
  <c r="S112" i="1" s="1"/>
  <c r="T111" i="1"/>
  <c r="W111" i="1"/>
  <c r="W112" i="1" s="1"/>
  <c r="W113" i="1" s="1"/>
  <c r="AD111" i="1"/>
  <c r="O112" i="1"/>
  <c r="O113" i="1" s="1"/>
  <c r="AD112" i="1"/>
  <c r="AE112" i="1"/>
  <c r="AD113" i="1"/>
  <c r="C40" i="11" s="1"/>
  <c r="AD114" i="1"/>
  <c r="C41" i="11" s="1"/>
  <c r="M115" i="1"/>
  <c r="N115" i="1"/>
  <c r="O115" i="1"/>
  <c r="P115" i="1"/>
  <c r="Q115" i="1"/>
  <c r="E44" i="11" s="1"/>
  <c r="R115" i="1"/>
  <c r="S115" i="1"/>
  <c r="T115" i="1"/>
  <c r="U115" i="1"/>
  <c r="F44" i="11" s="1"/>
  <c r="V115" i="1"/>
  <c r="W115" i="1"/>
  <c r="W117" i="1" s="1"/>
  <c r="X115" i="1"/>
  <c r="AD115" i="1"/>
  <c r="C44" i="11" s="1"/>
  <c r="M116" i="1"/>
  <c r="AE116" i="1" s="1"/>
  <c r="D45" i="11" s="1"/>
  <c r="N116" i="1"/>
  <c r="O116" i="1"/>
  <c r="P116" i="1"/>
  <c r="Q116" i="1"/>
  <c r="AF116" i="1" s="1"/>
  <c r="E45" i="11" s="1"/>
  <c r="R116" i="1"/>
  <c r="S116" i="1"/>
  <c r="T116" i="1"/>
  <c r="U116" i="1"/>
  <c r="V116" i="1"/>
  <c r="X116" i="1"/>
  <c r="AD116" i="1"/>
  <c r="C45" i="11" s="1"/>
  <c r="AD117" i="1"/>
  <c r="P118" i="1"/>
  <c r="Q118" i="1" s="1"/>
  <c r="AD118" i="1"/>
  <c r="AE118" i="1"/>
  <c r="AD119" i="1"/>
  <c r="C46" i="11" s="1"/>
  <c r="AD120" i="1"/>
  <c r="C47" i="11" s="1"/>
  <c r="O128" i="1"/>
  <c r="P128" i="1"/>
  <c r="AC128" i="1"/>
  <c r="AD128" i="1"/>
  <c r="C58" i="11" s="1"/>
  <c r="AC129" i="1"/>
  <c r="O131" i="1"/>
  <c r="P131" i="1" s="1"/>
  <c r="AD131" i="1"/>
  <c r="C61" i="11" s="1"/>
  <c r="O137" i="1"/>
  <c r="C70" i="11"/>
  <c r="D70" i="11"/>
  <c r="R139" i="1"/>
  <c r="R141" i="1" s="1"/>
  <c r="AD139" i="1"/>
  <c r="AE139" i="1"/>
  <c r="AF139" i="1"/>
  <c r="AD140" i="1"/>
  <c r="AE140" i="1"/>
  <c r="AF140" i="1"/>
  <c r="AG140" i="1"/>
  <c r="O142" i="1"/>
  <c r="O144" i="1"/>
  <c r="Q144" i="1" s="1"/>
  <c r="AF144" i="1" s="1"/>
  <c r="T144" i="1"/>
  <c r="W144" i="1"/>
  <c r="AE144" i="1"/>
  <c r="O145" i="1"/>
  <c r="T145" i="1"/>
  <c r="X145" i="1"/>
  <c r="AC145" i="1"/>
  <c r="AD145" i="1"/>
  <c r="C65" i="11" s="1"/>
  <c r="AE145" i="1"/>
  <c r="AD146" i="1"/>
  <c r="C64" i="11" s="1"/>
  <c r="AE146" i="1"/>
  <c r="D64" i="11" s="1"/>
  <c r="AF146" i="1"/>
  <c r="E64" i="11" s="1"/>
  <c r="AG146" i="1"/>
  <c r="F64" i="11" s="1"/>
  <c r="G64" i="11"/>
  <c r="O150" i="1"/>
  <c r="R149" i="1"/>
  <c r="R150" i="1" s="1"/>
  <c r="AC150" i="1"/>
  <c r="AE150" i="1"/>
  <c r="D67" i="11" s="1"/>
  <c r="AG151" i="1"/>
  <c r="AH151" i="1"/>
  <c r="O152" i="1"/>
  <c r="P152" i="1" s="1"/>
  <c r="T152" i="1"/>
  <c r="AC152" i="1"/>
  <c r="AD152" i="1"/>
  <c r="AD156" i="1"/>
  <c r="AD164" i="1" s="1"/>
  <c r="J157" i="1"/>
  <c r="K157" i="1"/>
  <c r="L157" i="1"/>
  <c r="AD157" i="1"/>
  <c r="H164" i="1"/>
  <c r="I164" i="1"/>
  <c r="C4" i="21"/>
  <c r="AP99" i="1" l="1"/>
  <c r="AQ58" i="1" s="1"/>
  <c r="AG157" i="1"/>
  <c r="AG159" i="1" s="1"/>
  <c r="T34" i="1"/>
  <c r="T35" i="1" s="1"/>
  <c r="M10" i="59"/>
  <c r="AR61" i="1"/>
  <c r="AR60" i="1" s="1"/>
  <c r="AR100" i="1" s="1"/>
  <c r="N11" i="59"/>
  <c r="AT63" i="1" s="1"/>
  <c r="AS63" i="1"/>
  <c r="AS62" i="1" s="1"/>
  <c r="AS101" i="1" s="1"/>
  <c r="N109" i="1"/>
  <c r="AF90" i="1"/>
  <c r="AF125" i="1" s="1"/>
  <c r="AF156" i="1" s="1"/>
  <c r="AF164" i="1" s="1"/>
  <c r="U112" i="1"/>
  <c r="U113" i="1" s="1"/>
  <c r="AG113" i="1" s="1"/>
  <c r="F40" i="11" s="1"/>
  <c r="R29" i="1"/>
  <c r="R34" i="1" s="1"/>
  <c r="R35" i="1" s="1"/>
  <c r="F57" i="11"/>
  <c r="M113" i="1"/>
  <c r="AE113" i="1" s="1"/>
  <c r="D40" i="11" s="1"/>
  <c r="Q112" i="1"/>
  <c r="AF112" i="1" s="1"/>
  <c r="V117" i="1"/>
  <c r="V25" i="1"/>
  <c r="V26" i="1" s="1"/>
  <c r="K11" i="1"/>
  <c r="K12" i="1" s="1"/>
  <c r="T9" i="1"/>
  <c r="N4" i="59"/>
  <c r="AT50" i="1" s="1"/>
  <c r="AS50" i="1"/>
  <c r="X117" i="1"/>
  <c r="R117" i="1"/>
  <c r="T157" i="1"/>
  <c r="AC149" i="1"/>
  <c r="T93" i="1"/>
  <c r="R46" i="1"/>
  <c r="R47" i="1" s="1"/>
  <c r="O25" i="1"/>
  <c r="O26" i="1" s="1"/>
  <c r="L25" i="1"/>
  <c r="L26" i="1" s="1"/>
  <c r="S117" i="1"/>
  <c r="M117" i="1"/>
  <c r="M119" i="1" s="1"/>
  <c r="X112" i="1"/>
  <c r="X113" i="1" s="1"/>
  <c r="Q9" i="1"/>
  <c r="V157" i="1"/>
  <c r="O117" i="1"/>
  <c r="O119" i="1" s="1"/>
  <c r="AC25" i="1"/>
  <c r="AC26" i="1" s="1"/>
  <c r="Q18" i="1"/>
  <c r="AF18" i="1" s="1"/>
  <c r="Q25" i="1"/>
  <c r="Q26" i="1" s="1"/>
  <c r="C71" i="11"/>
  <c r="D8" i="7"/>
  <c r="F8" i="7" s="1"/>
  <c r="P95" i="1"/>
  <c r="Y18" i="1"/>
  <c r="D71" i="11"/>
  <c r="U29" i="1"/>
  <c r="U34" i="1" s="1"/>
  <c r="U35" i="1" s="1"/>
  <c r="S93" i="1"/>
  <c r="O95" i="1"/>
  <c r="O29" i="1"/>
  <c r="O34" i="1" s="1"/>
  <c r="O35" i="1" s="1"/>
  <c r="AG24" i="1"/>
  <c r="U25" i="1"/>
  <c r="U26" i="1" s="1"/>
  <c r="AH22" i="1"/>
  <c r="G15" i="14" s="1"/>
  <c r="J11" i="1"/>
  <c r="J12" i="1" s="1"/>
  <c r="R157" i="1"/>
  <c r="Q117" i="1"/>
  <c r="R95" i="1"/>
  <c r="AG42" i="1"/>
  <c r="Y115" i="1"/>
  <c r="AG64" i="1"/>
  <c r="AG18" i="1"/>
  <c r="U137" i="1"/>
  <c r="V137" i="1" s="1"/>
  <c r="V142" i="1" s="1"/>
  <c r="M110" i="1"/>
  <c r="AE110" i="1" s="1"/>
  <c r="D39" i="11" s="1"/>
  <c r="AE108" i="1"/>
  <c r="D38" i="11" s="1"/>
  <c r="R118" i="1"/>
  <c r="S118" i="1" s="1"/>
  <c r="T118" i="1" s="1"/>
  <c r="AF118" i="1"/>
  <c r="W110" i="1"/>
  <c r="W114" i="1" s="1"/>
  <c r="W109" i="1"/>
  <c r="M24" i="1"/>
  <c r="W157" i="1"/>
  <c r="C177" i="1" s="1"/>
  <c r="B190" i="1" s="1"/>
  <c r="AE153" i="1"/>
  <c r="D74" i="11" s="1"/>
  <c r="AD149" i="1"/>
  <c r="C66" i="11" s="1"/>
  <c r="AE141" i="1"/>
  <c r="V108" i="1"/>
  <c r="V109" i="1" s="1"/>
  <c r="P97" i="1"/>
  <c r="X96" i="1"/>
  <c r="Y96" i="1" s="1"/>
  <c r="AI96" i="1" s="1"/>
  <c r="O96" i="1"/>
  <c r="O97" i="1" s="1"/>
  <c r="L8" i="1"/>
  <c r="L9" i="1" s="1"/>
  <c r="AD153" i="1"/>
  <c r="C74" i="11" s="1"/>
  <c r="V144" i="1"/>
  <c r="V150" i="1" s="1"/>
  <c r="W149" i="1" s="1"/>
  <c r="AD141" i="1"/>
  <c r="G58" i="11"/>
  <c r="N97" i="1"/>
  <c r="N105" i="1" s="1"/>
  <c r="S46" i="1"/>
  <c r="S54" i="1" s="1"/>
  <c r="S77" i="1" s="1"/>
  <c r="S82" i="1" s="1"/>
  <c r="S126" i="1" s="1"/>
  <c r="AC11" i="1"/>
  <c r="P93" i="1"/>
  <c r="M64" i="1"/>
  <c r="AE64" i="1" s="1"/>
  <c r="S96" i="1"/>
  <c r="S97" i="1" s="1"/>
  <c r="F15" i="11"/>
  <c r="AE107" i="1"/>
  <c r="C48" i="11"/>
  <c r="T117" i="1"/>
  <c r="W46" i="1"/>
  <c r="W47" i="1" s="1"/>
  <c r="M22" i="1"/>
  <c r="R30" i="1"/>
  <c r="R142" i="1"/>
  <c r="S141" i="1" s="1"/>
  <c r="AF152" i="1"/>
  <c r="O153" i="1"/>
  <c r="G31" i="11"/>
  <c r="R128" i="1"/>
  <c r="AG128" i="1" s="1"/>
  <c r="F58" i="11" s="1"/>
  <c r="AF128" i="1"/>
  <c r="E58" i="11" s="1"/>
  <c r="F45" i="11"/>
  <c r="U117" i="1"/>
  <c r="E57" i="11"/>
  <c r="N117" i="1"/>
  <c r="N119" i="1" s="1"/>
  <c r="F37" i="11"/>
  <c r="P108" i="1"/>
  <c r="P109" i="1" s="1"/>
  <c r="P157" i="1"/>
  <c r="R84" i="1"/>
  <c r="S84" i="1" s="1"/>
  <c r="T84" i="1" s="1"/>
  <c r="AF84" i="1"/>
  <c r="AF85" i="1" s="1"/>
  <c r="AG85" i="1" s="1"/>
  <c r="AH85" i="1" s="1"/>
  <c r="AI85" i="1" s="1"/>
  <c r="AJ85" i="1" s="1"/>
  <c r="AK85" i="1" s="1"/>
  <c r="AL85" i="1" s="1"/>
  <c r="AM85" i="1" s="1"/>
  <c r="AN85" i="1" s="1"/>
  <c r="AO85" i="1" s="1"/>
  <c r="AP85" i="1" s="1"/>
  <c r="AQ85" i="1" s="1"/>
  <c r="AR85" i="1" s="1"/>
  <c r="AS85" i="1" s="1"/>
  <c r="AT85" i="1" s="1"/>
  <c r="N157" i="1"/>
  <c r="N110" i="1"/>
  <c r="N112" i="1" s="1"/>
  <c r="N113" i="1" s="1"/>
  <c r="N114" i="1" s="1"/>
  <c r="U108" i="1"/>
  <c r="AG108" i="1" s="1"/>
  <c r="F38" i="11" s="1"/>
  <c r="U157" i="1"/>
  <c r="N41" i="1"/>
  <c r="X26" i="1"/>
  <c r="Y26" i="1" s="1"/>
  <c r="Y25" i="1" s="1"/>
  <c r="Y24" i="1" s="1"/>
  <c r="AH24" i="1" s="1"/>
  <c r="X30" i="1"/>
  <c r="AF107" i="1"/>
  <c r="AF157" i="1" s="1"/>
  <c r="Q108" i="1"/>
  <c r="Q110" i="1" s="1"/>
  <c r="Q157" i="1"/>
  <c r="R23" i="1"/>
  <c r="Q29" i="1"/>
  <c r="Q34" i="1" s="1"/>
  <c r="Q35" i="1" s="1"/>
  <c r="AG22" i="1"/>
  <c r="F15" i="14" s="1"/>
  <c r="S23" i="1"/>
  <c r="T23" i="1"/>
  <c r="S29" i="1"/>
  <c r="S34" i="1" s="1"/>
  <c r="S35" i="1" s="1"/>
  <c r="S25" i="1"/>
  <c r="S26" i="1" s="1"/>
  <c r="Y11" i="1"/>
  <c r="T139" i="1"/>
  <c r="U139" i="1" s="1"/>
  <c r="D32" i="11"/>
  <c r="D33" i="11"/>
  <c r="AG92" i="1"/>
  <c r="F28" i="11" s="1"/>
  <c r="U93" i="1"/>
  <c r="N11" i="1"/>
  <c r="N12" i="1" s="1"/>
  <c r="M157" i="1"/>
  <c r="U46" i="1"/>
  <c r="U54" i="1" s="1"/>
  <c r="K25" i="1"/>
  <c r="K26" i="1" s="1"/>
  <c r="AG16" i="1"/>
  <c r="O11" i="1"/>
  <c r="O12" i="1" s="1"/>
  <c r="S9" i="1"/>
  <c r="R6" i="1"/>
  <c r="M79" i="1"/>
  <c r="D15" i="11" s="1"/>
  <c r="AC153" i="1"/>
  <c r="AE149" i="1"/>
  <c r="D66" i="11" s="1"/>
  <c r="P117" i="1"/>
  <c r="P119" i="1" s="1"/>
  <c r="R113" i="1"/>
  <c r="U144" i="1"/>
  <c r="AG144" i="1" s="1"/>
  <c r="R93" i="1"/>
  <c r="N95" i="1"/>
  <c r="W92" i="1"/>
  <c r="V23" i="1"/>
  <c r="T96" i="1"/>
  <c r="T97" i="1" s="1"/>
  <c r="T46" i="1"/>
  <c r="P9" i="1"/>
  <c r="U11" i="1"/>
  <c r="U12" i="1" s="1"/>
  <c r="K29" i="1"/>
  <c r="K34" i="1" s="1"/>
  <c r="K35" i="1" s="1"/>
  <c r="M10" i="1"/>
  <c r="O9" i="1"/>
  <c r="AH4" i="1"/>
  <c r="C216" i="14" s="1"/>
  <c r="AF24" i="1"/>
  <c r="AG14" i="1"/>
  <c r="AG33" i="1" s="1"/>
  <c r="Q11" i="1"/>
  <c r="Q12" i="1" s="1"/>
  <c r="K9" i="1"/>
  <c r="O6" i="1"/>
  <c r="S113" i="1"/>
  <c r="E4" i="21"/>
  <c r="AF92" i="1"/>
  <c r="E28" i="11" s="1"/>
  <c r="Q93" i="1"/>
  <c r="AF93" i="1" s="1"/>
  <c r="S157" i="1"/>
  <c r="S108" i="1"/>
  <c r="T150" i="1"/>
  <c r="AG145" i="1"/>
  <c r="S149" i="1"/>
  <c r="S150" i="1" s="1"/>
  <c r="F27" i="11"/>
  <c r="E32" i="11"/>
  <c r="AC141" i="1"/>
  <c r="G37" i="11"/>
  <c r="Q145" i="1"/>
  <c r="D44" i="11"/>
  <c r="E31" i="11"/>
  <c r="P150" i="1"/>
  <c r="P137" i="1"/>
  <c r="Q137" i="1" s="1"/>
  <c r="AD122" i="1"/>
  <c r="T112" i="1"/>
  <c r="T113" i="1" s="1"/>
  <c r="V94" i="1"/>
  <c r="T26" i="1"/>
  <c r="AF64" i="1"/>
  <c r="T108" i="1"/>
  <c r="M97" i="1"/>
  <c r="D26" i="11"/>
  <c r="E75" i="11"/>
  <c r="D76" i="11"/>
  <c r="D65" i="11"/>
  <c r="AD129" i="1"/>
  <c r="C60" i="11" s="1"/>
  <c r="R108" i="1"/>
  <c r="R109" i="1" s="1"/>
  <c r="U95" i="1"/>
  <c r="R96" i="1"/>
  <c r="R97" i="1" s="1"/>
  <c r="T95" i="1"/>
  <c r="Q96" i="1"/>
  <c r="AF96" i="1" s="1"/>
  <c r="C26" i="11"/>
  <c r="C29" i="11" s="1"/>
  <c r="D75" i="11"/>
  <c r="C76" i="11"/>
  <c r="P142" i="1"/>
  <c r="S95" i="1"/>
  <c r="D18" i="9"/>
  <c r="F32" i="11"/>
  <c r="P29" i="1"/>
  <c r="P34" i="1" s="1"/>
  <c r="P35" i="1" s="1"/>
  <c r="P23" i="1"/>
  <c r="Q23" i="1"/>
  <c r="P25" i="1"/>
  <c r="O108" i="1"/>
  <c r="O157" i="1"/>
  <c r="Q95" i="1"/>
  <c r="AF95" i="1" s="1"/>
  <c r="U96" i="1"/>
  <c r="AF81" i="1"/>
  <c r="AG81" i="1" s="1"/>
  <c r="AH81" i="1" s="1"/>
  <c r="AI81" i="1" s="1"/>
  <c r="AJ81" i="1" s="1"/>
  <c r="AK81" i="1" s="1"/>
  <c r="AL81" i="1" s="1"/>
  <c r="AM81" i="1" s="1"/>
  <c r="AN81" i="1" s="1"/>
  <c r="AO81" i="1" s="1"/>
  <c r="AP81" i="1" s="1"/>
  <c r="AQ81" i="1" s="1"/>
  <c r="AR81" i="1" s="1"/>
  <c r="AS81" i="1" s="1"/>
  <c r="AT81" i="1" s="1"/>
  <c r="X157" i="1"/>
  <c r="Y144" i="1"/>
  <c r="Y150" i="1" s="1"/>
  <c r="AF94" i="1"/>
  <c r="E27" i="11" s="1"/>
  <c r="E15" i="11"/>
  <c r="N25" i="1"/>
  <c r="E12" i="21"/>
  <c r="B187" i="1" s="1"/>
  <c r="B14" i="18"/>
  <c r="B12" i="18" s="1"/>
  <c r="F75" i="11"/>
  <c r="E76" i="11"/>
  <c r="E26" i="11"/>
  <c r="J25" i="1"/>
  <c r="AH16" i="1"/>
  <c r="V18" i="1"/>
  <c r="V9" i="1"/>
  <c r="V11" i="1"/>
  <c r="W9" i="1"/>
  <c r="AH8" i="1"/>
  <c r="N29" i="1"/>
  <c r="N34" i="1" s="1"/>
  <c r="N35" i="1" s="1"/>
  <c r="AF22" i="1"/>
  <c r="J29" i="1"/>
  <c r="J34" i="1" s="1"/>
  <c r="J35" i="1" s="1"/>
  <c r="S11" i="1"/>
  <c r="B26" i="14"/>
  <c r="C24" i="14" s="1"/>
  <c r="B29" i="14" s="1"/>
  <c r="X108" i="1"/>
  <c r="C15" i="14"/>
  <c r="AD25" i="1"/>
  <c r="AD26" i="1" s="1"/>
  <c r="AD29" i="1"/>
  <c r="V46" i="1"/>
  <c r="B15" i="14"/>
  <c r="AC29" i="1"/>
  <c r="R12" i="1"/>
  <c r="G75" i="11"/>
  <c r="F76" i="11"/>
  <c r="D16" i="9"/>
  <c r="F26" i="11"/>
  <c r="V34" i="1"/>
  <c r="V35" i="1" s="1"/>
  <c r="W23" i="1"/>
  <c r="B216" i="14"/>
  <c r="AG5" i="1"/>
  <c r="Q51" i="1"/>
  <c r="Y29" i="1"/>
  <c r="U6" i="1"/>
  <c r="T6" i="1"/>
  <c r="AD9" i="1"/>
  <c r="AG8" i="1"/>
  <c r="U9" i="1"/>
  <c r="T11" i="1"/>
  <c r="AF8" i="1"/>
  <c r="N6" i="1"/>
  <c r="AD11" i="1"/>
  <c r="R9" i="1"/>
  <c r="F5" i="11"/>
  <c r="F23" i="11" s="1"/>
  <c r="F53" i="11" s="1"/>
  <c r="C151" i="14"/>
  <c r="AH1" i="1"/>
  <c r="AJ96" i="1" l="1"/>
  <c r="AQ99" i="1"/>
  <c r="AR58" i="1" s="1"/>
  <c r="AE117" i="1"/>
  <c r="AI157" i="1"/>
  <c r="AH157" i="1"/>
  <c r="D37" i="11"/>
  <c r="AE157" i="1"/>
  <c r="AG70" i="1"/>
  <c r="B12" i="59" s="1"/>
  <c r="AF159" i="1"/>
  <c r="AT62" i="1"/>
  <c r="AT101" i="1" s="1"/>
  <c r="N10" i="59"/>
  <c r="AT61" i="1" s="1"/>
  <c r="AS61" i="1"/>
  <c r="AS60" i="1" s="1"/>
  <c r="AS100" i="1" s="1"/>
  <c r="B158" i="14"/>
  <c r="B164" i="14" s="1"/>
  <c r="R119" i="1"/>
  <c r="D17" i="9"/>
  <c r="G44" i="11"/>
  <c r="AH18" i="1"/>
  <c r="AH20" i="1" s="1"/>
  <c r="AI20" i="1" s="1"/>
  <c r="AJ20" i="1" s="1"/>
  <c r="AK20" i="1" s="1"/>
  <c r="AL20" i="1" s="1"/>
  <c r="AM20" i="1" s="1"/>
  <c r="AN20" i="1" s="1"/>
  <c r="AO20" i="1" s="1"/>
  <c r="AP20" i="1" s="1"/>
  <c r="AQ20" i="1" s="1"/>
  <c r="AR20" i="1" s="1"/>
  <c r="AS20" i="1" s="1"/>
  <c r="AT20" i="1" s="1"/>
  <c r="AE129" i="1"/>
  <c r="Q113" i="1"/>
  <c r="AF113" i="1" s="1"/>
  <c r="E40" i="11" s="1"/>
  <c r="AG112" i="1"/>
  <c r="S161" i="1"/>
  <c r="AG23" i="1"/>
  <c r="T105" i="1"/>
  <c r="W137" i="1"/>
  <c r="R54" i="1"/>
  <c r="R77" i="1" s="1"/>
  <c r="R82" i="1" s="1"/>
  <c r="R126" i="1" s="1"/>
  <c r="R161" i="1"/>
  <c r="U129" i="1"/>
  <c r="J30" i="1"/>
  <c r="J46" i="1" s="1"/>
  <c r="M25" i="1"/>
  <c r="M26" i="1" s="1"/>
  <c r="S119" i="1"/>
  <c r="AH5" i="1"/>
  <c r="AI5" i="1" s="1"/>
  <c r="AJ5" i="1" s="1"/>
  <c r="AK5" i="1" s="1"/>
  <c r="AL5" i="1" s="1"/>
  <c r="AM5" i="1" s="1"/>
  <c r="AN5" i="1" s="1"/>
  <c r="AO5" i="1" s="1"/>
  <c r="AP5" i="1" s="1"/>
  <c r="AQ5" i="1" s="1"/>
  <c r="AR5" i="1" s="1"/>
  <c r="AS5" i="1" s="1"/>
  <c r="AT5" i="1" s="1"/>
  <c r="U47" i="1"/>
  <c r="T161" i="1"/>
  <c r="H31" i="11"/>
  <c r="X97" i="1"/>
  <c r="Y112" i="1"/>
  <c r="AG20" i="1"/>
  <c r="Q161" i="1"/>
  <c r="L29" i="1"/>
  <c r="L34" i="1" s="1"/>
  <c r="L35" i="1" s="1"/>
  <c r="M8" i="1"/>
  <c r="N9" i="1" s="1"/>
  <c r="M114" i="1"/>
  <c r="AE114" i="1" s="1"/>
  <c r="D41" i="11" s="1"/>
  <c r="L11" i="1"/>
  <c r="L30" i="1" s="1"/>
  <c r="AE22" i="1"/>
  <c r="AE25" i="1" s="1"/>
  <c r="AE26" i="1" s="1"/>
  <c r="P20" i="1"/>
  <c r="Q20" i="1" s="1"/>
  <c r="R20" i="1" s="1"/>
  <c r="S20" i="1" s="1"/>
  <c r="T20" i="1" s="1"/>
  <c r="U20" i="1" s="1"/>
  <c r="V20" i="1" s="1"/>
  <c r="W20" i="1" s="1"/>
  <c r="X20" i="1" s="1"/>
  <c r="Y20" i="1" s="1"/>
  <c r="P153" i="1"/>
  <c r="T119" i="1"/>
  <c r="N161" i="1"/>
  <c r="W161" i="1"/>
  <c r="O30" i="1"/>
  <c r="U30" i="1"/>
  <c r="AF117" i="1"/>
  <c r="U118" i="1"/>
  <c r="AG118" i="1" s="1"/>
  <c r="X144" i="1"/>
  <c r="G65" i="11" s="1"/>
  <c r="V161" i="1"/>
  <c r="AH23" i="1"/>
  <c r="O161" i="1"/>
  <c r="Q119" i="1"/>
  <c r="AF119" i="1" s="1"/>
  <c r="E46" i="11" s="1"/>
  <c r="P105" i="1"/>
  <c r="S47" i="1"/>
  <c r="W54" i="1"/>
  <c r="W77" i="1" s="1"/>
  <c r="W79" i="1" s="1"/>
  <c r="P161" i="1"/>
  <c r="Q141" i="1"/>
  <c r="Q142" i="1" s="1"/>
  <c r="D222" i="14"/>
  <c r="B230" i="14" s="1"/>
  <c r="AG90" i="1"/>
  <c r="AG125" i="1" s="1"/>
  <c r="C25" i="14"/>
  <c r="B30" i="14" s="1"/>
  <c r="U149" i="1"/>
  <c r="AG149" i="1" s="1"/>
  <c r="F66" i="11" s="1"/>
  <c r="V110" i="1"/>
  <c r="V114" i="1" s="1"/>
  <c r="Q30" i="1"/>
  <c r="Q46" i="1" s="1"/>
  <c r="Q54" i="1" s="1"/>
  <c r="AG11" i="1"/>
  <c r="AG10" i="1" s="1"/>
  <c r="AH25" i="1"/>
  <c r="AH26" i="1" s="1"/>
  <c r="D160" i="14" s="1"/>
  <c r="AG139" i="1"/>
  <c r="AC12" i="1"/>
  <c r="AC30" i="1"/>
  <c r="AC46" i="1" s="1"/>
  <c r="AC54" i="1" s="1"/>
  <c r="AC77" i="1" s="1"/>
  <c r="AC80" i="1" s="1"/>
  <c r="U161" i="1"/>
  <c r="T54" i="1"/>
  <c r="T77" i="1" s="1"/>
  <c r="T82" i="1" s="1"/>
  <c r="T126" i="1" s="1"/>
  <c r="T47" i="1"/>
  <c r="U110" i="1"/>
  <c r="AG110" i="1" s="1"/>
  <c r="F65" i="11"/>
  <c r="Q129" i="1"/>
  <c r="K30" i="1"/>
  <c r="X31" i="1"/>
  <c r="Y31" i="1" s="1"/>
  <c r="X46" i="1"/>
  <c r="AG25" i="1"/>
  <c r="AG26" i="1" s="1"/>
  <c r="C160" i="14" s="1"/>
  <c r="B215" i="14"/>
  <c r="AG37" i="1"/>
  <c r="Y10" i="1"/>
  <c r="Y30" i="1"/>
  <c r="Y46" i="1" s="1"/>
  <c r="Y54" i="1" s="1"/>
  <c r="AI16" i="1"/>
  <c r="AF11" i="1"/>
  <c r="AF10" i="1" s="1"/>
  <c r="T110" i="1"/>
  <c r="T114" i="1" s="1"/>
  <c r="P110" i="1"/>
  <c r="P114" i="1" s="1"/>
  <c r="P120" i="1" s="1"/>
  <c r="AG117" i="1"/>
  <c r="AG161" i="1" s="1"/>
  <c r="AA118" i="1"/>
  <c r="E37" i="11"/>
  <c r="U109" i="1"/>
  <c r="M161" i="1"/>
  <c r="AF108" i="1"/>
  <c r="E38" i="11" s="1"/>
  <c r="Q109" i="1"/>
  <c r="AF109" i="1" s="1"/>
  <c r="N120" i="1"/>
  <c r="N122" i="1" s="1"/>
  <c r="S105" i="1"/>
  <c r="AE119" i="1"/>
  <c r="D46" i="11" s="1"/>
  <c r="O36" i="18"/>
  <c r="P30" i="1"/>
  <c r="P46" i="1" s="1"/>
  <c r="P26" i="1"/>
  <c r="AE97" i="1"/>
  <c r="D30" i="11" s="1"/>
  <c r="D29" i="11" s="1"/>
  <c r="O109" i="1"/>
  <c r="O129" i="1"/>
  <c r="P129" i="1"/>
  <c r="S129" i="1"/>
  <c r="S109" i="1"/>
  <c r="Y34" i="1"/>
  <c r="Y35" i="1" s="1"/>
  <c r="G14" i="14"/>
  <c r="AH6" i="1"/>
  <c r="AH9" i="1"/>
  <c r="AH29" i="1"/>
  <c r="AH34" i="1" s="1"/>
  <c r="AH35" i="1" s="1"/>
  <c r="AC34" i="1"/>
  <c r="AC35" i="1" s="1"/>
  <c r="AG96" i="1"/>
  <c r="AD12" i="1"/>
  <c r="AD30" i="1"/>
  <c r="N26" i="1"/>
  <c r="AF25" i="1"/>
  <c r="AF26" i="1" s="1"/>
  <c r="B160" i="14" s="1"/>
  <c r="V96" i="1"/>
  <c r="V97" i="1" s="1"/>
  <c r="W94" i="1"/>
  <c r="W129" i="1" s="1"/>
  <c r="V47" i="1"/>
  <c r="V54" i="1"/>
  <c r="E15" i="14"/>
  <c r="Q149" i="1"/>
  <c r="AF149" i="1" s="1"/>
  <c r="E66" i="11" s="1"/>
  <c r="U76" i="1"/>
  <c r="AG76" i="1" s="1"/>
  <c r="AF6" i="1"/>
  <c r="E14" i="14"/>
  <c r="AF29" i="1"/>
  <c r="D57" i="11"/>
  <c r="AF145" i="1"/>
  <c r="E65" i="11" s="1"/>
  <c r="S110" i="1"/>
  <c r="S114" i="1" s="1"/>
  <c r="G5" i="11"/>
  <c r="G23" i="11" s="1"/>
  <c r="G53" i="11" s="1"/>
  <c r="D151" i="14"/>
  <c r="E4" i="9"/>
  <c r="E15" i="9" s="1"/>
  <c r="E26" i="9" s="1"/>
  <c r="AI1" i="1"/>
  <c r="G13" i="14"/>
  <c r="AH14" i="1"/>
  <c r="AH33" i="1" s="1"/>
  <c r="AH42" i="1"/>
  <c r="H44" i="11"/>
  <c r="O110" i="1"/>
  <c r="O114" i="1" s="1"/>
  <c r="O120" i="1" s="1"/>
  <c r="AH11" i="1"/>
  <c r="V12" i="1"/>
  <c r="T30" i="1"/>
  <c r="T12" i="1"/>
  <c r="AD34" i="1"/>
  <c r="AD35" i="1" s="1"/>
  <c r="H37" i="11"/>
  <c r="T129" i="1"/>
  <c r="T109" i="1"/>
  <c r="X161" i="1"/>
  <c r="S142" i="1"/>
  <c r="W150" i="1"/>
  <c r="X149" i="1"/>
  <c r="Q97" i="1"/>
  <c r="Y108" i="1"/>
  <c r="X110" i="1"/>
  <c r="X114" i="1" s="1"/>
  <c r="V129" i="1"/>
  <c r="AF110" i="1"/>
  <c r="E39" i="11" s="1"/>
  <c r="U97" i="1"/>
  <c r="P141" i="1"/>
  <c r="R105" i="1"/>
  <c r="R129" i="1"/>
  <c r="AG9" i="1"/>
  <c r="F14" i="14"/>
  <c r="AG6" i="1"/>
  <c r="AG29" i="1"/>
  <c r="AH43" i="1" s="1"/>
  <c r="N30" i="1"/>
  <c r="S12" i="1"/>
  <c r="S30" i="1"/>
  <c r="R110" i="1"/>
  <c r="R114" i="1" s="1"/>
  <c r="AK96" i="1" l="1"/>
  <c r="AR99" i="1"/>
  <c r="AS58" i="1" s="1"/>
  <c r="E72" i="11"/>
  <c r="AF166" i="1"/>
  <c r="AE161" i="1"/>
  <c r="O105" i="1"/>
  <c r="O122" i="1" s="1"/>
  <c r="W141" i="1"/>
  <c r="W142" i="1" s="1"/>
  <c r="AF103" i="1"/>
  <c r="AF104" i="1" s="1"/>
  <c r="AG103" i="1"/>
  <c r="AG104" i="1" s="1"/>
  <c r="AJ157" i="1"/>
  <c r="AE159" i="1"/>
  <c r="AF70" i="1"/>
  <c r="AH70" i="1"/>
  <c r="AH69" i="1" s="1"/>
  <c r="C12" i="59"/>
  <c r="AT60" i="1"/>
  <c r="AT100" i="1" s="1"/>
  <c r="D60" i="11"/>
  <c r="M120" i="1"/>
  <c r="AE120" i="1" s="1"/>
  <c r="D47" i="11" s="1"/>
  <c r="R120" i="1"/>
  <c r="R122" i="1" s="1"/>
  <c r="Q114" i="1"/>
  <c r="AF114" i="1" s="1"/>
  <c r="E41" i="11" s="1"/>
  <c r="V118" i="1"/>
  <c r="W118" i="1" s="1"/>
  <c r="AE8" i="1"/>
  <c r="AF9" i="1" s="1"/>
  <c r="M6" i="1"/>
  <c r="M9" i="1"/>
  <c r="AI4" i="1"/>
  <c r="AI18" i="1" s="1"/>
  <c r="AI22" i="1" s="1"/>
  <c r="L12" i="1"/>
  <c r="X137" i="1"/>
  <c r="Y137" i="1" s="1"/>
  <c r="AF23" i="1"/>
  <c r="U150" i="1"/>
  <c r="AG150" i="1" s="1"/>
  <c r="F67" i="11" s="1"/>
  <c r="AG12" i="1"/>
  <c r="I31" i="11"/>
  <c r="Q47" i="1"/>
  <c r="AE23" i="1"/>
  <c r="U119" i="1"/>
  <c r="AG119" i="1" s="1"/>
  <c r="AF12" i="1"/>
  <c r="D15" i="14"/>
  <c r="J31" i="1"/>
  <c r="X150" i="1"/>
  <c r="S120" i="1"/>
  <c r="S122" i="1" s="1"/>
  <c r="AF141" i="1"/>
  <c r="V77" i="1"/>
  <c r="V79" i="1" s="1"/>
  <c r="D10" i="9"/>
  <c r="AC31" i="1"/>
  <c r="P122" i="1"/>
  <c r="AH46" i="1"/>
  <c r="Y56" i="1"/>
  <c r="AH56" i="1" s="1"/>
  <c r="M29" i="1"/>
  <c r="M34" i="1" s="1"/>
  <c r="M35" i="1" s="1"/>
  <c r="M11" i="1"/>
  <c r="M12" i="1" s="1"/>
  <c r="T120" i="1"/>
  <c r="T122" i="1" s="1"/>
  <c r="Y113" i="1"/>
  <c r="G40" i="11" s="1"/>
  <c r="O46" i="1"/>
  <c r="O31" i="1"/>
  <c r="P31" i="1" s="1"/>
  <c r="Q31" i="1" s="1"/>
  <c r="R31" i="1" s="1"/>
  <c r="S31" i="1" s="1"/>
  <c r="T31" i="1" s="1"/>
  <c r="U31" i="1" s="1"/>
  <c r="V31" i="1" s="1"/>
  <c r="W31" i="1" s="1"/>
  <c r="U114" i="1"/>
  <c r="AG114" i="1" s="1"/>
  <c r="D23" i="9" s="1"/>
  <c r="AC82" i="1"/>
  <c r="AC130" i="1" s="1"/>
  <c r="C158" i="14"/>
  <c r="C164" i="14" s="1"/>
  <c r="AG156" i="1"/>
  <c r="AG164" i="1" s="1"/>
  <c r="AI43" i="1"/>
  <c r="AH49" i="1"/>
  <c r="AH51" i="1"/>
  <c r="F70" i="11"/>
  <c r="AI26" i="1"/>
  <c r="K46" i="1"/>
  <c r="K31" i="1"/>
  <c r="AF129" i="1"/>
  <c r="E60" i="11" s="1"/>
  <c r="M105" i="1"/>
  <c r="D34" i="11" s="1"/>
  <c r="D9" i="7"/>
  <c r="X47" i="1"/>
  <c r="X54" i="1"/>
  <c r="X77" i="1" s="1"/>
  <c r="X82" i="1" s="1"/>
  <c r="X126" i="1" s="1"/>
  <c r="AH149" i="1"/>
  <c r="G66" i="11" s="1"/>
  <c r="AG30" i="1"/>
  <c r="AG46" i="1" s="1"/>
  <c r="AF161" i="1"/>
  <c r="I44" i="11"/>
  <c r="E7" i="11"/>
  <c r="AF50" i="1"/>
  <c r="W96" i="1"/>
  <c r="W97" i="1" s="1"/>
  <c r="X129" i="1"/>
  <c r="N46" i="1"/>
  <c r="N31" i="1"/>
  <c r="V105" i="1"/>
  <c r="Y77" i="1"/>
  <c r="G57" i="11"/>
  <c r="E222" i="14"/>
  <c r="C230" i="14" s="1"/>
  <c r="AH90" i="1"/>
  <c r="AH125" i="1" s="1"/>
  <c r="B152" i="14"/>
  <c r="AG34" i="1"/>
  <c r="AG35" i="1" s="1"/>
  <c r="AG97" i="1"/>
  <c r="F30" i="11" s="1"/>
  <c r="F29" i="11" s="1"/>
  <c r="AH37" i="1"/>
  <c r="C215" i="14"/>
  <c r="Y45" i="1"/>
  <c r="Y47" i="1"/>
  <c r="Y110" i="1"/>
  <c r="F39" i="11"/>
  <c r="D21" i="9"/>
  <c r="C152" i="14"/>
  <c r="AG7" i="1"/>
  <c r="F4" i="9"/>
  <c r="F15" i="9" s="1"/>
  <c r="F26" i="9" s="1"/>
  <c r="H5" i="11"/>
  <c r="H23" i="11" s="1"/>
  <c r="H53" i="11" s="1"/>
  <c r="E151" i="14"/>
  <c r="H13" i="14"/>
  <c r="AJ1" i="1"/>
  <c r="AI14" i="1"/>
  <c r="AI33" i="1" s="1"/>
  <c r="AI42" i="1"/>
  <c r="U77" i="1"/>
  <c r="P47" i="1"/>
  <c r="C103" i="14" s="1"/>
  <c r="P54" i="1"/>
  <c r="AD31" i="1"/>
  <c r="AD46" i="1"/>
  <c r="AF97" i="1"/>
  <c r="E30" i="11" s="1"/>
  <c r="E29" i="11" s="1"/>
  <c r="H65" i="11"/>
  <c r="AH7" i="1"/>
  <c r="D152" i="14"/>
  <c r="AI6" i="1"/>
  <c r="Q76" i="1"/>
  <c r="AF76" i="1" s="1"/>
  <c r="L46" i="1"/>
  <c r="L31" i="1"/>
  <c r="R130" i="1"/>
  <c r="R131" i="1" s="1"/>
  <c r="AG129" i="1"/>
  <c r="AH10" i="1"/>
  <c r="AH12" i="1"/>
  <c r="AI12" i="1" s="1"/>
  <c r="AH30" i="1"/>
  <c r="AH31" i="1" s="1"/>
  <c r="D159" i="14" s="1"/>
  <c r="AC50" i="1"/>
  <c r="AC47" i="1"/>
  <c r="AC45" i="1"/>
  <c r="D5" i="9"/>
  <c r="F7" i="11"/>
  <c r="B36" i="14"/>
  <c r="B84" i="14"/>
  <c r="J50" i="18"/>
  <c r="C7" i="11"/>
  <c r="AD50" i="1"/>
  <c r="AG50" i="1"/>
  <c r="AF30" i="1"/>
  <c r="J47" i="1"/>
  <c r="J54" i="1"/>
  <c r="T141" i="1"/>
  <c r="I37" i="11"/>
  <c r="AF34" i="1"/>
  <c r="AF35" i="1" s="1"/>
  <c r="Q150" i="1"/>
  <c r="AF150" i="1" s="1"/>
  <c r="E67" i="11" s="1"/>
  <c r="E70" i="11"/>
  <c r="E71" i="11" s="1"/>
  <c r="AL96" i="1" l="1"/>
  <c r="AS99" i="1"/>
  <c r="AT58" i="1" s="1"/>
  <c r="C37" i="14"/>
  <c r="AH54" i="1"/>
  <c r="AH65" i="1" s="1"/>
  <c r="Q120" i="1"/>
  <c r="AF120" i="1" s="1"/>
  <c r="X105" i="1"/>
  <c r="W105" i="1"/>
  <c r="AK157" i="1"/>
  <c r="D12" i="59"/>
  <c r="AI70" i="1"/>
  <c r="AI69" i="1" s="1"/>
  <c r="AE6" i="1"/>
  <c r="AF7" i="1" s="1"/>
  <c r="D31" i="9"/>
  <c r="AJ16" i="1"/>
  <c r="AJ4" i="1"/>
  <c r="AK4" i="1" s="1"/>
  <c r="V119" i="1"/>
  <c r="V120" i="1" s="1"/>
  <c r="V122" i="1" s="1"/>
  <c r="AE29" i="1"/>
  <c r="AE50" i="1" s="1"/>
  <c r="AE9" i="1"/>
  <c r="F12" i="11"/>
  <c r="AE11" i="1"/>
  <c r="AE30" i="1" s="1"/>
  <c r="X141" i="1"/>
  <c r="Y130" i="1"/>
  <c r="D14" i="14"/>
  <c r="D216" i="14"/>
  <c r="E7" i="9"/>
  <c r="G9" i="11"/>
  <c r="D27" i="7"/>
  <c r="D225" i="14"/>
  <c r="B231" i="14" s="1"/>
  <c r="M30" i="1"/>
  <c r="M31" i="1" s="1"/>
  <c r="F41" i="11"/>
  <c r="U120" i="1"/>
  <c r="AG120" i="1" s="1"/>
  <c r="J30" i="18"/>
  <c r="AG31" i="1"/>
  <c r="C159" i="14" s="1"/>
  <c r="C165" i="14"/>
  <c r="AE122" i="1"/>
  <c r="D48" i="11"/>
  <c r="AH45" i="1"/>
  <c r="K51" i="18"/>
  <c r="AI113" i="1"/>
  <c r="H40" i="11" s="1"/>
  <c r="AH77" i="1"/>
  <c r="G14" i="11" s="1"/>
  <c r="O54" i="1"/>
  <c r="O47" i="1"/>
  <c r="D22" i="9"/>
  <c r="E160" i="14"/>
  <c r="AJ26" i="1"/>
  <c r="AI49" i="1"/>
  <c r="AI51" i="1"/>
  <c r="AJ43" i="1"/>
  <c r="F9" i="7"/>
  <c r="D10" i="7"/>
  <c r="F10" i="7" s="1"/>
  <c r="X93" i="1"/>
  <c r="X109" i="1"/>
  <c r="K47" i="1"/>
  <c r="K54" i="1"/>
  <c r="L54" i="1"/>
  <c r="L47" i="1"/>
  <c r="D11" i="9"/>
  <c r="U82" i="1"/>
  <c r="AG77" i="1"/>
  <c r="F14" i="11" s="1"/>
  <c r="Q77" i="1"/>
  <c r="Q82" i="1" s="1"/>
  <c r="Q126" i="1" s="1"/>
  <c r="V130" i="1"/>
  <c r="I65" i="11"/>
  <c r="F222" i="14"/>
  <c r="D230" i="14" s="1"/>
  <c r="AI90" i="1"/>
  <c r="AI125" i="1" s="1"/>
  <c r="J37" i="11"/>
  <c r="D215" i="14"/>
  <c r="AI37" i="1"/>
  <c r="F33" i="11"/>
  <c r="N47" i="1"/>
  <c r="N54" i="1"/>
  <c r="I13" i="14"/>
  <c r="G4" i="9"/>
  <c r="G15" i="9" s="1"/>
  <c r="G26" i="9" s="1"/>
  <c r="I5" i="11"/>
  <c r="I23" i="11" s="1"/>
  <c r="I53" i="11" s="1"/>
  <c r="F151" i="14"/>
  <c r="AK1" i="1"/>
  <c r="AJ42" i="1"/>
  <c r="AJ14" i="1"/>
  <c r="AJ33" i="1" s="1"/>
  <c r="F60" i="11"/>
  <c r="D28" i="9"/>
  <c r="F9" i="11"/>
  <c r="D7" i="9"/>
  <c r="D8" i="9" s="1"/>
  <c r="B37" i="14"/>
  <c r="J51" i="18"/>
  <c r="AG45" i="1"/>
  <c r="AG47" i="1"/>
  <c r="AG54" i="1"/>
  <c r="E31" i="9"/>
  <c r="G67" i="11"/>
  <c r="E33" i="11"/>
  <c r="C9" i="11"/>
  <c r="AD47" i="1"/>
  <c r="C10" i="11" s="1"/>
  <c r="AD54" i="1"/>
  <c r="AD45" i="1"/>
  <c r="C8" i="11" s="1"/>
  <c r="T142" i="1"/>
  <c r="J55" i="1"/>
  <c r="B54" i="14" s="1"/>
  <c r="B53" i="14"/>
  <c r="D24" i="9"/>
  <c r="F46" i="11"/>
  <c r="R153" i="1"/>
  <c r="S130" i="1"/>
  <c r="S131" i="1" s="1"/>
  <c r="F31" i="9"/>
  <c r="H67" i="11"/>
  <c r="Y114" i="1"/>
  <c r="D158" i="14"/>
  <c r="D164" i="14" s="1"/>
  <c r="AH156" i="1"/>
  <c r="AH164" i="1" s="1"/>
  <c r="X118" i="1"/>
  <c r="W119" i="1"/>
  <c r="W120" i="1" s="1"/>
  <c r="E152" i="14"/>
  <c r="AJ6" i="1"/>
  <c r="H15" i="14"/>
  <c r="AI23" i="1"/>
  <c r="AI25" i="1"/>
  <c r="AI24" i="1" s="1"/>
  <c r="C38" i="14"/>
  <c r="D161" i="14"/>
  <c r="G10" i="11"/>
  <c r="H53" i="14"/>
  <c r="P55" i="1"/>
  <c r="H54" i="14" s="1"/>
  <c r="P77" i="1"/>
  <c r="J44" i="11"/>
  <c r="AJ12" i="1"/>
  <c r="AF31" i="1"/>
  <c r="B159" i="14" s="1"/>
  <c r="AF46" i="1"/>
  <c r="E216" i="14"/>
  <c r="D26" i="7"/>
  <c r="E5" i="9"/>
  <c r="G7" i="11"/>
  <c r="C36" i="14"/>
  <c r="C84" i="14"/>
  <c r="K50" i="18"/>
  <c r="J29" i="18"/>
  <c r="AI8" i="1"/>
  <c r="AI11" i="1" s="1"/>
  <c r="Y142" i="1"/>
  <c r="Y92" i="1"/>
  <c r="Y79" i="1"/>
  <c r="Y82" i="1" s="1"/>
  <c r="AM96" i="1" l="1"/>
  <c r="AT99" i="1"/>
  <c r="F13" i="11"/>
  <c r="AH104" i="1"/>
  <c r="AL157" i="1"/>
  <c r="E12" i="59"/>
  <c r="AJ70" i="1"/>
  <c r="AJ69" i="1" s="1"/>
  <c r="AE12" i="1"/>
  <c r="M46" i="1"/>
  <c r="M47" i="1" s="1"/>
  <c r="D7" i="11"/>
  <c r="AK16" i="1"/>
  <c r="AK18" i="1" s="1"/>
  <c r="AK22" i="1" s="1"/>
  <c r="X142" i="1"/>
  <c r="AE34" i="1"/>
  <c r="AE35" i="1" s="1"/>
  <c r="AJ18" i="1"/>
  <c r="AJ22" i="1" s="1"/>
  <c r="I15" i="14" s="1"/>
  <c r="E6" i="9"/>
  <c r="J31" i="11"/>
  <c r="D28" i="7"/>
  <c r="AJ113" i="1"/>
  <c r="I40" i="11" s="1"/>
  <c r="O55" i="1"/>
  <c r="G54" i="14" s="1"/>
  <c r="G53" i="14"/>
  <c r="O77" i="1"/>
  <c r="AK26" i="1"/>
  <c r="F160" i="14"/>
  <c r="AK43" i="1"/>
  <c r="AJ49" i="1"/>
  <c r="AJ51" i="1"/>
  <c r="E8" i="9"/>
  <c r="C53" i="14"/>
  <c r="K55" i="1"/>
  <c r="C54" i="14" s="1"/>
  <c r="K77" i="1"/>
  <c r="Y126" i="1"/>
  <c r="Y116" i="1"/>
  <c r="AH82" i="1"/>
  <c r="D6" i="9"/>
  <c r="K52" i="18"/>
  <c r="G11" i="11"/>
  <c r="D29" i="7"/>
  <c r="E12" i="9"/>
  <c r="C85" i="14"/>
  <c r="AH55" i="1"/>
  <c r="J31" i="18"/>
  <c r="K44" i="11"/>
  <c r="Y129" i="1"/>
  <c r="S153" i="1"/>
  <c r="T130" i="1"/>
  <c r="F47" i="11"/>
  <c r="V131" i="1"/>
  <c r="G15" i="11"/>
  <c r="E23" i="9"/>
  <c r="G41" i="11"/>
  <c r="Q130" i="1"/>
  <c r="Q131" i="1" s="1"/>
  <c r="G39" i="11"/>
  <c r="E21" i="9"/>
  <c r="E215" i="14"/>
  <c r="AJ37" i="1"/>
  <c r="E9" i="11"/>
  <c r="AF45" i="1"/>
  <c r="E8" i="11" s="1"/>
  <c r="AF47" i="1"/>
  <c r="AK12" i="1"/>
  <c r="J77" i="1"/>
  <c r="J52" i="18"/>
  <c r="F11" i="11"/>
  <c r="B85" i="14"/>
  <c r="D12" i="9"/>
  <c r="AG55" i="1"/>
  <c r="G222" i="14"/>
  <c r="E230" i="14" s="1"/>
  <c r="AJ90" i="1"/>
  <c r="AJ125" i="1" s="1"/>
  <c r="AI10" i="1"/>
  <c r="AI30" i="1"/>
  <c r="K31" i="11"/>
  <c r="F10" i="11"/>
  <c r="B38" i="14"/>
  <c r="C161" i="14"/>
  <c r="J13" i="14"/>
  <c r="J5" i="11"/>
  <c r="J23" i="11" s="1"/>
  <c r="J53" i="11" s="1"/>
  <c r="G151" i="14"/>
  <c r="AL1" i="1"/>
  <c r="AK14" i="1"/>
  <c r="AK33" i="1" s="1"/>
  <c r="AK42" i="1"/>
  <c r="K37" i="11"/>
  <c r="U126" i="1"/>
  <c r="AG82" i="1"/>
  <c r="F8" i="11"/>
  <c r="B19" i="59"/>
  <c r="AG93" i="1"/>
  <c r="B18" i="59" s="1"/>
  <c r="J65" i="11"/>
  <c r="J67" i="11"/>
  <c r="D9" i="9"/>
  <c r="F216" i="14"/>
  <c r="AL4" i="1"/>
  <c r="AL16" i="1"/>
  <c r="G8" i="11"/>
  <c r="U141" i="1"/>
  <c r="E47" i="11"/>
  <c r="C12" i="11"/>
  <c r="AD77" i="1"/>
  <c r="D53" i="14"/>
  <c r="L55" i="1"/>
  <c r="D54" i="14" s="1"/>
  <c r="L77" i="1"/>
  <c r="G70" i="11"/>
  <c r="P80" i="1"/>
  <c r="P82" i="1"/>
  <c r="P126" i="1" s="1"/>
  <c r="P130" i="1" s="1"/>
  <c r="AE31" i="1"/>
  <c r="AE46" i="1"/>
  <c r="F53" i="14"/>
  <c r="AF54" i="1"/>
  <c r="N55" i="1"/>
  <c r="F54" i="14" s="1"/>
  <c r="E158" i="14"/>
  <c r="E164" i="14" s="1"/>
  <c r="AI156" i="1"/>
  <c r="AI164" i="1" s="1"/>
  <c r="H14" i="14"/>
  <c r="AI9" i="1"/>
  <c r="AI29" i="1"/>
  <c r="AI34" i="1" s="1"/>
  <c r="AI35" i="1" s="1"/>
  <c r="W122" i="1"/>
  <c r="F152" i="14"/>
  <c r="AK6" i="1"/>
  <c r="AK8" i="1" s="1"/>
  <c r="Q105" i="1"/>
  <c r="Y118" i="1"/>
  <c r="X119" i="1"/>
  <c r="X120" i="1" s="1"/>
  <c r="X122" i="1" s="1"/>
  <c r="U105" i="1"/>
  <c r="G31" i="9"/>
  <c r="I67" i="11"/>
  <c r="AJ8" i="1"/>
  <c r="AN96" i="1" l="1"/>
  <c r="E30" i="9"/>
  <c r="AH166" i="1"/>
  <c r="AI103" i="1"/>
  <c r="G33" i="11"/>
  <c r="AM157" i="1"/>
  <c r="AH93" i="1"/>
  <c r="AH92" i="1" s="1"/>
  <c r="G28" i="11" s="1"/>
  <c r="C18" i="59"/>
  <c r="AH95" i="1"/>
  <c r="C19" i="59"/>
  <c r="AK70" i="1"/>
  <c r="AK69" i="1" s="1"/>
  <c r="F12" i="59"/>
  <c r="M54" i="1"/>
  <c r="E53" i="14" s="1"/>
  <c r="AJ25" i="1"/>
  <c r="AJ24" i="1" s="1"/>
  <c r="AJ23" i="1"/>
  <c r="G72" i="11"/>
  <c r="G71" i="11" s="1"/>
  <c r="AK113" i="1"/>
  <c r="J40" i="11" s="1"/>
  <c r="O82" i="1"/>
  <c r="O126" i="1" s="1"/>
  <c r="O130" i="1" s="1"/>
  <c r="E59" i="11" s="1"/>
  <c r="O80" i="1"/>
  <c r="AL43" i="1"/>
  <c r="AK49" i="1"/>
  <c r="AK51" i="1"/>
  <c r="G160" i="14"/>
  <c r="AL26" i="1"/>
  <c r="K82" i="1"/>
  <c r="K80" i="1"/>
  <c r="Q153" i="1"/>
  <c r="AF153" i="1" s="1"/>
  <c r="E74" i="11" s="1"/>
  <c r="D9" i="11"/>
  <c r="AE54" i="1"/>
  <c r="D11" i="11" s="1"/>
  <c r="AE47" i="1"/>
  <c r="D10" i="11" s="1"/>
  <c r="AE45" i="1"/>
  <c r="D8" i="11" s="1"/>
  <c r="D13" i="9"/>
  <c r="F16" i="11"/>
  <c r="D224" i="14"/>
  <c r="B232" i="14" s="1"/>
  <c r="AG87" i="1"/>
  <c r="L31" i="11"/>
  <c r="F56" i="11"/>
  <c r="W130" i="1"/>
  <c r="V153" i="1"/>
  <c r="L37" i="11"/>
  <c r="AI46" i="1"/>
  <c r="AI31" i="1"/>
  <c r="E159" i="14" s="1"/>
  <c r="E10" i="9"/>
  <c r="D165" i="14"/>
  <c r="G12" i="11"/>
  <c r="G13" i="11" s="1"/>
  <c r="F26" i="7"/>
  <c r="F5" i="9"/>
  <c r="H7" i="11"/>
  <c r="D36" i="14"/>
  <c r="D84" i="14"/>
  <c r="L50" i="18"/>
  <c r="K29" i="18"/>
  <c r="F158" i="14"/>
  <c r="F164" i="14" s="1"/>
  <c r="AJ156" i="1"/>
  <c r="AJ164" i="1" s="1"/>
  <c r="T131" i="1"/>
  <c r="I14" i="14"/>
  <c r="AJ9" i="1"/>
  <c r="AJ29" i="1"/>
  <c r="AJ34" i="1" s="1"/>
  <c r="AJ35" i="1" s="1"/>
  <c r="H222" i="14"/>
  <c r="F230" i="14" s="1"/>
  <c r="AK90" i="1"/>
  <c r="AK125" i="1" s="1"/>
  <c r="L82" i="1"/>
  <c r="L80" i="1"/>
  <c r="J14" i="14"/>
  <c r="AK29" i="1"/>
  <c r="AK9" i="1"/>
  <c r="K65" i="11"/>
  <c r="K67" i="11"/>
  <c r="K13" i="14"/>
  <c r="K5" i="11"/>
  <c r="K23" i="11" s="1"/>
  <c r="K53" i="11" s="1"/>
  <c r="AL14" i="1"/>
  <c r="AL33" i="1" s="1"/>
  <c r="H151" i="14"/>
  <c r="AM1" i="1"/>
  <c r="AL42" i="1"/>
  <c r="C14" i="11"/>
  <c r="C13" i="11" s="1"/>
  <c r="AD82" i="1"/>
  <c r="J15" i="14"/>
  <c r="AK23" i="1"/>
  <c r="AK25" i="1"/>
  <c r="AK24" i="1" s="1"/>
  <c r="E13" i="9"/>
  <c r="G16" i="11"/>
  <c r="AH87" i="1"/>
  <c r="U122" i="1"/>
  <c r="Y117" i="1"/>
  <c r="AM4" i="1"/>
  <c r="G216" i="14"/>
  <c r="AL18" i="1"/>
  <c r="AL22" i="1" s="1"/>
  <c r="AM16" i="1"/>
  <c r="Y131" i="1"/>
  <c r="Y153" i="1" s="1"/>
  <c r="Y91" i="1" s="1"/>
  <c r="J82" i="1"/>
  <c r="E18" i="9"/>
  <c r="G32" i="11"/>
  <c r="AL12" i="1"/>
  <c r="AK11" i="1"/>
  <c r="N77" i="1"/>
  <c r="Q122" i="1"/>
  <c r="E11" i="11"/>
  <c r="AF55" i="1"/>
  <c r="AJ11" i="1"/>
  <c r="F215" i="14"/>
  <c r="AK37" i="1"/>
  <c r="G152" i="14"/>
  <c r="AL6" i="1"/>
  <c r="AL8" i="1" s="1"/>
  <c r="U142" i="1"/>
  <c r="AG166" i="1" s="1"/>
  <c r="AG141" i="1"/>
  <c r="E10" i="11"/>
  <c r="B161" i="14"/>
  <c r="E22" i="9"/>
  <c r="L44" i="11"/>
  <c r="G27" i="11" l="1"/>
  <c r="AO96" i="1"/>
  <c r="AI130" i="1"/>
  <c r="H59" i="11" s="1"/>
  <c r="AI104" i="1"/>
  <c r="G56" i="11"/>
  <c r="E17" i="9"/>
  <c r="E61" i="11"/>
  <c r="AF165" i="1"/>
  <c r="AF167" i="1" s="1"/>
  <c r="M55" i="1"/>
  <c r="E54" i="14" s="1"/>
  <c r="AN157" i="1"/>
  <c r="AJ103" i="1"/>
  <c r="AJ130" i="1" s="1"/>
  <c r="I59" i="11" s="1"/>
  <c r="H33" i="11"/>
  <c r="M77" i="1"/>
  <c r="AE77" i="1" s="1"/>
  <c r="D14" i="11" s="1"/>
  <c r="D19" i="59"/>
  <c r="AI95" i="1"/>
  <c r="G12" i="59"/>
  <c r="AL70" i="1"/>
  <c r="AL69" i="1" s="1"/>
  <c r="D18" i="59"/>
  <c r="AI93" i="1"/>
  <c r="E56" i="11"/>
  <c r="AL113" i="1"/>
  <c r="K40" i="11" s="1"/>
  <c r="H160" i="14"/>
  <c r="AM26" i="1"/>
  <c r="AM43" i="1"/>
  <c r="AL51" i="1"/>
  <c r="AL49" i="1"/>
  <c r="AI45" i="1"/>
  <c r="AI54" i="1"/>
  <c r="AI65" i="1" s="1"/>
  <c r="F18" i="9"/>
  <c r="K14" i="14"/>
  <c r="AL29" i="1"/>
  <c r="AL9" i="1"/>
  <c r="G45" i="11"/>
  <c r="F72" i="11"/>
  <c r="F71" i="11" s="1"/>
  <c r="D30" i="9"/>
  <c r="M31" i="11"/>
  <c r="L65" i="11"/>
  <c r="L67" i="11"/>
  <c r="H70" i="11"/>
  <c r="AI166" i="1"/>
  <c r="G158" i="14"/>
  <c r="G164" i="14" s="1"/>
  <c r="AK156" i="1"/>
  <c r="AK164" i="1" s="1"/>
  <c r="F34" i="11"/>
  <c r="F48" i="11" s="1"/>
  <c r="D20" i="9"/>
  <c r="D19" i="9" s="1"/>
  <c r="AG122" i="1"/>
  <c r="I222" i="14"/>
  <c r="AL90" i="1"/>
  <c r="AL125" i="1" s="1"/>
  <c r="F27" i="7"/>
  <c r="F28" i="7" s="1"/>
  <c r="H9" i="11"/>
  <c r="F7" i="9"/>
  <c r="F8" i="9" s="1"/>
  <c r="D37" i="14"/>
  <c r="L51" i="18"/>
  <c r="B188" i="1"/>
  <c r="B189" i="1" s="1"/>
  <c r="B191" i="1" s="1"/>
  <c r="B192" i="1" s="1"/>
  <c r="B197" i="1" s="1"/>
  <c r="K30" i="18"/>
  <c r="Y97" i="1"/>
  <c r="Y157" i="1"/>
  <c r="Y161" i="1" s="1"/>
  <c r="H26" i="7"/>
  <c r="G5" i="9"/>
  <c r="I7" i="11"/>
  <c r="E36" i="14"/>
  <c r="E84" i="14"/>
  <c r="L29" i="18"/>
  <c r="G215" i="14"/>
  <c r="AL37" i="1"/>
  <c r="M37" i="11"/>
  <c r="AL11" i="1"/>
  <c r="AM12" i="1"/>
  <c r="H57" i="11"/>
  <c r="T153" i="1"/>
  <c r="U130" i="1"/>
  <c r="L13" i="14"/>
  <c r="L5" i="11"/>
  <c r="L23" i="11" s="1"/>
  <c r="L53" i="11" s="1"/>
  <c r="I151" i="14"/>
  <c r="AM14" i="1"/>
  <c r="AM33" i="1" s="1"/>
  <c r="AN1" i="1"/>
  <c r="AM42" i="1"/>
  <c r="M44" i="11"/>
  <c r="E34" i="11"/>
  <c r="E48" i="11" s="1"/>
  <c r="AF122" i="1"/>
  <c r="W131" i="1"/>
  <c r="B165" i="14"/>
  <c r="E12" i="11"/>
  <c r="C225" i="14"/>
  <c r="AK34" i="1"/>
  <c r="AK35" i="1" s="1"/>
  <c r="AJ30" i="1"/>
  <c r="AJ10" i="1"/>
  <c r="AF77" i="1"/>
  <c r="E14" i="11" s="1"/>
  <c r="N82" i="1"/>
  <c r="AF82" i="1" s="1"/>
  <c r="H216" i="14"/>
  <c r="AN4" i="1"/>
  <c r="AM18" i="1"/>
  <c r="AM22" i="1" s="1"/>
  <c r="AN16" i="1"/>
  <c r="J7" i="11"/>
  <c r="C16" i="11"/>
  <c r="AM6" i="1"/>
  <c r="H152" i="14"/>
  <c r="AK10" i="1"/>
  <c r="AK30" i="1"/>
  <c r="K15" i="14"/>
  <c r="AL23" i="1"/>
  <c r="AL25" i="1"/>
  <c r="AL24" i="1" s="1"/>
  <c r="Y119" i="1"/>
  <c r="E9" i="9"/>
  <c r="E11" i="9"/>
  <c r="AP96" i="1" l="1"/>
  <c r="M82" i="1"/>
  <c r="AE82" i="1" s="1"/>
  <c r="AE87" i="1" s="1"/>
  <c r="M80" i="1"/>
  <c r="D12" i="11"/>
  <c r="D13" i="11" s="1"/>
  <c r="AK103" i="1"/>
  <c r="AK130" i="1" s="1"/>
  <c r="J59" i="11" s="1"/>
  <c r="AJ104" i="1"/>
  <c r="I33" i="11"/>
  <c r="H12" i="59"/>
  <c r="AM70" i="1"/>
  <c r="AM69" i="1" s="1"/>
  <c r="E19" i="59"/>
  <c r="AJ95" i="1"/>
  <c r="AO157" i="1"/>
  <c r="AI92" i="1"/>
  <c r="F17" i="9" s="1"/>
  <c r="AJ93" i="1"/>
  <c r="E18" i="59"/>
  <c r="F6" i="9"/>
  <c r="I57" i="11"/>
  <c r="AM113" i="1"/>
  <c r="L40" i="11" s="1"/>
  <c r="AN43" i="1"/>
  <c r="AM51" i="1"/>
  <c r="AM49" i="1"/>
  <c r="H32" i="11"/>
  <c r="I160" i="14"/>
  <c r="AN26" i="1"/>
  <c r="AL34" i="1"/>
  <c r="AL35" i="1" s="1"/>
  <c r="AL10" i="1"/>
  <c r="AL30" i="1"/>
  <c r="M5" i="11"/>
  <c r="M23" i="11" s="1"/>
  <c r="M53" i="11" s="1"/>
  <c r="AN14" i="1"/>
  <c r="AN33" i="1" s="1"/>
  <c r="J151" i="14"/>
  <c r="AO1" i="1"/>
  <c r="AN42" i="1"/>
  <c r="N37" i="11"/>
  <c r="AK31" i="1"/>
  <c r="G159" i="14" s="1"/>
  <c r="AK46" i="1"/>
  <c r="H215" i="14"/>
  <c r="AM37" i="1"/>
  <c r="Y105" i="1"/>
  <c r="H158" i="14"/>
  <c r="H164" i="14" s="1"/>
  <c r="AL156" i="1"/>
  <c r="AL164" i="1" s="1"/>
  <c r="I70" i="11"/>
  <c r="AJ166" i="1"/>
  <c r="B166" i="14"/>
  <c r="C223" i="14"/>
  <c r="AF170" i="1"/>
  <c r="F12" i="9"/>
  <c r="D85" i="14"/>
  <c r="H11" i="11"/>
  <c r="F29" i="7"/>
  <c r="L52" i="18"/>
  <c r="AI55" i="1"/>
  <c r="K31" i="18"/>
  <c r="F30" i="9"/>
  <c r="H72" i="11"/>
  <c r="H71" i="11" s="1"/>
  <c r="E225" i="14"/>
  <c r="E224" i="14"/>
  <c r="M65" i="11"/>
  <c r="AN150" i="1"/>
  <c r="M67" i="11" s="1"/>
  <c r="E16" i="11"/>
  <c r="C224" i="14"/>
  <c r="AF87" i="1"/>
  <c r="L15" i="14"/>
  <c r="AM23" i="1"/>
  <c r="AM25" i="1"/>
  <c r="AM24" i="1" s="1"/>
  <c r="Y120" i="1"/>
  <c r="D38" i="14"/>
  <c r="E161" i="14"/>
  <c r="H10" i="11"/>
  <c r="D16" i="11"/>
  <c r="W153" i="1"/>
  <c r="X130" i="1"/>
  <c r="K7" i="11"/>
  <c r="U131" i="1"/>
  <c r="F59" i="11"/>
  <c r="H8" i="11"/>
  <c r="C56" i="11"/>
  <c r="AD130" i="1"/>
  <c r="C59" i="11" s="1"/>
  <c r="N31" i="11"/>
  <c r="AN18" i="1"/>
  <c r="AN22" i="1" s="1"/>
  <c r="I216" i="14"/>
  <c r="AO4" i="1"/>
  <c r="AO16" i="1"/>
  <c r="AN6" i="1"/>
  <c r="I152" i="14"/>
  <c r="AM8" i="1"/>
  <c r="AM11" i="1" s="1"/>
  <c r="E13" i="11"/>
  <c r="N44" i="11"/>
  <c r="AJ46" i="1"/>
  <c r="AJ31" i="1"/>
  <c r="F159" i="14" s="1"/>
  <c r="J222" i="14"/>
  <c r="AM90" i="1"/>
  <c r="AM125" i="1" s="1"/>
  <c r="AN12" i="1"/>
  <c r="AJ129" i="1" l="1"/>
  <c r="AI129" i="1"/>
  <c r="H27" i="11"/>
  <c r="AQ96" i="1"/>
  <c r="AL103" i="1"/>
  <c r="AL130" i="1" s="1"/>
  <c r="K59" i="11" s="1"/>
  <c r="AK104" i="1"/>
  <c r="J33" i="11"/>
  <c r="D56" i="11"/>
  <c r="H28" i="11"/>
  <c r="F18" i="59"/>
  <c r="AK93" i="1"/>
  <c r="F19" i="59"/>
  <c r="AK95" i="1"/>
  <c r="AP157" i="1"/>
  <c r="AN70" i="1"/>
  <c r="AN69" i="1" s="1"/>
  <c r="I12" i="59"/>
  <c r="AN113" i="1"/>
  <c r="M40" i="11" s="1"/>
  <c r="AK45" i="1"/>
  <c r="AK54" i="1"/>
  <c r="AK65" i="1" s="1"/>
  <c r="AJ45" i="1"/>
  <c r="AJ92" i="1" s="1"/>
  <c r="AJ54" i="1"/>
  <c r="AJ65" i="1" s="1"/>
  <c r="AO43" i="1"/>
  <c r="AN51" i="1"/>
  <c r="AN49" i="1"/>
  <c r="J160" i="14"/>
  <c r="AO26" i="1"/>
  <c r="X131" i="1"/>
  <c r="G59" i="11"/>
  <c r="AH161" i="1"/>
  <c r="O37" i="11"/>
  <c r="AM10" i="1"/>
  <c r="AM30" i="1"/>
  <c r="L14" i="14"/>
  <c r="AM9" i="1"/>
  <c r="AM29" i="1"/>
  <c r="AM34" i="1" s="1"/>
  <c r="AM35" i="1" s="1"/>
  <c r="K222" i="14"/>
  <c r="AN90" i="1"/>
  <c r="AN125" i="1" s="1"/>
  <c r="J152" i="14"/>
  <c r="AO6" i="1"/>
  <c r="N5" i="11"/>
  <c r="N23" i="11" s="1"/>
  <c r="N53" i="11" s="1"/>
  <c r="K151" i="14"/>
  <c r="AP1" i="1"/>
  <c r="AO14" i="1"/>
  <c r="AO33" i="1" s="1"/>
  <c r="AO42" i="1"/>
  <c r="I215" i="14"/>
  <c r="AN37" i="1"/>
  <c r="J216" i="14"/>
  <c r="AO18" i="1"/>
  <c r="AO22" i="1" s="1"/>
  <c r="AP16" i="1"/>
  <c r="AP4" i="1"/>
  <c r="Y122" i="1"/>
  <c r="E165" i="14"/>
  <c r="F10" i="9"/>
  <c r="H12" i="11"/>
  <c r="C231" i="14"/>
  <c r="J41" i="18"/>
  <c r="J70" i="11"/>
  <c r="U153" i="1"/>
  <c r="F74" i="11" s="1"/>
  <c r="AG165" i="1"/>
  <c r="AG167" i="1" s="1"/>
  <c r="AN8" i="1"/>
  <c r="AN11" i="1" s="1"/>
  <c r="AL46" i="1"/>
  <c r="AL31" i="1"/>
  <c r="H159" i="14" s="1"/>
  <c r="I158" i="14"/>
  <c r="I164" i="14" s="1"/>
  <c r="AM156" i="1"/>
  <c r="AM164" i="1" s="1"/>
  <c r="AN23" i="1"/>
  <c r="AN25" i="1"/>
  <c r="AN24" i="1" s="1"/>
  <c r="G18" i="9"/>
  <c r="I32" i="11"/>
  <c r="J9" i="11"/>
  <c r="C232" i="14"/>
  <c r="J42" i="18"/>
  <c r="H27" i="7"/>
  <c r="H28" i="7" s="1"/>
  <c r="I9" i="11"/>
  <c r="G7" i="9"/>
  <c r="E37" i="14"/>
  <c r="L30" i="18"/>
  <c r="G46" i="11"/>
  <c r="E24" i="9"/>
  <c r="N65" i="11"/>
  <c r="AO150" i="1"/>
  <c r="N67" i="11" s="1"/>
  <c r="O31" i="11"/>
  <c r="G30" i="9"/>
  <c r="I72" i="11"/>
  <c r="I71" i="11" s="1"/>
  <c r="O44" i="11"/>
  <c r="AO12" i="1"/>
  <c r="J27" i="11" l="1"/>
  <c r="I27" i="11"/>
  <c r="AR96" i="1"/>
  <c r="AK92" i="1"/>
  <c r="J72" i="11"/>
  <c r="J71" i="11" s="1"/>
  <c r="AK166" i="1"/>
  <c r="AG170" i="1"/>
  <c r="D223" i="14"/>
  <c r="C166" i="14"/>
  <c r="AE130" i="1"/>
  <c r="D59" i="11" s="1"/>
  <c r="AM103" i="1"/>
  <c r="AM130" i="1" s="1"/>
  <c r="L59" i="11" s="1"/>
  <c r="AL104" i="1"/>
  <c r="K33" i="11"/>
  <c r="J12" i="59"/>
  <c r="AO70" i="1"/>
  <c r="AO69" i="1" s="1"/>
  <c r="G19" i="59"/>
  <c r="AL95" i="1"/>
  <c r="AQ157" i="1"/>
  <c r="AL93" i="1"/>
  <c r="G18" i="59"/>
  <c r="AO113" i="1"/>
  <c r="N40" i="11" s="1"/>
  <c r="AL45" i="1"/>
  <c r="AL54" i="1"/>
  <c r="AL65" i="1" s="1"/>
  <c r="AP43" i="1"/>
  <c r="AO51" i="1"/>
  <c r="AO49" i="1"/>
  <c r="K160" i="14"/>
  <c r="AP26" i="1"/>
  <c r="AQ26" i="1" s="1"/>
  <c r="AR26" i="1" s="1"/>
  <c r="J32" i="11"/>
  <c r="AN9" i="1"/>
  <c r="AN29" i="1"/>
  <c r="AM31" i="1"/>
  <c r="I159" i="14" s="1"/>
  <c r="AM46" i="1"/>
  <c r="D27" i="9"/>
  <c r="D29" i="9" s="1"/>
  <c r="D32" i="9" s="1"/>
  <c r="F61" i="11"/>
  <c r="P44" i="11"/>
  <c r="E38" i="14"/>
  <c r="F161" i="14"/>
  <c r="I10" i="11"/>
  <c r="J8" i="11"/>
  <c r="J11" i="11"/>
  <c r="AK55" i="1"/>
  <c r="I8" i="11"/>
  <c r="J57" i="11"/>
  <c r="L222" i="14"/>
  <c r="AO90" i="1"/>
  <c r="AO125" i="1" s="1"/>
  <c r="P37" i="11"/>
  <c r="J215" i="14"/>
  <c r="AO37" i="1"/>
  <c r="O5" i="11"/>
  <c r="O23" i="11" s="1"/>
  <c r="O53" i="11" s="1"/>
  <c r="L151" i="14"/>
  <c r="AP14" i="1"/>
  <c r="AP33" i="1" s="1"/>
  <c r="AQ1" i="1"/>
  <c r="AP42" i="1"/>
  <c r="AN10" i="1"/>
  <c r="AN30" i="1"/>
  <c r="F9" i="9"/>
  <c r="F11" i="9"/>
  <c r="AP6" i="1"/>
  <c r="AP8" i="1" s="1"/>
  <c r="K152" i="14"/>
  <c r="G47" i="11"/>
  <c r="X153" i="1"/>
  <c r="G12" i="9"/>
  <c r="E85" i="14"/>
  <c r="I11" i="11"/>
  <c r="H29" i="7"/>
  <c r="AJ55" i="1"/>
  <c r="L31" i="18"/>
  <c r="AP18" i="1"/>
  <c r="AP22" i="1" s="1"/>
  <c r="K216" i="14"/>
  <c r="AQ4" i="1"/>
  <c r="AQ16" i="1"/>
  <c r="J158" i="14"/>
  <c r="J164" i="14" s="1"/>
  <c r="AN156" i="1"/>
  <c r="AN164" i="1" s="1"/>
  <c r="P31" i="11"/>
  <c r="K70" i="11"/>
  <c r="O65" i="11"/>
  <c r="AP150" i="1"/>
  <c r="O67" i="11" s="1"/>
  <c r="G8" i="9"/>
  <c r="G6" i="9"/>
  <c r="AO8" i="1"/>
  <c r="AO11" i="1" s="1"/>
  <c r="AP12" i="1"/>
  <c r="G161" i="14"/>
  <c r="J10" i="11"/>
  <c r="K9" i="11"/>
  <c r="AO23" i="1"/>
  <c r="AO25" i="1"/>
  <c r="AO24" i="1" s="1"/>
  <c r="L7" i="11"/>
  <c r="K27" i="11" l="1"/>
  <c r="AK129" i="1"/>
  <c r="AS96" i="1"/>
  <c r="K72" i="11"/>
  <c r="K71" i="11" s="1"/>
  <c r="AL166" i="1"/>
  <c r="AL92" i="1"/>
  <c r="K28" i="11" s="1"/>
  <c r="AN103" i="1"/>
  <c r="AN130" i="1" s="1"/>
  <c r="M59" i="11" s="1"/>
  <c r="L33" i="11"/>
  <c r="AM104" i="1"/>
  <c r="AR157" i="1"/>
  <c r="H19" i="59"/>
  <c r="AM95" i="1"/>
  <c r="AM93" i="1"/>
  <c r="H18" i="59"/>
  <c r="AP70" i="1"/>
  <c r="AP69" i="1" s="1"/>
  <c r="K12" i="59"/>
  <c r="AP113" i="1"/>
  <c r="O40" i="11" s="1"/>
  <c r="AM45" i="1"/>
  <c r="AM54" i="1"/>
  <c r="AM65" i="1" s="1"/>
  <c r="AQ43" i="1"/>
  <c r="AP51" i="1"/>
  <c r="AP49" i="1"/>
  <c r="AO30" i="1"/>
  <c r="AO10" i="1"/>
  <c r="P65" i="11"/>
  <c r="AQ150" i="1"/>
  <c r="P67" i="11" s="1"/>
  <c r="AP23" i="1"/>
  <c r="AP25" i="1"/>
  <c r="AP24" i="1" s="1"/>
  <c r="H161" i="14"/>
  <c r="K10" i="11"/>
  <c r="AQ6" i="1"/>
  <c r="L152" i="14"/>
  <c r="K158" i="14"/>
  <c r="K164" i="14" s="1"/>
  <c r="AO156" i="1"/>
  <c r="AO164" i="1" s="1"/>
  <c r="L9" i="11"/>
  <c r="L70" i="11"/>
  <c r="J28" i="11"/>
  <c r="K11" i="11"/>
  <c r="AL55" i="1"/>
  <c r="Q31" i="11"/>
  <c r="M222" i="14"/>
  <c r="AP90" i="1"/>
  <c r="AP125" i="1" s="1"/>
  <c r="AP156" i="1" s="1"/>
  <c r="AP164" i="1" s="1"/>
  <c r="P5" i="11"/>
  <c r="P23" i="11" s="1"/>
  <c r="P53" i="11" s="1"/>
  <c r="AQ14" i="1"/>
  <c r="AQ33" i="1" s="1"/>
  <c r="M151" i="14"/>
  <c r="AR1" i="1"/>
  <c r="AQ42" i="1"/>
  <c r="AN34" i="1"/>
  <c r="AN35" i="1" s="1"/>
  <c r="AP11" i="1"/>
  <c r="AQ12" i="1"/>
  <c r="K215" i="14"/>
  <c r="AP37" i="1"/>
  <c r="G17" i="9"/>
  <c r="I28" i="11"/>
  <c r="M7" i="11"/>
  <c r="AN31" i="1"/>
  <c r="J159" i="14" s="1"/>
  <c r="AN46" i="1"/>
  <c r="AP9" i="1"/>
  <c r="AP29" i="1"/>
  <c r="Q37" i="11"/>
  <c r="K8" i="11"/>
  <c r="G10" i="9"/>
  <c r="I12" i="11"/>
  <c r="F165" i="14"/>
  <c r="AO29" i="1"/>
  <c r="AO34" i="1" s="1"/>
  <c r="AO35" i="1" s="1"/>
  <c r="AO9" i="1"/>
  <c r="AS26" i="1"/>
  <c r="Q44" i="11"/>
  <c r="K32" i="11"/>
  <c r="K57" i="11"/>
  <c r="AR4" i="1"/>
  <c r="AQ18" i="1"/>
  <c r="AQ22" i="1" s="1"/>
  <c r="L216" i="14"/>
  <c r="AR16" i="1"/>
  <c r="J12" i="11"/>
  <c r="G165" i="14"/>
  <c r="AM129" i="1" l="1"/>
  <c r="AL129" i="1"/>
  <c r="AT96" i="1"/>
  <c r="L72" i="11"/>
  <c r="L71" i="11" s="1"/>
  <c r="AM166" i="1"/>
  <c r="AO103" i="1"/>
  <c r="AO130" i="1" s="1"/>
  <c r="N59" i="11" s="1"/>
  <c r="M33" i="11"/>
  <c r="AN104" i="1"/>
  <c r="AS157" i="1"/>
  <c r="AM92" i="1"/>
  <c r="L28" i="11" s="1"/>
  <c r="I18" i="59"/>
  <c r="AN93" i="1"/>
  <c r="L12" i="59"/>
  <c r="AQ70" i="1"/>
  <c r="AQ69" i="1" s="1"/>
  <c r="I19" i="59"/>
  <c r="AN95" i="1"/>
  <c r="AQ113" i="1"/>
  <c r="P40" i="11" s="1"/>
  <c r="AR43" i="1"/>
  <c r="AQ51" i="1"/>
  <c r="AQ49" i="1"/>
  <c r="AN45" i="1"/>
  <c r="AN54" i="1"/>
  <c r="AN65" i="1" s="1"/>
  <c r="R44" i="11"/>
  <c r="M9" i="11"/>
  <c r="AP30" i="1"/>
  <c r="AP10" i="1"/>
  <c r="L215" i="14"/>
  <c r="AQ37" i="1"/>
  <c r="N222" i="14"/>
  <c r="AQ90" i="1"/>
  <c r="AQ125" i="1" s="1"/>
  <c r="AQ156" i="1" s="1"/>
  <c r="AQ164" i="1" s="1"/>
  <c r="R37" i="11"/>
  <c r="I161" i="14"/>
  <c r="L10" i="11"/>
  <c r="G9" i="9"/>
  <c r="G11" i="9"/>
  <c r="L8" i="11"/>
  <c r="N7" i="11"/>
  <c r="L11" i="11"/>
  <c r="AM55" i="1"/>
  <c r="M152" i="14"/>
  <c r="AR6" i="1"/>
  <c r="AR8" i="1" s="1"/>
  <c r="AT26" i="1"/>
  <c r="Q5" i="11"/>
  <c r="Q23" i="11" s="1"/>
  <c r="Q53" i="11" s="1"/>
  <c r="AR14" i="1"/>
  <c r="AR33" i="1" s="1"/>
  <c r="N151" i="14"/>
  <c r="AS1" i="1"/>
  <c r="AR42" i="1"/>
  <c r="Q65" i="11"/>
  <c r="AR150" i="1"/>
  <c r="Q67" i="11" s="1"/>
  <c r="AQ8" i="1"/>
  <c r="AQ11" i="1" s="1"/>
  <c r="AS4" i="1"/>
  <c r="M216" i="14"/>
  <c r="AR18" i="1"/>
  <c r="AR22" i="1" s="1"/>
  <c r="AS16" i="1"/>
  <c r="AQ23" i="1"/>
  <c r="AQ25" i="1"/>
  <c r="AQ24" i="1" s="1"/>
  <c r="O7" i="11"/>
  <c r="R31" i="11"/>
  <c r="AP34" i="1"/>
  <c r="AP35" i="1" s="1"/>
  <c r="L32" i="11"/>
  <c r="M70" i="11"/>
  <c r="L57" i="11"/>
  <c r="AR12" i="1"/>
  <c r="H165" i="14"/>
  <c r="K12" i="11"/>
  <c r="AO31" i="1"/>
  <c r="K159" i="14" s="1"/>
  <c r="AO46" i="1"/>
  <c r="L27" i="11" l="1"/>
  <c r="M72" i="11"/>
  <c r="M71" i="11" s="1"/>
  <c r="AN166" i="1"/>
  <c r="AP103" i="1"/>
  <c r="AP130" i="1" s="1"/>
  <c r="O59" i="11" s="1"/>
  <c r="N33" i="11"/>
  <c r="AO104" i="1"/>
  <c r="AN92" i="1"/>
  <c r="M28" i="11" s="1"/>
  <c r="J19" i="59"/>
  <c r="AO95" i="1"/>
  <c r="AT157" i="1"/>
  <c r="AR70" i="1"/>
  <c r="AR69" i="1" s="1"/>
  <c r="M12" i="59"/>
  <c r="J18" i="59"/>
  <c r="AO93" i="1"/>
  <c r="AR113" i="1"/>
  <c r="Q40" i="11" s="1"/>
  <c r="AS43" i="1"/>
  <c r="AR51" i="1"/>
  <c r="AR49" i="1"/>
  <c r="AO45" i="1"/>
  <c r="AO54" i="1"/>
  <c r="AO65" i="1" s="1"/>
  <c r="M32" i="11"/>
  <c r="O222" i="14"/>
  <c r="AR90" i="1"/>
  <c r="AR125" i="1" s="1"/>
  <c r="AR156" i="1" s="1"/>
  <c r="AR164" i="1" s="1"/>
  <c r="I165" i="14"/>
  <c r="L12" i="11"/>
  <c r="M57" i="11"/>
  <c r="AT1" i="1"/>
  <c r="R5" i="11"/>
  <c r="R23" i="11" s="1"/>
  <c r="R53" i="11" s="1"/>
  <c r="O151" i="14"/>
  <c r="AS42" i="1"/>
  <c r="AS90" i="1" s="1"/>
  <c r="AS125" i="1" s="1"/>
  <c r="AS156" i="1" s="1"/>
  <c r="AS164" i="1" s="1"/>
  <c r="AS14" i="1"/>
  <c r="AS33" i="1" s="1"/>
  <c r="AS12" i="1"/>
  <c r="AR11" i="1"/>
  <c r="AQ10" i="1"/>
  <c r="AQ30" i="1"/>
  <c r="S31" i="11"/>
  <c r="N70" i="11"/>
  <c r="M215" i="14"/>
  <c r="AR37" i="1"/>
  <c r="AP31" i="1"/>
  <c r="AP46" i="1"/>
  <c r="M10" i="11"/>
  <c r="J161" i="14"/>
  <c r="AR9" i="1"/>
  <c r="AR29" i="1"/>
  <c r="AR34" i="1" s="1"/>
  <c r="AR35" i="1" s="1"/>
  <c r="M8" i="11"/>
  <c r="N216" i="14"/>
  <c r="AT16" i="1"/>
  <c r="AT4" i="1"/>
  <c r="AS18" i="1"/>
  <c r="AS22" i="1" s="1"/>
  <c r="AR23" i="1"/>
  <c r="AR25" i="1"/>
  <c r="AR24" i="1" s="1"/>
  <c r="S37" i="11"/>
  <c r="M11" i="11"/>
  <c r="AN55" i="1"/>
  <c r="N9" i="11"/>
  <c r="AQ9" i="1"/>
  <c r="AQ29" i="1"/>
  <c r="AS6" i="1"/>
  <c r="N152" i="14"/>
  <c r="R65" i="11"/>
  <c r="AS150" i="1"/>
  <c r="R67" i="11" s="1"/>
  <c r="S44" i="11"/>
  <c r="AN129" i="1" l="1"/>
  <c r="M27" i="11"/>
  <c r="N72" i="11"/>
  <c r="N71" i="11" s="1"/>
  <c r="AO166" i="1"/>
  <c r="AO92" i="1"/>
  <c r="AQ103" i="1"/>
  <c r="AQ130" i="1" s="1"/>
  <c r="P59" i="11" s="1"/>
  <c r="AP104" i="1"/>
  <c r="O33" i="11"/>
  <c r="K19" i="59"/>
  <c r="AP95" i="1"/>
  <c r="AP93" i="1"/>
  <c r="K18" i="59"/>
  <c r="N12" i="59"/>
  <c r="AT70" i="1" s="1"/>
  <c r="AT69" i="1" s="1"/>
  <c r="AS70" i="1"/>
  <c r="AS69" i="1" s="1"/>
  <c r="AT113" i="1"/>
  <c r="S40" i="11" s="1"/>
  <c r="AS113" i="1"/>
  <c r="R40" i="11" s="1"/>
  <c r="AP45" i="1"/>
  <c r="AP54" i="1"/>
  <c r="AP65" i="1" s="1"/>
  <c r="AT43" i="1"/>
  <c r="AS51" i="1"/>
  <c r="AS49" i="1"/>
  <c r="AT12" i="1"/>
  <c r="AR10" i="1"/>
  <c r="AR30" i="1"/>
  <c r="AT6" i="1"/>
  <c r="P152" i="14" s="1"/>
  <c r="O152" i="14"/>
  <c r="N32" i="11"/>
  <c r="P7" i="11"/>
  <c r="AQ34" i="1"/>
  <c r="AQ35" i="1" s="1"/>
  <c r="AS8" i="1"/>
  <c r="AS11" i="1" s="1"/>
  <c r="N57" i="11"/>
  <c r="Q7" i="11"/>
  <c r="N11" i="11"/>
  <c r="AO55" i="1"/>
  <c r="AQ46" i="1"/>
  <c r="AQ31" i="1"/>
  <c r="S5" i="11"/>
  <c r="S23" i="11" s="1"/>
  <c r="S53" i="11" s="1"/>
  <c r="P151" i="14"/>
  <c r="AT14" i="1"/>
  <c r="AT33" i="1" s="1"/>
  <c r="AT42" i="1"/>
  <c r="AT90" i="1" s="1"/>
  <c r="AT125" i="1" s="1"/>
  <c r="AT156" i="1" s="1"/>
  <c r="AT164" i="1" s="1"/>
  <c r="M12" i="11"/>
  <c r="J165" i="14"/>
  <c r="N215" i="14"/>
  <c r="AS37" i="1"/>
  <c r="N10" i="11"/>
  <c r="K161" i="14"/>
  <c r="O216" i="14"/>
  <c r="AT18" i="1"/>
  <c r="AT22" i="1" s="1"/>
  <c r="N8" i="11"/>
  <c r="O9" i="11"/>
  <c r="O10" i="11"/>
  <c r="AS23" i="1"/>
  <c r="AS25" i="1"/>
  <c r="AS24" i="1" s="1"/>
  <c r="S65" i="11"/>
  <c r="AT150" i="1"/>
  <c r="S67" i="11" s="1"/>
  <c r="O70" i="11"/>
  <c r="N27" i="11" l="1"/>
  <c r="O27" i="11"/>
  <c r="AO129" i="1"/>
  <c r="AP92" i="1"/>
  <c r="O28" i="11" s="1"/>
  <c r="O72" i="11"/>
  <c r="O71" i="11" s="1"/>
  <c r="AP166" i="1"/>
  <c r="AR103" i="1"/>
  <c r="AR130" i="1" s="1"/>
  <c r="Q59" i="11" s="1"/>
  <c r="AQ104" i="1"/>
  <c r="P33" i="11"/>
  <c r="AQ93" i="1"/>
  <c r="L18" i="59"/>
  <c r="L19" i="59"/>
  <c r="AQ95" i="1"/>
  <c r="AT51" i="1"/>
  <c r="AT49" i="1"/>
  <c r="AT8" i="1"/>
  <c r="AT29" i="1" s="1"/>
  <c r="AQ45" i="1"/>
  <c r="AQ54" i="1"/>
  <c r="AQ65" i="1" s="1"/>
  <c r="O32" i="11"/>
  <c r="O57" i="11"/>
  <c r="P70" i="11"/>
  <c r="O215" i="14"/>
  <c r="AT37" i="1"/>
  <c r="AT23" i="1"/>
  <c r="AT25" i="1"/>
  <c r="AT24" i="1" s="1"/>
  <c r="AS10" i="1"/>
  <c r="AS30" i="1"/>
  <c r="AR46" i="1"/>
  <c r="AR31" i="1"/>
  <c r="AS9" i="1"/>
  <c r="AS29" i="1"/>
  <c r="N12" i="11"/>
  <c r="K165" i="14"/>
  <c r="N28" i="11"/>
  <c r="O11" i="11"/>
  <c r="AP55" i="1"/>
  <c r="O8" i="11"/>
  <c r="P9" i="11"/>
  <c r="P10" i="11"/>
  <c r="AP129" i="1" l="1"/>
  <c r="P72" i="11"/>
  <c r="P71" i="11" s="1"/>
  <c r="AQ166" i="1"/>
  <c r="AS103" i="1"/>
  <c r="AS130" i="1" s="1"/>
  <c r="R59" i="11" s="1"/>
  <c r="AR104" i="1"/>
  <c r="Q33" i="11"/>
  <c r="AQ92" i="1"/>
  <c r="M19" i="59"/>
  <c r="AR95" i="1"/>
  <c r="AR93" i="1"/>
  <c r="M18" i="59"/>
  <c r="AT9" i="1"/>
  <c r="AR45" i="1"/>
  <c r="AR54" i="1"/>
  <c r="AR65" i="1" s="1"/>
  <c r="AT11" i="1"/>
  <c r="AT10" i="1" s="1"/>
  <c r="P11" i="11"/>
  <c r="AQ55" i="1"/>
  <c r="Q9" i="11"/>
  <c r="Q10" i="11"/>
  <c r="S7" i="11"/>
  <c r="P8" i="11"/>
  <c r="P57" i="11"/>
  <c r="AT34" i="1"/>
  <c r="AT35" i="1" s="1"/>
  <c r="AS46" i="1"/>
  <c r="AS31" i="1"/>
  <c r="Q70" i="11"/>
  <c r="R7" i="11"/>
  <c r="O12" i="11"/>
  <c r="AS34" i="1"/>
  <c r="AS35" i="1" s="1"/>
  <c r="P27" i="11" l="1"/>
  <c r="AQ129" i="1"/>
  <c r="AR92" i="1"/>
  <c r="Q72" i="11"/>
  <c r="Q71" i="11" s="1"/>
  <c r="AR166" i="1"/>
  <c r="AT103" i="1"/>
  <c r="AT130" i="1" s="1"/>
  <c r="S59" i="11" s="1"/>
  <c r="AS104" i="1"/>
  <c r="R33" i="11"/>
  <c r="N19" i="59"/>
  <c r="AT95" i="1" s="1"/>
  <c r="AS95" i="1"/>
  <c r="AS93" i="1"/>
  <c r="N18" i="59"/>
  <c r="AT93" i="1" s="1"/>
  <c r="AT30" i="1"/>
  <c r="AT31" i="1" s="1"/>
  <c r="AS45" i="1"/>
  <c r="AS54" i="1"/>
  <c r="AS65" i="1" s="1"/>
  <c r="P32" i="11"/>
  <c r="S70" i="11"/>
  <c r="R70" i="11"/>
  <c r="Q11" i="11"/>
  <c r="AR55" i="1"/>
  <c r="P12" i="11"/>
  <c r="P28" i="11"/>
  <c r="Q8" i="11"/>
  <c r="R9" i="11"/>
  <c r="R10" i="11"/>
  <c r="S27" i="11" l="1"/>
  <c r="Q27" i="11"/>
  <c r="R27" i="11"/>
  <c r="AR129" i="1"/>
  <c r="R72" i="11"/>
  <c r="R71" i="11" s="1"/>
  <c r="AS166" i="1"/>
  <c r="S72" i="11"/>
  <c r="S71" i="11" s="1"/>
  <c r="AT166" i="1"/>
  <c r="AS92" i="1"/>
  <c r="R28" i="11" s="1"/>
  <c r="AT104" i="1"/>
  <c r="S33" i="11"/>
  <c r="AT46" i="1"/>
  <c r="AT54" i="1" s="1"/>
  <c r="AT65" i="1" s="1"/>
  <c r="Q32" i="11"/>
  <c r="Q12" i="11"/>
  <c r="R11" i="11"/>
  <c r="AS55" i="1"/>
  <c r="S10" i="11"/>
  <c r="Q28" i="11"/>
  <c r="R8" i="11"/>
  <c r="Q57" i="11"/>
  <c r="AT129" i="1" l="1"/>
  <c r="AS129" i="1"/>
  <c r="S9" i="11"/>
  <c r="AT45" i="1"/>
  <c r="AT92" i="1" s="1"/>
  <c r="S28" i="11" s="1"/>
  <c r="S11" i="11"/>
  <c r="AT55" i="1"/>
  <c r="S8" i="11" l="1"/>
  <c r="R32" i="11"/>
  <c r="R57" i="11"/>
  <c r="S32" i="11"/>
  <c r="S12" i="11"/>
  <c r="S57" i="11" l="1"/>
  <c r="R12" i="11"/>
  <c r="AH68" i="1" l="1"/>
  <c r="AH67" i="1" s="1"/>
  <c r="AH72" i="1" s="1"/>
  <c r="AJ68" i="1"/>
  <c r="AL68" i="1"/>
  <c r="AO68" i="1"/>
  <c r="AM68" i="1"/>
  <c r="AP68" i="1"/>
  <c r="AS68" i="1"/>
  <c r="AT68" i="1"/>
  <c r="AK68" i="1"/>
  <c r="AN68" i="1"/>
  <c r="AR68" i="1"/>
  <c r="AQ68" i="1"/>
  <c r="AI68" i="1"/>
  <c r="C20" i="59" l="1"/>
  <c r="AH108" i="1" l="1"/>
  <c r="AI109" i="1"/>
  <c r="G38" i="11"/>
  <c r="AH129" i="1"/>
  <c r="D20" i="59"/>
  <c r="AI108" i="1" l="1"/>
  <c r="H38" i="11" s="1"/>
  <c r="AJ109" i="1"/>
  <c r="F28" i="9"/>
  <c r="AI110" i="1"/>
  <c r="H39" i="11" s="1"/>
  <c r="E28" i="9"/>
  <c r="G60" i="11"/>
  <c r="AH131" i="1"/>
  <c r="E20" i="59"/>
  <c r="H60" i="11" l="1"/>
  <c r="AJ108" i="1"/>
  <c r="AJ110" i="1" s="1"/>
  <c r="AJ114" i="1" s="1"/>
  <c r="AK109" i="1"/>
  <c r="AI114" i="1"/>
  <c r="F23" i="9" s="1"/>
  <c r="F22" i="9" s="1"/>
  <c r="AH91" i="1"/>
  <c r="AH97" i="1" s="1"/>
  <c r="G74" i="11"/>
  <c r="F21" i="9"/>
  <c r="G28" i="9"/>
  <c r="G61" i="11"/>
  <c r="AH165" i="1"/>
  <c r="AH167" i="1" s="1"/>
  <c r="E27" i="9"/>
  <c r="E29" i="9" s="1"/>
  <c r="E32" i="9" s="1"/>
  <c r="F20" i="59"/>
  <c r="I60" i="11"/>
  <c r="G21" i="9"/>
  <c r="I39" i="11"/>
  <c r="AH105" i="1" l="1"/>
  <c r="G30" i="11"/>
  <c r="H41" i="11"/>
  <c r="I38" i="11"/>
  <c r="AH158" i="1"/>
  <c r="AH159" i="1" s="1"/>
  <c r="G76" i="11"/>
  <c r="E16" i="9"/>
  <c r="H75" i="11"/>
  <c r="G26" i="11"/>
  <c r="G29" i="11" s="1"/>
  <c r="AI67" i="1"/>
  <c r="AI72" i="1" s="1"/>
  <c r="AI77" i="1" s="1"/>
  <c r="AK108" i="1"/>
  <c r="J38" i="11" s="1"/>
  <c r="AL109" i="1"/>
  <c r="J60" i="11"/>
  <c r="AK110" i="1"/>
  <c r="AK114" i="1" s="1"/>
  <c r="J41" i="11" s="1"/>
  <c r="D166" i="14"/>
  <c r="E223" i="14"/>
  <c r="J40" i="18" s="1"/>
  <c r="AH170" i="1"/>
  <c r="G20" i="59"/>
  <c r="I41" i="11"/>
  <c r="G23" i="9"/>
  <c r="G22" i="9" s="1"/>
  <c r="E20" i="9" l="1"/>
  <c r="E19" i="9" s="1"/>
  <c r="G34" i="11"/>
  <c r="G48" i="11" s="1"/>
  <c r="AH122" i="1"/>
  <c r="J39" i="11"/>
  <c r="AI79" i="1"/>
  <c r="H15" i="11" s="1"/>
  <c r="H14" i="11"/>
  <c r="H13" i="11" s="1"/>
  <c r="AL108" i="1"/>
  <c r="AL110" i="1" s="1"/>
  <c r="K39" i="11" s="1"/>
  <c r="AM109" i="1"/>
  <c r="H20" i="59"/>
  <c r="AI82" i="1" l="1"/>
  <c r="K60" i="11"/>
  <c r="K38" i="11"/>
  <c r="AL114" i="1"/>
  <c r="K41" i="11" s="1"/>
  <c r="F13" i="9"/>
  <c r="AI87" i="1"/>
  <c r="H16" i="11"/>
  <c r="AI126" i="1"/>
  <c r="AI116" i="1"/>
  <c r="AM108" i="1"/>
  <c r="L38" i="11" s="1"/>
  <c r="AN109" i="1"/>
  <c r="I20" i="59"/>
  <c r="AM110" i="1" l="1"/>
  <c r="AM114" i="1" s="1"/>
  <c r="L41" i="11" s="1"/>
  <c r="AN108" i="1"/>
  <c r="AN110" i="1" s="1"/>
  <c r="AN114" i="1" s="1"/>
  <c r="M41" i="11" s="1"/>
  <c r="AO109" i="1"/>
  <c r="AI117" i="1"/>
  <c r="H45" i="11"/>
  <c r="L39" i="11"/>
  <c r="L60" i="11"/>
  <c r="H56" i="11"/>
  <c r="AI131" i="1"/>
  <c r="M38" i="11"/>
  <c r="M60" i="11"/>
  <c r="M39" i="11"/>
  <c r="J20" i="59"/>
  <c r="AI161" i="1" l="1"/>
  <c r="AI119" i="1"/>
  <c r="F225" i="14"/>
  <c r="F224" i="14"/>
  <c r="AO108" i="1"/>
  <c r="N38" i="11" s="1"/>
  <c r="AP109" i="1"/>
  <c r="AI165" i="1"/>
  <c r="AI167" i="1" s="1"/>
  <c r="F27" i="9"/>
  <c r="F29" i="9" s="1"/>
  <c r="F32" i="9" s="1"/>
  <c r="AI153" i="1"/>
  <c r="H61" i="11"/>
  <c r="N60" i="11"/>
  <c r="K20" i="59"/>
  <c r="AO110" i="1" l="1"/>
  <c r="N39" i="11" s="1"/>
  <c r="D232" i="14"/>
  <c r="K42" i="18"/>
  <c r="AP108" i="1"/>
  <c r="O38" i="11" s="1"/>
  <c r="AQ109" i="1"/>
  <c r="K41" i="18"/>
  <c r="D231" i="14"/>
  <c r="AI91" i="1"/>
  <c r="H74" i="11"/>
  <c r="AO114" i="1"/>
  <c r="N41" i="11" s="1"/>
  <c r="F24" i="9"/>
  <c r="H46" i="11"/>
  <c r="AI120" i="1"/>
  <c r="AI170" i="1"/>
  <c r="F223" i="14"/>
  <c r="K40" i="18" s="1"/>
  <c r="E166" i="14"/>
  <c r="O60" i="11"/>
  <c r="AP110" i="1"/>
  <c r="O39" i="11" s="1"/>
  <c r="L20" i="59"/>
  <c r="H47" i="11" l="1"/>
  <c r="AQ108" i="1"/>
  <c r="AR109" i="1"/>
  <c r="AI97" i="1"/>
  <c r="AI158" i="1"/>
  <c r="AI159" i="1" s="1"/>
  <c r="I75" i="11"/>
  <c r="AJ67" i="1"/>
  <c r="AJ72" i="1" s="1"/>
  <c r="AJ77" i="1" s="1"/>
  <c r="H76" i="11"/>
  <c r="F16" i="9"/>
  <c r="H26" i="11"/>
  <c r="AP114" i="1"/>
  <c r="O41" i="11" s="1"/>
  <c r="M20" i="59"/>
  <c r="AI105" i="1" l="1"/>
  <c r="H30" i="11"/>
  <c r="H29" i="11" s="1"/>
  <c r="AR108" i="1"/>
  <c r="Q38" i="11" s="1"/>
  <c r="AS109" i="1"/>
  <c r="P60" i="11"/>
  <c r="P38" i="11"/>
  <c r="AQ110" i="1"/>
  <c r="I14" i="11"/>
  <c r="I13" i="11" s="1"/>
  <c r="AJ79" i="1"/>
  <c r="I15" i="11" s="1"/>
  <c r="Q60" i="11"/>
  <c r="AR110" i="1"/>
  <c r="Q39" i="11" s="1"/>
  <c r="N20" i="59"/>
  <c r="AJ82" i="1" l="1"/>
  <c r="AJ87" i="1"/>
  <c r="AJ126" i="1"/>
  <c r="I16" i="11"/>
  <c r="L32" i="18"/>
  <c r="G13" i="9"/>
  <c r="AJ116" i="1"/>
  <c r="AS108" i="1"/>
  <c r="R60" i="11" s="1"/>
  <c r="AT109" i="1"/>
  <c r="AT108" i="1" s="1"/>
  <c r="S38" i="11" s="1"/>
  <c r="AR114" i="1"/>
  <c r="Q41" i="11" s="1"/>
  <c r="AQ114" i="1"/>
  <c r="P41" i="11" s="1"/>
  <c r="P39" i="11"/>
  <c r="F20" i="9"/>
  <c r="F19" i="9" s="1"/>
  <c r="H34" i="11"/>
  <c r="H48" i="11" s="1"/>
  <c r="AI122" i="1"/>
  <c r="AS110" i="1"/>
  <c r="R39" i="11" s="1"/>
  <c r="R38" i="11"/>
  <c r="AT110" i="1"/>
  <c r="S60" i="11" l="1"/>
  <c r="AS114" i="1"/>
  <c r="R41" i="11" s="1"/>
  <c r="AJ117" i="1"/>
  <c r="I45" i="11"/>
  <c r="AJ131" i="1"/>
  <c r="I56" i="11"/>
  <c r="AT114" i="1"/>
  <c r="S41" i="11" s="1"/>
  <c r="S39" i="11"/>
  <c r="AJ153" i="1" l="1"/>
  <c r="AJ165" i="1"/>
  <c r="AJ167" i="1" s="1"/>
  <c r="G27" i="9"/>
  <c r="G29" i="9" s="1"/>
  <c r="G32" i="9" s="1"/>
  <c r="I61" i="11"/>
  <c r="G225" i="14"/>
  <c r="E231" i="14" s="1"/>
  <c r="AJ119" i="1"/>
  <c r="G224" i="14"/>
  <c r="E232" i="14" s="1"/>
  <c r="AJ170" i="1" l="1"/>
  <c r="G223" i="14"/>
  <c r="F166" i="14"/>
  <c r="I46" i="11"/>
  <c r="AJ120" i="1"/>
  <c r="G24" i="9"/>
  <c r="AJ91" i="1"/>
  <c r="I74" i="11"/>
  <c r="I47" i="11" l="1"/>
  <c r="I26" i="11"/>
  <c r="AJ97" i="1"/>
  <c r="I76" i="11"/>
  <c r="AK67" i="1"/>
  <c r="AK72" i="1" s="1"/>
  <c r="AK77" i="1" s="1"/>
  <c r="J75" i="11"/>
  <c r="G16" i="9"/>
  <c r="AJ158" i="1"/>
  <c r="AJ159" i="1" s="1"/>
  <c r="I30" i="11" l="1"/>
  <c r="I29" i="11" s="1"/>
  <c r="AJ105" i="1"/>
  <c r="J14" i="11"/>
  <c r="J13" i="11" s="1"/>
  <c r="AK79" i="1"/>
  <c r="J15" i="11" s="1"/>
  <c r="AK82" i="1" l="1"/>
  <c r="AK87" i="1" s="1"/>
  <c r="I34" i="11"/>
  <c r="I48" i="11" s="1"/>
  <c r="G20" i="9"/>
  <c r="G19" i="9" s="1"/>
  <c r="AJ122" i="1"/>
  <c r="AK116" i="1" l="1"/>
  <c r="J16" i="11"/>
  <c r="AK126" i="1"/>
  <c r="J56" i="11"/>
  <c r="AK131" i="1"/>
  <c r="AK117" i="1"/>
  <c r="J45" i="11"/>
  <c r="AK119" i="1" l="1"/>
  <c r="H225" i="14"/>
  <c r="F231" i="14" s="1"/>
  <c r="H224" i="14"/>
  <c r="F232" i="14" s="1"/>
  <c r="J61" i="11"/>
  <c r="AK153" i="1"/>
  <c r="AK165" i="1"/>
  <c r="AK167" i="1" s="1"/>
  <c r="H223" i="14" l="1"/>
  <c r="AK170" i="1"/>
  <c r="G166" i="14"/>
  <c r="J74" i="11"/>
  <c r="AK91" i="1"/>
  <c r="AK120" i="1"/>
  <c r="J46" i="11"/>
  <c r="AK158" i="1" l="1"/>
  <c r="AK159" i="1" s="1"/>
  <c r="J76" i="11"/>
  <c r="AL67" i="1"/>
  <c r="AL72" i="1" s="1"/>
  <c r="AL77" i="1" s="1"/>
  <c r="J26" i="11"/>
  <c r="AK97" i="1"/>
  <c r="K75" i="11"/>
  <c r="J47" i="11"/>
  <c r="AL79" i="1" l="1"/>
  <c r="K15" i="11" s="1"/>
  <c r="K14" i="11"/>
  <c r="K13" i="11" s="1"/>
  <c r="AL82" i="1"/>
  <c r="J30" i="11"/>
  <c r="J29" i="11" s="1"/>
  <c r="AK105" i="1"/>
  <c r="AL87" i="1" l="1"/>
  <c r="K16" i="11"/>
  <c r="AL126" i="1"/>
  <c r="AL116" i="1"/>
  <c r="J34" i="11"/>
  <c r="J48" i="11" s="1"/>
  <c r="AK122" i="1"/>
  <c r="K45" i="11" l="1"/>
  <c r="AL117" i="1"/>
  <c r="K56" i="11"/>
  <c r="AL131" i="1"/>
  <c r="I225" i="14" l="1"/>
  <c r="AL119" i="1"/>
  <c r="I224" i="14"/>
  <c r="AL165" i="1"/>
  <c r="AL167" i="1" s="1"/>
  <c r="AL153" i="1"/>
  <c r="K61" i="11"/>
  <c r="AL170" i="1" l="1"/>
  <c r="I223" i="14"/>
  <c r="H166" i="14"/>
  <c r="AL120" i="1"/>
  <c r="K46" i="11"/>
  <c r="AL91" i="1"/>
  <c r="K74" i="11"/>
  <c r="L75" i="11" l="1"/>
  <c r="AL97" i="1"/>
  <c r="AL158" i="1"/>
  <c r="AL159" i="1" s="1"/>
  <c r="K76" i="11"/>
  <c r="K26" i="11"/>
  <c r="AM67" i="1"/>
  <c r="AM72" i="1" s="1"/>
  <c r="AM77" i="1" s="1"/>
  <c r="K47" i="11"/>
  <c r="K30" i="11" l="1"/>
  <c r="K29" i="11" s="1"/>
  <c r="AL105" i="1"/>
  <c r="AM79" i="1"/>
  <c r="L15" i="11" s="1"/>
  <c r="L14" i="11"/>
  <c r="L13" i="11" s="1"/>
  <c r="AM82" i="1" l="1"/>
  <c r="AM87" i="1" s="1"/>
  <c r="K34" i="11"/>
  <c r="K48" i="11" s="1"/>
  <c r="AL122" i="1"/>
  <c r="L16" i="11"/>
  <c r="AM116" i="1" l="1"/>
  <c r="AM126" i="1"/>
  <c r="L56" i="11" s="1"/>
  <c r="L45" i="11"/>
  <c r="AM117" i="1"/>
  <c r="AM131" i="1" l="1"/>
  <c r="AM165" i="1"/>
  <c r="AM167" i="1" s="1"/>
  <c r="L61" i="11"/>
  <c r="AM153" i="1"/>
  <c r="AM119" i="1"/>
  <c r="J225" i="14"/>
  <c r="J224" i="14"/>
  <c r="L74" i="11" l="1"/>
  <c r="AM91" i="1"/>
  <c r="L46" i="11"/>
  <c r="AM120" i="1"/>
  <c r="AM170" i="1"/>
  <c r="I166" i="14"/>
  <c r="J223" i="14"/>
  <c r="AN67" i="1" l="1"/>
  <c r="AN72" i="1" s="1"/>
  <c r="AN77" i="1" s="1"/>
  <c r="AM158" i="1"/>
  <c r="AM159" i="1" s="1"/>
  <c r="L26" i="11"/>
  <c r="M75" i="11"/>
  <c r="L76" i="11"/>
  <c r="AM97" i="1"/>
  <c r="L47" i="11"/>
  <c r="AM105" i="1" l="1"/>
  <c r="L30" i="11"/>
  <c r="L29" i="11" s="1"/>
  <c r="M14" i="11"/>
  <c r="M13" i="11" s="1"/>
  <c r="AN79" i="1"/>
  <c r="M15" i="11" s="1"/>
  <c r="AN82" i="1" l="1"/>
  <c r="L34" i="11"/>
  <c r="L48" i="11" s="1"/>
  <c r="AM122" i="1"/>
  <c r="AN126" i="1" l="1"/>
  <c r="AN87" i="1"/>
  <c r="M16" i="11"/>
  <c r="AN116" i="1"/>
  <c r="M45" i="11" l="1"/>
  <c r="AN117" i="1"/>
  <c r="M56" i="11"/>
  <c r="AN131" i="1"/>
  <c r="AN165" i="1" l="1"/>
  <c r="AN167" i="1" s="1"/>
  <c r="AN153" i="1"/>
  <c r="M61" i="11"/>
  <c r="K225" i="14"/>
  <c r="AN119" i="1"/>
  <c r="K224" i="14"/>
  <c r="AN120" i="1" l="1"/>
  <c r="M46" i="11"/>
  <c r="M74" i="11"/>
  <c r="AN91" i="1"/>
  <c r="K223" i="14"/>
  <c r="J166" i="14"/>
  <c r="AN170" i="1"/>
  <c r="AN97" i="1" l="1"/>
  <c r="AN158" i="1"/>
  <c r="AN159" i="1" s="1"/>
  <c r="N75" i="11"/>
  <c r="M76" i="11"/>
  <c r="AO67" i="1"/>
  <c r="AO72" i="1" s="1"/>
  <c r="AO77" i="1" s="1"/>
  <c r="M26" i="11"/>
  <c r="M47" i="11"/>
  <c r="AO79" i="1" l="1"/>
  <c r="N15" i="11" s="1"/>
  <c r="N14" i="11"/>
  <c r="N13" i="11" s="1"/>
  <c r="AN105" i="1"/>
  <c r="M30" i="11"/>
  <c r="M29" i="11" s="1"/>
  <c r="AO82" i="1" l="1"/>
  <c r="N16" i="11" s="1"/>
  <c r="M34" i="11"/>
  <c r="M48" i="11" s="1"/>
  <c r="AN122" i="1"/>
  <c r="AO126" i="1"/>
  <c r="AO87" i="1"/>
  <c r="AO116" i="1" l="1"/>
  <c r="N56" i="11"/>
  <c r="AO131" i="1"/>
  <c r="AO117" i="1"/>
  <c r="N45" i="11"/>
  <c r="AO153" i="1" l="1"/>
  <c r="N61" i="11"/>
  <c r="AO165" i="1"/>
  <c r="AO167" i="1" s="1"/>
  <c r="L225" i="14"/>
  <c r="AO119" i="1"/>
  <c r="L224" i="14"/>
  <c r="N46" i="11" l="1"/>
  <c r="AO120" i="1"/>
  <c r="K166" i="14"/>
  <c r="AO170" i="1"/>
  <c r="L223" i="14"/>
  <c r="N74" i="11"/>
  <c r="AO91" i="1"/>
  <c r="N47" i="11" l="1"/>
  <c r="AP67" i="1"/>
  <c r="AP72" i="1" s="1"/>
  <c r="AP77" i="1" s="1"/>
  <c r="O75" i="11"/>
  <c r="N26" i="11"/>
  <c r="AO158" i="1"/>
  <c r="AO159" i="1" s="1"/>
  <c r="N76" i="11"/>
  <c r="AO97" i="1"/>
  <c r="AO105" i="1" l="1"/>
  <c r="N30" i="11"/>
  <c r="N29" i="11" s="1"/>
  <c r="AP79" i="1"/>
  <c r="O15" i="11" s="1"/>
  <c r="O14" i="11"/>
  <c r="O13" i="11" s="1"/>
  <c r="AP82" i="1" l="1"/>
  <c r="N34" i="11"/>
  <c r="N48" i="11" s="1"/>
  <c r="AO122" i="1"/>
  <c r="AP126" i="1" l="1"/>
  <c r="AP87" i="1"/>
  <c r="O16" i="11"/>
  <c r="AP116" i="1"/>
  <c r="O45" i="11" l="1"/>
  <c r="AP117" i="1"/>
  <c r="AP131" i="1"/>
  <c r="O56" i="11"/>
  <c r="AP165" i="1" l="1"/>
  <c r="AP167" i="1" s="1"/>
  <c r="O61" i="11"/>
  <c r="AP153" i="1"/>
  <c r="M225" i="14"/>
  <c r="AP119" i="1"/>
  <c r="M224" i="14"/>
  <c r="O46" i="11" l="1"/>
  <c r="AP120" i="1"/>
  <c r="O74" i="11"/>
  <c r="AP91" i="1"/>
  <c r="AP170" i="1"/>
  <c r="M223" i="14"/>
  <c r="O47" i="11" l="1"/>
  <c r="AP97" i="1"/>
  <c r="P75" i="11"/>
  <c r="AQ67" i="1"/>
  <c r="AQ72" i="1" s="1"/>
  <c r="AQ77" i="1" s="1"/>
  <c r="O76" i="11"/>
  <c r="AP158" i="1"/>
  <c r="AP159" i="1" s="1"/>
  <c r="O26" i="11"/>
  <c r="AP105" i="1" l="1"/>
  <c r="O30" i="11"/>
  <c r="O29" i="11" s="1"/>
  <c r="AQ79" i="1"/>
  <c r="P15" i="11" s="1"/>
  <c r="P14" i="11"/>
  <c r="P13" i="11" s="1"/>
  <c r="AQ82" i="1" l="1"/>
  <c r="AQ87" i="1" s="1"/>
  <c r="O34" i="11"/>
  <c r="O48" i="11" s="1"/>
  <c r="AP122" i="1"/>
  <c r="P16" i="11" l="1"/>
  <c r="AQ116" i="1"/>
  <c r="AQ117" i="1" s="1"/>
  <c r="AQ126" i="1"/>
  <c r="AQ131" i="1" s="1"/>
  <c r="P56" i="11" l="1"/>
  <c r="P45" i="11"/>
  <c r="AQ153" i="1"/>
  <c r="P61" i="11"/>
  <c r="AQ165" i="1"/>
  <c r="AQ167" i="1" s="1"/>
  <c r="N225" i="14"/>
  <c r="AQ119" i="1"/>
  <c r="N224" i="14"/>
  <c r="P46" i="11" l="1"/>
  <c r="AQ120" i="1"/>
  <c r="AQ170" i="1"/>
  <c r="N223" i="14"/>
  <c r="AQ91" i="1"/>
  <c r="P74" i="11"/>
  <c r="P47" i="11" l="1"/>
  <c r="AR67" i="1"/>
  <c r="AR72" i="1" s="1"/>
  <c r="AR77" i="1" s="1"/>
  <c r="AQ158" i="1"/>
  <c r="AQ159" i="1" s="1"/>
  <c r="P26" i="11"/>
  <c r="AQ97" i="1"/>
  <c r="Q75" i="11"/>
  <c r="P76" i="11"/>
  <c r="AQ105" i="1" l="1"/>
  <c r="P30" i="11"/>
  <c r="P29" i="11" s="1"/>
  <c r="Q14" i="11"/>
  <c r="Q13" i="11" s="1"/>
  <c r="AR79" i="1"/>
  <c r="Q15" i="11" s="1"/>
  <c r="AR82" i="1"/>
  <c r="Q16" i="11" l="1"/>
  <c r="AR87" i="1"/>
  <c r="AR116" i="1"/>
  <c r="AR126" i="1"/>
  <c r="P34" i="11"/>
  <c r="P48" i="11" s="1"/>
  <c r="AQ122" i="1"/>
  <c r="AR131" i="1" l="1"/>
  <c r="Q56" i="11"/>
  <c r="Q45" i="11"/>
  <c r="AR117" i="1"/>
  <c r="AR119" i="1" l="1"/>
  <c r="O224" i="14"/>
  <c r="O225" i="14"/>
  <c r="AR165" i="1"/>
  <c r="AR167" i="1" s="1"/>
  <c r="Q61" i="11"/>
  <c r="AR153" i="1"/>
  <c r="Q74" i="11" l="1"/>
  <c r="AR91" i="1"/>
  <c r="AR170" i="1"/>
  <c r="O223" i="14"/>
  <c r="AR120" i="1"/>
  <c r="Q47" i="11" s="1"/>
  <c r="Q46" i="11"/>
  <c r="AR97" i="1" l="1"/>
  <c r="AS67" i="1"/>
  <c r="AS72" i="1" s="1"/>
  <c r="AS77" i="1" s="1"/>
  <c r="R75" i="11"/>
  <c r="AR158" i="1"/>
  <c r="AR159" i="1" s="1"/>
  <c r="Q76" i="11"/>
  <c r="Q26" i="11"/>
  <c r="R14" i="11" l="1"/>
  <c r="R13" i="11" s="1"/>
  <c r="AS79" i="1"/>
  <c r="R15" i="11" s="1"/>
  <c r="AR105" i="1"/>
  <c r="Q30" i="11"/>
  <c r="Q29" i="11" s="1"/>
  <c r="AS82" i="1" l="1"/>
  <c r="AS87" i="1" s="1"/>
  <c r="Q34" i="11"/>
  <c r="Q48" i="11" s="1"/>
  <c r="AR122" i="1"/>
  <c r="AS126" i="1" l="1"/>
  <c r="AS131" i="1" s="1"/>
  <c r="AS116" i="1"/>
  <c r="R16" i="11"/>
  <c r="R45" i="11"/>
  <c r="AS117" i="1"/>
  <c r="AS119" i="1" s="1"/>
  <c r="R56" i="11" l="1"/>
  <c r="AS120" i="1"/>
  <c r="R47" i="11" s="1"/>
  <c r="R46" i="11"/>
  <c r="R61" i="11"/>
  <c r="AS165" i="1"/>
  <c r="AS167" i="1" s="1"/>
  <c r="AS170" i="1" s="1"/>
  <c r="AS153" i="1"/>
  <c r="AS91" i="1" l="1"/>
  <c r="R74" i="11"/>
  <c r="S75" i="11" l="1"/>
  <c r="AS97" i="1"/>
  <c r="R76" i="11"/>
  <c r="R26" i="11"/>
  <c r="AT67" i="1"/>
  <c r="AT72" i="1" s="1"/>
  <c r="AT77" i="1" s="1"/>
  <c r="AS158" i="1"/>
  <c r="AS159" i="1" s="1"/>
  <c r="AS105" i="1" l="1"/>
  <c r="R30" i="11"/>
  <c r="R29" i="11" s="1"/>
  <c r="AT79" i="1"/>
  <c r="S15" i="11" s="1"/>
  <c r="S14" i="11"/>
  <c r="S13" i="11" s="1"/>
  <c r="AT82" i="1" l="1"/>
  <c r="AT87" i="1" s="1"/>
  <c r="AS122" i="1"/>
  <c r="R34" i="11"/>
  <c r="R48" i="11" s="1"/>
  <c r="AT116" i="1" l="1"/>
  <c r="AT117" i="1" s="1"/>
  <c r="AT119" i="1" s="1"/>
  <c r="S16" i="11"/>
  <c r="AT126" i="1"/>
  <c r="AT131" i="1" s="1"/>
  <c r="S45" i="11"/>
  <c r="S56" i="11" l="1"/>
  <c r="AT120" i="1"/>
  <c r="S47" i="11" s="1"/>
  <c r="S46" i="11"/>
  <c r="S61" i="11"/>
  <c r="AT153" i="1"/>
  <c r="AT165" i="1"/>
  <c r="AT167" i="1" s="1"/>
  <c r="AT168" i="1" l="1"/>
  <c r="AT170" i="1"/>
  <c r="S74" i="11"/>
  <c r="AT91" i="1"/>
  <c r="S76" i="11" l="1"/>
  <c r="AT97" i="1"/>
  <c r="AT158" i="1"/>
  <c r="AT159" i="1" s="1"/>
  <c r="S26" i="11"/>
  <c r="AT171" i="1"/>
  <c r="AE176" i="1"/>
  <c r="AT105" i="1" l="1"/>
  <c r="S30" i="11"/>
  <c r="S29" i="11" s="1"/>
  <c r="C182" i="1"/>
  <c r="B5" i="18" s="1"/>
  <c r="C183" i="1"/>
  <c r="B4" i="18" s="1"/>
  <c r="C176" i="1"/>
  <c r="C178" i="1" s="1"/>
  <c r="C179" i="1" s="1"/>
  <c r="B196" i="1" s="1"/>
  <c r="B198" i="1" s="1"/>
  <c r="C181" i="1" l="1"/>
  <c r="B6" i="18" s="1"/>
  <c r="S34" i="11"/>
  <c r="S48" i="11" s="1"/>
  <c r="AT12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Gomes, Frederico</author>
  </authors>
  <commentList>
    <comment ref="A1" authorId="0" shapeId="0" xr:uid="{00000000-0006-0000-0000-000001000000}">
      <text>
        <r>
          <rPr>
            <b/>
            <sz val="9"/>
            <color indexed="81"/>
            <rFont val="Tahoma"/>
            <family val="2"/>
          </rPr>
          <t>&lt;?xml version="1.0" encoding="utf-8"?&gt;&lt;Schema xmlns:xsd="http://www.w3.org/2001/XMLSchema" xmlns:xsi="http://www.w3.org/2001/XMLSchema-instance" Version="2" Timestamp="1622459762"&gt;&lt;FQL&gt;&lt;Q&gt;FLWR-CA^FG_VOLUME(44345)&lt;/Q&gt;&lt;R&gt;1&lt;/R&gt;&lt;C&gt;1&lt;/C&gt;&lt;D xsi:type="xsd:double"&gt;0.41194&lt;/D&gt;&lt;/FQL&gt;&lt;FQL&gt;&lt;Q&gt;FLWR-CA^FG_PRICE(44345)&lt;/Q&gt;&lt;R&gt;1&lt;/R&gt;&lt;C&gt;1&lt;/C&gt;&lt;D xsi:type="xsd:double"&gt;0.24&lt;/D&gt;&lt;/FQL&gt;&lt;FQL&gt;&lt;Q&gt;FLWR-CA^FG_VOLUME(44344)&lt;/Q&gt;&lt;R&gt;1&lt;/R&gt;&lt;C&gt;1&lt;/C&gt;&lt;D xsi:type="xsd:double"&gt;0.41194&lt;/D&gt;&lt;/FQL&gt;&lt;FQL&gt;&lt;Q&gt;FLWR-CA^FG_PRICE(44344)&lt;/Q&gt;&lt;R&gt;1&lt;/R&gt;&lt;C&gt;1&lt;/C&gt;&lt;D xsi:type="xsd:double"&gt;0.24&lt;/D&gt;&lt;/FQL&gt;&lt;FQL&gt;&lt;Q&gt;FLWR-CA^FG_VOLUME(44343)&lt;/Q&gt;&lt;R&gt;1&lt;/R&gt;&lt;C&gt;1&lt;/C&gt;&lt;D xsi:type="xsd:double"&gt;0.514686&lt;/D&gt;&lt;/FQL&gt;&lt;FQL&gt;&lt;Q&gt;FLWR-CA^FG_PRICE(44343)&lt;/Q&gt;&lt;R&gt;1&lt;/R&gt;&lt;C&gt;1&lt;/C&gt;&lt;D xsi:type="xsd:double"&gt;0.235&lt;/D&gt;&lt;/FQL&gt;&lt;FQL&gt;&lt;Q&gt;FLWR-CA^FG_VOLUME(44342)&lt;/Q&gt;&lt;R&gt;1&lt;/R&gt;&lt;C&gt;1&lt;/C&gt;&lt;D xsi:type="xsd:double"&gt;1.095675&lt;/D&gt;&lt;/FQL&gt;&lt;FQL&gt;&lt;Q&gt;FLWR-CA^FG_PRICE(44342)&lt;/Q&gt;&lt;R&gt;1&lt;/R&gt;&lt;C&gt;1&lt;/C&gt;&lt;D xsi:type="xsd:double"&gt;0.215&lt;/D&gt;&lt;/FQL&gt;&lt;FQL&gt;&lt;Q&gt;FLWR-CA^FG_VOLUME(44341)&lt;/Q&gt;&lt;R&gt;1&lt;/R&gt;&lt;C&gt;1&lt;/C&gt;&lt;D xsi:type="xsd:double"&gt;0.591984&lt;/D&gt;&lt;/FQL&gt;&lt;FQL&gt;&lt;Q&gt;FLWR-CA^FG_PRICE(44341)&lt;/Q&gt;&lt;R&gt;1&lt;/R&gt;&lt;C&gt;1&lt;/C&gt;&lt;D xsi:type="xsd:double"&gt;0.225&lt;/D&gt;&lt;/FQL&gt;&lt;FQL&gt;&lt;Q&gt;FLWR-CA^FG_VOLUME(44340)&lt;/Q&gt;&lt;R&gt;1&lt;/R&gt;&lt;C&gt;1&lt;/C&gt;&lt;D xsi:type="xsd:double"&gt;0.135757&lt;/D&gt;&lt;/FQL&gt;&lt;FQL&gt;&lt;Q&gt;FLWR-CA^FG_PRICE(44340)&lt;/Q&gt;&lt;R&gt;1&lt;/R&gt;&lt;C&gt;1&lt;/C&gt;&lt;D xsi:type="xsd:double"&gt;0.235&lt;/D&gt;&lt;/FQL&gt;&lt;FQL&gt;&lt;Q&gt;FLWR-CA^FG_VOLUME(44337)&lt;/Q&gt;&lt;R&gt;1&lt;/R&gt;&lt;C&gt;1&lt;/C&gt;&lt;D xsi:type="xsd:double"&gt;0.135757&lt;/D&gt;&lt;/FQL&gt;&lt;FQL&gt;&lt;Q&gt;FLWR-CA^FG_PRICE(44337)&lt;/Q&gt;&lt;R&gt;1&lt;/R&gt;&lt;C&gt;1&lt;/C&gt;&lt;D xsi:type="xsd:double"&gt;0.235&lt;/D&gt;&lt;/FQL&gt;&lt;FQL&gt;&lt;Q&gt;FLWR-CA^FG_VOLUME(44336)&lt;/Q&gt;&lt;R&gt;1&lt;/R&gt;&lt;C&gt;1&lt;/C&gt;&lt;D xsi:type="xsd:double"&gt;0.169972&lt;/D&gt;&lt;/FQL&gt;&lt;FQL&gt;&lt;Q&gt;FLWR-CA^FG_PRICE(44336)&lt;/Q&gt;&lt;R&gt;1&lt;/R&gt;&lt;C&gt;1&lt;/C&gt;&lt;D xsi:type="xsd:double"&gt;0.24&lt;/D&gt;&lt;/FQL&gt;&lt;FQL&gt;&lt;Q&gt;FLWR-CA^FG_VOLUME(44335)&lt;/Q&gt;&lt;R&gt;1&lt;/R&gt;&lt;C&gt;1&lt;/C&gt;&lt;D xsi:type="xsd:double"&gt;0.227656&lt;/D&gt;&lt;/FQL&gt;&lt;FQL&gt;&lt;Q&gt;FLWR-CA^FG_PRICE(44335)&lt;/Q&gt;&lt;R&gt;1&lt;/R&gt;&lt;C&gt;1&lt;/C&gt;&lt;D xsi:type="xsd:double"&gt;0.245&lt;/D&gt;&lt;/FQL&gt;&lt;FQL&gt;&lt;Q&gt;FLWR-CA^FG_VOLUME(44334)&lt;/Q&gt;&lt;R&gt;1&lt;/R&gt;&lt;C&gt;1&lt;/C&gt;&lt;D xsi:type="xsd:double"&gt;0.169118&lt;/D&gt;&lt;/FQL&gt;&lt;FQL&gt;&lt;Q&gt;FLWR-CA^FG_PRICE(44334)&lt;/Q&gt;&lt;R&gt;1&lt;/R&gt;&lt;C&gt;1&lt;/C&gt;&lt;D xsi:type="xsd:double"&gt;0.245&lt;/D&gt;&lt;/FQL&gt;&lt;FQL&gt;&lt;Q&gt;FLWR-CA^FG_VOLUME(44333)&lt;/Q&gt;&lt;R&gt;1&lt;/R&gt;&lt;C&gt;1&lt;/C&gt;&lt;D xsi:type="xsd:double"&gt;0.330979&lt;/D&gt;&lt;/FQL&gt;&lt;FQL&gt;&lt;Q&gt;FLWR-CA^FG_PRICE(44333)&lt;/Q&gt;&lt;R&gt;1&lt;/R&gt;&lt;C&gt;1&lt;/C&gt;&lt;D xsi:type="xsd:double"&gt;0.24&lt;/D&gt;&lt;/FQL&gt;&lt;FQL&gt;&lt;Q&gt;FLWR-CA^FG_VOLUME(44330)&lt;/Q&gt;&lt;R&gt;1&lt;/R&gt;&lt;C&gt;1&lt;/C&gt;&lt;D xsi:type="xsd:double"&gt;0.087863&lt;/D&gt;&lt;/FQL&gt;&lt;FQL&gt;&lt;Q&gt;FLWR-CA^FG_PRICE(44330)&lt;/Q&gt;&lt;R&gt;1&lt;/R&gt;&lt;C&gt;1&lt;/C&gt;&lt;D xsi:type="xsd:double"&gt;0.245&lt;/D&gt;&lt;/FQL&gt;&lt;FQL&gt;&lt;Q&gt;FLWR-CA^FG_VOLUME(44329)&lt;/Q&gt;&lt;R&gt;1&lt;/R&gt;&lt;C&gt;1&lt;/C&gt;&lt;D xsi:type="xsd:double"&gt;0.239663&lt;/D&gt;&lt;/FQL&gt;&lt;FQL&gt;&lt;Q&gt;FLWR-CA^FG_PRICE(44329)&lt;/Q&gt;&lt;R&gt;1&lt;/R&gt;&lt;C&gt;1&lt;/C&gt;&lt;D xsi:type="xsd:double"&gt;0.24&lt;/D&gt;&lt;/FQL&gt;&lt;FQL&gt;&lt;Q&gt;FLWR-CA^FG_VOLUME(44328)&lt;/Q&gt;&lt;R&gt;1&lt;/R&gt;&lt;C&gt;1&lt;/C&gt;&lt;D xsi:type="xsd:double"&gt;0.355236&lt;/D&gt;&lt;/FQL&gt;&lt;FQL&gt;&lt;Q&gt;FLWR-CA^FG_PRICE(44328)&lt;/Q&gt;&lt;R&gt;1&lt;/R&gt;&lt;C&gt;1&lt;/C&gt;&lt;D xsi:type="xsd:double"&gt;0.245&lt;/D&gt;&lt;/FQL&gt;&lt;FQL&gt;&lt;Q&gt;FLWR-CA^FG_VOLUME(44327)&lt;/Q&gt;&lt;R&gt;1&lt;/R&gt;&lt;C&gt;1&lt;/C&gt;&lt;D xsi:type="xsd:double"&gt;1.053197&lt;/D&gt;&lt;/FQL&gt;&lt;FQL&gt;&lt;Q&gt;FLWR-CA^FG_PRICE(44327)&lt;/Q&gt;&lt;R&gt;1&lt;/R&gt;&lt;C&gt;1&lt;/C&gt;&lt;D xsi:type="xsd:double"&gt;0.25&lt;/D&gt;&lt;/FQL&gt;&lt;FQL&gt;&lt;Q&gt;FLWR-CA^FG_VOLUME(44326)&lt;/Q&gt;&lt;R&gt;1&lt;/R&gt;&lt;C&gt;1&lt;/C&gt;&lt;D xsi:type="xsd:double"&gt;0.413615&lt;/D&gt;&lt;/FQL&gt;&lt;FQL&gt;&lt;Q&gt;FLWR-CA^FG_PRICE(44326)&lt;/Q&gt;&lt;R&gt;1&lt;/R&gt;&lt;C&gt;1&lt;/C&gt;&lt;D xsi:type="xsd:double"&gt;0.26&lt;/D&gt;&lt;/FQL&gt;&lt;FQL&gt;&lt;Q&gt;FLWR-CA^FG_VOLUME(44323)&lt;/Q&gt;&lt;R&gt;1&lt;/R&gt;&lt;C&gt;1&lt;/C&gt;&lt;D xsi:type="xsd:double"&gt;0.161772&lt;/D&gt;&lt;/FQL&gt;&lt;FQL&gt;&lt;Q&gt;FLWR-CA^FG_PRICE(44323)&lt;/Q&gt;&lt;R&gt;1&lt;/R&gt;&lt;C&gt;1&lt;/C&gt;&lt;D xsi:type="xsd:double"&gt;0.27&lt;/D&gt;&lt;/FQL&gt;&lt;FQL&gt;&lt;Q&gt;FLWR-CA^FG_VOLUME(44322)&lt;/Q&gt;&lt;R&gt;1&lt;/R&gt;&lt;C&gt;1&lt;/C&gt;&lt;D xsi:type="xsd:double"&gt;0.061033&lt;/D&gt;&lt;/FQL&gt;&lt;FQL&gt;&lt;Q&gt;FLWR-CA^FG_PRICE(44322)&lt;/Q&gt;&lt;R&gt;1&lt;/R&gt;&lt;C&gt;1&lt;/C&gt;&lt;D xsi:type="xsd:double"&gt;0.27&lt;/D&gt;&lt;/FQL&gt;&lt;FQL&gt;&lt;Q&gt;FLWR-CA^FG_VOLUME(44321)&lt;/Q&gt;&lt;R&gt;1&lt;/R&gt;&lt;C&gt;1&lt;/C&gt;&lt;D xsi:type="xsd:double"&gt;0.104582&lt;/D&gt;&lt;/FQL&gt;&lt;FQL&gt;&lt;Q&gt;FLWR-CA^FG_PRICE(44321)&lt;/Q&gt;&lt;R&gt;1&lt;/R&gt;&lt;C&gt;1&lt;/C&gt;&lt;D xsi:type="xsd:double"&gt;0.265&lt;/D&gt;&lt;/FQL&gt;&lt;FQL&gt;&lt;Q&gt;FLWR-CA^FG_VOLUME(44320)&lt;/Q&gt;&lt;R&gt;1&lt;/R&gt;&lt;C&gt;1&lt;/C&gt;&lt;D xsi:type="xsd:double"&gt;0.349864&lt;/D&gt;&lt;/FQL&gt;&lt;FQL&gt;&lt;Q&gt;FLWR-CA^FG_PRICE(44320)&lt;/Q&gt;&lt;R&gt;1&lt;/R&gt;&lt;C&gt;1&lt;/C&gt;&lt;D xsi:type="xsd:double"&gt;0.27&lt;/D&gt;&lt;/FQL&gt;&lt;FQL&gt;&lt;Q&gt;FLWR-CA^FG_VOLUME(44319)&lt;/Q&gt;&lt;R&gt;1&lt;/R&gt;&lt;C&gt;1&lt;/C&gt;&lt;D xsi:type="xsd:double"&gt;0.343752&lt;/D&gt;&lt;/FQL&gt;&lt;FQL&gt;&lt;Q&gt;FLWR-CA^FG_PRICE(44319)&lt;/Q&gt;&lt;R&gt;1&lt;/R&gt;&lt;C&gt;1&lt;/C&gt;&lt;D xsi:type="xsd:double"&gt;0.27&lt;/D&gt;&lt;/FQL&gt;&lt;FQL&gt;&lt;Q&gt;FLWR-CA^FG_VOLUME(44316)&lt;/Q&gt;&lt;R&gt;1&lt;/R&gt;&lt;C&gt;1&lt;/C&gt;&lt;D xsi:type="xsd:double"&gt;0.164322&lt;/D&gt;&lt;/FQL&gt;&lt;FQL&gt;&lt;Q&gt;FLWR-CA^FG_PRICE(44316)&lt;/Q&gt;&lt;R&gt;1&lt;/R&gt;&lt;C&gt;1&lt;/C&gt;&lt;D xsi:type="xsd:double"&gt;0.28&lt;/D&gt;&lt;/FQL&gt;&lt;FQL&gt;&lt;Q&gt;FLWR-CA^FG_VOLUME(44315)&lt;/Q&gt;&lt;R&gt;1&lt;/R&gt;&lt;C&gt;1&lt;/C&gt;&lt;D xsi:type="xsd:double"&gt;0.630629&lt;/D&gt;&lt;/FQL&gt;&lt;FQL&gt;&lt;Q&gt;FLWR-CA^FG_PRICE(44315)&lt;/Q&gt;&lt;R&gt;1&lt;/R&gt;&lt;C&gt;1&lt;/C&gt;&lt;D xsi:type="xsd:double"&gt;0.28&lt;/D&gt;&lt;/FQL&gt;&lt;FQL&gt;&lt;Q&gt;FLWR-CA^FG_VOLUME(44314)&lt;/Q&gt;&lt;R&gt;1&lt;/R&gt;&lt;C&gt;1&lt;/C&gt;&lt;D xsi:type="xsd:double"&gt;0.82588&lt;/D&gt;&lt;/FQL&gt;&lt;FQL&gt;&lt;Q&gt;FLWR-CA^FG_PRICE(44314)&lt;/Q&gt;&lt;R&gt;1&lt;/R&gt;&lt;C&gt;1&lt;/C&gt;&lt;D xsi:type="xsd:double"&gt;0.295&lt;/D&gt;&lt;/FQL&gt;&lt;FQL&gt;&lt;Q&gt;FLWR-CA^FG_VOLUME(44313)&lt;/Q&gt;&lt;R&gt;1&lt;/R&gt;&lt;C&gt;1&lt;/C&gt;&lt;D xsi:type="xsd:double"&gt;0.921486&lt;/D&gt;&lt;/FQL&gt;&lt;FQL&gt;&lt;Q&gt;FLWR-CA^FG_PRICE(44313)&lt;/Q&gt;&lt;R&gt;1&lt;/R&gt;&lt;C&gt;1&lt;/C&gt;&lt;D xsi:type="xsd:double"&gt;0.31&lt;/D&gt;&lt;/FQL&gt;&lt;FQL&gt;&lt;Q&gt;FLWR-CA^FG_VOLUME(44312)&lt;/Q&gt;&lt;R&gt;1&lt;/R&gt;&lt;C&gt;1&lt;/C&gt;&lt;D xsi:type="xsd:double"&gt;0.178955&lt;/D&gt;&lt;/FQL&gt;&lt;FQL&gt;&lt;Q&gt;FLWR-CA^FG_PRICE(44312)&lt;/Q&gt;&lt;R&gt;1&lt;/R&gt;&lt;C&gt;1&lt;/C&gt;&lt;D xsi:type="xsd:double"&gt;0.275&lt;/D&gt;&lt;/FQL&gt;&lt;FQL&gt;&lt;Q&gt;FLWR-CA^FG_VOLUME(44309)&lt;/Q&gt;&lt;R&gt;1&lt;/R&gt;&lt;C&gt;1&lt;/C&gt;&lt;D xsi:type="xsd:double"&gt;0.079033&lt;/D&gt;&lt;/FQL&gt;&lt;FQL&gt;&lt;Q&gt;FLWR-CA^FG_PRICE(44309)&lt;/Q&gt;&lt;R&gt;1&lt;/R&gt;&lt;C&gt;1&lt;/C&gt;&lt;D xsi:type="xsd:double"&gt;0.28&lt;/D&gt;&lt;/FQL&gt;&lt;FQL&gt;&lt;Q&gt;FLWR-CA^FG_VOLUME(44308)&lt;/Q&gt;&lt;R&gt;1&lt;/R&gt;&lt;C&gt;1&lt;/C&gt;&lt;D xsi:type="xsd:double"&gt;0.235891&lt;/D&gt;&lt;/FQL&gt;&lt;FQL&gt;&lt;Q&gt;FLWR-CA^FG_PRICE(44308)&lt;/Q&gt;&lt;R&gt;1&lt;/R&gt;&lt;C&gt;1&lt;/C&gt;&lt;D xsi:type="xsd:double"&gt;0.27&lt;/D&gt;&lt;/FQL&gt;&lt;FQL&gt;&lt;Q&gt;FLWR-CA^FG_VOLUME(44307)&lt;/Q&gt;&lt;R&gt;1&lt;/R&gt;&lt;C&gt;1&lt;/C&gt;&lt;D xsi:type="xsd:double"&gt;0.155134&lt;/D&gt;&lt;/FQL&gt;&lt;FQL&gt;&lt;Q&gt;FLWR-CA^FG_PRICE(44307)&lt;/Q&gt;&lt;R&gt;1&lt;/R&gt;&lt;C&gt;1&lt;/C&gt;&lt;D xsi:type="xsd:double"&gt;0.285&lt;/D&gt;&lt;/FQL&gt;&lt;FQL&gt;&lt;Q&gt;FLWR-CA^FG_VOLUME(44306)&lt;/Q&gt;&lt;R&gt;1&lt;/R&gt;&lt;C&gt;1&lt;/C&gt;&lt;D xsi:type="xsd:double"&gt;0.422312&lt;/D&gt;&lt;/FQL&gt;&lt;FQL&gt;&lt;Q&gt;FLWR-CA^FG_PRICE(44306)&lt;/Q&gt;&lt;R&gt;1&lt;/R&gt;&lt;C&gt;1&lt;/C&gt;&lt;D xsi:type="xsd:double"&gt;0.28&lt;/D&gt;&lt;/FQL&gt;&lt;FQL&gt;&lt;Q&gt;FLWR-CA^FG_VOLUME(44305)&lt;/Q&gt;&lt;R&gt;1&lt;/R&gt;&lt;C&gt;1&lt;/C&gt;&lt;D xsi:type="xsd:double"&gt;1.190782&lt;/D&gt;&lt;/FQL&gt;&lt;FQL&gt;&lt;Q&gt;FLWR-CA^FG_PRICE(44305)&lt;/Q&gt;&lt;R&gt;1&lt;/R&gt;&lt;C&gt;1&lt;/C&gt;&lt;D xsi:type="xsd:double"&gt;0.285&lt;/D&gt;&lt;/FQL&gt;&lt;FQL&gt;&lt;Q&gt;FLWR-CA^FG_VOLUME(44302)&lt;/Q&gt;&lt;R&gt;1&lt;/R&gt;&lt;C&gt;1&lt;/C&gt;&lt;D xsi:type="xsd:double"&gt;0.273857&lt;/D&gt;&lt;/FQL&gt;&lt;FQL&gt;&lt;Q&gt;FLWR-CA^FG_PRICE(44302)&lt;/Q&gt;&lt;R&gt;1&lt;/R&gt;&lt;C&gt;1&lt;/C&gt;&lt;D xsi:type="xsd:double"&gt;0.31&lt;/D&gt;&lt;/FQL&gt;&lt;FQL&gt;&lt;Q&gt;FLWR-CA^FG_VOLUME(44301)&lt;/Q&gt;&lt;R&gt;1&lt;/R&gt;&lt;C&gt;1&lt;/C&gt;&lt;D xsi:type="xsd:double"&gt;1.058232&lt;/D&gt;&lt;/FQL&gt;&lt;FQL&gt;&lt;Q&gt;FLWR-CA^FG_PRICE(44301)&lt;/Q&gt;&lt;R&gt;1&lt;/R&gt;&lt;C&gt;1&lt;/C&gt;&lt;D xsi:type="xsd:double"&gt;0.315&lt;/D&gt;&lt;/FQL&gt;&lt;FQL&gt;&lt;Q&gt;FLWR-CA^FG_VOLUME(44300)&lt;/Q&gt;&lt;R&gt;1&lt;/R&gt;&lt;C&gt;1&lt;/C&gt;&lt;D xsi:type="xsd:double"&gt;0.274737&lt;/D&gt;&lt;/FQL&gt;&lt;FQL&gt;&lt;Q&gt;FLWR-CA^FG_PRICE(44300)&lt;/Q&gt;&lt;R&gt;1&lt;/R&gt;&lt;C&gt;1&lt;/C&gt;&lt;D xsi:type="xsd:double"&gt;0.315&lt;/D&gt;&lt;/FQL&gt;&lt;FQL&gt;&lt;Q&gt;FLWR-CA^FG_VOLUME(44299)&lt;/Q&gt;&lt;R&gt;1&lt;/R&gt;&lt;C&gt;1&lt;/C&gt;&lt;D xsi:type="xsd:double"&gt;0.269901&lt;/D&gt;&lt;/FQL&gt;&lt;FQL&gt;&lt;Q&gt;FLWR-CA^FG_PRICE(44299)&lt;/Q&gt;&lt;R&gt;1&lt;/R&gt;&lt;C&gt;1&lt;/C&gt;&lt;D xsi:type="xsd:double"&gt;0.315&lt;/D&gt;&lt;/FQL&gt;&lt;FQL&gt;&lt;Q&gt;FLWR-CA^FG_VOLUME(44298)&lt;/Q&gt;&lt;R&gt;1&lt;/R&gt;&lt;C&gt;1&lt;/C&gt;&lt;D xsi:type="xsd:double"&gt;0.226239&lt;/D&gt;&lt;/FQL&gt;&lt;FQL&gt;&lt;Q&gt;FLWR-CA^FG_PRICE(44298)&lt;/Q&gt;&lt;R&gt;1&lt;/R&gt;&lt;C&gt;1&lt;/C&gt;&lt;D xsi:type="xsd:double"&gt;0.315&lt;/D&gt;&lt;/FQL&gt;&lt;FQL&gt;&lt;Q&gt;FLWR-CA^FG_VOLUME(44295)&lt;/Q&gt;&lt;R&gt;1&lt;/R&gt;&lt;C&gt;1&lt;/C&gt;&lt;D xsi:type="xsd:double"&gt;0.208287&lt;/D&gt;&lt;/FQL&gt;&lt;FQL&gt;&lt;Q&gt;FLWR-CA^FG_PRICE(44295)&lt;/Q&gt;&lt;R&gt;1&lt;/R&gt;&lt;C&gt;1&lt;/C&gt;&lt;D xsi:type="xsd:double"&gt;0.325&lt;/D&gt;&lt;/FQL&gt;&lt;FQL&gt;&lt;Q&gt;FLWR-CA^FG_VOLUME(44294)&lt;/Q&gt;&lt;R&gt;1&lt;/R&gt;&lt;C&gt;1&lt;/C&gt;&lt;D xsi:type="xsd:double"&gt;0.269959&lt;/D&gt;&lt;/FQL&gt;&lt;FQL&gt;&lt;Q&gt;FLWR-CA^FG_PRICE(44294)&lt;/Q&gt;&lt;R&gt;1&lt;/R&gt;&lt;C&gt;1&lt;/C&gt;&lt;D xsi:type="xsd:double"&gt;0.318&lt;/D&gt;&lt;/FQL&gt;&lt;FQL&gt;&lt;Q&gt;FLWR-CA^FG_VOLUME(44293)&lt;/Q&gt;&lt;R&gt;1&lt;/R&gt;&lt;C&gt;1&lt;/C&gt;&lt;D xsi:type="xsd:double"&gt;0.646759&lt;/D&gt;&lt;/FQL&gt;&lt;FQL&gt;&lt;Q&gt;FLWR-CA^FG_PRICE(44293)&lt;/Q&gt;&lt;R&gt;1&lt;/R&gt;&lt;C&gt;1&lt;/C&gt;&lt;D xsi:type="xsd:double"&gt;0.305&lt;/D&gt;&lt;/FQL&gt;&lt;FQL&gt;&lt;Q&gt;FLWR-CA^FG_VOLUME(44292)&lt;/Q&gt;&lt;R&gt;1&lt;/R&gt;&lt;C&gt;1&lt;/C&gt;&lt;D xsi:type="xsd:double"&gt;0.233745&lt;/D&gt;&lt;/FQL&gt;&lt;FQL&gt;&lt;Q&gt;FLWR-CA^FG_PRICE(44292)&lt;/Q&gt;&lt;R&gt;1&lt;/R&gt;&lt;C&gt;1&lt;/C&gt;&lt;D xsi:type="xsd:double"&gt;0.33&lt;/D&gt;&lt;/FQL&gt;&lt;FQL&gt;&lt;Q&gt;FLWR-CA^FG_VOLUME(44291)&lt;/Q&gt;&lt;R&gt;1&lt;/R&gt;&lt;C&gt;1&lt;/C&gt;&lt;D xsi:type="xsd:double"&gt;0.258588&lt;/D&gt;&lt;/FQL&gt;&lt;FQL&gt;&lt;Q&gt;FLWR-CA^FG_PRICE(44291)&lt;/Q&gt;&lt;R&gt;1&lt;/R&gt;&lt;C&gt;1&lt;/C&gt;&lt;D xsi:type="xsd:double"&gt;0.335&lt;/D&gt;&lt;/FQL&gt;&lt;FQL&gt;&lt;Q&gt;FLWR-CA^FG_VOLUME(44288)&lt;/Q&gt;&lt;R&gt;1&lt;/R&gt;&lt;C&gt;1&lt;/C&gt;&lt;D xsi:type="xsd:double"&gt;0.206804&lt;/D&gt;&lt;/FQL&gt;&lt;FQL&gt;&lt;Q&gt;FLWR-CA^FG_PRICE(44288)&lt;/Q&gt;&lt;R&gt;1&lt;/R&gt;&lt;C&gt;1&lt;/C&gt;&lt;D xsi:type="xsd:double"&gt;0.315&lt;/D&gt;&lt;/FQL&gt;&lt;FQL&gt;&lt;Q&gt;FLWR-CA^FG_VOLUME(44287)&lt;/Q&gt;&lt;R&gt;1&lt;/R&gt;&lt;C&gt;1&lt;/C&gt;&lt;D xsi:type="xsd:double"&gt;0.206804&lt;/D&gt;&lt;/FQL&gt;&lt;FQL&gt;&lt;Q&gt;FLWR-CA^FG_PRICE(44287)&lt;/Q&gt;&lt;R&gt;1&lt;/R&gt;&lt;C&gt;1&lt;/C&gt;&lt;D xsi:type="xsd:double"&gt;0.315&lt;/D&gt;&lt;/FQL&gt;&lt;FQL&gt;&lt;Q&gt;FLWR-CA^FG_VOLUME(44286)&lt;/Q&gt;&lt;R&gt;1&lt;/R&gt;&lt;C&gt;1&lt;/C&gt;&lt;D xsi:type="xsd:double"&gt;0.51585&lt;/D&gt;&lt;/FQL&gt;&lt;FQL&gt;&lt;Q&gt;FLWR-CA^FG_PRICE(44286)&lt;/Q&gt;&lt;R&gt;1&lt;/R&gt;&lt;C&gt;1&lt;/C&gt;&lt;D xsi:type="xsd:double"&gt;0.31&lt;/D&gt;&lt;/FQL&gt;&lt;FQL&gt;&lt;Q&gt;FLWR-CA^FG_VOLUME(44285)&lt;/Q&gt;&lt;R&gt;1&lt;/R&gt;&lt;C&gt;1&lt;/C&gt;&lt;D xsi:type="xsd:double"&gt;0.542429&lt;/D&gt;&lt;/FQL&gt;&lt;FQL&gt;&lt;Q&gt;FLWR-CA^FG_PRICE(44285)&lt;/Q&gt;&lt;R&gt;1&lt;/R&gt;&lt;C&gt;1&lt;/C&gt;&lt;D xsi:type="xsd:double"&gt;0.305&lt;/D&gt;&lt;/FQL&gt;&lt;FQL&gt;&lt;Q&gt;FLWR-CA^FG_VOLUME(44284)&lt;/Q&gt;&lt;R&gt;1&lt;/R&gt;&lt;C&gt;1&lt;/C&gt;&lt;D xsi:type="xsd:double"&gt;0.116657&lt;/D&gt;&lt;/FQL&gt;&lt;FQL&gt;&lt;Q&gt;FLWR-CA^FG_PRICE(44284)&lt;/Q&gt;&lt;R&gt;1&lt;/R&gt;&lt;C&gt;1&lt;/C&gt;&lt;D xsi:type="xsd:double"&gt;0.32&lt;/D&gt;&lt;/FQL&gt;&lt;FQL&gt;&lt;Q&gt;FLWR-CA^FG_VOLUME(44281)&lt;/Q&gt;&lt;R&gt;1&lt;/R&gt;&lt;C&gt;1&lt;/C&gt;&lt;D xsi:type="xsd:double"&gt;0.281126&lt;/D&gt;&lt;/FQL&gt;&lt;FQL&gt;&lt;Q&gt;FLWR-CA^FG_PRICE(44281)&lt;/Q&gt;&lt;R&gt;1&lt;/R&gt;&lt;C&gt;1&lt;/C&gt;&lt;D xsi:type="xsd:double"&gt;0.32&lt;/D&gt;&lt;/FQL&gt;&lt;FQL&gt;&lt;Q&gt;FLWR-CA^FG_VOLUME(44280)&lt;/Q&gt;&lt;R&gt;1&lt;/R&gt;&lt;C&gt;1&lt;/C&gt;&lt;D xsi:type="xsd:double"&gt;0.891196&lt;/D&gt;&lt;/FQL&gt;&lt;FQL&gt;&lt;Q&gt;FLWR-CA^FG_PRICE(44280)&lt;/Q&gt;&lt;R&gt;1&lt;/R&gt;&lt;C&gt;1&lt;/C&gt;&lt;D xsi:type="xsd:double"&gt;0.32&lt;/D&gt;&lt;/FQL&gt;&lt;FQL&gt;&lt;Q&gt;FLWR-CA^FG_VOLUME(44279)&lt;/Q&gt;&lt;R&gt;1&lt;/R&gt;&lt;C&gt;1&lt;/C&gt;&lt;D xsi:type="xsd:double"&gt;0.33481&lt;/D&gt;&lt;/FQL&gt;&lt;FQL&gt;&lt;Q&gt;FLWR-CA^FG_PRICE(44279)&lt;/Q&gt;&lt;R&gt;1&lt;/R&gt;&lt;C&gt;1&lt;/C&gt;&lt;D xsi:type="xsd:double"&gt;0.335&lt;/D&gt;&lt;/FQL&gt;&lt;FQL&gt;&lt;Q&gt;FLWR-CA^FG_VOLUME(44278)&lt;/Q&gt;&lt;R&gt;1&lt;/R&gt;&lt;C&gt;1&lt;/C&gt;&lt;D xsi:type="xsd:double"&gt;0.235003&lt;/D&gt;&lt;/FQL&gt;&lt;FQL&gt;&lt;Q&gt;FLWR-CA^FG_PRICE(44278)&lt;/Q&gt;&lt;R&gt;1&lt;/R&gt;&lt;C&gt;1&lt;/C&gt;&lt;D xsi:type="xsd:double"&gt;0.35&lt;/D&gt;&lt;/FQL&gt;&lt;FQL&gt;&lt;Q&gt;FLWR-CA^FG_VOLUME(44277)&lt;/Q&gt;&lt;R&gt;1&lt;/R&gt;&lt;C&gt;1&lt;/C&gt;&lt;D xsi:type="xsd:double"&gt;0.534071&lt;/D&gt;&lt;/FQL&gt;&lt;FQL&gt;&lt;Q&gt;FLWR-CA^FG_PRICE(44277)&lt;/Q&gt;&lt;R&gt;1&lt;/R&gt;&lt;C&gt;1&lt;/C&gt;&lt;D xsi:type="xsd:double"&gt;0.365&lt;/D&gt;&lt;/FQL&gt;&lt;FQL&gt;&lt;Q&gt;FLWR-CA^FG_VOLUME(44274)&lt;/Q&gt;&lt;R&gt;1&lt;/R&gt;&lt;C&gt;1&lt;/C&gt;&lt;D xsi:type="xsd:double"&gt;0.577849&lt;/D&gt;&lt;/FQL&gt;&lt;FQL&gt;&lt;Q&gt;FLWR-CA^FG_PRICE(44274)&lt;/Q&gt;&lt;R&gt;1&lt;/R&gt;&lt;C&gt;1&lt;/C&gt;&lt;D xsi:type="xsd:double"&gt;0.36&lt;/D&gt;&lt;/FQL&gt;&lt;FQL&gt;&lt;Q&gt;FLWR-CA^FG_VOLUME(44273)&lt;/Q&gt;&lt;R&gt;1&lt;/R&gt;&lt;C&gt;1&lt;/C&gt;&lt;D xsi:type="xsd:double"&gt;0.933534&lt;/D&gt;&lt;/FQL&gt;&lt;FQL&gt;&lt;Q&gt;FLWR-CA^FG_PRICE(44273)&lt;/Q&gt;&lt;R&gt;1&lt;/R&gt;&lt;C&gt;1&lt;/C&gt;&lt;D xsi:type="xsd:double"&gt;0.345&lt;/D&gt;&lt;/FQL&gt;&lt;FQL&gt;&lt;Q&gt;FLWR-CA^FG_VOLUME(44272)&lt;/Q&gt;&lt;R&gt;1&lt;/R&gt;&lt;C&gt;1&lt;/C&gt;&lt;D xsi:type="xsd:double"&gt;1.470931&lt;/D&gt;&lt;/FQL&gt;&lt;FQL&gt;&lt;Q&gt;FLWR-CA^FG_PRICE(44272)&lt;/Q&gt;&lt;R&gt;1&lt;/R&gt;&lt;C&gt;1&lt;/C&gt;&lt;D xsi:type="xsd:double"&gt;0.335&lt;/D&gt;&lt;/FQL&gt;&lt;FQL&gt;&lt;Q&gt;FLWR-CA^FG_VOLUME(44271)&lt;/Q&gt;&lt;R&gt;1&lt;/R&gt;&lt;C&gt;1&lt;/C&gt;&lt;D xsi:type="xsd:double"&gt;0.508737&lt;/D&gt;&lt;/FQL&gt;&lt;FQL&gt;&lt;Q&gt;FLWR-CA^FG_PRICE(44271)&lt;/Q&gt;&lt;R&gt;1&lt;/R&gt;&lt;C&gt;1&lt;/C&gt;&lt;D xsi:type="xsd:double"&gt;0.315&lt;/D&gt;&lt;/FQL&gt;&lt;FQL&gt;&lt;Q&gt;FLWR-CA^FG_VOLUME(44270)&lt;/Q&gt;&lt;R&gt;1&lt;/R&gt;&lt;C&gt;1&lt;/C&gt;&lt;D xsi:type="xsd:double"&gt;0.331849&lt;/D&gt;&lt;/FQL&gt;&lt;FQL&gt;&lt;Q&gt;FLWR-CA^FG_PRICE(44270)&lt;/Q&gt;&lt;R&gt;1&lt;/R&gt;&lt;C&gt;1&lt;/C&gt;&lt;D xsi:type="xsd:double"&gt;0.318&lt;/D&gt;&lt;/FQL&gt;&lt;FQL&gt;&lt;Q&gt;FLWR-CA^FG_VOLUME(44267)&lt;/Q&gt;&lt;R&gt;1&lt;/R&gt;&lt;C&gt;1&lt;/C&gt;&lt;D xsi:type="xsd:double"&gt;0.511182&lt;/D&gt;&lt;/FQL&gt;&lt;FQL&gt;&lt;Q&gt;FLWR-CA^FG_PRICE(44267)&lt;/Q&gt;&lt;R&gt;1&lt;/R&gt;&lt;C&gt;1&lt;/C&gt;&lt;D xsi:type="xsd:double"&gt;0.31&lt;/D&gt;&lt;/FQL&gt;&lt;FQL&gt;&lt;Q&gt;FLWR-CA^FG_VOLUME(44266)&lt;/Q&gt;&lt;R&gt;1&lt;/R&gt;&lt;C&gt;1&lt;/C&gt;&lt;D xsi:type="xsd:double"&gt;0.521262&lt;/D&gt;&lt;/FQL&gt;&lt;FQL&gt;&lt;Q&gt;FLWR-CA^FG_PRICE(44266)&lt;/Q&gt;&lt;R&gt;1&lt;/R&gt;&lt;C&gt;1&lt;/C&gt;&lt;D xsi:type="xsd:double"&gt;0.325&lt;/D&gt;&lt;/FQL&gt;&lt;FQL&gt;&lt;Q&gt;FLWR-CA^FG_VOLUME(44265)&lt;/Q&gt;&lt;R&gt;1&lt;/R&gt;&lt;C&gt;1&lt;/C&gt;&lt;D xsi:type="xsd:double"&gt;0.316591&lt;/D&gt;&lt;/FQL&gt;&lt;FQL&gt;&lt;Q&gt;FLWR-CA^FG_PRICE(44265)&lt;/Q&gt;&lt;R&gt;1&lt;/R&gt;&lt;C&gt;1&lt;/C&gt;&lt;D xsi:type="xsd:double"&gt;0.32&lt;/D&gt;&lt;/FQL&gt;&lt;FQL&gt;&lt;Q&gt;FLWR-CA^FG_VOLUME(44264)&lt;/Q&gt;&lt;R&gt;1&lt;/R&gt;&lt;C&gt;1&lt;/C&gt;&lt;D xsi:type="xsd:double"&gt;0.576308&lt;/D&gt;&lt;/FQL&gt;&lt;FQL&gt;&lt;Q&gt;FLWR-CA^FG_PRICE(44264)&lt;/Q&gt;&lt;R&gt;1&lt;/R&gt;&lt;C&gt;1&lt;/C&gt;&lt;D xsi:type="xsd:double"&gt;0.32&lt;/D&gt;&lt;/FQL&gt;&lt;FQL&gt;&lt;Q&gt;FLWR-CA^FG_VOLUME(44263)&lt;/Q&gt;&lt;R&gt;1&lt;/R&gt;&lt;C&gt;1&lt;/C&gt;&lt;D xsi:type="xsd:double"&gt;0.675262&lt;/D&gt;&lt;/FQL&gt;&lt;FQL&gt;&lt;Q&gt;FLWR-CA^FG_PRICE(44263)&lt;/Q&gt;&lt;R&gt;1&lt;/R&gt;&lt;C&gt;1&lt;/C&gt;&lt;D xsi:type="xsd:double"&gt;0.325&lt;/D&gt;&lt;/FQL&gt;&lt;FQL&gt;&lt;Q&gt;FLWR-CA^FG_VOLUME(44260)&lt;/Q&gt;&lt;R&gt;1&lt;/R&gt;&lt;C&gt;1&lt;/C&gt;&lt;D xsi:type="xsd:double"&gt;1.21038&lt;/D&gt;&lt;/FQL&gt;&lt;FQL&gt;&lt;Q&gt;FLWR-CA^FG_PRICE(44260)&lt;/Q&gt;&lt;R&gt;1&lt;/R&gt;&lt;C&gt;1&lt;/C&gt;&lt;D xsi:type="xsd:double"&gt;0.31&lt;/D&gt;&lt;/FQL&gt;&lt;FQL&gt;&lt;Q&gt;FLWR-CA^FG_VOLUME(44259)&lt;/Q&gt;&lt;R&gt;1&lt;/R&gt;&lt;C&gt;1&lt;/C&gt;&lt;D xsi:type="xsd:double"&gt;0.610817&lt;/D&gt;&lt;/FQL&gt;&lt;FQL&gt;&lt;Q&gt;FLWR-CA^FG_PRICE(44259)&lt;/Q&gt;&lt;R&gt;1&lt;/R&gt;&lt;C&gt;1&lt;/C&gt;&lt;D xsi:type="xsd:double"&gt;0.34&lt;/D&gt;&lt;/FQL&gt;&lt;FQL&gt;&lt;Q&gt;FLWR-CA^FG_VOLUME(44258)&lt;/Q&gt;&lt;R&gt;1&lt;/R&gt;&lt;C&gt;1&lt;/C&gt;&lt;D xsi:type="xsd:double"&gt;0.337785&lt;/D&gt;&lt;/FQL&gt;&lt;FQL&gt;&lt;Q&gt;FLWR-CA^FG_PRICE(44258)&lt;/Q&gt;&lt;R&gt;1&lt;/R&gt;&lt;C&gt;1&lt;/C&gt;&lt;D xsi:type="xsd:double"&gt;0.35&lt;/D&gt;&lt;/FQL&gt;&lt;FQL&gt;&lt;Q&gt;FLWR-CA^FG_VOLUME(44257)&lt;/Q&gt;&lt;R&gt;1&lt;/R&gt;&lt;C&gt;1&lt;/C&gt;&lt;D xsi:type="xsd:double"&gt;0.656658&lt;/D&gt;&lt;/FQL&gt;&lt;FQL&gt;&lt;Q&gt;FLWR-CA^FG_PRICE(44257)&lt;/Q&gt;&lt;R&gt;1&lt;/R&gt;&lt;C&gt;1&lt;/C&gt;&lt;D xsi:type="xsd:double"&gt;0.36&lt;/D&gt;&lt;/FQL&gt;&lt;FQL&gt;&lt;Q&gt;FLWR-CA^FG_VOLUME(44256)&lt;/Q&gt;&lt;R&gt;1&lt;/R&gt;&lt;C&gt;1&lt;/C&gt;&lt;D xsi:type="xsd:double"&gt;0.252656&lt;/D&gt;&lt;/FQL&gt;&lt;FQL&gt;&lt;Q&gt;FLWR-CA^FG_PRICE(44256)&lt;/Q&gt;&lt;R&gt;1&lt;/R&gt;&lt;C&gt;1&lt;/C&gt;&lt;D xsi:type="xsd:double"&gt;0.375&lt;/D&gt;&lt;/FQL&gt;&lt;FQL&gt;&lt;Q&gt;FLWR-CA^FG_VOLUME(44253)&lt;/Q&gt;&lt;R&gt;1&lt;/R&gt;&lt;C&gt;1&lt;/C&gt;&lt;D xsi:type="xsd:double"&gt;0.506244&lt;/D&gt;&lt;/FQL&gt;&lt;FQL&gt;&lt;Q&gt;FLWR-CA^FG_PRICE(44253)&lt;/Q&gt;&lt;R&gt;1&lt;/R&gt;&lt;C&gt;1&lt;/C&gt;&lt;D xsi:type="xsd:double"&gt;0.365&lt;/D&gt;&lt;/FQL&gt;&lt;FQL&gt;&lt;Q&gt;FLWR-CA^FG_VOLUME(44252)&lt;/Q&gt;&lt;R&gt;1&lt;/R&gt;&lt;C&gt;1&lt;/C&gt;&lt;D xsi:type="xsd:double"&gt;0.331063&lt;/D&gt;&lt;/FQL&gt;&lt;FQL&gt;&lt;Q&gt;FLWR-CA^FG_PRICE(44252)&lt;/Q&gt;&lt;R&gt;1&lt;/R&gt;&lt;C&gt;1&lt;/C&gt;&lt;D xsi:type="xsd:double"&gt;0.37&lt;/D&gt;&lt;/FQL&gt;&lt;FQL&gt;&lt;Q&gt;FLWR-CA^FG_VOLUME(44251)&lt;/Q&gt;&lt;R&gt;1&lt;/R&gt;&lt;C&gt;1&lt;/C&gt;&lt;D xsi:type="xsd:double"&gt;0.302219&lt;/D&gt;&lt;/FQL&gt;&lt;FQL&gt;&lt;Q&gt;FLWR-CA^FG_PRICE(44251)&lt;/Q&gt;&lt;R&gt;1&lt;/R&gt;&lt;C&gt;1&lt;/C&gt;&lt;D xsi:type="xsd:double"&gt;0.39&lt;/D&gt;&lt;/FQL&gt;&lt;FQL&gt;&lt;Q&gt;FLWR-CA^FG_VOLUME(44250)&lt;/Q&gt;&lt;R&gt;1&lt;/R&gt;&lt;C&gt;1&lt;/C&gt;&lt;D xsi:type="xsd:double"&gt;1.17397&lt;/D&gt;&lt;/FQL&gt;&lt;FQL&gt;&lt;Q&gt;FLWR-CA^FG_PRICE(44250)&lt;/Q&gt;&lt;R&gt;1&lt;/R&gt;&lt;C&gt;1&lt;/C&gt;&lt;D xsi:type="xsd:double"&gt;0.37&lt;/D&gt;&lt;/FQL&gt;&lt;FQL&gt;&lt;Q&gt;FLWR-CA^FG_VOLUME(44249)&lt;/Q&gt;&lt;R&gt;1&lt;/R&gt;&lt;C&gt;1&lt;/C&gt;&lt;D xsi:type="xsd:double"&gt;0.726919&lt;/D&gt;&lt;/FQL&gt;&lt;FQL&gt;&lt;Q&gt;FLWR-CA^FG_PRICE(44249)&lt;/Q&gt;&lt;R&gt;1&lt;/R&gt;&lt;C&gt;1&lt;/C&gt;&lt;D xsi:type="xsd:double"&gt;0.405&lt;/D&gt;&lt;/FQL&gt;&lt;FQL&gt;&lt;Q&gt;FLWR-CA^FG_VOLUME(44246)&lt;/Q&gt;&lt;R&gt;1&lt;/R&gt;&lt;C&gt;1&lt;/C&gt;&lt;D xsi:type="xsd:double"&gt;0.519728&lt;/D&gt;&lt;/FQL&gt;&lt;FQL&gt;&lt;Q&gt;FLWR-CA^FG_PRICE(44246)&lt;/Q&gt;&lt;R&gt;1&lt;/R&gt;&lt;C&gt;1&lt;/C&gt;&lt;D xsi:type="xsd:double"&gt;0.425&lt;/D&gt;&lt;/FQL&gt;&lt;FQL&gt;&lt;Q&gt;FLWR-CA^FG_VOLUME(44245)&lt;/Q&gt;&lt;R&gt;1&lt;/R&gt;&lt;C&gt;1&lt;/C&gt;&lt;D xsi:type="xsd:double"&gt;0.741417&lt;/D&gt;&lt;/FQL&gt;&lt;FQL&gt;&lt;Q&gt;FLWR-CA^FG_PRICE(44245)&lt;/Q&gt;&lt;R&gt;1&lt;/R&gt;&lt;C&gt;1&lt;/C&gt;&lt;D xsi:type="xsd:double"&gt;0.425&lt;/D&gt;&lt;/FQL&gt;&lt;FQL&gt;&lt;Q&gt;FLWR-CA^FG_VOLUME(44244)&lt;/Q&gt;&lt;R&gt;1&lt;/R&gt;&lt;C&gt;1&lt;/C&gt;&lt;D xsi:type="xsd:double"&gt;0.345598&lt;/D&gt;&lt;/FQL&gt;&lt;FQL&gt;&lt;Q&gt;FLWR-CA^FG_PRICE(44244)&lt;/Q&gt;&lt;R&gt;1&lt;/R&gt;&lt;C&gt;1&lt;/C&gt;&lt;D xsi:type="xsd:double"&gt;0.465&lt;/D&gt;&lt;/FQL&gt;&lt;FQL&gt;&lt;Q&gt;FLWR-CA^FG_VOLUME(44243)&lt;/Q&gt;&lt;R&gt;1&lt;/R&gt;&lt;C&gt;1&lt;/C&gt;&lt;D xsi:type="xsd:double"&gt;0.564702&lt;/D&gt;&lt;/FQL&gt;&lt;FQL&gt;&lt;Q&gt;FLWR-CA^FG_PRICE(44243)&lt;/Q&gt;&lt;R&gt;1&lt;/R&gt;&lt;C&gt;1&lt;/C&gt;&lt;D xsi:type="xsd:double"&gt;0.48&lt;/D&gt;&lt;/FQL&gt;&lt;FQL&gt;&lt;Q&gt;FLWR-CA^FG_VOLUME(44242)&lt;/Q&gt;&lt;R&gt;1&lt;/R&gt;&lt;C&gt;1&lt;/C&gt;&lt;D xsi:type="xsd:double"&gt;1.136262&lt;/D&gt;&lt;/FQL&gt;&lt;FQL&gt;&lt;Q&gt;FLWR-CA^FG_PRICE(44242)&lt;/Q&gt;&lt;R&gt;1&lt;/R&gt;&lt;C&gt;1&lt;/C&gt;&lt;D xsi:type="xsd:double"&gt;0.48&lt;/D&gt;&lt;/FQL&gt;&lt;FQL&gt;&lt;Q&gt;FLWR-CA^FG_VOLUME(44239)&lt;/Q&gt;&lt;R&gt;1&lt;/R&gt;&lt;C&gt;1&lt;/C&gt;&lt;D xsi:type="xsd:double"&gt;1.136262&lt;/D&gt;&lt;/FQL&gt;&lt;FQL&gt;&lt;Q&gt;FLWR-CA^FG_PRICE(44239)&lt;/Q&gt;&lt;R&gt;1&lt;/R&gt;&lt;C&gt;1&lt;/C&gt;&lt;D xsi:type="xsd:double"&gt;0.48&lt;/D&gt;&lt;/FQL&gt;&lt;FQL&gt;&lt;Q&gt;FLWR-CA^FG_VOLUME(44238)&lt;/Q&gt;&lt;R&gt;1&lt;/R&gt;&lt;C&gt;1&lt;/C&gt;&lt;D xsi:type="xsd:double"&gt;4.04585&lt;/D&gt;&lt;/FQL&gt;&lt;FQL&gt;&lt;Q&gt;FLWR-CA^FG_PRICE(44238)&lt;/Q&gt;&lt;R&gt;1&lt;/R&gt;&lt;C&gt;1&lt;/C&gt;&lt;D xsi:type="xsd:double"&gt;0.49&lt;/D&gt;&lt;/FQL&gt;&lt;FQL&gt;&lt;Q&gt;FLWR-CA^FG_VOLUME(44237)&lt;/Q&gt;&lt;R&gt;1&lt;/R&gt;&lt;C&gt;1&lt;/C&gt;&lt;D xsi:type="xsd:double"&gt;3.82092&lt;/D&gt;&lt;/FQL&gt;&lt;FQL&gt;&lt;Q&gt;FLWR-CA^FG_PRICE(44237)&lt;/Q&gt;&lt;R&gt;1&lt;/R&gt;&lt;C&gt;1&lt;/C&gt;&lt;D xsi:type="xsd:double"&gt;0.6&lt;/D&gt;&lt;/FQL&gt;&lt;FQL&gt;&lt;Q&gt;FLWR-CA^FG_VOLUME(44236)&lt;/Q&gt;&lt;R&gt;1&lt;/R&gt;&lt;C&gt;1&lt;/C&gt;&lt;D xsi:type="xsd:double"&gt;1.449467&lt;/D&gt;&lt;/FQL&gt;&lt;FQL&gt;&lt;Q&gt;FLWR-CA^FG_PRICE(44236)&lt;/Q&gt;&lt;R&gt;1&lt;/R&gt;&lt;C&gt;1&lt;/C&gt;&lt;D xsi:type="xsd:double"&gt;0.49&lt;/D&gt;&lt;/FQL&gt;&lt;FQL&gt;&lt;Q&gt;FLWR-CA^FG_VOLUME(44235)&lt;/Q&gt;&lt;R&gt;1&lt;/R&gt;&lt;C&gt;1&lt;/C&gt;&lt;D xsi:type="xsd:double"&gt;0.977672&lt;/D&gt;&lt;/FQL&gt;&lt;FQL&gt;&lt;Q&gt;FLWR-CA^FG_PRICE(44235)&lt;/Q&gt;&lt;R&gt;1&lt;/R&gt;&lt;C&gt;1&lt;/C&gt;&lt;D xsi:type="xsd:double"&gt;0.4&lt;/D&gt;&lt;/FQL&gt;&lt;FQL&gt;&lt;Q&gt;FLWR-CA^FG_VOLUME(44232)&lt;/Q&gt;&lt;R&gt;1&lt;/R&gt;&lt;C&gt;1&lt;/C&gt;&lt;D xsi:type="xsd:double"&gt;0.395081&lt;/D&gt;&lt;/FQL&gt;&lt;FQL&gt;&lt;Q&gt;FLWR-CA^FG_PRICE(44232)&lt;/Q&gt;&lt;R&gt;1&lt;/R&gt;&lt;C&gt;1&lt;/C&gt;&lt;D xsi:type="xsd:double"&gt;0.375&lt;/D&gt;&lt;/FQL&gt;&lt;FQL&gt;&lt;Q&gt;FLWR-CA^FG_VOLUME(44231)&lt;/Q&gt;&lt;R&gt;1&lt;/R&gt;&lt;C&gt;1&lt;/C&gt;&lt;D xsi:type="xsd:double"&gt;0.535323&lt;/D&gt;&lt;/FQL&gt;&lt;FQL&gt;&lt;Q&gt;FLWR-CA^FG_PRICE(44231)&lt;/Q&gt;&lt;R&gt;1&lt;/R&gt;&lt;C&gt;1&lt;/C&gt;&lt;D xsi:type="xsd:double"&gt;0.385&lt;/D&gt;&lt;/FQL&gt;&lt;FQL&gt;&lt;Q&gt;FLWR-CA^FG_VOLUME(44230)&lt;/Q&gt;&lt;R&gt;1&lt;/R&gt;&lt;C&gt;1&lt;/C&gt;&lt;D xsi:type="xsd:double"&gt;0.404225&lt;/D&gt;&lt;/FQL&gt;&lt;FQL&gt;&lt;Q&gt;FLWR-CA^FG_PRICE(44230)&lt;/Q&gt;&lt;R&gt;1&lt;/R&gt;&lt;C&gt;1&lt;/C&gt;&lt;D xsi:type="xsd:double"&gt;0.38&lt;/D&gt;&lt;/FQL&gt;&lt;FQL&gt;&lt;Q&gt;FLWR-CA^FG_VOLUME(44229)&lt;/Q&gt;&lt;R&gt;1&lt;/R&gt;&lt;C&gt;1&lt;/C&gt;&lt;D xsi:type="xsd:double"&gt;0.332084&lt;/D&gt;&lt;/FQL&gt;&lt;FQL&gt;&lt;Q&gt;FLWR-CA^FG_PRICE(44229)&lt;/Q&gt;&lt;R&gt;1&lt;/R&gt;&lt;C&gt;1&lt;/C&gt;&lt;D xsi:type="xsd:double"&gt;0.35&lt;/D&gt;&lt;/FQL&gt;&lt;FQL&gt;&lt;Q&gt;FLWR-CA^FG_VOLUME(44228)&lt;/Q&gt;&lt;R&gt;1&lt;/R&gt;&lt;C&gt;1&lt;/C&gt;&lt;D xsi:type="xsd:double"&gt;0.162988&lt;/D&gt;&lt;/FQL&gt;&lt;FQL&gt;&lt;Q&gt;FLWR-CA^FG_PRICE(44228)&lt;/Q&gt;&lt;R&gt;1&lt;/R&gt;&lt;C&gt;1&lt;/C&gt;&lt;D xsi:type="xsd:double"&gt;0.35&lt;/D&gt;&lt;/FQL&gt;&lt;FQL&gt;&lt;Q&gt;FLWR-CA^FG_VOLUME(44225)&lt;/Q&gt;&lt;R&gt;1&lt;/R&gt;&lt;C&gt;1&lt;/C&gt;&lt;D xsi:type="xsd:double"&gt;0.248857&lt;/D&gt;&lt;/FQL&gt;&lt;FQL&gt;&lt;Q&gt;FLWR-CA^FG_PRICE(44225)&lt;/Q&gt;&lt;R&gt;1&lt;/R&gt;&lt;C&gt;1&lt;/C&gt;&lt;D xsi:type="xsd:double"&gt;0.355&lt;/D&gt;&lt;/FQL&gt;&lt;FQL&gt;&lt;Q&gt;FLWR-CA^FG_VOLUME(44224)&lt;/Q&gt;&lt;R&gt;1&lt;/R&gt;&lt;C&gt;1&lt;/C&gt;&lt;D xsi:type="xsd:double"&gt;0.077624&lt;/D&gt;&lt;/FQL&gt;&lt;FQL&gt;&lt;Q&gt;FLWR-CA^FG_PRICE(44224)&lt;/Q&gt;&lt;R&gt;1&lt;/R&gt;&lt;C&gt;1&lt;/C&gt;&lt;D xsi:type="xsd:double"&gt;0.38&lt;/D&gt;&lt;/FQL&gt;&lt;FQL&gt;&lt;Q&gt;FLWR-CA^FG_VOLUME(44223)&lt;/Q&gt;&lt;R&gt;1&lt;/R&gt;&lt;C&gt;1&lt;/C&gt;&lt;D xsi:type="xsd:double"&gt;0.484209&lt;/D&gt;&lt;/FQL&gt;&lt;FQL&gt;&lt;Q&gt;FLWR-CA^FG_PRICE(44223)&lt;/Q&gt;&lt;R&gt;1&lt;/R&gt;&lt;C&gt;1&lt;/C&gt;&lt;D xsi:type="xsd:double"&gt;0.355&lt;/D&gt;&lt;/FQL&gt;&lt;FQL&gt;&lt;Q&gt;FLWR-CA^FG_VOLUME(44222)&lt;/Q&gt;&lt;R&gt;1&lt;/R&gt;&lt;C&gt;1&lt;/C&gt;&lt;D xsi:type="xsd:double"&gt;0.388046&lt;/D&gt;&lt;/FQL&gt;&lt;FQL&gt;&lt;Q&gt;FLWR-CA^FG_PRICE(44222)&lt;/Q&gt;&lt;R&gt;1&lt;/R&gt;&lt;C&gt;1&lt;/C&gt;&lt;D xsi:type="xsd:double"&gt;0.36&lt;/D&gt;&lt;/FQL&gt;&lt;FQL&gt;&lt;Q&gt;FLWR-CA^FG_VOLUME(44221)&lt;/Q&gt;&lt;R&gt;1&lt;/R&gt;&lt;C&gt;1&lt;/C&gt;&lt;D xsi:type="xsd:double"&gt;0.670029&lt;/D&gt;&lt;/FQL&gt;&lt;FQL&gt;&lt;Q&gt;FLWR-CA^FG_PRICE(44221)&lt;/Q&gt;&lt;R&gt;1&lt;/R&gt;&lt;C&gt;1&lt;/C&gt;&lt;D xsi:type="xsd:double"&gt;0.37&lt;/D&gt;&lt;/FQL&gt;&lt;FQL&gt;&lt;Q&gt;FLWR-CA^FG_VOLUME(44218)&lt;/Q&gt;&lt;R&gt;1&lt;/R&gt;&lt;C&gt;1&lt;/C&gt;&lt;D xsi:type="xsd:double"&gt;0.383737&lt;/D&gt;&lt;/FQL&gt;&lt;FQL&gt;&lt;Q&gt;FLWR-CA^FG_PRICE(44218)&lt;/Q&gt;&lt;R&gt;1&lt;/R&gt;&lt;C&gt;1&lt;/C&gt;&lt;D xsi:type="xsd:double"&gt;0.4&lt;/D&gt;&lt;/FQL&gt;&lt;FQL&gt;&lt;Q&gt;FLWR-CA^FG_VOLUME(44217)&lt;/Q&gt;&lt;R&gt;1&lt;/R&gt;&lt;C&gt;1&lt;/C&gt;&lt;D xsi:type="xsd:double"&gt;0.184254&lt;/D&gt;&lt;/FQL&gt;&lt;FQL&gt;&lt;Q&gt;FLWR-CA^FG_PRICE(44217)&lt;/Q&gt;&lt;R&gt;1&lt;/R&gt;&lt;C&gt;1&lt;/C&gt;&lt;D xsi:type="xsd:double"&gt;0.405&lt;/D&gt;&lt;/FQL&gt;&lt;FQL&gt;&lt;Q&gt;FLWR-CA^FG_VOLUME(44216)&lt;/Q&gt;&lt;R&gt;1&lt;/R&gt;&lt;C&gt;1&lt;/C&gt;&lt;D xsi:type="xsd:double"&gt;0.207872&lt;/D&gt;&lt;/FQL&gt;&lt;FQL&gt;&lt;Q&gt;FLWR-CA^FG_PRICE(44216)&lt;/Q&gt;&lt;R&gt;1&lt;/R&gt;&lt;C&gt;1&lt;/C&gt;&lt;D xsi:type="xsd:double"&gt;0.42&lt;/D&gt;&lt;/FQL&gt;&lt;FQL&gt;&lt;Q&gt;FLWR-CA^FG_VOLUME(44215)&lt;/Q&gt;&lt;R&gt;1&lt;/R&gt;&lt;C&gt;1&lt;/C&gt;&lt;D xsi:type="xsd:double"&gt;0.565972&lt;/D&gt;&lt;/FQL&gt;&lt;FQL&gt;&lt;Q&gt;FLWR-CA^FG_PRICE(44215)&lt;/Q&gt;&lt;R&gt;1&lt;/R&gt;&lt;C&gt;1&lt;/C&gt;&lt;D xsi:type="xsd:double"&gt;0.41&lt;/D&gt;&lt;/FQL&gt;&lt;FQL&gt;&lt;Q&gt;FLWR-CA^FG_VOLUME(44214)&lt;/Q&gt;&lt;R&gt;1&lt;/R&gt;&lt;C&gt;1&lt;/C&gt;&lt;D xsi:type="xsd:double"&gt;0.183416&lt;/D&gt;&lt;/FQL&gt;&lt;FQL&gt;&lt;Q&gt;FLWR-CA^FG_PRICE(44214)&lt;/Q&gt;&lt;R&gt;1&lt;/R&gt;&lt;C&gt;1&lt;/C&gt;&lt;D xsi:type="xsd:double"&gt;0.41&lt;/D&gt;&lt;/FQL&gt;&lt;FQL&gt;&lt;Q&gt;FLWR-CA^FG_VOLUME(44211)&lt;/Q&gt;&lt;R&gt;1&lt;/R&gt;&lt;C&gt;1&lt;/C&gt;&lt;D xsi:type="xsd:double"&gt;0.467756&lt;/D&gt;&lt;/FQL&gt;&lt;FQL&gt;&lt;Q&gt;FLWR-CA^FG_PRICE(44211)&lt;/Q&gt;&lt;R&gt;1&lt;/R&gt;&lt;C&gt;1&lt;/C&gt;&lt;D xsi:type="xsd:double"&gt;0.405&lt;/D&gt;&lt;/FQL&gt;&lt;FQL&gt;&lt;Q&gt;FLWR-CA^FG_VOLUME(44210)&lt;/Q&gt;&lt;R&gt;1&lt;/R&gt;&lt;C&gt;1&lt;/C&gt;&lt;D xsi:type="xsd:double"&gt;0.339909&lt;/D&gt;&lt;/FQL&gt;&lt;FQL&gt;&lt;Q&gt;FLWR-CA^FG_PRICE(44210)&lt;/Q&gt;&lt;R&gt;1&lt;/R&gt;&lt;C&gt;1&lt;/C&gt;&lt;D xsi:type="xsd:double"&gt;0.41&lt;/D&gt;&lt;/FQL&gt;&lt;FQL&gt;&lt;Q&gt;FLWR-CA^FG_VOLUME(44209)&lt;/Q&gt;&lt;R&gt;1&lt;/R&gt;&lt;C&gt;1&lt;/C&gt;&lt;D xsi:type="xsd:double"&gt;0.127386&lt;/D&gt;&lt;/FQL&gt;&lt;FQL&gt;&lt;Q&gt;FLWR-CA^FG_PRICE(44209)&lt;/Q&gt;&lt;R&gt;1&lt;/R&gt;&lt;C&gt;1&lt;/C&gt;&lt;D xsi:type="xsd:double"&gt;0.38&lt;/D&gt;&lt;/FQL&gt;&lt;FQL&gt;&lt;Q&gt;FLWR-CA^FG_VOLUME(44208)&lt;/Q&gt;&lt;R&gt;1&lt;/R&gt;&lt;C&gt;1&lt;/C&gt;&lt;D xsi:type="xsd:double"&gt;0.362416&lt;/D&gt;&lt;/FQL&gt;&lt;FQL&gt;&lt;Q&gt;FLWR-CA^FG_PRICE(44208)&lt;/Q&gt;&lt;R&gt;1&lt;/R&gt;&lt;C&gt;1&lt;/C&gt;&lt;D xsi:type="xsd:double"&gt;0.38&lt;/D&gt;&lt;/FQL&gt;&lt;FQL&gt;&lt;Q&gt;FLWR-CA^FG_VOLUME(44207)&lt;/Q&gt;&lt;R&gt;1&lt;/R&gt;&lt;C&gt;1&lt;/C&gt;&lt;D xsi:type="xsd:double"&gt;0.254882&lt;/D&gt;&lt;/FQL&gt;&lt;FQL&gt;&lt;Q&gt;FLWR-CA^FG_PRICE(44207)&lt;/Q&gt;&lt;R&gt;1&lt;/R&gt;&lt;C&gt;1&lt;/C&gt;&lt;D xsi:type="xsd:double"&gt;0.38&lt;/D&gt;&lt;/FQL&gt;&lt;FQL&gt;&lt;Q&gt;FLWR-CA^FG_VOLUME(44204)&lt;/Q&gt;&lt;R&gt;1&lt;/R&gt;&lt;C&gt;1&lt;/C&gt;&lt;D xsi:type="xsd:double"&gt;0.415715&lt;/D&gt;&lt;/FQL&gt;&lt;FQL&gt;&lt;Q&gt;FLWR-CA^FG_PRICE(44204)&lt;/Q&gt;&lt;R&gt;1&lt;/R&gt;&lt;C&gt;1&lt;/C&gt;&lt;D xsi:type="xsd:double"&gt;0.37&lt;/D&gt;&lt;/FQL&gt;&lt;FQL&gt;&lt;Q&gt;FLWR-CA^FG_VOLUME(44203)&lt;/Q&gt;&lt;R&gt;1&lt;/R&gt;&lt;C&gt;1&lt;/C&gt;&lt;D xsi:type="xsd:double"&gt;0.306721&lt;/D&gt;&lt;/FQL&gt;&lt;FQL&gt;&lt;Q&gt;FLWR-CA^FG_PRICE(44203)&lt;/Q&gt;&lt;R&gt;1&lt;/R&gt;&lt;C&gt;1&lt;/C&gt;&lt;D xsi:type="xsd:double"&gt;0.4&lt;/D&gt;&lt;/FQL&gt;&lt;FQL&gt;&lt;Q&gt;FLWR-CA^FG_VOLUME(44202)&lt;/Q&gt;&lt;R&gt;1&lt;/R&gt;&lt;C&gt;1&lt;/C&gt;&lt;D xsi:type="xsd:double"&gt;0.339178&lt;/D&gt;&lt;/FQL&gt;&lt;FQL&gt;&lt;Q&gt;FLWR-CA^FG_PRICE(44202)&lt;/Q&gt;&lt;R&gt;1&lt;/R&gt;&lt;C&gt;1&lt;/C&gt;&lt;D xsi:type="xsd:double"&gt;0.38&lt;/D&gt;&lt;/FQL&gt;&lt;FQL&gt;&lt;Q&gt;FLWR-CA^FG_VOLUME(44201)&lt;/Q&gt;&lt;R&gt;1&lt;/R&gt;&lt;C&gt;1&lt;/C&gt;&lt;D xsi:type="xsd:double"&gt;0.108687&lt;/D&gt;&lt;/FQL&gt;&lt;FQL&gt;&lt;Q&gt;FLWR-CA^FG_PRICE(44201)&lt;/Q&gt;&lt;R&gt;1&lt;/R&gt;&lt;C&gt;1&lt;/C&gt;&lt;D xsi:type="xsd:double"&gt;0.35&lt;/D&gt;&lt;/FQL&gt;&lt;FQL&gt;&lt;Q&gt;FLWR-CA^FG_VOLUME(44200)&lt;/Q&gt;&lt;R&gt;1&lt;/R&gt;&lt;C&gt;1&lt;/C&gt;&lt;D xsi:type="xsd:double"&gt;0.079176&lt;/D&gt;&lt;/FQL&gt;&lt;FQL&gt;&lt;Q&gt;FLWR-CA^FG_PRICE(44200)&lt;/Q&gt;&lt;R&gt;1&lt;/R&gt;&lt;C&gt;1&lt;/C&gt;&lt;D xsi:type="xsd:double"&gt;0.335&lt;/D&gt;&lt;/FQL&gt;&lt;FQL&gt;&lt;Q&gt;FLWR-CA^FG_VOLUME(44197)&lt;/Q&gt;&lt;R&gt;1&lt;/R&gt;&lt;C&gt;1&lt;/C&gt;&lt;D xsi:type="xsd:double"&gt;0.722203&lt;/D&gt;&lt;/FQL&gt;&lt;FQL&gt;&lt;Q&gt;FLWR-CA^FG_PRICE(44197)&lt;/Q&gt;&lt;R&gt;1&lt;/R&gt;&lt;C&gt;1&lt;/C&gt;&lt;D xsi:type="xsd:double"&gt;0.325&lt;/D&gt;&lt;/FQL&gt;&lt;FQL&gt;&lt;Q&gt;FLWR-CA^FG_VOLUME(44196)&lt;/Q&gt;&lt;R&gt;1&lt;/R&gt;&lt;C&gt;1&lt;/C&gt;&lt;D xsi:type="xsd:double"&gt;0.722203&lt;/D&gt;&lt;/FQL&gt;&lt;FQL&gt;&lt;Q&gt;FLWR-CA^FG_PRICE(44196)&lt;/Q&gt;&lt;R&gt;1&lt;/R&gt;&lt;C&gt;1&lt;/C&gt;&lt;D xsi:type="xsd:double"&gt;0.325&lt;/D&gt;&lt;/FQL&gt;&lt;FQL&gt;&lt;Q&gt;FLWR-CA^FG_VOLUME(44195)&lt;/Q&gt;&lt;R&gt;1&lt;/R&gt;&lt;C&gt;1&lt;/C&gt;&lt;D xsi:type="xsd:double"&gt;0.660617&lt;/D&gt;&lt;/FQL&gt;&lt;FQL&gt;&lt;Q&gt;FLWR-CA^FG_PRICE(44195)&lt;/Q&gt;&lt;R&gt;1&lt;/R&gt;&lt;C&gt;1&lt;/C&gt;&lt;D xsi:type="xsd:double"&gt;0.345&lt;/D&gt;&lt;/FQL&gt;&lt;FQL&gt;&lt;Q&gt;FLWR-CA^FG_VOLUME(44194)&lt;/Q&gt;&lt;R&gt;1&lt;/R&gt;&lt;C&gt;1&lt;/C&gt;&lt;D xsi:type="xsd:double"&gt;0.565852&lt;/D&gt;&lt;/FQL&gt;&lt;FQL&gt;&lt;Q&gt;FLWR-CA^FG_PRICE(44194)&lt;/Q&gt;&lt;R&gt;1&lt;/R&gt;&lt;C&gt;1&lt;/C&gt;&lt;D xsi:type="xsd:double"&gt;0.375&lt;/D&gt;&lt;/FQL&gt;&lt;FQL&gt;&lt;Q&gt;FLWR-CA^FG_VOLUME(44193)&lt;/Q&gt;&lt;R&gt;1&lt;/R&gt;&lt;C&gt;1&lt;/C&gt;&lt;D xsi:type="xsd:double"&gt;0.137717&lt;/D&gt;&lt;/FQL&gt;&lt;FQL&gt;&lt;Q&gt;FLWR-CA^FG_PRICE(44193)&lt;/Q&gt;&lt;R&gt;1&lt;/R&gt;&lt;C&gt;1&lt;/C&gt;&lt;D xsi:type="xsd:double"&gt;0.42&lt;/D&gt;&lt;/FQL&gt;&lt;FQL&gt;&lt;Q&gt;FLWR-CA^FG_VOLUME(44190)&lt;/Q&gt;&lt;R&gt;1&lt;/R&gt;&lt;C&gt;1&lt;/C&gt;&lt;D xsi:type="xsd:double"&gt;0.137717&lt;/D&gt;&lt;/FQL&gt;&lt;FQL&gt;&lt;Q&gt;FLWR-CA^FG_PRICE(44190)&lt;/Q&gt;&lt;R&gt;1&lt;/R&gt;&lt;C&gt;1&lt;/C&gt;&lt;D xsi:type="xsd:double"&gt;0.42&lt;/D&gt;&lt;/FQL&gt;&lt;FQL&gt;&lt;Q&gt;FLWR-CA^FG_VOLUME(44189)&lt;/Q&gt;&lt;R&gt;1&lt;/R&gt;&lt;C&gt;1&lt;/C&gt;&lt;D xsi:type="xsd:double"&gt;0.137717&lt;/D&gt;&lt;/FQL&gt;&lt;FQL&gt;&lt;Q&gt;FLWR-CA^FG_PRICE(44189)&lt;/Q&gt;&lt;R&gt;1&lt;/R&gt;&lt;C&gt;1&lt;/C&gt;&lt;D xsi:type="xsd:double"&gt;0.42&lt;/D&gt;&lt;/FQL&gt;&lt;FQL&gt;&lt;Q&gt;FLWR-CA^FG_VOLUME(44188)&lt;/Q&gt;&lt;R&gt;1&lt;/R&gt;&lt;C&gt;1&lt;/C&gt;&lt;D xsi:type="xsd:double"&gt;0.219556&lt;/D&gt;&lt;/FQL&gt;&lt;FQL&gt;&lt;Q&gt;FLWR-CA^FG_PRICE(44188)&lt;/Q&gt;&lt;R&gt;1&lt;/R&gt;&lt;C&gt;1&lt;/C&gt;&lt;D xsi:type="xsd:double"&gt;0.415&lt;/D&gt;&lt;/FQL&gt;&lt;FQL&gt;&lt;Q&gt;FLWR-CA^FG_VOLUME(44187)&lt;/Q&gt;&lt;R&gt;1&lt;/R&gt;&lt;C&gt;1&lt;/C&gt;&lt;D xsi:type="xsd:double"&gt;0.188105&lt;/D&gt;&lt;/FQL&gt;&lt;FQL&gt;&lt;Q&gt;FLWR-CA^FG_PRICE(44187)&lt;/Q&gt;&lt;R&gt;1&lt;/R&gt;&lt;C&gt;1&lt;/C&gt;&lt;D xsi:type="xsd:double"&gt;0.41&lt;/D&gt;&lt;/FQL&gt;&lt;FQL&gt;&lt;Q&gt;FLWR-CA^FG_VOLUME(44186)&lt;/Q&gt;&lt;R&gt;1&lt;/R&gt;&lt;C&gt;1&lt;/C&gt;&lt;D xsi:type="xsd:double"&gt;0.112961&lt;/D&gt;&lt;/FQL&gt;&lt;FQL&gt;&lt;Q&gt;FLWR-CA^FG_PRICE(44186)&lt;/Q&gt;&lt;R&gt;1&lt;/R&gt;&lt;C&gt;1&lt;/C&gt;&lt;D xsi:type="xsd:double"&gt;0.385&lt;/D&gt;&lt;/FQL&gt;&lt;FQL&gt;&lt;Q&gt;FLWR-CA^FG_VOLUME(44183)&lt;/Q&gt;&lt;R&gt;1&lt;/R&gt;&lt;C&gt;1&lt;/C&gt;&lt;D xsi:type="xsd:double"&gt;0.129573&lt;/D&gt;&lt;/FQL&gt;&lt;FQL&gt;&lt;Q&gt;FLWR-CA^FG_PRICE(44183)&lt;/Q&gt;&lt;R&gt;1&lt;/R&gt;&lt;C&gt;1&lt;/C&gt;&lt;D xsi:type="xsd:double"&gt;0.415&lt;/D&gt;&lt;/FQL&gt;&lt;FQL&gt;&lt;Q&gt;FLWR-CA^FG_VOLUME(44182)&lt;/Q&gt;&lt;R&gt;1&lt;/R&gt;&lt;C&gt;1&lt;/C&gt;&lt;D xsi:type="xsd:double"&gt;1.418345&lt;/D&gt;&lt;/FQL&gt;&lt;FQL&gt;&lt;Q&gt;FLWR-CA^FG_PRICE(44182)&lt;/Q&gt;&lt;R&gt;1&lt;/R&gt;&lt;C&gt;1&lt;/C&gt;&lt;D xsi:type="xsd:double"&gt;0.39&lt;/D&gt;&lt;/FQL&gt;&lt;FQL&gt;&lt;Q&gt;FLWR-CA^FG_VOLUME(44181)&lt;/Q&gt;&lt;R&gt;1&lt;/R&gt;&lt;C&gt;1&lt;/C&gt;&lt;D xsi:type="xsd:double"&gt;0.544106&lt;/D&gt;&lt;/FQL&gt;&lt;FQL&gt;&lt;Q&gt;FLWR-CA^FG_PRICE(44181)&lt;/Q&gt;&lt;R&gt;1&lt;/R&gt;&lt;C&gt;1&lt;/C&gt;&lt;D xsi:type="xsd:double"&gt;0.33&lt;/D&gt;&lt;/FQL&gt;&lt;FQL&gt;&lt;Q&gt;FLWR-CA^FG_VOLUME(44180)&lt;/Q&gt;&lt;R&gt;1&lt;/R&gt;&lt;C&gt;1&lt;/C&gt;&lt;D xsi:type="xsd:double"&gt;0.167964&lt;/D&gt;&lt;/FQL&gt;&lt;FQL&gt;&lt;Q&gt;FLWR-CA^FG_PRICE(44180)&lt;/Q&gt;&lt;R&gt;1&lt;/R&gt;&lt;C&gt;1&lt;/C&gt;&lt;D xsi:type="xsd:double"&gt;0.33&lt;/D&gt;&lt;/FQL&gt;&lt;FQL&gt;&lt;Q&gt;FLWR-CA^FG_VOLUME(44179)&lt;/Q&gt;&lt;R&gt;1&lt;/R&gt;&lt;C&gt;1&lt;/C&gt;&lt;D xsi:type="xsd:double"&gt;0.377641&lt;/D&gt;&lt;/FQL&gt;&lt;FQL&gt;&lt;Q&gt;FLWR-CA^FG_PRICE(44179)&lt;/Q&gt;&lt;R&gt;1&lt;/R&gt;&lt;C&gt;1&lt;/C&gt;&lt;D xsi:type="xsd:double"&gt;0.335&lt;/D&gt;&lt;/FQL&gt;&lt;FQL&gt;&lt;Q&gt;FLWR-CA^FG_VOLUME(44176)&lt;/Q&gt;&lt;R&gt;1&lt;/R&gt;&lt;C&gt;1&lt;/C&gt;&lt;D xsi:type="xsd:double"&gt;1.538886&lt;/D&gt;&lt;/FQL&gt;&lt;FQL&gt;&lt;Q&gt;FLWR-CA^FG_PRICE(44176)&lt;/Q&gt;&lt;R&gt;1&lt;/R&gt;&lt;C&gt;1&lt;/C&gt;&lt;D xsi:type="xsd:double"&gt;0.355&lt;/D&gt;&lt;/FQL&gt;&lt;FQL&gt;&lt;Q&gt;FLWR-CA^FG_VOLUME(44175)&lt;/Q&gt;&lt;R&gt;1&lt;/R&gt;&lt;C&gt;1&lt;/C&gt;&lt;D xsi:type="xsd:double"&gt;0.392432&lt;/D&gt;&lt;/FQL&gt;&lt;FQL&gt;&lt;Q&gt;FLWR-CA^FG_PRICE(44175)&lt;/Q&gt;&lt;R&gt;1&lt;/R&gt;&lt;C&gt;1&lt;/C&gt;&lt;D xsi:type="xsd:double"&gt;0.39&lt;/D&gt;&lt;/FQL&gt;&lt;FQL&gt;&lt;Q&gt;FLWR-CA^FG_VOLUME(44174)&lt;/Q&gt;&lt;R&gt;1&lt;/R&gt;&lt;C&gt;1&lt;/C&gt;&lt;D xsi:type="xsd:double"&gt;0.249543&lt;/D&gt;&lt;/FQL&gt;&lt;FQL&gt;&lt;Q&gt;FLWR-CA^FG_PRICE(44174)&lt;/Q&gt;&lt;R&gt;1&lt;/R&gt;&lt;C&gt;1&lt;/C&gt;&lt;D xsi:type="xsd:double"&gt;0.415&lt;/D&gt;&lt;/FQL&gt;&lt;FQL&gt;&lt;Q&gt;FLWR-CA^FG_VOLUME(44173)&lt;/Q&gt;&lt;R&gt;1&lt;/R&gt;&lt;C&gt;1&lt;/C&gt;&lt;D xsi:type="xsd:double"&gt;0.118158&lt;/D&gt;&lt;/FQL&gt;&lt;FQL&gt;&lt;Q&gt;FLWR-CA^FG_PRICE(44173)&lt;/Q&gt;&lt;R&gt;1&lt;/R&gt;&lt;C&gt;1&lt;/C&gt;&lt;D xsi:type="xsd:double"&gt;0.455&lt;/D&gt;&lt;/FQL&gt;&lt;FQL&gt;&lt;Q&gt;FLWR-CA^FG_VOLUME(44172)&lt;/Q&gt;&lt;R&gt;1&lt;/R&gt;&lt;C&gt;1&lt;/C&gt;&lt;D xsi:type="xsd:double"&gt;0.083289&lt;/D&gt;&lt;/FQL&gt;&lt;FQL&gt;&lt;Q&gt;FLWR-CA^FG_PRICE(44172)&lt;/Q&gt;&lt;R&gt;1&lt;/R&gt;&lt;C&gt;1&lt;/C&gt;&lt;D xsi:type="xsd:double"&gt;0.46&lt;/D&gt;&lt;/FQL&gt;&lt;FQL&gt;&lt;Q&gt;FLWR-CA^FG_VOLUME(44169)&lt;/Q&gt;&lt;R&gt;1&lt;/R&gt;&lt;C&gt;1&lt;/C&gt;&lt;D xsi:type="xsd:double"&gt;0.166987&lt;/D&gt;&lt;/FQL&gt;&lt;FQL&gt;&lt;Q&gt;FLWR-CA^FG_PRICE(44169)&lt;/Q&gt;&lt;R&gt;1&lt;/R&gt;&lt;C&gt;1&lt;/C&gt;&lt;D xsi:type="xsd:double"&gt;0.49&lt;/D&gt;&lt;/FQL&gt;&lt;FQL&gt;&lt;Q&gt;FLWR-CA^FG_VOLUME(44168)&lt;/Q&gt;&lt;R&gt;1&lt;/R&gt;&lt;C&gt;1&lt;/C&gt;&lt;D xsi:type="xsd:double"&gt;0.169831&lt;/D&gt;&lt;/FQL&gt;&lt;FQL&gt;&lt;Q&gt;FLWR-CA^FG_PRICE(44168)&lt;/Q&gt;&lt;R&gt;1&lt;/R&gt;&lt;C&gt;1&lt;/C&gt;&lt;D xsi:type="xsd:double"&gt;0.485&lt;/D&gt;&lt;/FQL&gt;&lt;FQL&gt;&lt;Q&gt;FLWR-CA^FG_VOLUME(44167)&lt;/Q&gt;&lt;R&gt;1&lt;/R&gt;&lt;C&gt;1&lt;/C&gt;&lt;D xsi:type="xsd:double"&gt;0.105176&lt;/D&gt;&lt;/FQL&gt;&lt;FQL&gt;&lt;Q&gt;FLWR-CA^FG_PRICE(44167)&lt;/Q&gt;&lt;R&gt;1&lt;/R&gt;&lt;C&gt;1&lt;/C&gt;&lt;D xsi:type="xsd:double"&gt;0.455&lt;/D&gt;&lt;/FQL&gt;&lt;FQL&gt;&lt;Q&gt;FLWR-CA^FG_VOLUME(44166)&lt;/Q&gt;&lt;R&gt;1&lt;/R&gt;&lt;C&gt;1&lt;/C&gt;&lt;D xsi:type="xsd:double"&gt;0.156053&lt;/D&gt;&lt;/FQL&gt;&lt;FQL&gt;&lt;Q&gt;FLWR-CA^FG_PRICE(44166)&lt;/Q&gt;&lt;R&gt;1&lt;/R&gt;&lt;C&gt;1&lt;/C&gt;&lt;D xsi:type="xsd:double"&gt;0.46&lt;/D&gt;&lt;/FQL&gt;&lt;FQL&gt;&lt;Q&gt;FLWR-CA^FG_VOLUME(44165)&lt;/Q&gt;&lt;R&gt;1&lt;/R&gt;&lt;C&gt;1&lt;/C&gt;&lt;D xsi:type="xsd:double"&gt;0.057697&lt;/D&gt;&lt;/FQL&gt;&lt;FQL&gt;&lt;Q&gt;FLWR-CA^FG_PRICE(44165)&lt;/Q&gt;&lt;R&gt;1&lt;/R&gt;&lt;C&gt;1&lt;/C&gt;&lt;D xsi:type="xsd:double"&gt;0.475&lt;/D&gt;&lt;/FQL&gt;&lt;FQL&gt;&lt;Q&gt;FLWR-CA^FG_VOLUME(44162)&lt;/Q&gt;&lt;R&gt;1&lt;/R&gt;&lt;C&gt;1&lt;/C&gt;&lt;D xsi:type="xsd:double"&gt;0.176772&lt;/D&gt;&lt;/FQL&gt;&lt;FQL&gt;&lt;Q&gt;FLWR-CA^FG_PRICE(44162)&lt;/Q&gt;&lt;R&gt;1&lt;/R&gt;&lt;C&gt;1&lt;/C&gt;&lt;D xsi:type="xsd:double"&gt;0.45&lt;/D&gt;&lt;/FQL&gt;&lt;FQL&gt;&lt;Q&gt;FLWR-CA^FG_VOLUME(44161)&lt;/Q&gt;&lt;R&gt;1&lt;/R&gt;&lt;C&gt;1&lt;/C&gt;&lt;D xsi:type="xsd:double"&gt;0.047762&lt;/D&gt;&lt;/FQL&gt;&lt;FQL&gt;&lt;Q&gt;FLWR-CA^FG_PRICE(44161)&lt;/Q&gt;&lt;R&gt;1&lt;/R&gt;&lt;C&gt;1&lt;/C&gt;&lt;D xsi:type="xsd:double"&gt;0.465&lt;/D&gt;&lt;/FQL&gt;&lt;FQL&gt;&lt;Q&gt;FLWR-CA^FG_VOLUME(44160)&lt;/Q&gt;&lt;R&gt;1&lt;/R&gt;&lt;C&gt;1&lt;/C&gt;&lt;D xsi:type="xsd:double"&gt;0.072505&lt;/D&gt;&lt;/FQL&gt;&lt;FQL&gt;&lt;Q&gt;FLWR-CA^FG_PRICE(44160)&lt;/Q&gt;&lt;R&gt;1&lt;/R&gt;&lt;C&gt;1&lt;/C&gt;&lt;D xsi:type="xsd:double"&gt;0.44&lt;/D&gt;&lt;/FQL&gt;&lt;FQL&gt;&lt;Q&gt;FLWR-CA^FG_VOLUME(44159)&lt;/Q&gt;&lt;R&gt;1&lt;/R&gt;&lt;C&gt;1&lt;/C&gt;&lt;D xsi:type="xsd:double"&gt;0.189901&lt;/D&gt;&lt;/FQL&gt;&lt;FQL&gt;&lt;Q&gt;FLWR-CA^FG_PRICE(44159)&lt;/Q&gt;&lt;R&gt;1&lt;/R&gt;&lt;C&gt;1&lt;/C&gt;&lt;D xsi:type="xsd:double"&gt;0.45&lt;/D&gt;&lt;/FQL&gt;&lt;FQL&gt;&lt;Q&gt;FLWR-CA^FG_VOLUME(44158)&lt;/Q&gt;&lt;R&gt;1&lt;/R&gt;&lt;C&gt;1&lt;/C&gt;&lt;D xsi:type="xsd:double"&gt;0.197091&lt;/D&gt;&lt;/FQL&gt;&lt;FQL&gt;&lt;Q&gt;FLWR-CA^FG_PRICE(44158)&lt;/Q&gt;&lt;R&gt;1&lt;/R&gt;&lt;C&gt;1&lt;/C&gt;&lt;D xsi:type="xsd:double"&gt;0.41&lt;/D&gt;&lt;/FQL&gt;&lt;FQL&gt;&lt;Q&gt;FLWR-CA^FG_VOLUME(44155)&lt;/Q&gt;&lt;R&gt;1&lt;/R&gt;&lt;C&gt;1&lt;/C&gt;&lt;D xsi:type="xsd:double"&gt;0.014108&lt;/D&gt;&lt;/FQL&gt;&lt;FQL&gt;&lt;Q&gt;FLWR-CA^FG_PRICE(44155)&lt;/Q&gt;&lt;R&gt;1&lt;/R&gt;&lt;C&gt;1&lt;/C&gt;&lt;D xsi:type="xsd:double"&gt;0.43&lt;/D&gt;&lt;/FQL&gt;&lt;FQL&gt;&lt;Q&gt;FLWR-CA^FG_VOLUME(44154)&lt;/Q&gt;&lt;R&gt;1&lt;/R&gt;&lt;C&gt;1&lt;/C&gt;&lt;D xsi:type="xsd:double"&gt;0.045414&lt;/D&gt;&lt;/FQL&gt;&lt;FQL&gt;&lt;Q&gt;FLWR-CA^FG_PRICE(44154)&lt;/Q&gt;&lt;R&gt;1&lt;/R&gt;&lt;C&gt;1&lt;/C&gt;&lt;D xsi:type="xsd:double"&gt;0.43&lt;/D&gt;&lt;/FQL&gt;&lt;FQL&gt;&lt;Q&gt;FLWR-CA^FG_VOLUME(44153)&lt;/Q&gt;&lt;R&gt;1&lt;/R&gt;&lt;C&gt;1&lt;/C&gt;&lt;D xsi:type="xsd:double"&gt;0.021353&lt;/D&gt;&lt;/FQL&gt;&lt;FQL&gt;&lt;Q&gt;FLWR-CA^FG_PRICE(44153)&lt;/Q&gt;&lt;R&gt;1&lt;/R&gt;&lt;C&gt;1&lt;/C&gt;&lt;D xsi:type="xsd:double"&gt;0.43&lt;/D&gt;&lt;/FQL&gt;&lt;FQL&gt;&lt;Q&gt;FLWR-CA^FG_VOLUME(44152)&lt;/Q&gt;&lt;R&gt;1&lt;/R&gt;&lt;C&gt;1&lt;/C&gt;&lt;D xsi:type="xsd:double"&gt;0.021525&lt;/D&gt;&lt;/FQL&gt;&lt;FQL&gt;&lt;Q&gt;FLWR-CA^FG_PRICE(44152)&lt;/Q&gt;&lt;R&gt;1&lt;/R&gt;&lt;C&gt;1&lt;/C&gt;&lt;D xsi:type="xsd:double"&gt;0.435&lt;/D&gt;&lt;/FQL&gt;&lt;FQL&gt;&lt;Q&gt;FLWR-CA^FG_VOLUME(44151)&lt;/Q&gt;&lt;R&gt;1&lt;/R&gt;&lt;C&gt;1&lt;/C&gt;&lt;D xsi:type="xsd:double"&gt;0.0454&lt;/D&gt;&lt;/FQL&gt;&lt;FQL&gt;&lt;Q&gt;FLWR-CA^FG_PRICE(44151)&lt;/Q&gt;&lt;R&gt;1&lt;/R&gt;&lt;C&gt;1&lt;/C&gt;&lt;D xsi:type="xsd:double"&gt;0.425&lt;/D&gt;&lt;/FQL&gt;&lt;FQL&gt;&lt;Q&gt;FLWR-CA^FG_VOLUME(44148)&lt;/Q&gt;&lt;R&gt;1&lt;/R&gt;&lt;C&gt;1&lt;/C&gt;&lt;D xsi:type="xsd:double"&gt;0.207641&lt;/D&gt;&lt;/FQL&gt;&lt;FQL&gt;&lt;Q&gt;FLWR-CA^FG_PRICE(44148)&lt;/Q&gt;&lt;R&gt;1&lt;/R&gt;&lt;C&gt;1&lt;/C&gt;&lt;D xsi:type="xsd:double"&gt;0.42&lt;/D&gt;&lt;/FQL&gt;&lt;FQL&gt;&lt;Q&gt;FLWR-CA^FG_VOLUME(44147)&lt;/Q&gt;&lt;R&gt;1&lt;/R&gt;&lt;C&gt;1&lt;/C&gt;&lt;D xsi:type="xsd:double"&gt;0.036255&lt;/D&gt;&lt;/FQL&gt;&lt;FQL&gt;&lt;Q&gt;FLWR-CA^FG_PRICE(44147)&lt;/Q&gt;&lt;R&gt;1&lt;/R&gt;&lt;C&gt;1&lt;/C&gt;&lt;D xsi:type="xsd:double"&gt;0.45&lt;/D&gt;&lt;/FQL&gt;&lt;FQL&gt;&lt;Q&gt;FLWR-CA^FG_VOLUME(44146)&lt;/Q&gt;&lt;R&gt;1&lt;/R&gt;&lt;C&gt;1&lt;/C&gt;&lt;D xsi:type="xsd:double"&gt;0.055349&lt;/D&gt;&lt;/FQL&gt;&lt;FQL&gt;&lt;Q&gt;FLWR-CA^FG_PRICE(44146)&lt;/Q&gt;&lt;R&gt;1&lt;/R&gt;&lt;C&gt;1&lt;/C&gt;&lt;D xsi:type="xsd:double"&gt;0.46&lt;/D&gt;&lt;/FQL&gt;&lt;FQL&gt;&lt;Q&gt;FLWR-CA^FG_VOLUME(44145)&lt;/Q&gt;&lt;R&gt;1&lt;/R&gt;&lt;C&gt;1&lt;/C&gt;&lt;D xsi:type="xsd:double"&gt;0.329421&lt;/D&gt;&lt;/FQL&gt;&lt;FQL&gt;&lt;Q&gt;FLWR-CA^FG_PRICE(44145)&lt;/Q&gt;&lt;R&gt;1&lt;/R&gt;&lt;C&gt;1&lt;/C&gt;&lt;D xsi:type="xsd:double"&gt;0.47&lt;/D&gt;&lt;/FQL&gt;&lt;FQL&gt;&lt;Q&gt;FLWR-CA^FG_VOLUME(44144)&lt;/Q&gt;&lt;R&gt;1&lt;/R&gt;&lt;C&gt;1&lt;/C&gt;&lt;D xsi:type="xsd:double"&gt;0.254843&lt;/D&gt;&lt;/FQL&gt;&lt;FQL&gt;&lt;Q&gt;FLWR-CA^FG_PRICE(44144)&lt;/Q&gt;&lt;R&gt;1&lt;/R&gt;&lt;C&gt;1&lt;/C&gt;&lt;D xsi:type="xsd:double"&gt;0.485&lt;/D&gt;&lt;/FQL&gt;&lt;FQL&gt;&lt;Q&gt;FLWR-CA^FG_VOLUME(44141)&lt;/Q&gt;&lt;R&gt;1&lt;/R&gt;&lt;C&gt;1&lt;/C&gt;&lt;D xsi:type="xsd:double"&gt;0.291545&lt;/D&gt;&lt;/FQL&gt;&lt;FQL&gt;&lt;Q&gt;FLWR-CA^FG_PRICE(44141)&lt;/Q&gt;&lt;R&gt;1&lt;/R&gt;&lt;C&gt;1&lt;/C&gt;&lt;D xsi:type="xsd:double"&gt;0.42&lt;/D&gt;&lt;/FQL&gt;&lt;FQL&gt;&lt;Q&gt;FLWR-CA^FG_VOLUME(44140)&lt;/Q&gt;&lt;R&gt;1&lt;/R&gt;&lt;C&gt;1&lt;/C&gt;&lt;D xsi:type="xsd:double"&gt;0.533196&lt;/D&gt;&lt;/FQL&gt;&lt;FQL&gt;&lt;Q&gt;FLWR-CA^FG_PRICE(44140)&lt;/Q&gt;&lt;R&gt;1&lt;/R&gt;&lt;C&gt;1&lt;/C&gt;&lt;D xsi:type="xsd:double"&gt;0.415&lt;/D&gt;&lt;/FQL&gt;&lt;FQL&gt;&lt;Q&gt;FLWR-CA^FG_VOLUME(44139)&lt;/Q&gt;&lt;R&gt;1&lt;/R&gt;&lt;C&gt;1&lt;/C&gt;&lt;D xsi:type="xsd:double"&gt;0.052288&lt;/D&gt;&lt;/FQL&gt;&lt;FQL&gt;&lt;Q&gt;FLWR-CA^FG_PRICE(44139)&lt;/Q&gt;&lt;R&gt;1&lt;/R&gt;&lt;C&gt;1&lt;/C&gt;&lt;D xsi:type="xsd:double"&gt;0.42&lt;/D&gt;&lt;/FQL&gt;&lt;FQL&gt;&lt;Q&gt;FLWR-CA^FG_VOLUME(44138)&lt;/Q&gt;&lt;R&gt;1&lt;/R&gt;&lt;C&gt;1&lt;/C&gt;&lt;D xsi:type="xsd:double"&gt;0.017094&lt;/D&gt;&lt;/FQL&gt;&lt;FQL&gt;&lt;Q&gt;FLWR-CA^FG_PRICE(44138)&lt;/Q&gt;&lt;R&gt;1&lt;/R&gt;&lt;C&gt;1&lt;/C&gt;&lt;D xsi:type="xsd:double"&gt;0.44&lt;/D&gt;&lt;/FQL&gt;&lt;FQL&gt;&lt;Q&gt;FLWR-CA^FG_VOLUME(44137)&lt;/Q&gt;&lt;R&gt;1&lt;/R&gt;&lt;C&gt;1&lt;/C&gt;&lt;D xsi:type="xsd:double"&gt;0.019157&lt;/D&gt;&lt;/FQL&gt;&lt;FQL&gt;&lt;Q&gt;FLWR-CA^FG_PRICE(44137)&lt;/Q&gt;&lt;R&gt;1&lt;/R&gt;&lt;C&gt;1&lt;/C&gt;&lt;D xsi:type="xsd:double"&gt;0.455&lt;/D&gt;&lt;/FQL&gt;&lt;FQL&gt;&lt;Q&gt;FLWR-CA^FG_VOLUME(44134)&lt;/Q&gt;&lt;R&gt;1&lt;/R&gt;&lt;C&gt;1&lt;/C&gt;&lt;D xsi:type="xsd:double"&gt;0.052781&lt;/D&gt;&lt;/FQL&gt;&lt;FQL&gt;&lt;Q&gt;FLWR-CA^FG_PRICE(44134)&lt;/Q&gt;&lt;R&gt;1&lt;/R&gt;&lt;C&gt;1&lt;/C&gt;&lt;D xsi:type="xsd:double"&gt;0.44&lt;/D&gt;&lt;/FQL&gt;&lt;FQL&gt;&lt;Q&gt;FLWR-CA^FG_VOLUME(44133)&lt;/Q&gt;&lt;R&gt;1&lt;/R&gt;&lt;C&gt;1&lt;/C&gt;&lt;D xsi:type="xsd:double"&gt;0.009736&lt;/D&gt;&lt;/FQL&gt;&lt;FQL&gt;&lt;Q&gt;FLWR-CA^FG_PRICE(44133)&lt;/Q&gt;&lt;R&gt;1&lt;/R&gt;&lt;C&gt;1&lt;/C&gt;&lt;D xsi:type="xsd:double"&gt;0.47&lt;/D&gt;&lt;/FQL&gt;&lt;FQL&gt;&lt;Q&gt;FLWR-CA^FG_VOLUME(44132)&lt;/Q&gt;&lt;R&gt;1&lt;/R&gt;&lt;C&gt;1&lt;/C&gt;&lt;D xsi:type="xsd:double"&gt;0.04619&lt;/D&gt;&lt;/FQL&gt;&lt;FQL&gt;&lt;Q&gt;FLWR-CA^FG_PRICE(44132)&lt;/Q&gt;&lt;R&gt;1&lt;/R&gt;&lt;C&gt;1&lt;/C&gt;&lt;D xsi:type="xsd:double"&gt;0.46&lt;/D&gt;&lt;/FQL&gt;&lt;FQL&gt;&lt;Q&gt;FLWR-CA^FG_VOLUME(44131)&lt;/Q&gt;&lt;R&gt;1&lt;/R&gt;&lt;C&gt;1&lt;/C&gt;&lt;D xsi:type="xsd:double"&gt;0.0096&lt;/D&gt;&lt;/FQL&gt;&lt;FQL&gt;&lt;Q&gt;FLWR-CA^FG_PRICE(44131)&lt;/Q&gt;&lt;R&gt;1&lt;/R&gt;&lt;C&gt;1&lt;/C&gt;&lt;D xsi:type="xsd:double"&gt;0.475&lt;/D&gt;&lt;/FQL&gt;&lt;FQL&gt;&lt;Q&gt;FLWR-CA^FG_VOLUME(44130)&lt;/Q&gt;&lt;R&gt;1&lt;/R&gt;&lt;C&gt;1&lt;/C&gt;&lt;D xsi:type="xsd:double"&gt;0.074515&lt;/D&gt;&lt;/FQL&gt;&lt;FQL&gt;&lt;Q&gt;FLWR-CA^FG_PRICE(44130)&lt;/Q&gt;&lt;R&gt;1&lt;/R&gt;&lt;C&gt;1&lt;/C&gt;&lt;D xsi:type="xsd:double"&gt;0.485&lt;/D&gt;&lt;/FQL&gt;&lt;FQL&gt;&lt;Q&gt;FLWR-CA^FG_VOLUME(44127)&lt;/Q&gt;&lt;R&gt;1&lt;/R&gt;&lt;C&gt;1&lt;/C&gt;&lt;D xsi:type="xsd:double"&gt;0.021881&lt;/D&gt;&lt;/FQL&gt;&lt;FQL&gt;&lt;Q&gt;FLWR-CA^FG_PRICE(44127)&lt;/Q&gt;&lt;R&gt;1&lt;/R&gt;&lt;C&gt;1&lt;/C&gt;&lt;D xsi:type="xsd:double"&gt;0.49&lt;/D&gt;&lt;/FQL&gt;&lt;FQL&gt;&lt;Q&gt;FLWR-CA^FG_VOLUME(44126)&lt;/Q&gt;&lt;R&gt;1&lt;/R&gt;&lt;C&gt;1&lt;/C&gt;&lt;D xsi:type="xsd:double"&gt;0.020571&lt;/D&gt;&lt;/FQL&gt;&lt;FQL&gt;&lt;Q&gt;FLWR-CA^FG_PRICE(44126)&lt;/Q&gt;&lt;R&gt;1&lt;/R&gt;&lt;C&gt;1&lt;/C&gt;&lt;D xsi:type="xsd:double"&gt;0.485&lt;/D&gt;&lt;/FQL&gt;&lt;FQL&gt;&lt;Q&gt;FLWR-CA^FG_VOLUME(44125)&lt;/Q&gt;&lt;R&gt;1&lt;/R&gt;&lt;C&gt;1&lt;/C&gt;&lt;D xsi:type="xsd:double"&gt;0.047083&lt;/D&gt;&lt;/FQL&gt;&lt;FQL&gt;&lt;Q&gt;FLWR-CA^FG_PRICE(44125)&lt;/Q&gt;&lt;R&gt;1&lt;/R&gt;&lt;C&gt;1&lt;/C&gt;&lt;D xsi:type="xsd:double"&gt;0.475&lt;/D&gt;&lt;/FQL&gt;&lt;FQL&gt;&lt;Q&gt;FLWR-CA^FG_VOLUME(44124)&lt;/Q&gt;&lt;R&gt;1&lt;/R&gt;&lt;C&gt;1&lt;/C&gt;&lt;D xsi:type="xsd:double"&gt;0.2504&lt;/D&gt;&lt;/FQL&gt;&lt;FQL&gt;&lt;Q&gt;FLWR-CA^FG_PRICE(44124)&lt;/Q&gt;&lt;R&gt;1&lt;/R&gt;&lt;C&gt;1&lt;/C&gt;&lt;D xsi:type="xsd:double"&gt;0.475&lt;/D&gt;&lt;/FQL&gt;&lt;FQL&gt;&lt;Q&gt;FLWR-CA^FG_VOLUME(44123)&lt;/Q&gt;&lt;R&gt;1&lt;/R&gt;&lt;C&gt;1&lt;/C&gt;&lt;D xsi:type="xsd:double"&gt;0.073761&lt;/D&gt;&lt;/FQL&gt;&lt;FQL&gt;&lt;Q&gt;FLWR-CA^FG_PRICE(44123)&lt;/Q&gt;&lt;R&gt;1&lt;/R&gt;&lt;C&gt;1&lt;/C&gt;&lt;D xsi:type="xsd:double"&gt;0.48&lt;/D&gt;&lt;/FQL&gt;&lt;FQL&gt;&lt;Q&gt;FLWR-CA^FG_VOLUME(44120)&lt;/Q&gt;&lt;R&gt;1&lt;/R&gt;&lt;C&gt;1&lt;/C&gt;&lt;D xsi:type="xsd:double"&gt;0.007359&lt;/D&gt;&lt;/FQL&gt;&lt;FQL&gt;&lt;Q&gt;FLWR-CA^FG_PRICE(44120)&lt;/Q&gt;&lt;R&gt;1&lt;/R&gt;&lt;C&gt;1&lt;/C&gt;&lt;D xsi:type="xsd:double"&gt;0.465&lt;/D&gt;&lt;/FQL&gt;&lt;FQL&gt;&lt;Q&gt;FLWR-CA^FG_VOLUME(44119)&lt;/Q&gt;&lt;R&gt;1&lt;/R&gt;&lt;C&gt;1&lt;/C&gt;&lt;D xsi:type="xsd:double"&gt;0.001055&lt;/D&gt;&lt;/FQL&gt;&lt;FQL&gt;&lt;Q&gt;FLWR-CA^FG_PRICE(44119)&lt;/Q&gt;&lt;R&gt;1&lt;/R&gt;&lt;C&gt;1&lt;/C&gt;&lt;D xsi:type="xsd:double"&gt;0.46&lt;/D&gt;&lt;/FQL&gt;&lt;FQL&gt;&lt;Q&gt;FLWR-CA^FG_VOLUME(44118)&lt;/Q&gt;&lt;R&gt;1&lt;/R&gt;&lt;C&gt;1&lt;/C&gt;&lt;D xsi:type="xsd:double"&gt;0.00256&lt;/D&gt;&lt;/FQL&gt;&lt;FQL&gt;&lt;Q&gt;FLWR-CA^FG_PRICE(44118)&lt;/Q&gt;&lt;R&gt;1&lt;/R&gt;&lt;C&gt;1&lt;/C&gt;&lt;D xsi:type="xsd:double"&gt;0.465&lt;/D&gt;&lt;/FQL&gt;&lt;FQL&gt;&lt;Q&gt;FLWR-CA^FG_VOLUME(44117)&lt;/Q&gt;&lt;R&gt;1&lt;/R&gt;&lt;C&gt;1&lt;/C&gt;&lt;D xsi:type="xsd:double"&gt;0.02725&lt;/D&gt;&lt;/FQL&gt;&lt;FQL&gt;&lt;Q&gt;FLWR-CA^FG_PRICE(44117)&lt;/Q&gt;&lt;R&gt;1&lt;/R&gt;&lt;C&gt;1&lt;/C&gt;&lt;D xsi:type="xsd:double"&gt;0.46&lt;/D&gt;&lt;/FQL&gt;&lt;FQL&gt;&lt;Q&gt;FLWR-CA^FG_VOLUME(44116)&lt;/Q&gt;&lt;R&gt;1&lt;/R&gt;&lt;C&gt;1&lt;/C&gt;&lt;D xsi:type="xsd:double"&gt;0.087975&lt;/D&gt;&lt;/FQL&gt;&lt;FQL&gt;&lt;Q&gt;FLWR-CA^FG_PRICE(44116)&lt;/Q&gt;&lt;R&gt;1&lt;/R&gt;&lt;C&gt;1&lt;/C&gt;&lt;D xsi:type="xsd:double"&gt;0.46&lt;/D&gt;&lt;/FQL&gt;&lt;FQL&gt;&lt;Q&gt;FLWR-CA^FG_VOLUME(44113)&lt;/Q&gt;&lt;R&gt;1&lt;/R&gt;&lt;C&gt;1&lt;/C&gt;&lt;D xsi:type="xsd:double"&gt;0.087975&lt;/D&gt;&lt;/FQL&gt;&lt;FQL&gt;&lt;Q&gt;FLWR-CA^FG_PRICE(44113)&lt;/Q&gt;&lt;R&gt;1&lt;/R&gt;&lt;C&gt;1&lt;/C&gt;&lt;D xsi:type="xsd:double"&gt;0.46&lt;/D&gt;&lt;/FQL&gt;&lt;FQL&gt;&lt;Q&gt;FLWR-CA^FG_VOLUME(44112)&lt;/Q&gt;&lt;R&gt;1&lt;/R&gt;&lt;C&gt;1&lt;/C&gt;&lt;D xsi:type="xsd:double"&gt;0.07996&lt;/D&gt;&lt;/FQL&gt;&lt;FQL&gt;&lt;Q&gt;FLWR-CA^FG_PRICE(44112)&lt;/Q&gt;&lt;R&gt;1&lt;/R&gt;&lt;C&gt;1&lt;/C&gt;&lt;D xsi:type="xsd:double"&gt;0.44&lt;/D&gt;&lt;/FQL&gt;&lt;FQL&gt;&lt;Q&gt;FLWR-CA^FG_VOLUME(44111)&lt;/Q&gt;&lt;R&gt;1&lt;/R&gt;&lt;C&gt;1&lt;/C&gt;&lt;D xsi:type="xsd:double"&gt;0.003475&lt;/D&gt;&lt;/FQL&gt;&lt;FQL&gt;&lt;Q&gt;FLWR-CA^FG_PRICE(44111)&lt;/Q&gt;&lt;R&gt;1&lt;/R&gt;&lt;C&gt;1&lt;/C&gt;&lt;D xsi:type="xsd:double"&gt;0.42&lt;/D&gt;&lt;/FQL&gt;&lt;FQL&gt;&lt;Q&gt;FLWR-CA^FG_VOLUME(44110)&lt;/Q&gt;&lt;R&gt;1&lt;/R&gt;&lt;C&gt;1&lt;/C&gt;&lt;D xsi:type="xsd:double"&gt;0.006945&lt;/D&gt;&lt;/FQL&gt;&lt;FQL&gt;&lt;Q&gt;FLWR-CA^FG_PRICE(44110)&lt;/Q&gt;&lt;R&gt;1&lt;/R&gt;&lt;C&gt;1&lt;/C&gt;&lt;D xsi:type="xsd:double"&gt;0.41&lt;/D&gt;&lt;/FQL&gt;&lt;FQL&gt;&lt;Q&gt;FLWR-CA^FG_VOLUME(44109)&lt;/Q&gt;&lt;R&gt;1&lt;/R&gt;&lt;C&gt;1&lt;/C&gt;&lt;D xsi:type="xsd:double"&gt;0.010685&lt;/D&gt;&lt;/FQL&gt;&lt;FQL&gt;&lt;Q&gt;FLWR-CA^FG_PRICE(44109)&lt;/Q&gt;&lt;R&gt;1&lt;/R&gt;&lt;C&gt;1&lt;/C&gt;&lt;D xsi:type="xsd:double"&gt;0.43&lt;/D&gt;&lt;/FQL&gt;&lt;FQL&gt;&lt;Q&gt;FLWR-CA^FG_VOLUME(44106)&lt;/Q&gt;&lt;R&gt;1&lt;/R&gt;&lt;C&gt;1&lt;/C&gt;&lt;D xsi:type="xsd:double"&gt;0.007381&lt;/D&gt;&lt;/FQL&gt;&lt;FQL&gt;&lt;Q&gt;FLWR-CA^FG_PRICE(44106)&lt;/Q&gt;&lt;R&gt;1&lt;/R&gt;&lt;C&gt;1&lt;/C&gt;&lt;D xsi:type="xsd:double"&gt;0.415&lt;/D&gt;&lt;/FQL&gt;&lt;FQL&gt;&lt;Q&gt;FLWR-CA^FG_VOLUME(44105)&lt;/Q&gt;&lt;R&gt;1&lt;/R&gt;&lt;C&gt;1&lt;/C&gt;&lt;D xsi:type="xsd:double"&gt;0.030491&lt;/D&gt;&lt;/FQL&gt;&lt;FQL&gt;&lt;Q&gt;FLWR-CA^FG_PRICE(44105)&lt;/Q&gt;&lt;R&gt;1&lt;/R&gt;&lt;C&gt;1&lt;/C&gt;&lt;D xsi:type="xsd:double"&gt;0.395&lt;/D&gt;&lt;/FQL&gt;&lt;FQL&gt;&lt;Q&gt;FLWR-CA^FG_VOLUME(44104)&lt;/Q&gt;&lt;R&gt;1&lt;/R&gt;&lt;C&gt;1&lt;/C&gt;&lt;D xsi:type="xsd:double"&gt;0.026074&lt;/D&gt;&lt;/FQL&gt;&lt;FQL&gt;&lt;Q&gt;FLWR-CA^FG_PRICE(44104)&lt;/Q&gt;&lt;R&gt;1&lt;/R&gt;&lt;C&gt;1&lt;/C&gt;&lt;D xsi:type="xsd:double"&gt;0.39&lt;/D&gt;&lt;/FQL&gt;&lt;FQL&gt;&lt;Q&gt;FLWR-CA^FG_VOLUME(44103)&lt;/Q&gt;&lt;R&gt;1&lt;/R&gt;&lt;C&gt;1&lt;/C&gt;&lt;D xsi:type="xsd:double"&gt;0.1664&lt;/D&gt;&lt;/FQL&gt;&lt;FQL&gt;&lt;Q&gt;FLWR-CA^FG_PRICE(44103)&lt;/Q&gt;&lt;R&gt;1&lt;/R&gt;&lt;C&gt;1&lt;/C&gt;&lt;D xsi:type="xsd:double"&gt;0.43&lt;/D&gt;&lt;/FQL&gt;&lt;FQL&gt;&lt;Q&gt;FLWR-CA^FG_VOLUME(44102)&lt;/Q&gt;&lt;R&gt;1&lt;/R&gt;&lt;C&gt;1&lt;/C&gt;&lt;D xsi:type="xsd:double"&gt;0.063715&lt;/D&gt;&lt;/FQL&gt;&lt;FQL&gt;&lt;Q&gt;FLWR-CA^FG_PRICE(44102)&lt;/Q&gt;&lt;R&gt;1&lt;/R&gt;&lt;C&gt;1&lt;/C&gt;&lt;D xsi:type="xs</t>
        </r>
      </text>
    </comment>
    <comment ref="A2" authorId="0" shapeId="0" xr:uid="{00000000-0006-0000-0000-000002000000}">
      <text>
        <r>
          <rPr>
            <b/>
            <sz val="9"/>
            <color indexed="81"/>
            <rFont val="Tahoma"/>
            <family val="2"/>
          </rPr>
          <t>d:double"&gt;0.425&lt;/D&gt;&lt;/FQL&gt;&lt;FQL&gt;&lt;Q&gt;FLWR-CA^FG_VOLUME(44099)&lt;/Q&gt;&lt;R&gt;1&lt;/R&gt;&lt;C&gt;1&lt;/C&gt;&lt;D xsi:type="xsd:double"&gt;0.009722&lt;/D&gt;&lt;/FQL&gt;&lt;FQL&gt;&lt;Q&gt;FLWR-CA^FG_PRICE(44099)&lt;/Q&gt;&lt;R&gt;1&lt;/R&gt;&lt;C&gt;1&lt;/C&gt;&lt;D xsi:type="xsd:double"&gt;0.44&lt;/D&gt;&lt;/FQL&gt;&lt;FQL&gt;&lt;Q&gt;FLWR-CA^FG_VOLUME(44098)&lt;/Q&gt;&lt;R&gt;1&lt;/R&gt;&lt;C&gt;1&lt;/C&gt;&lt;D xsi:type="xsd:double"&gt;0.122174&lt;/D&gt;&lt;/FQL&gt;&lt;FQL&gt;&lt;Q&gt;FLWR-CA^FG_PRICE(44098)&lt;/Q&gt;&lt;R&gt;1&lt;/R&gt;&lt;C&gt;1&lt;/C&gt;&lt;D xsi:type="xsd:double"&gt;0.42&lt;/D&gt;&lt;/FQL&gt;&lt;FQL&gt;&lt;Q&gt;FLWR-CA^FG_VOLUME(44097)&lt;/Q&gt;&lt;R&gt;1&lt;/R&gt;&lt;C&gt;1&lt;/C&gt;&lt;D xsi:type="xsd:double"&gt;0.019942&lt;/D&gt;&lt;/FQL&gt;&lt;FQL&gt;&lt;Q&gt;FLWR-CA^FG_PRICE(44097)&lt;/Q&gt;&lt;R&gt;1&lt;/R&gt;&lt;C&gt;1&lt;/C&gt;&lt;D xsi:type="xsd:double"&gt;0.44&lt;/D&gt;&lt;/FQL&gt;&lt;FQL&gt;&lt;Q&gt;FLWR-CA^FG_VOLUME(44096)&lt;/Q&gt;&lt;R&gt;1&lt;/R&gt;&lt;C&gt;1&lt;/C&gt;&lt;D xsi:type="xsd:double"&gt;0.042375&lt;/D&gt;&lt;/FQL&gt;&lt;FQL&gt;&lt;Q&gt;FLWR-CA^FG_PRICE(44096)&lt;/Q&gt;&lt;R&gt;1&lt;/R&gt;&lt;C&gt;1&lt;/C&gt;&lt;D xsi:type="xsd:double"&gt;0.44&lt;/D&gt;&lt;/FQL&gt;&lt;FQL&gt;&lt;Q&gt;FLWR-CA^FG_VOLUME(44095)&lt;/Q&gt;&lt;R&gt;1&lt;/R&gt;&lt;C&gt;1&lt;/C&gt;&lt;D xsi:type="xsd:double"&gt;0.020202&lt;/D&gt;&lt;/FQL&gt;&lt;FQL&gt;&lt;Q&gt;FLWR-CA^FG_PRICE(44095)&lt;/Q&gt;&lt;R&gt;1&lt;/R&gt;&lt;C&gt;1&lt;/C&gt;&lt;D xsi:type="xsd:double"&gt;0.45&lt;/D&gt;&lt;/FQL&gt;&lt;FQL&gt;&lt;Q&gt;FLWR-CA^FG_VOLUME(44092)&lt;/Q&gt;&lt;R&gt;1&lt;/R&gt;&lt;C&gt;1&lt;/C&gt;&lt;D xsi:type="xsd:double"&gt;0.060072&lt;/D&gt;&lt;/FQL&gt;&lt;FQL&gt;&lt;Q&gt;FLWR-CA^FG_PRICE(44092)&lt;/Q&gt;&lt;R&gt;1&lt;/R&gt;&lt;C&gt;1&lt;/C&gt;&lt;D xsi:type="xsd:double"&gt;0.455&lt;/D&gt;&lt;/FQL&gt;&lt;FQL&gt;&lt;Q&gt;FLWR-CA^FG_VOLUME(44091)&lt;/Q&gt;&lt;R&gt;1&lt;/R&gt;&lt;C&gt;1&lt;/C&gt;&lt;D xsi:type="xsd:double"&gt;0.166428&lt;/D&gt;&lt;/FQL&gt;&lt;FQL&gt;&lt;Q&gt;FLWR-CA^FG_PRICE(44091)&lt;/Q&gt;&lt;R&gt;1&lt;/R&gt;&lt;C&gt;1&lt;/C&gt;&lt;D xsi:type="xsd:double"&gt;0.46&lt;/D&gt;&lt;/FQL&gt;&lt;FQL&gt;&lt;Q&gt;FLWR-CA^FG_VOLUME(44090)&lt;/Q&gt;&lt;R&gt;1&lt;/R&gt;&lt;C&gt;1&lt;/C&gt;&lt;D xsi:type="xsd:double"&gt;0.02651&lt;/D&gt;&lt;/FQL&gt;&lt;FQL&gt;&lt;Q&gt;FLWR-CA^FG_PRICE(44090)&lt;/Q&gt;&lt;R&gt;1&lt;/R&gt;&lt;C&gt;1&lt;/C&gt;&lt;D xsi:type="xsd:double"&gt;0.47&lt;/D&gt;&lt;/FQL&gt;&lt;FQL&gt;&lt;Q&gt;FLWR-CA^FG_VOLUME(44089)&lt;/Q&gt;&lt;R&gt;1&lt;/R&gt;&lt;C&gt;1&lt;/C&gt;&lt;D xsi:type="xsd:double"&gt;0.030758&lt;/D&gt;&lt;/FQL&gt;&lt;FQL&gt;&lt;Q&gt;FLWR-CA^FG_PRICE(44089)&lt;/Q&gt;&lt;R&gt;1&lt;/R&gt;&lt;C&gt;1&lt;/C&gt;&lt;D xsi:type="xsd:double"&gt;0.49&lt;/D&gt;&lt;/FQL&gt;&lt;FQL&gt;&lt;Q&gt;FLWR-CA^FG_VOLUME(44088)&lt;/Q&gt;&lt;R&gt;1&lt;/R&gt;&lt;C&gt;1&lt;/C&gt;&lt;D xsi:type="xsd:double"&gt;0.044839&lt;/D&gt;&lt;/FQL&gt;&lt;FQL&gt;&lt;Q&gt;FLWR-CA^FG_PRICE(44088)&lt;/Q&gt;&lt;R&gt;1&lt;/R&gt;&lt;C&gt;1&lt;/C&gt;&lt;D xsi:type="xsd:double"&gt;0.485&lt;/D&gt;&lt;/FQL&gt;&lt;FQL&gt;&lt;Q&gt;FLWR-CA^FG_VOLUME(44085)&lt;/Q&gt;&lt;R&gt;1&lt;/R&gt;&lt;C&gt;1&lt;/C&gt;&lt;D xsi:type="xsd:double"&gt;0.120957&lt;/D&gt;&lt;/FQL&gt;&lt;FQL&gt;&lt;Q&gt;FLWR-CA^FG_PRICE(44085)&lt;/Q&gt;&lt;R&gt;1&lt;/R&gt;&lt;C&gt;1&lt;/C&gt;&lt;D xsi:type="xsd:double"&gt;0.48&lt;/D&gt;&lt;/FQL&gt;&lt;FQL&gt;&lt;Q&gt;FLWR-CA^FG_VOLUME(44084)&lt;/Q&gt;&lt;R&gt;1&lt;/R&gt;&lt;C&gt;1&lt;/C&gt;&lt;D xsi:type="xsd:double"&gt;0.020088&lt;/D&gt;&lt;/FQL&gt;&lt;FQL&gt;&lt;Q&gt;FLWR-CA^FG_PRICE(44084)&lt;/Q&gt;&lt;R&gt;1&lt;/R&gt;&lt;C&gt;1&lt;/C&gt;&lt;D xsi:type="xsd:double"&gt;0.44&lt;/D&gt;&lt;/FQL&gt;&lt;FQL&gt;&lt;Q&gt;FLWR-CA^FG_VOLUME(44083)&lt;/Q&gt;&lt;R&gt;1&lt;/R&gt;&lt;C&gt;1&lt;/C&gt;&lt;D xsi:type="xsd:double"&gt;0.005183&lt;/D&gt;&lt;/FQL&gt;&lt;FQL&gt;&lt;Q&gt;FLWR-CA^FG_PRICE(44083)&lt;/Q&gt;&lt;R&gt;1&lt;/R&gt;&lt;C&gt;1&lt;/C&gt;&lt;D xsi:type="xsd:double"&gt;0.435&lt;/D&gt;&lt;/FQL&gt;&lt;FQL&gt;&lt;Q&gt;FLWR-CA^FG_VOLUME(44082)&lt;/Q&gt;&lt;R&gt;1&lt;/R&gt;&lt;C&gt;1&lt;/C&gt;&lt;D xsi:type="xsd:double"&gt;0.027594&lt;/D&gt;&lt;/FQL&gt;&lt;FQL&gt;&lt;Q&gt;FLWR-CA^FG_PRICE(44082)&lt;/Q&gt;&lt;R&gt;1&lt;/R&gt;&lt;C&gt;1&lt;/C&gt;&lt;D xsi:type="xsd:double"&gt;0.445&lt;/D&gt;&lt;/FQL&gt;&lt;FQL&gt;&lt;Q&gt;FLWR-CA^FG_VOLUME(44081)&lt;/Q&gt;&lt;R&gt;1&lt;/R&gt;&lt;C&gt;1&lt;/C&gt;&lt;D xsi:type="xsd:double"&gt;0.017142&lt;/D&gt;&lt;/FQL&gt;&lt;FQL&gt;&lt;Q&gt;FLWR-CA^FG_PRICE(44081)&lt;/Q&gt;&lt;R&gt;1&lt;/R&gt;&lt;C&gt;1&lt;/C&gt;&lt;D xsi:type="xsd:double"&gt;0.44&lt;/D&gt;&lt;/FQL&gt;&lt;FQL&gt;&lt;Q&gt;FLWR-CA^FG_VOLUME(44078)&lt;/Q&gt;&lt;R&gt;1&lt;/R&gt;&lt;C&gt;1&lt;/C&gt;&lt;D xsi:type="xsd:double"&gt;0.017142&lt;/D&gt;&lt;/FQL&gt;&lt;FQL&gt;&lt;Q&gt;FLWR-CA^FG_PRICE(44078)&lt;/Q&gt;&lt;R&gt;1&lt;/R&gt;&lt;C&gt;1&lt;/C&gt;&lt;D xsi:type="xsd:double"&gt;0.44&lt;/D&gt;&lt;/FQL&gt;&lt;FQL&gt;&lt;Q&gt;FLWR-CA^FG_VOLUME(44077)&lt;/Q&gt;&lt;R&gt;1&lt;/R&gt;&lt;C&gt;1&lt;/C&gt;&lt;D xsi:type="xsd:double"&gt;0.047325&lt;/D&gt;&lt;/FQL&gt;&lt;FQL&gt;&lt;Q&gt;FLWR-CA^FG_PRICE(44077)&lt;/Q&gt;&lt;R&gt;1&lt;/R&gt;&lt;C&gt;1&lt;/C&gt;&lt;D xsi:type="xsd:double"&gt;0.445&lt;/D&gt;&lt;/FQL&gt;&lt;FQL&gt;&lt;Q&gt;FLWR-CA^FG_VOLUME(44076)&lt;/Q&gt;&lt;R&gt;1&lt;/R&gt;&lt;C&gt;1&lt;/C&gt;&lt;D xsi:type="xsd:double"&gt;0.043545&lt;/D&gt;&lt;/FQL&gt;&lt;FQL&gt;&lt;Q&gt;FLWR-CA^FG_PRICE(44076)&lt;/Q&gt;&lt;R&gt;1&lt;/R&gt;&lt;C&gt;1&lt;/C&gt;&lt;D xsi:type="xsd:double"&gt;0.46&lt;/D&gt;&lt;/FQL&gt;&lt;FQL&gt;&lt;Q&gt;FLWR-CA^FG_VOLUME(44075)&lt;/Q&gt;&lt;R&gt;1&lt;/R&gt;&lt;C&gt;1&lt;/C&gt;&lt;D xsi:type="xsd:double"&gt;0.021568&lt;/D&gt;&lt;/FQL&gt;&lt;FQL&gt;&lt;Q&gt;FLWR-CA^FG_PRICE(44075)&lt;/Q&gt;&lt;R&gt;1&lt;/R&gt;&lt;C&gt;1&lt;/C&gt;&lt;D xsi:type="xsd:double"&gt;0.47&lt;/D&gt;&lt;/FQL&gt;&lt;FQL&gt;&lt;Q&gt;FLWR-CA^FG_VOLUME(44074)&lt;/Q&gt;&lt;R&gt;1&lt;/R&gt;&lt;C&gt;1&lt;/C&gt;&lt;D xsi:type="xsd:double"&gt;0.070746&lt;/D&gt;&lt;/FQL&gt;&lt;FQL&gt;&lt;Q&gt;FLWR-CA^FG_PRICE(44074)&lt;/Q&gt;&lt;R&gt;1&lt;/R&gt;&lt;C&gt;1&lt;/C&gt;&lt;D xsi:type="xsd:double"&gt;0.49&lt;/D&gt;&lt;/FQL&gt;&lt;FQL&gt;&lt;Q&gt;FLWR-CA^FG_VOLUME(44071)&lt;/Q&gt;&lt;R&gt;1&lt;/R&gt;&lt;C&gt;1&lt;/C&gt;&lt;D xsi:type="xsd:double"&gt;0.040458&lt;/D&gt;&lt;/FQL&gt;&lt;FQL&gt;&lt;Q&gt;FLWR-CA^FG_PRICE(44071)&lt;/Q&gt;&lt;R&gt;1&lt;/R&gt;&lt;C&gt;1&lt;/C&gt;&lt;D xsi:type="xsd:double"&gt;0.465&lt;/D&gt;&lt;/FQL&gt;&lt;FQL&gt;&lt;Q&gt;FLWR-CA^FG_VOLUME(44070)&lt;/Q&gt;&lt;R&gt;1&lt;/R&gt;&lt;C&gt;1&lt;/C&gt;&lt;D xsi:type="xsd:double"&gt;0.243752&lt;/D&gt;&lt;/FQL&gt;&lt;FQL&gt;&lt;Q&gt;FLWR-CA^FG_PRICE(44070)&lt;/Q&gt;&lt;R&gt;1&lt;/R&gt;&lt;C&gt;1&lt;/C&gt;&lt;D xsi:type="xsd:double"&gt;0.465&lt;/D&gt;&lt;/FQL&gt;&lt;FQL&gt;&lt;Q&gt;FLWR-CA^FG_VOLUME(44069)&lt;/Q&gt;&lt;R&gt;1&lt;/R&gt;&lt;C&gt;1&lt;/C&gt;&lt;D xsi:type="xsd:double"&gt;0.0771&lt;/D&gt;&lt;/FQL&gt;&lt;FQL&gt;&lt;Q&gt;FLWR-CA^FG_PRICE(44069)&lt;/Q&gt;&lt;R&gt;1&lt;/R&gt;&lt;C&gt;1&lt;/C&gt;&lt;D xsi:type="xsd:double"&gt;0.45&lt;/D&gt;&lt;/FQL&gt;&lt;FQL&gt;&lt;Q&gt;FLWR-CA^FG_VOLUME(44068)&lt;/Q&gt;&lt;R&gt;1&lt;/R&gt;&lt;C&gt;1&lt;/C&gt;&lt;D xsi:type="xsd:double"&gt;0.149035&lt;/D&gt;&lt;/FQL&gt;&lt;FQL&gt;&lt;Q&gt;FLWR-CA^FG_PRICE(44068)&lt;/Q&gt;&lt;R&gt;1&lt;/R&gt;&lt;C&gt;1&lt;/C&gt;&lt;D xsi:type="xsd:double"&gt;0.45&lt;/D&gt;&lt;/FQL&gt;&lt;FQL&gt;&lt;Q&gt;FLWR-CA^FG_VOLUME(44067)&lt;/Q&gt;&lt;R&gt;1&lt;/R&gt;&lt;C&gt;1&lt;/C&gt;&lt;D xsi:type="xsd:double"&gt;0.016812&lt;/D&gt;&lt;/FQL&gt;&lt;FQL&gt;&lt;Q&gt;FLWR-CA^FG_PRICE(44067)&lt;/Q&gt;&lt;R&gt;1&lt;/R&gt;&lt;C&gt;1&lt;/C&gt;&lt;D xsi:type="xsd:double"&gt;0.425&lt;/D&gt;&lt;/FQL&gt;&lt;FQL&gt;&lt;Q&gt;FLWR-CA^FG_VOLUME(44064)&lt;/Q&gt;&lt;R&gt;1&lt;/R&gt;&lt;C&gt;1&lt;/C&gt;&lt;D xsi:type="xsd:double"&gt;0.022067&lt;/D&gt;&lt;/FQL&gt;&lt;FQL&gt;&lt;Q&gt;FLWR-CA^FG_PRICE(44064)&lt;/Q&gt;&lt;R&gt;1&lt;/R&gt;&lt;C&gt;1&lt;/C&gt;&lt;D xsi:type="xsd:double"&gt;0.425&lt;/D&gt;&lt;/FQL&gt;&lt;FQL&gt;&lt;Q&gt;FLWR-CA^FG_VOLUME(44063)&lt;/Q&gt;&lt;R&gt;1&lt;/R&gt;&lt;C&gt;1&lt;/C&gt;&lt;D xsi:type="xsd:double"&gt;0.019637&lt;/D&gt;&lt;/FQL&gt;&lt;FQL&gt;&lt;Q&gt;FLWR-CA^FG_PRICE(44063)&lt;/Q&gt;&lt;R&gt;1&lt;/R&gt;&lt;C&gt;1&lt;/C&gt;&lt;D xsi:type="xsd:double"&gt;0.415&lt;/D&gt;&lt;/FQL&gt;&lt;FQL&gt;&lt;Q&gt;FLWR-CA^FG_VOLUME(44062)&lt;/Q&gt;&lt;R&gt;1&lt;/R&gt;&lt;C&gt;1&lt;/C&gt;&lt;D xsi:type="xsd:double"&gt;0.057048&lt;/D&gt;&lt;/FQL&gt;&lt;FQL&gt;&lt;Q&gt;FLWR-CA^FG_PRICE(44062)&lt;/Q&gt;&lt;R&gt;1&lt;/R&gt;&lt;C&gt;1&lt;/C&gt;&lt;D xsi:type="xsd:double"&gt;0.425&lt;/D&gt;&lt;/FQL&gt;&lt;FQL&gt;&lt;Q&gt;FLWR-CA^FG_VOLUME(44061)&lt;/Q&gt;&lt;R&gt;1&lt;/R&gt;&lt;C&gt;1&lt;/C&gt;&lt;D xsi:type="xsd:double"&gt;0.069459&lt;/D&gt;&lt;/FQL&gt;&lt;FQL&gt;&lt;Q&gt;FLWR-CA^FG_PRICE(44061)&lt;/Q&gt;&lt;R&gt;1&lt;/R&gt;&lt;C&gt;1&lt;/C&gt;&lt;D xsi:type="xsd:double"&gt;0.42&lt;/D&gt;&lt;/FQL&gt;&lt;FQL&gt;&lt;Q&gt;FLWR-CA^FG_VOLUME(44060)&lt;/Q&gt;&lt;R&gt;1&lt;/R&gt;&lt;C&gt;1&lt;/C&gt;&lt;D xsi:type="xsd:double"&gt;0.159883&lt;/D&gt;&lt;/FQL&gt;&lt;FQL&gt;&lt;Q&gt;FLWR-CA^FG_PRICE(44060)&lt;/Q&gt;&lt;R&gt;1&lt;/R&gt;&lt;C&gt;1&lt;/C&gt;&lt;D xsi:type="xsd:double"&gt;0.405&lt;/D&gt;&lt;/FQL&gt;&lt;FQL&gt;&lt;Q&gt;FLWR-CA^FG_VOLUME(44057)&lt;/Q&gt;&lt;R&gt;1&lt;/R&gt;&lt;C&gt;1&lt;/C&gt;&lt;D xsi:type="xsd:double"&gt;0.225096&lt;/D&gt;&lt;/FQL&gt;&lt;FQL&gt;&lt;Q&gt;FLWR-CA^FG_PRICE(44057)&lt;/Q&gt;&lt;R&gt;1&lt;/R&gt;&lt;C&gt;1&lt;/C&gt;&lt;D xsi:type="xsd:double"&gt;0.425&lt;/D&gt;&lt;/FQL&gt;&lt;FQL&gt;&lt;Q&gt;FLWR-CA^FG_VOLUME(44056)&lt;/Q&gt;&lt;R&gt;1&lt;/R&gt;&lt;C&gt;1&lt;/C&gt;&lt;D xsi:type="xsd:double"&gt;0.277933&lt;/D&gt;&lt;/FQL&gt;&lt;FQL&gt;&lt;Q&gt;FLWR-CA^FG_PRICE(44056)&lt;/Q&gt;&lt;R&gt;1&lt;/R&gt;&lt;C&gt;1&lt;/C&gt;&lt;D xsi:type="xsd:double"&gt;0.445&lt;/D&gt;&lt;/FQL&gt;&lt;FQL&gt;&lt;Q&gt;FLWR-CA^FG_VOLUME(44055)&lt;/Q&gt;&lt;R&gt;1&lt;/R&gt;&lt;C&gt;1&lt;/C&gt;&lt;D xsi:type="xsd:double"&gt;0.016138&lt;/D&gt;&lt;/FQL&gt;&lt;FQL&gt;&lt;Q&gt;FLWR-CA^FG_PRICE(44055)&lt;/Q&gt;&lt;R&gt;1&lt;/R&gt;&lt;C&gt;1&lt;/C&gt;&lt;D xsi:type="xsd:double"&gt;0.46&lt;/D&gt;&lt;/FQL&gt;&lt;FQL&gt;&lt;Q&gt;FLWR-CA^FG_VOLUME(44054)&lt;/Q&gt;&lt;R&gt;1&lt;/R&gt;&lt;C&gt;1&lt;/C&gt;&lt;D xsi:type="xsd:double"&gt;0.060268&lt;/D&gt;&lt;/FQL&gt;&lt;FQL&gt;&lt;Q&gt;FLWR-CA^FG_PRICE(44054)&lt;/Q&gt;&lt;R&gt;1&lt;/R&gt;&lt;C&gt;1&lt;/C&gt;&lt;D xsi:type="xsd:double"&gt;0.47&lt;/D&gt;&lt;/FQL&gt;&lt;FQL&gt;&lt;Q&gt;FLWR-CA^FG_VOLUME(44053)&lt;/Q&gt;&lt;R&gt;1&lt;/R&gt;&lt;C&gt;1&lt;/C&gt;&lt;D xsi:type="xsd:double"&gt;0.126449&lt;/D&gt;&lt;/FQL&gt;&lt;FQL&gt;&lt;Q&gt;FLWR-CA^FG_PRICE(44053)&lt;/Q&gt;&lt;R&gt;1&lt;/R&gt;&lt;C&gt;1&lt;/C&gt;&lt;D xsi:type="xsd:double"&gt;0.47&lt;/D&gt;&lt;/FQL&gt;&lt;FQL&gt;&lt;Q&gt;FLWR-CA^FG_VOLUME(44050)&lt;/Q&gt;&lt;R&gt;1&lt;/R&gt;&lt;C&gt;1&lt;/C&gt;&lt;D xsi:type="xsd:double"&gt;0.146196&lt;/D&gt;&lt;/FQL&gt;&lt;FQL&gt;&lt;Q&gt;FLWR-CA^FG_PRICE(44050)&lt;/Q&gt;&lt;R&gt;1&lt;/R&gt;&lt;C&gt;1&lt;/C&gt;&lt;D xsi:type="xsd:double"&gt;0.47&lt;/D&gt;&lt;/FQL&gt;&lt;FQL&gt;&lt;Q&gt;FLWR-CA^FG_VOLUME(44049)&lt;/Q&gt;&lt;R&gt;1&lt;/R&gt;&lt;C&gt;1&lt;/C&gt;&lt;D xsi:type="xsd:double"&gt;0.068776&lt;/D&gt;&lt;/FQL&gt;&lt;FQL&gt;&lt;Q&gt;FLWR-CA^FG_PRICE(44049)&lt;/Q&gt;&lt;R&gt;1&lt;/R&gt;&lt;C&gt;1&lt;/C&gt;&lt;D xsi:type="xsd:double"&gt;0.48&lt;/D&gt;&lt;/FQL&gt;&lt;FQL&gt;&lt;Q&gt;FLWR-CA^FG_VOLUME(44048)&lt;/Q&gt;&lt;R&gt;1&lt;/R&gt;&lt;C&gt;1&lt;/C&gt;&lt;D xsi:type="xsd:double"&gt;0.244818&lt;/D&gt;&lt;/FQL&gt;&lt;FQL&gt;&lt;Q&gt;FLWR-CA^FG_PRICE(44048)&lt;/Q&gt;&lt;R&gt;1&lt;/R&gt;&lt;C&gt;1&lt;/C&gt;&lt;D xsi:type="xsd:double"&gt;0.465&lt;/D&gt;&lt;/FQL&gt;&lt;FQL&gt;&lt;Q&gt;FLWR-CA^FG_VOLUME(44047)&lt;/Q&gt;&lt;R&gt;1&lt;/R&gt;&lt;C&gt;1&lt;/C&gt;&lt;D xsi:type="xsd:double"&gt;0.217682&lt;/D&gt;&lt;/FQL&gt;&lt;FQL&gt;&lt;Q&gt;FLWR-CA^FG_PRICE(44047)&lt;/Q&gt;&lt;R&gt;1&lt;/R&gt;&lt;C&gt;1&lt;/C&gt;&lt;D xsi:type="xsd:double"&gt;0.485&lt;/D&gt;&lt;/FQL&gt;&lt;FQL&gt;&lt;Q&gt;FLWR-CA^FG_VOLUME(44046)&lt;/Q&gt;&lt;R&gt;1&lt;/R&gt;&lt;C&gt;1&lt;/C&gt;&lt;D xsi:type="xsd:double"&gt;0.04337&lt;/D&gt;&lt;/FQL&gt;&lt;FQL&gt;&lt;Q&gt;FLWR-CA^FG_PRICE(44046)&lt;/Q&gt;&lt;R&gt;1&lt;/R&gt;&lt;C&gt;1&lt;/C&gt;&lt;D xsi:type="xsd:double"&gt;0.5&lt;/D&gt;&lt;/FQL&gt;&lt;FQL&gt;&lt;Q&gt;FLWR-CA^FG_VOLUME(44043)&lt;/Q&gt;&lt;R&gt;1&lt;/R&gt;&lt;C&gt;1&lt;/C&gt;&lt;D xsi:type="xsd:double"&gt;0.04337&lt;/D&gt;&lt;/FQL&gt;&lt;FQL&gt;&lt;Q&gt;FLWR-CA^FG_PRICE(44043)&lt;/Q&gt;&lt;R&gt;1&lt;/R&gt;&lt;C&gt;1&lt;/C&gt;&lt;D xsi:type="xsd:double"&gt;0.5&lt;/D&gt;&lt;/FQL&gt;&lt;FQL&gt;&lt;Q&gt;FLWR-CA^FG_VOLUME(44042)&lt;/Q&gt;&lt;R&gt;1&lt;/R&gt;&lt;C&gt;1&lt;/C&gt;&lt;D xsi:type="xsd:double"&gt;0.078029&lt;/D&gt;&lt;/FQL&gt;&lt;FQL&gt;&lt;Q&gt;FLWR-CA^FG_PRICE(44042)&lt;/Q&gt;&lt;R&gt;1&lt;/R&gt;&lt;C&gt;1&lt;/C&gt;&lt;D xsi:type="xsd:double"&gt;0.52&lt;/D&gt;&lt;/FQL&gt;&lt;FQL&gt;&lt;Q&gt;FLWR-CA^FG_VOLUME(44041)&lt;/Q&gt;&lt;R&gt;1&lt;/R&gt;&lt;C&gt;1&lt;/C&gt;&lt;D xsi:type="xsd:double"&gt;0.031703&lt;/D&gt;&lt;/FQL&gt;&lt;FQL&gt;&lt;Q&gt;FLWR-CA^FG_PRICE(44041)&lt;/Q&gt;&lt;R&gt;1&lt;/R&gt;&lt;C&gt;1&lt;/C&gt;&lt;D xsi:type="xsd:double"&gt;0.54&lt;/D&gt;&lt;/FQL&gt;&lt;FQL&gt;&lt;Q&gt;FLWR-CA^FG_VOLUME(44040)&lt;/Q&gt;&lt;R&gt;1&lt;/R&gt;&lt;C&gt;1&lt;/C&gt;&lt;D xsi:type="xsd:double"&gt;0.041448&lt;/D&gt;&lt;/FQL&gt;&lt;FQL&gt;&lt;Q&gt;FLWR-CA^FG_PRICE(44040)&lt;/Q&gt;&lt;R&gt;1&lt;/R&gt;&lt;C&gt;1&lt;/C&gt;&lt;D xsi:type="xsd:double"&gt;0.53&lt;/D&gt;&lt;/FQL&gt;&lt;FQL&gt;&lt;Q&gt;FLWR-CA^FG_VOLUME(44039)&lt;/Q&gt;&lt;R&gt;1&lt;/R&gt;&lt;C&gt;1&lt;/C&gt;&lt;D xsi:type="xsd:double"&gt;0.061235&lt;/D&gt;&lt;/FQL&gt;&lt;FQL&gt;&lt;Q&gt;FLWR-CA^FG_PRICE(44039)&lt;/Q&gt;&lt;R&gt;1&lt;/R&gt;&lt;C&gt;1&lt;/C&gt;&lt;D xsi:type="xsd:double"&gt;0.53&lt;/D&gt;&lt;/FQL&gt;&lt;FQL&gt;&lt;Q&gt;FLWR-CA^FG_VOLUME(44036)&lt;/Q&gt;&lt;R&gt;1&lt;/R&gt;&lt;C&gt;1&lt;/C&gt;&lt;D xsi:type="xsd:double"&gt;0.078813&lt;/D&gt;&lt;/FQL&gt;&lt;FQL&gt;&lt;Q&gt;FLWR-CA^FG_PRICE(44036)&lt;/Q&gt;&lt;R&gt;1&lt;/R&gt;&lt;C&gt;1&lt;/C&gt;&lt;D xsi:type="xsd:double"&gt;0.53&lt;/D&gt;&lt;/FQL&gt;&lt;FQL&gt;&lt;Q&gt;FLWR-CA^FG_VOLUME(44035)&lt;/Q&gt;&lt;R&gt;1&lt;/R&gt;&lt;C&gt;1&lt;/C&gt;&lt;D xsi:type="xsd:double"&gt;0.008648&lt;/D&gt;&lt;/FQL&gt;&lt;FQL&gt;&lt;Q&gt;FLWR-CA^FG_PRICE(44035)&lt;/Q&gt;&lt;R&gt;1&lt;/R&gt;&lt;C&gt;1&lt;/C&gt;&lt;D xsi:type="xsd:double"&gt;0.55&lt;/D&gt;&lt;/FQL&gt;&lt;FQL&gt;&lt;Q&gt;FLWR-CA^FG_VOLUME(44034)&lt;/Q&gt;&lt;R&gt;1&lt;/R&gt;&lt;C&gt;1&lt;/C&gt;&lt;D xsi:type="xsd:double"&gt;0.071294&lt;/D&gt;&lt;/FQL&gt;&lt;FQL&gt;&lt;Q&gt;FLWR-CA^FG_PRICE(44034)&lt;/Q&gt;&lt;R&gt;1&lt;/R&gt;&lt;C&gt;1&lt;/C&gt;&lt;D xsi:type="xsd:double"&gt;0.55&lt;/D&gt;&lt;/FQL&gt;&lt;FQL&gt;&lt;Q&gt;FLWR-CA^FG_VOLUME(44033)&lt;/Q&gt;&lt;R&gt;1&lt;/R&gt;&lt;C&gt;1&lt;/C&gt;&lt;D xsi:type="xsd:double"&gt;0.016048&lt;/D&gt;&lt;/FQL&gt;&lt;FQL&gt;&lt;Q&gt;FLWR-CA^FG_PRICE(44033)&lt;/Q&gt;&lt;R&gt;1&lt;/R&gt;&lt;C&gt;1&lt;/C&gt;&lt;D xsi:type="xsd:double"&gt;0.56&lt;/D&gt;&lt;/FQL&gt;&lt;FQL&gt;&lt;Q&gt;FLWR-CA^FG_VOLUME(44032)&lt;/Q&gt;&lt;R&gt;1&lt;/R&gt;&lt;C&gt;1&lt;/C&gt;&lt;D xsi:type="xsd:double"&gt;0.04918&lt;/D&gt;&lt;/FQL&gt;&lt;FQL&gt;&lt;Q&gt;FLWR-CA^FG_PRICE(44032)&lt;/Q&gt;&lt;R&gt;1&lt;/R&gt;&lt;C&gt;1&lt;/C&gt;&lt;D xsi:type="xsd:double"&gt;0.57&lt;/D&gt;&lt;/FQL&gt;&lt;FQL&gt;&lt;Q&gt;FLWR-CA^FG_VOLUME(44029)&lt;/Q&gt;&lt;R&gt;1&lt;/R&gt;&lt;C&gt;1&lt;/C&gt;&lt;D xsi:type="xsd:double"&gt;0.052731&lt;/D&gt;&lt;/FQL&gt;&lt;FQL&gt;&lt;Q&gt;FLWR-CA^FG_PRICE(44029)&lt;/Q&gt;&lt;R&gt;1&lt;/R&gt;&lt;C&gt;1&lt;/C&gt;&lt;D xsi:type="xsd:double"&gt;0.55&lt;/D&gt;&lt;/FQL&gt;&lt;FQL&gt;&lt;Q&gt;FLWR-CA^FG_VOLUME(44028)&lt;/Q&gt;&lt;R&gt;1&lt;/R&gt;&lt;C&gt;1&lt;/C&gt;&lt;D xsi:type="xsd:double"&gt;0.072503&lt;/D&gt;&lt;/FQL&gt;&lt;FQL&gt;&lt;Q&gt;FLWR-CA^FG_PRICE(44028)&lt;/Q&gt;&lt;R&gt;1&lt;/R&gt;&lt;C&gt;1&lt;/C&gt;&lt;D xsi:type="xsd:double"&gt;0.56&lt;/D&gt;&lt;/FQL&gt;&lt;FQL&gt;&lt;Q&gt;FLWR-CA^FG_VOLUME(44027)&lt;/Q&gt;&lt;R&gt;1&lt;/R&gt;&lt;C&gt;1&lt;/C&gt;&lt;D xsi:type="xsd:double"&gt;0.050582&lt;/D&gt;&lt;/FQL&gt;&lt;FQL&gt;&lt;Q&gt;FLWR-CA^FG_PRICE(44027)&lt;/Q&gt;&lt;R&gt;1&lt;/R&gt;&lt;C&gt;1&lt;/C&gt;&lt;D xsi:type="xsd:double"&gt;0.54&lt;/D&gt;&lt;/FQL&gt;&lt;FQL&gt;&lt;Q&gt;FLWR-CA^FG_VOLUME(44026)&lt;/Q&gt;&lt;R&gt;1&lt;/R&gt;&lt;C&gt;1&lt;/C&gt;&lt;D xsi:type="xsd:double"&gt;0.019585&lt;/D&gt;&lt;/FQL&gt;&lt;FQL&gt;&lt;Q&gt;FLWR-CA^FG_PRICE(44026)&lt;/Q&gt;&lt;R&gt;1&lt;/R&gt;&lt;C&gt;1&lt;/C&gt;&lt;D xsi:type="xsd:double"&gt;0.57&lt;/D&gt;&lt;/FQL&gt;&lt;FQL&gt;&lt;Q&gt;FLWR-CA^FG_VOLUME(44025)&lt;/Q&gt;&lt;R&gt;1&lt;/R&gt;&lt;C&gt;1&lt;/C&gt;&lt;D xsi:type="xsd:double"&gt;0.04913&lt;/D&gt;&lt;/FQL&gt;&lt;FQL&gt;&lt;Q&gt;FLWR-CA^FG_PRICE(44025)&lt;/Q&gt;&lt;R&gt;1&lt;/R&gt;&lt;C&gt;1&lt;/C&gt;&lt;D xsi:type="xsd:double"&gt;0.56&lt;/D&gt;&lt;/FQL&gt;&lt;FQL&gt;&lt;Q&gt;FLWR-CA^FG_VOLUME(44022)&lt;/Q&gt;&lt;R&gt;1&lt;/R&gt;&lt;C&gt;1&lt;/C&gt;&lt;D xsi:type="xsd:double"&gt;0.117445&lt;/D&gt;&lt;/FQL&gt;&lt;FQL&gt;&lt;Q&gt;FLWR-CA^FG_PRICE(44022)&lt;/Q&gt;&lt;R&gt;1&lt;/R&gt;&lt;C&gt;1&lt;/C&gt;&lt;D xsi:type="xsd:double"&gt;0.58&lt;/D&gt;&lt;/FQL&gt;&lt;FQL&gt;&lt;Q&gt;FLWR-CA^FG_VOLUME(44021)&lt;/Q&gt;&lt;R&gt;1&lt;/R&gt;&lt;C&gt;1&lt;/C&gt;&lt;D xsi:type="xsd:double"&gt;0.025826&lt;/D&gt;&lt;/FQL&gt;&lt;FQL&gt;&lt;Q&gt;FLWR-CA^FG_PRICE(44021)&lt;/Q&gt;&lt;R&gt;1&lt;/R&gt;&lt;C&gt;1&lt;/C&gt;&lt;D xsi:type="xsd:double"&gt;0.56&lt;/D&gt;&lt;/FQL&gt;&lt;FQL&gt;&lt;Q&gt;FLWR-CA^FG_VOLUME(44020)&lt;/Q&gt;&lt;R&gt;1&lt;/R&gt;&lt;C&gt;1&lt;/C&gt;&lt;D xsi:type="xsd:double"&gt;0.134569&lt;/D&gt;&lt;/FQL&gt;&lt;FQL&gt;&lt;Q&gt;FLWR-CA^FG_PRICE(44020)&lt;/Q&gt;&lt;R&gt;1&lt;/R&gt;&lt;C&gt;1&lt;/C&gt;&lt;D xsi:type="xsd:double"&gt;0.55&lt;/D&gt;&lt;/FQL&gt;&lt;FQL&gt;&lt;Q&gt;FLWR-CA^FG_VOLUME(44019)&lt;/Q&gt;&lt;R&gt;1&lt;/R&gt;&lt;C&gt;1&lt;/C&gt;&lt;D xsi:type="xsd:double"&gt;0.083854&lt;/D&gt;&lt;/FQL&gt;&lt;FQL&gt;&lt;Q&gt;FLWR-CA^FG_PRICE(44019)&lt;/Q&gt;&lt;R&gt;1&lt;/R&gt;&lt;C&gt;1&lt;/C&gt;&lt;D xsi:type="xsd:double"&gt;0.55&lt;/D&gt;&lt;/FQL&gt;&lt;FQL&gt;&lt;Q&gt;FLWR-CA^FG_VOLUME(44018)&lt;/Q&gt;&lt;R&gt;1&lt;/R&gt;&lt;C&gt;1&lt;/C&gt;&lt;D xsi:type="xsd:double"&gt;0.099546&lt;/D&gt;&lt;/FQL&gt;&lt;FQL&gt;&lt;Q&gt;FLWR-CA^FG_PRICE(44018)&lt;/Q&gt;&lt;R&gt;1&lt;/R&gt;&lt;C&gt;1&lt;/C&gt;&lt;D xsi:type="xsd:double"&gt;0.55&lt;/D&gt;&lt;/FQL&gt;&lt;FQL&gt;&lt;Q&gt;FLWR-CA^FG_VOLUME(44015)&lt;/Q&gt;&lt;R&gt;1&lt;/R&gt;&lt;C&gt;1&lt;/C&gt;&lt;D xsi:type="xsd:double"&gt;0.027554&lt;/D&gt;&lt;/FQL&gt;&lt;FQL&gt;&lt;Q&gt;FLWR-CA^FG_PRICE(44015)&lt;/Q&gt;&lt;R&gt;1&lt;/R&gt;&lt;C&gt;1&lt;/C&gt;&lt;D xsi:type="xsd:double"&gt;0.57&lt;/D&gt;&lt;/FQL&gt;&lt;FQL&gt;&lt;Q&gt;FLWR-CA^FG_VOLUME(44014)&lt;/Q&gt;&lt;R&gt;1&lt;/R&gt;&lt;C&gt;1&lt;/C&gt;&lt;D xsi:type="xsd:double"&gt;0.191785&lt;/D&gt;&lt;/FQL&gt;&lt;FQL&gt;&lt;Q&gt;FLWR-CA^FG_PRICE(44014)&lt;/Q&gt;&lt;R&gt;1&lt;/R&gt;&lt;C&gt;1&lt;/C&gt;&lt;D xsi:type="xsd:double"&gt;0.58&lt;/D&gt;&lt;/FQL&gt;&lt;FQL&gt;&lt;Q&gt;FLWR-CA^FG_VOLUME(44013)&lt;/Q&gt;&lt;R&gt;1&lt;/R&gt;&lt;C&gt;1&lt;/C&gt;&lt;D xsi:type="xsd:double"&gt;0.067942&lt;/D&gt;&lt;/FQL&gt;&lt;FQL&gt;&lt;Q&gt;FLWR-CA^FG_PRICE(44013)&lt;/Q&gt;&lt;R&gt;1&lt;/R&gt;&lt;C&gt;1&lt;/C&gt;&lt;D xsi:type="xsd:double"&gt;0.55&lt;/D&gt;&lt;/FQL&gt;&lt;FQL&gt;&lt;Q&gt;FLWR-CA^FG_VOLUME(44012)&lt;/Q&gt;&lt;R&gt;1&lt;/R&gt;&lt;C&gt;1&lt;/C&gt;&lt;D xsi:type="xsd:double"&gt;0.067942&lt;/D&gt;&lt;/FQL&gt;&lt;FQL&gt;&lt;Q&gt;FLWR-CA^FG_PRICE(44012)&lt;/Q&gt;&lt;R&gt;1&lt;/R&gt;&lt;C&gt;1&lt;/C&gt;&lt;D xsi:type="xsd:double"&gt;0.55&lt;/D&gt;&lt;/FQL&gt;&lt;FQL&gt;&lt;Q&gt;FLWR-CA^FG_VOLUME(44011)&lt;/Q&gt;&lt;R&gt;1&lt;/R&gt;&lt;C&gt;1&lt;/C&gt;&lt;D xsi:type="xsd:double"&gt;0.214073&lt;/D&gt;&lt;/FQL&gt;&lt;FQL&gt;&lt;Q&gt;FLWR-CA^FG_PRICE(44011)&lt;/Q&gt;&lt;R&gt;1&lt;/R&gt;&lt;C&gt;1&lt;/C&gt;&lt;D xsi:type="xsd:double"&gt;0.51&lt;/D&gt;&lt;/FQL&gt;&lt;FQL&gt;&lt;Q&gt;FLWR-CA^FG_VOLUME(44008)&lt;/Q&gt;&lt;R&gt;1&lt;/R&gt;&lt;C&gt;1&lt;/C&gt;&lt;D xsi:type="xsd:double"&gt;0.03696&lt;/D&gt;&lt;/FQL&gt;&lt;FQL&gt;&lt;Q&gt;FLWR-CA^FG_PRICE(44008)&lt;/Q&gt;&lt;R&gt;1&lt;/R&gt;&lt;C&gt;1&lt;/C&gt;&lt;D xsi:type="xsd:double"&gt;0.56&lt;/D&gt;&lt;/FQL&gt;&lt;FQL&gt;&lt;Q&gt;FLWR-CA^FG_VOLUME(44007)&lt;/Q&gt;&lt;R&gt;1&lt;/R&gt;&lt;C&gt;1&lt;/C&gt;&lt;D xsi:type="xsd:double"&gt;0.140838&lt;/D&gt;&lt;/FQL&gt;&lt;FQL&gt;&lt;Q&gt;FLWR-CA^FG_PRICE(44007)&lt;/Q&gt;&lt;R&gt;1&lt;/R&gt;&lt;C&gt;1&lt;/C&gt;&lt;D xsi:type="xsd:double"&gt;0.58&lt;/D&gt;&lt;/FQL&gt;&lt;FQL&gt;&lt;Q&gt;FLWR-CA^FG_VOLUME(44006)&lt;/Q&gt;&lt;R&gt;1&lt;/R&gt;&lt;C&gt;1&lt;/C&gt;&lt;D xsi:type="xsd:double"&gt;0.150838&lt;/D&gt;&lt;/FQL&gt;&lt;FQL&gt;&lt;Q&gt;FLWR-CA^FG_PRICE(44006)&lt;/Q&gt;&lt;R&gt;1&lt;/R&gt;&lt;C&gt;1&lt;/C&gt;&lt;D xsi:type="xsd:double"&gt;0.57&lt;/D&gt;&lt;/FQL&gt;&lt;FQL&gt;&lt;Q&gt;FLWR-CA^FG_VOLUME(44005)&lt;/Q&gt;&lt;R&gt;1&lt;/R&gt;&lt;C&gt;1&lt;/C&gt;&lt;D xsi:type="xsd:double"&gt;0.04681&lt;/D&gt;&lt;/FQL&gt;&lt;FQL&gt;&lt;Q&gt;FLWR-CA^FG_PRICE(44005)&lt;/Q&gt;&lt;R&gt;1&lt;/R&gt;&lt;C&gt;1&lt;/C&gt;&lt;D xsi:type="xsd:double"&gt;0.57&lt;/D&gt;&lt;/FQL&gt;&lt;FQL&gt;&lt;Q&gt;FLWR-CA^FG_VOLUME(44004)&lt;/Q&gt;&lt;R&gt;1&lt;/R&gt;&lt;C&gt;1&lt;/C&gt;&lt;D xsi:type="xsd:double"&gt;0.067948&lt;/D&gt;&lt;/FQL&gt;&lt;FQL&gt;&lt;Q&gt;FLWR-CA^FG_PRICE(44004)&lt;/Q&gt;&lt;R&gt;1&lt;/R&gt;&lt;C&gt;1&lt;/C&gt;&lt;D xsi:type="xsd:double"&gt;0.57&lt;/D&gt;&lt;/FQL&gt;&lt;FQL&gt;&lt;Q&gt;FLWR-CA^FG_VOLUME(44001)&lt;/Q&gt;&lt;R&gt;1&lt;/R&gt;&lt;C&gt;1&lt;/C&gt;&lt;D xsi:type="xsd:double"&gt;0.087021&lt;/D&gt;&lt;/FQL&gt;&lt;FQL&gt;&lt;Q&gt;FLWR-CA^FG_PRICE(44001)&lt;/Q&gt;&lt;R&gt;1&lt;/R&gt;&lt;C&gt;1&lt;/C&gt;&lt;D xsi:type="xsd:double"&gt;0.57&lt;/D&gt;&lt;/FQL&gt;&lt;FQL&gt;&lt;Q&gt;FLWR-CA^FG_VOLUME(44000)&lt;/Q&gt;&lt;R&gt;1&lt;/R&gt;&lt;C&gt;1&lt;/C&gt;&lt;D xsi:type="xsd:double"&gt;0.044451&lt;/D&gt;&lt;/FQL&gt;&lt;FQL&gt;&lt;Q&gt;FLWR-CA^FG_PRICE(44000)&lt;/Q&gt;&lt;R&gt;1&lt;/R&gt;&lt;C&gt;1&lt;/C&gt;&lt;D xsi:type="xsd:double"&gt;0.6&lt;/D&gt;&lt;/FQL&gt;&lt;FQL&gt;&lt;Q&gt;FLWR-CA^FG_VOLUME(43999)&lt;/Q&gt;&lt;R&gt;1&lt;/R&gt;&lt;C&gt;1&lt;/C&gt;&lt;D xsi:type="xsd:double"&gt;0.051998&lt;/D&gt;&lt;/FQL&gt;&lt;FQL&gt;&lt;Q&gt;FLWR-CA^FG_PRICE(43999)&lt;/Q&gt;&lt;R&gt;1&lt;/R&gt;&lt;C&gt;1&lt;/C&gt;&lt;D xsi:type="xsd:double"&gt;0.57&lt;/D&gt;&lt;/FQL&gt;&lt;FQL&gt;&lt;Q&gt;FLWR-CA^FG_VOLUME(43998)&lt;/Q&gt;&lt;R&gt;1&lt;/R&gt;&lt;C&gt;1&lt;/C&gt;&lt;D xsi:type="xsd:double"&gt;0.029127&lt;/D&gt;&lt;/FQL&gt;&lt;FQL&gt;&lt;Q&gt;FLWR-CA^FG_PRICE(43998)&lt;/Q&gt;&lt;R&gt;1&lt;/R&gt;&lt;C&gt;1&lt;/C&gt;&lt;D xsi:type="xsd:double"&gt;0.58&lt;/D&gt;&lt;/FQL&gt;&lt;FQL&gt;&lt;Q&gt;FLWR-CA^FG_VOLUME(43997)&lt;/Q&gt;&lt;R&gt;1&lt;/R&gt;&lt;C&gt;1&lt;/C&gt;&lt;D xsi:type="xsd:double"&gt;0.083448&lt;/D&gt;&lt;/FQL&gt;&lt;FQL&gt;&lt;Q&gt;FLWR-CA^FG_PRICE(43997)&lt;/Q&gt;&lt;R&gt;1&lt;/R&gt;&lt;C&gt;1&lt;/C&gt;&lt;D xsi:type="xsd:double"&gt;0.57&lt;/D&gt;&lt;/FQL&gt;&lt;FQL&gt;&lt;Q&gt;FLWR-CA^FG_VOLUME(43994)&lt;/Q&gt;&lt;R&gt;1&lt;/R&gt;&lt;C&gt;1&lt;/C&gt;&lt;D xsi:type="xsd:double"&gt;0.157644&lt;/D&gt;&lt;/FQL&gt;&lt;FQL&gt;&lt;Q&gt;FLWR-CA^FG_PRICE(43994)&lt;/Q&gt;&lt;R&gt;1&lt;/R&gt;&lt;C&gt;1&lt;/C&gt;&lt;D xsi:type="xsd:double"&gt;0.63&lt;/D&gt;&lt;/FQL&gt;&lt;FQL&gt;&lt;Q&gt;FLWR-CA^FG_VOLUME(43993)&lt;/Q&gt;&lt;R&gt;1&lt;/R&gt;&lt;C&gt;1&lt;/C&gt;&lt;D xsi:type="xsd:double"&gt;0.141532&lt;/D&gt;&lt;/FQL&gt;&lt;FQL&gt;&lt;Q&gt;FLWR-CA^FG_PRICE(43993)&lt;/Q&gt;&lt;R&gt;1&lt;/R&gt;&lt;C&gt;1&lt;/C&gt;&lt;D xsi:type="xsd:double"&gt;0.63&lt;/D&gt;&lt;/FQL&gt;&lt;FQL&gt;&lt;Q&gt;FLWR-CA^FG_VOLUME(43992)&lt;/Q&gt;&lt;R&gt;1&lt;/R&gt;&lt;C&gt;1&lt;/C&gt;&lt;D xsi:type="xsd:double"&gt;0.060356&lt;/D&gt;&lt;/FQL&gt;&lt;FQL&gt;&lt;Q&gt;FLWR-CA^FG_PRICE(43992)&lt;/Q&gt;&lt;R&gt;1&lt;/R&gt;&lt;C&gt;1&lt;/C&gt;&lt;D xsi:type="xsd:double"&gt;0.61&lt;/D&gt;&lt;/FQL&gt;&lt;FQL&gt;&lt;Q&gt;FLWR-CA^FG_VOLUME(43991)&lt;/Q&gt;&lt;R&gt;1&lt;/R&gt;&lt;C&gt;1&lt;/C&gt;&lt;D xsi:type="xsd:double"&gt;0.189384&lt;/D&gt;&lt;/FQL&gt;&lt;FQL&gt;&lt;Q&gt;FLWR-CA^FG_PRICE(43991)&lt;/Q&gt;&lt;R&gt;1&lt;/R&gt;&lt;C&gt;1&lt;/C&gt;&lt;D xsi:type="xsd:double"&gt;0.63&lt;/D&gt;&lt;/FQL&gt;&lt;FQL&gt;&lt;Q&gt;FLWR-CA^FG_VOLUME(43990)&lt;/Q&gt;&lt;R&gt;1&lt;/R&gt;&lt;C&gt;1&lt;/C&gt;&lt;D xsi:type="xsd:double"&gt;0.083648&lt;/D&gt;&lt;/FQL&gt;&lt;FQL&gt;&lt;Q&gt;FLWR-CA^FG_PRICE(43990)&lt;/Q&gt;&lt;R&gt;1&lt;/R&gt;&lt;C&gt;1&lt;/C&gt;&lt;D xsi:type="xsd:double"&gt;0.6&lt;/D&gt;&lt;/FQL&gt;&lt;FQL&gt;&lt;Q&gt;FLWR-CA^FG_VOLUME(43987)&lt;/Q&gt;&lt;R&gt;1&lt;/R&gt;&lt;C&gt;1&lt;/C&gt;&lt;D xsi:type="xsd:double"&gt;0.133059&lt;/D&gt;&lt;/FQL&gt;&lt;FQL&gt;&lt;Q&gt;FLWR-CA^FG_PRICE(43987)&lt;/Q&gt;&lt;R&gt;1&lt;/R&gt;&lt;C&gt;1&lt;/C&gt;&lt;D xsi:type="xsd:double"&gt;0.59&lt;/D&gt;&lt;/FQL&gt;&lt;FQL&gt;&lt;Q&gt;FLWR-CA^FG_VOLUME(43986)&lt;/Q&gt;&lt;R&gt;1&lt;/R&gt;&lt;C&gt;1&lt;/C&gt;&lt;D xsi:type="xsd:double"&gt;0.097178&lt;/D&gt;&lt;/FQL&gt;&lt;FQL&gt;&lt;Q&gt;FLWR-CA^FG_PRICE(43986)&lt;/Q&gt;&lt;R&gt;1&lt;/R&gt;&lt;C&gt;1&lt;/C&gt;&lt;D xsi:type="xsd:double"&gt;0.58&lt;/D&gt;&lt;/FQL&gt;&lt;FQL&gt;&lt;Q&gt;FLWR-CA^FG_VOLUME(43985)&lt;/Q&gt;&lt;R&gt;1&lt;/R&gt;&lt;C&gt;1&lt;/C&gt;&lt;D xsi:type="xsd:double"&gt;0.191898&lt;/D&gt;&lt;/FQL&gt;&lt;FQL&gt;&lt;Q&gt;FLWR-CA^FG_PRICE(43985)&lt;/Q&gt;&lt;R&gt;1&lt;/R&gt;&lt;C&gt;1&lt;/C&gt;&lt;D xsi:type="xsd:double"&gt;0.59&lt;/D&gt;&lt;/FQL&gt;&lt;FQL&gt;&lt;Q&gt;FLWR-CA^FG_VOLUME(43984)&lt;/Q&gt;&lt;R&gt;1&lt;/R&gt;&lt;C&gt;1&lt;/C&gt;&lt;D xsi:type="xsd:double"&gt;0.03935&lt;/D&gt;&lt;/FQL&gt;&lt;FQL&gt;&lt;Q&gt;FLWR-CA^FG_PRICE(43984)&lt;/Q&gt;&lt;R&gt;1&lt;/R&gt;&lt;C&gt;1&lt;/C&gt;&lt;D xsi:type="xsd:double"&gt;0.57&lt;/D&gt;&lt;/FQL&gt;&lt;FQL&gt;&lt;Q&gt;FLWR-CA^FG_VOLUME(43983)&lt;/Q&gt;&lt;R&gt;1&lt;/R&gt;&lt;C&gt;1&lt;/C&gt;&lt;D xsi:type="xsd:double"&gt;0.047707&lt;/D&gt;&lt;/FQL&gt;&lt;FQL&gt;&lt;Q&gt;FLWR-CA^FG_PRICE(43983)&lt;/Q&gt;&lt;R&gt;1&lt;/R&gt;&lt;C&gt;1&lt;/C&gt;&lt;D xsi:type="xsd:double"&gt;0.58&lt;/D&gt;&lt;/FQL&gt;&lt;FQL&gt;&lt;Q&gt;FLWR-CA^FG_VOLUME(43980)&lt;/Q&gt;&lt;R&gt;1&lt;/R&gt;&lt;C&gt;1&lt;/C&gt;&lt;D xsi:type="xsd:double"&gt;0.29692&lt;/D&gt;&lt;/FQL&gt;&lt;FQL&gt;&lt;Q&gt;FLWR-CA^FG_PRICE(43980)&lt;/Q&gt;&lt;R&gt;1&lt;/R&gt;&lt;C&gt;1&lt;/C&gt;&lt;D xsi:type="xsd:double"&gt;0.59&lt;/D&gt;&lt;/FQL&gt;&lt;FQL&gt;&lt;Q&gt;FLWR-CA^FG_VOLUME(43979)&lt;/Q&gt;&lt;R&gt;1&lt;/R&gt;&lt;C&gt;1&lt;/C&gt;&lt;D xsi:type="xsd:double"&gt;0.071683&lt;/D&gt;&lt;/FQL&gt;&lt;FQL&gt;&lt;Q&gt;FLWR-CA^FG_PRICE(43979)&lt;/Q&gt;&lt;R&gt;1&lt;/R&gt;&lt;C&gt;1&lt;/C&gt;&lt;D xsi:type="xsd:double"&gt;0.61&lt;/D&gt;&lt;/FQL&gt;&lt;/Schema&gt;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Venkata Prasad Velagapudi</author>
    <author>Ven</author>
    <author>Badminton</author>
  </authors>
  <commentList>
    <comment ref="A1" authorId="0" shapeId="0" xr:uid="{00000000-0006-0000-0100-000001000000}">
      <text>
        <r>
          <rPr>
            <b/>
            <sz val="9"/>
            <color indexed="81"/>
            <rFont val="Tahoma"/>
            <family val="2"/>
          </rPr>
          <t>FY end Dec 31
Ven: Quarterly estimates only until the next fiscal year. Rollout of model to be done before the announcement of next FY result or after the announcemnt of penultimate quartely results</t>
        </r>
      </text>
    </comment>
    <comment ref="B1" authorId="0" shapeId="0" xr:uid="{00000000-0006-0000-0100-000002000000}">
      <text>
        <r>
          <rPr>
            <b/>
            <sz val="9"/>
            <color indexed="81"/>
            <rFont val="Tahoma"/>
            <family val="2"/>
          </rPr>
          <t>Ven: long term forecasted growth or estimate</t>
        </r>
      </text>
    </comment>
    <comment ref="C1" authorId="0" shapeId="0" xr:uid="{00000000-0006-0000-0100-000003000000}">
      <text>
        <r>
          <rPr>
            <b/>
            <sz val="9"/>
            <color indexed="81"/>
            <rFont val="Tahoma"/>
            <family val="2"/>
          </rPr>
          <t>Ven: gradient. Higher number implies a faster convergence to long term estimate</t>
        </r>
      </text>
    </comment>
    <comment ref="K1" authorId="0" shapeId="0" xr:uid="{00000000-0006-0000-0100-000004000000}">
      <text>
        <r>
          <rPr>
            <b/>
            <sz val="9"/>
            <color indexed="81"/>
            <rFont val="Tahoma"/>
            <family val="2"/>
          </rPr>
          <t>Ven: Quarterly estimates only until the next fiscal year. Rollout of model to be done before the announcement of next FY result or after the announcemnt of penultimate quartely results</t>
        </r>
      </text>
    </comment>
    <comment ref="O1" authorId="0" shapeId="0" xr:uid="{00000000-0006-0000-0100-000005000000}">
      <text>
        <r>
          <rPr>
            <b/>
            <sz val="9"/>
            <color indexed="81"/>
            <rFont val="Tahoma"/>
            <family val="2"/>
          </rPr>
          <t>Ven: Quarterly estimates only until the next fiscal year. Rollout of model to be done before the announcement of next FY result or after the announcemnt of penultimate quartely results</t>
        </r>
      </text>
    </comment>
    <comment ref="Q1" authorId="0" shapeId="0" xr:uid="{00000000-0006-0000-0100-000006000000}">
      <text>
        <r>
          <rPr>
            <b/>
            <sz val="9"/>
            <color indexed="81"/>
            <rFont val="Tahoma"/>
            <family val="2"/>
          </rPr>
          <t>Ven: Quarterly estimates only until the next fiscal year. Rollout of model to be done before the announcement of next FY result or after the announcemnt of penultimate quartely results</t>
        </r>
      </text>
    </comment>
    <comment ref="S1" authorId="0" shapeId="0" xr:uid="{00000000-0006-0000-0100-000007000000}">
      <text>
        <r>
          <rPr>
            <b/>
            <sz val="9"/>
            <color indexed="81"/>
            <rFont val="Tahoma"/>
            <family val="2"/>
          </rPr>
          <t>Ven: Quarterly estimates only until the next fiscal year. Rollout of model to be done before the announcement of next FY result or after the announcemnt of penultimate quartely results</t>
        </r>
      </text>
    </comment>
    <comment ref="U1" authorId="0" shapeId="0" xr:uid="{00000000-0006-0000-0100-000008000000}">
      <text>
        <r>
          <rPr>
            <b/>
            <sz val="9"/>
            <color indexed="81"/>
            <rFont val="Tahoma"/>
            <family val="2"/>
          </rPr>
          <t>Ven: Quarterly estimates only until the next fiscal year. Rollout of model to be done before the announcement of next FY result or after the announcemnt of penultimate quartely results</t>
        </r>
      </text>
    </comment>
    <comment ref="W1" authorId="0" shapeId="0" xr:uid="{00000000-0006-0000-0100-000009000000}">
      <text>
        <r>
          <rPr>
            <b/>
            <sz val="9"/>
            <color indexed="81"/>
            <rFont val="Tahoma"/>
            <family val="2"/>
          </rPr>
          <t>Ven: Quarterly estimates only until the next fiscal year. Rollout of model to be done before the announcement of next FY result or after the announcemnt of penultimate quartely results</t>
        </r>
      </text>
    </comment>
    <comment ref="Y1" authorId="0" shapeId="0" xr:uid="{00000000-0006-0000-0100-00000A000000}">
      <text>
        <r>
          <rPr>
            <b/>
            <sz val="9"/>
            <color indexed="81"/>
            <rFont val="Tahoma"/>
            <family val="2"/>
          </rPr>
          <t>Ven: Quarterly estimates only until the next fiscal year. Rollout of model to be done before the announcement of next FY result or after the announcemnt of penultimate quartely results</t>
        </r>
      </text>
    </comment>
    <comment ref="A38" authorId="1" shapeId="0" xr:uid="{00000000-0006-0000-0100-00000B000000}">
      <text>
        <r>
          <rPr>
            <b/>
            <sz val="9"/>
            <color indexed="81"/>
            <rFont val="Tahoma"/>
            <family val="2"/>
          </rPr>
          <t>Ven:</t>
        </r>
        <r>
          <rPr>
            <sz val="9"/>
            <color indexed="81"/>
            <rFont val="Tahoma"/>
            <family val="2"/>
          </rPr>
          <t xml:space="preserve">
gross transaction value processed through Givex payments</t>
        </r>
      </text>
    </comment>
    <comment ref="Q43" authorId="1" shapeId="0" xr:uid="{00000000-0006-0000-0100-00000C000000}">
      <text>
        <r>
          <rPr>
            <b/>
            <sz val="9"/>
            <color indexed="81"/>
            <rFont val="Tahoma"/>
            <family val="2"/>
          </rPr>
          <t>Ven:</t>
        </r>
        <r>
          <rPr>
            <sz val="9"/>
            <color indexed="81"/>
            <rFont val="Tahoma"/>
            <family val="2"/>
          </rPr>
          <t xml:space="preserve">
$53-55mm for full year</t>
        </r>
      </text>
    </comment>
    <comment ref="Q49" authorId="1" shapeId="0" xr:uid="{00000000-0006-0000-0100-00000D000000}">
      <text>
        <r>
          <rPr>
            <b/>
            <sz val="9"/>
            <color indexed="81"/>
            <rFont val="Tahoma"/>
            <family val="2"/>
          </rPr>
          <t>Ven:</t>
        </r>
        <r>
          <rPr>
            <sz val="9"/>
            <color indexed="81"/>
            <rFont val="Tahoma"/>
            <family val="2"/>
          </rPr>
          <t xml:space="preserve">
expenses related to listing. Add $1mm for listing a</t>
        </r>
      </text>
    </comment>
    <comment ref="Q55" authorId="1" shapeId="0" xr:uid="{00000000-0006-0000-0100-00000E000000}">
      <text>
        <r>
          <rPr>
            <b/>
            <sz val="9"/>
            <color indexed="81"/>
            <rFont val="Tahoma"/>
            <family val="2"/>
          </rPr>
          <t>15% for the full year</t>
        </r>
      </text>
    </comment>
    <comment ref="AF55" authorId="1" shapeId="0" xr:uid="{00000000-0006-0000-0100-00000F000000}">
      <text>
        <r>
          <rPr>
            <b/>
            <sz val="9"/>
            <color indexed="81"/>
            <rFont val="Tahoma"/>
            <family val="2"/>
          </rPr>
          <t>Ven12-15%</t>
        </r>
      </text>
    </comment>
    <comment ref="Q56" authorId="1" shapeId="0" xr:uid="{00000000-0006-0000-0100-000010000000}">
      <text>
        <r>
          <rPr>
            <b/>
            <sz val="9"/>
            <color indexed="81"/>
            <rFont val="Tahoma"/>
            <family val="2"/>
          </rPr>
          <t>excluding listing expense and share based comp</t>
        </r>
      </text>
    </comment>
    <comment ref="K64" authorId="1" shapeId="0" xr:uid="{00000000-0006-0000-0100-000011000000}">
      <text>
        <r>
          <rPr>
            <b/>
            <sz val="9"/>
            <color indexed="81"/>
            <rFont val="Tahoma"/>
            <family val="2"/>
          </rPr>
          <t>Ven:</t>
        </r>
        <r>
          <rPr>
            <sz val="9"/>
            <color indexed="81"/>
            <rFont val="Tahoma"/>
            <family val="2"/>
          </rPr>
          <t xml:space="preserve">
forex loss</t>
        </r>
      </text>
    </comment>
    <comment ref="L64" authorId="1" shapeId="0" xr:uid="{00000000-0006-0000-0100-000012000000}">
      <text>
        <r>
          <rPr>
            <b/>
            <sz val="9"/>
            <color indexed="81"/>
            <rFont val="Tahoma"/>
            <family val="2"/>
          </rPr>
          <t>Ven:</t>
        </r>
        <r>
          <rPr>
            <sz val="9"/>
            <color indexed="81"/>
            <rFont val="Tahoma"/>
            <family val="2"/>
          </rPr>
          <t xml:space="preserve">
forex loss</t>
        </r>
      </text>
    </comment>
    <comment ref="N64" authorId="1" shapeId="0" xr:uid="{00000000-0006-0000-0100-000013000000}">
      <text>
        <r>
          <rPr>
            <b/>
            <sz val="9"/>
            <color indexed="81"/>
            <rFont val="Tahoma"/>
            <family val="2"/>
          </rPr>
          <t>Ven:</t>
        </r>
        <r>
          <rPr>
            <sz val="9"/>
            <color indexed="81"/>
            <rFont val="Tahoma"/>
            <family val="2"/>
          </rPr>
          <t xml:space="preserve">
forex loss</t>
        </r>
      </text>
    </comment>
    <comment ref="O64" authorId="1" shapeId="0" xr:uid="{00000000-0006-0000-0100-000014000000}">
      <text>
        <r>
          <rPr>
            <b/>
            <sz val="9"/>
            <color indexed="81"/>
            <rFont val="Tahoma"/>
            <family val="2"/>
          </rPr>
          <t>Ven:</t>
        </r>
        <r>
          <rPr>
            <sz val="9"/>
            <color indexed="81"/>
            <rFont val="Tahoma"/>
            <family val="2"/>
          </rPr>
          <t xml:space="preserve">
forex loss</t>
        </r>
      </text>
    </comment>
    <comment ref="P64" authorId="1" shapeId="0" xr:uid="{00000000-0006-0000-0100-000015000000}">
      <text>
        <r>
          <rPr>
            <b/>
            <sz val="9"/>
            <color indexed="81"/>
            <rFont val="Tahoma"/>
            <family val="2"/>
          </rPr>
          <t>Ven:</t>
        </r>
        <r>
          <rPr>
            <sz val="9"/>
            <color indexed="81"/>
            <rFont val="Tahoma"/>
            <family val="2"/>
          </rPr>
          <t xml:space="preserve">
forex loss</t>
        </r>
      </text>
    </comment>
    <comment ref="AC64" authorId="1" shapeId="0" xr:uid="{00000000-0006-0000-0100-000016000000}">
      <text>
        <r>
          <rPr>
            <b/>
            <sz val="9"/>
            <color indexed="81"/>
            <rFont val="Tahoma"/>
            <family val="2"/>
          </rPr>
          <t>Ven:</t>
        </r>
        <r>
          <rPr>
            <sz val="9"/>
            <color indexed="81"/>
            <rFont val="Tahoma"/>
            <family val="2"/>
          </rPr>
          <t xml:space="preserve">
forex loss</t>
        </r>
      </text>
    </comment>
    <comment ref="AD64" authorId="1" shapeId="0" xr:uid="{00000000-0006-0000-0100-000017000000}">
      <text>
        <r>
          <rPr>
            <b/>
            <sz val="9"/>
            <color indexed="81"/>
            <rFont val="Tahoma"/>
            <family val="2"/>
          </rPr>
          <t>Ven:</t>
        </r>
        <r>
          <rPr>
            <sz val="9"/>
            <color indexed="81"/>
            <rFont val="Tahoma"/>
            <family val="2"/>
          </rPr>
          <t xml:space="preserve">
forex loss</t>
        </r>
      </text>
    </comment>
    <comment ref="A72" authorId="0" shapeId="0" xr:uid="{00000000-0006-0000-0100-000018000000}">
      <text>
        <r>
          <rPr>
            <b/>
            <sz val="9"/>
            <color indexed="81"/>
            <rFont val="Tahoma"/>
            <family val="2"/>
          </rPr>
          <t>Ven: includes both interest income and expense</t>
        </r>
      </text>
    </comment>
    <comment ref="A91" authorId="0" shapeId="0" xr:uid="{00000000-0006-0000-0100-000019000000}">
      <text>
        <r>
          <rPr>
            <b/>
            <sz val="9"/>
            <color indexed="81"/>
            <rFont val="Tahoma"/>
            <family val="2"/>
          </rPr>
          <t>Ven: restricted cash not included</t>
        </r>
      </text>
    </comment>
    <comment ref="A94" authorId="2" shapeId="0" xr:uid="{00000000-0006-0000-0100-00001A000000}">
      <text>
        <r>
          <rPr>
            <b/>
            <sz val="9"/>
            <color indexed="81"/>
            <rFont val="Tahoma"/>
            <family val="2"/>
          </rPr>
          <t>Ven: can also be trade receivables. Don't include tax receivables</t>
        </r>
        <r>
          <rPr>
            <sz val="9"/>
            <color indexed="81"/>
            <rFont val="Tahoma"/>
            <family val="2"/>
          </rPr>
          <t xml:space="preserve">
</t>
        </r>
      </text>
    </comment>
    <comment ref="A96" authorId="0" shapeId="0" xr:uid="{00000000-0006-0000-0100-00001B000000}">
      <text>
        <r>
          <rPr>
            <b/>
            <sz val="9"/>
            <color indexed="81"/>
            <rFont val="Tahoma"/>
            <family val="2"/>
          </rPr>
          <t>Ven: includes biological assets, marketable securities and other current assets</t>
        </r>
      </text>
    </comment>
    <comment ref="A107" authorId="0" shapeId="0" xr:uid="{00000000-0006-0000-0100-00001C000000}">
      <text>
        <r>
          <rPr>
            <b/>
            <sz val="9"/>
            <color indexed="81"/>
            <rFont val="Tahoma"/>
            <family val="2"/>
          </rPr>
          <t>Ven: all the interest bearing loans such as convertible loans, short term borrowings etc included</t>
        </r>
      </text>
    </comment>
    <comment ref="A111" authorId="0" shapeId="0" xr:uid="{00000000-0006-0000-0100-00001D000000}">
      <text>
        <r>
          <rPr>
            <b/>
            <sz val="9"/>
            <color indexed="81"/>
            <rFont val="Tahoma"/>
            <family val="2"/>
          </rPr>
          <t>Ven: long term liabilities bearing interest.
Forecast this using leverage ratio (D/E). Adjust it based on the cash position. Cash should not become negative.  Net cash position will not be impacted by this assumption.</t>
        </r>
      </text>
    </comment>
    <comment ref="A115" authorId="0" shapeId="0" xr:uid="{00000000-0006-0000-0100-00001E000000}">
      <text>
        <r>
          <rPr>
            <b/>
            <sz val="9"/>
            <color indexed="81"/>
            <rFont val="Tahoma"/>
            <family val="2"/>
          </rPr>
          <t>Ven: includes all the shareholder equity except retained earnings</t>
        </r>
      </text>
    </comment>
    <comment ref="N140" authorId="1" shapeId="0" xr:uid="{00000000-0006-0000-0100-00001F000000}">
      <text>
        <r>
          <rPr>
            <b/>
            <sz val="9"/>
            <color indexed="81"/>
            <rFont val="Tahoma"/>
            <family val="2"/>
          </rPr>
          <t>Ven:</t>
        </r>
        <r>
          <rPr>
            <sz val="9"/>
            <color indexed="81"/>
            <rFont val="Tahoma"/>
            <family val="2"/>
          </rPr>
          <t xml:space="preserve">
proceeds from disposal of Decibel investment</t>
        </r>
      </text>
    </comment>
    <comment ref="H141" authorId="0" shapeId="0" xr:uid="{00000000-0006-0000-0100-000020000000}">
      <text>
        <r>
          <rPr>
            <b/>
            <sz val="9"/>
            <color indexed="81"/>
            <rFont val="Tahoma"/>
            <family val="2"/>
          </rPr>
          <t>ven: loan receivable effective as a part of acquisition</t>
        </r>
      </text>
    </comment>
    <comment ref="A149" authorId="0" shapeId="0" xr:uid="{00000000-0006-0000-0100-000021000000}">
      <text>
        <r>
          <rPr>
            <b/>
            <sz val="9"/>
            <color indexed="81"/>
            <rFont val="Tahoma"/>
            <family val="2"/>
          </rPr>
          <t xml:space="preserve">Ven: this includes estimated cash inflow from the exercise of options and warrants over the future. Assume the low end of exercise price to stay cautious.
If the exercise price in lower or around the current share price, assume them to be exercised in the nearest possible date. Otherwise assume them to exercised at the end of the expiry period.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Ven</author>
  </authors>
  <commentList>
    <comment ref="B7" authorId="0" shapeId="0" xr:uid="{00000000-0006-0000-0400-000001000000}">
      <text>
        <r>
          <rPr>
            <b/>
            <sz val="9"/>
            <color indexed="81"/>
            <rFont val="Tahoma"/>
            <family val="2"/>
          </rPr>
          <t>Ven:</t>
        </r>
        <r>
          <rPr>
            <sz val="9"/>
            <color indexed="81"/>
            <rFont val="Tahoma"/>
            <family val="2"/>
          </rPr>
          <t xml:space="preserve">
Based on 8.5% interest rate on convertible debt</t>
        </r>
      </text>
    </comment>
    <comment ref="B104" authorId="0" shapeId="0" xr:uid="{00000000-0006-0000-0400-000002000000}">
      <text>
        <r>
          <rPr>
            <b/>
            <sz val="9"/>
            <color indexed="81"/>
            <rFont val="Tahoma"/>
            <family val="2"/>
          </rPr>
          <t>Ven:
exposure to only restaurants and exposure to India which may dilute ARPU</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Badminton</author>
  </authors>
  <commentList>
    <comment ref="C1" authorId="0" shapeId="0" xr:uid="{00000000-0006-0000-0600-000001000000}">
      <text>
        <r>
          <rPr>
            <b/>
            <sz val="9"/>
            <color indexed="81"/>
            <rFont val="Tahoma"/>
            <family val="2"/>
          </rPr>
          <t xml:space="preserve">consider the lowest range to be conservative
</t>
        </r>
      </text>
    </comment>
    <comment ref="F1" authorId="0" shapeId="0" xr:uid="{00000000-0006-0000-0600-000002000000}">
      <text>
        <r>
          <rPr>
            <b/>
            <sz val="9"/>
            <color indexed="81"/>
            <rFont val="Tahoma"/>
            <family val="2"/>
          </rPr>
          <t>ven; assuming the company to repurchase shares at current market price after ITM options/warrants are exercised</t>
        </r>
      </text>
    </comment>
    <comment ref="C9" authorId="0" shapeId="0" xr:uid="{00000000-0006-0000-0600-000003000000}">
      <text>
        <r>
          <rPr>
            <b/>
            <sz val="9"/>
            <color indexed="81"/>
            <rFont val="Tahoma"/>
            <family val="2"/>
          </rPr>
          <t xml:space="preserve">consider the lowest range to be conservative
</t>
        </r>
      </text>
    </comment>
    <comment ref="A22" authorId="0" shapeId="0" xr:uid="{00000000-0006-0000-0600-000004000000}">
      <text>
        <r>
          <rPr>
            <b/>
            <sz val="9"/>
            <color indexed="81"/>
            <rFont val="Tahoma"/>
            <family val="2"/>
          </rPr>
          <t>ven: some employees will leave the company before the RSUs vest</t>
        </r>
      </text>
    </comment>
    <comment ref="B30" authorId="0" shapeId="0" xr:uid="{00000000-0006-0000-0600-000005000000}">
      <text>
        <r>
          <rPr>
            <b/>
            <sz val="9"/>
            <color indexed="81"/>
            <rFont val="Tahoma"/>
            <family val="2"/>
          </rPr>
          <t>consider only if the exercise price is below market price</t>
        </r>
      </text>
    </comment>
  </commentList>
</comments>
</file>

<file path=xl/sharedStrings.xml><?xml version="1.0" encoding="utf-8"?>
<sst xmlns="http://schemas.openxmlformats.org/spreadsheetml/2006/main" count="580" uniqueCount="419">
  <si>
    <t>Key Operating Metrics</t>
  </si>
  <si>
    <t>Others</t>
  </si>
  <si>
    <t>COGS</t>
  </si>
  <si>
    <t>Share based payments</t>
  </si>
  <si>
    <t>Depreciation &amp; Amortization</t>
  </si>
  <si>
    <t>Operating Income (EBIT)</t>
  </si>
  <si>
    <t>Net Interest Expense</t>
  </si>
  <si>
    <t>Income tax expense</t>
  </si>
  <si>
    <t>Net Income</t>
  </si>
  <si>
    <t>Basic Number of Shares</t>
  </si>
  <si>
    <t>Diluted Number of Shares</t>
  </si>
  <si>
    <t>EPS Basic</t>
  </si>
  <si>
    <t>EPS Diluted</t>
  </si>
  <si>
    <t>as a % of sales</t>
  </si>
  <si>
    <t>Income tax rate (%)</t>
  </si>
  <si>
    <t>Cash and Short term investments</t>
  </si>
  <si>
    <t>Inventory</t>
  </si>
  <si>
    <t>Accounts receivable</t>
  </si>
  <si>
    <t>Other Current Assets</t>
  </si>
  <si>
    <t>Total Current Assets</t>
  </si>
  <si>
    <t>Total Assets</t>
  </si>
  <si>
    <t>Short term loans and borrowings</t>
  </si>
  <si>
    <t>Other current liabilities</t>
  </si>
  <si>
    <t>Current Liabilities</t>
  </si>
  <si>
    <t>Long term loans</t>
  </si>
  <si>
    <t>Other non current liabilities</t>
  </si>
  <si>
    <t>Non Current Liabilities</t>
  </si>
  <si>
    <t>Total Liabilities</t>
  </si>
  <si>
    <t>Share capital, reserves and others</t>
  </si>
  <si>
    <t>Retained Earnings</t>
  </si>
  <si>
    <t>Total equity Attributed to Shareholders</t>
  </si>
  <si>
    <t>Minority (Non controlling) interest</t>
  </si>
  <si>
    <t>Total equity</t>
  </si>
  <si>
    <t>Total liabilities and equity</t>
  </si>
  <si>
    <t>Balance Check</t>
  </si>
  <si>
    <t>Cash Flow Statement</t>
  </si>
  <si>
    <t>Net Cash from Operating Activities</t>
  </si>
  <si>
    <t>Capital Expenditure</t>
  </si>
  <si>
    <t>Net Cash from Investing Activities</t>
  </si>
  <si>
    <t>Proceeds from Loans</t>
  </si>
  <si>
    <t>Repayment of Loans</t>
  </si>
  <si>
    <t>Shares issued for cash</t>
  </si>
  <si>
    <t>Net Cash from Financing Activities</t>
  </si>
  <si>
    <t>Effect of Foreign exchange</t>
  </si>
  <si>
    <t>Increase in Cash and Equivalents</t>
  </si>
  <si>
    <t>Cash</t>
  </si>
  <si>
    <t>Net Debt</t>
  </si>
  <si>
    <t>Fully Diluted Net Debt</t>
  </si>
  <si>
    <t>Valuation</t>
  </si>
  <si>
    <t>Non Controlling interest</t>
  </si>
  <si>
    <t>Balance Sheet (C$mm)</t>
  </si>
  <si>
    <t>Acquisition of businesses</t>
  </si>
  <si>
    <t>Revenue Mix (%)</t>
  </si>
  <si>
    <t>Adj. Gross Margin (%)</t>
  </si>
  <si>
    <t>as a % of COGS</t>
  </si>
  <si>
    <t>as a % of Sales</t>
  </si>
  <si>
    <t>EBIT</t>
  </si>
  <si>
    <t>Net Income attributable to shareholders</t>
  </si>
  <si>
    <t>EBITDA</t>
  </si>
  <si>
    <t>EBITDA Margin (%)</t>
  </si>
  <si>
    <t>PV of Terminal Value</t>
  </si>
  <si>
    <t>Leverage</t>
  </si>
  <si>
    <t>Revenue</t>
  </si>
  <si>
    <t>Gross Profit</t>
  </si>
  <si>
    <t>Reported</t>
  </si>
  <si>
    <t xml:space="preserve">Reported </t>
  </si>
  <si>
    <t>Total revenue ($mm)</t>
  </si>
  <si>
    <t>New</t>
  </si>
  <si>
    <t>Old</t>
  </si>
  <si>
    <t>Income Statement</t>
  </si>
  <si>
    <t>Cost of goods sold</t>
  </si>
  <si>
    <t>Other income (expense)</t>
  </si>
  <si>
    <t>Pre-tax earnings</t>
  </si>
  <si>
    <t>Net income (loss)</t>
  </si>
  <si>
    <t>Balance Sheet</t>
  </si>
  <si>
    <t>ASSETS</t>
  </si>
  <si>
    <t>Receivables</t>
  </si>
  <si>
    <t>Other current assets</t>
  </si>
  <si>
    <t>Current assets</t>
  </si>
  <si>
    <t>Property, plant and equipment</t>
  </si>
  <si>
    <t>Intangible assets</t>
  </si>
  <si>
    <t>Other assets</t>
  </si>
  <si>
    <t>Total assets</t>
  </si>
  <si>
    <t>LIABILITIES</t>
  </si>
  <si>
    <t>Current liabilities</t>
  </si>
  <si>
    <t>Long-term liabilities</t>
  </si>
  <si>
    <t>SHAREHOLDERS' EQUITY</t>
  </si>
  <si>
    <t>Total shareholders' equity</t>
  </si>
  <si>
    <t>Check</t>
  </si>
  <si>
    <t>Statement of Cash Flows</t>
  </si>
  <si>
    <t>OPERATING</t>
  </si>
  <si>
    <t>Depreciation and amortization</t>
  </si>
  <si>
    <t>Share-based compensation</t>
  </si>
  <si>
    <t>Other</t>
  </si>
  <si>
    <t>Changes in non-cash working capital</t>
  </si>
  <si>
    <t>Operating cash flow</t>
  </si>
  <si>
    <t>FINANCING</t>
  </si>
  <si>
    <t>Share issuance</t>
  </si>
  <si>
    <t>Financing cash flow</t>
  </si>
  <si>
    <t>INVESTING</t>
  </si>
  <si>
    <t>Capital expenditures</t>
  </si>
  <si>
    <t>Investing Cash Flow</t>
  </si>
  <si>
    <t>Change in cash</t>
  </si>
  <si>
    <t>Cash, beginning of period</t>
  </si>
  <si>
    <t>Cash, end of period</t>
  </si>
  <si>
    <t>Operating Income</t>
  </si>
  <si>
    <t>Short term borrowings</t>
  </si>
  <si>
    <t>Net Proceeds from Loans</t>
  </si>
  <si>
    <t>Enterprise Value ($mm)</t>
  </si>
  <si>
    <t>This sheet contains FactSet XML data for use with this workbook's =FDS codes.  Modifying the worksheet's contents may damage the workbook's =FDS functionality.</t>
  </si>
  <si>
    <t>Sale of Assets/securities</t>
  </si>
  <si>
    <t>Share of gain/loss from associates and other income</t>
  </si>
  <si>
    <t>Income Statement ($mm)</t>
  </si>
  <si>
    <t>Cost of Sales</t>
  </si>
  <si>
    <t>Gross Margin %</t>
  </si>
  <si>
    <t>Operating Expenses</t>
  </si>
  <si>
    <t>Operating Income (loss)</t>
  </si>
  <si>
    <t>Operating Margin %</t>
  </si>
  <si>
    <t>Net Income (Loss)</t>
  </si>
  <si>
    <t>Balance Sheet ($mm)</t>
  </si>
  <si>
    <t>Cash and Cash Equivalents</t>
  </si>
  <si>
    <t>Short-term Liabilities</t>
  </si>
  <si>
    <t>Long-term Liabilities</t>
  </si>
  <si>
    <t>Operating Cash Flow</t>
  </si>
  <si>
    <t>Shareholders' Equity</t>
  </si>
  <si>
    <t>Financing Cash Flow</t>
  </si>
  <si>
    <t>Change in Cash</t>
  </si>
  <si>
    <t>Terminal EV/EBITDA Multiple</t>
  </si>
  <si>
    <t>FCFF</t>
  </si>
  <si>
    <t>Terminal Growth Rate</t>
  </si>
  <si>
    <t>Net Debt/Equity</t>
  </si>
  <si>
    <t>Operating CF (Excl. Δ NWC)</t>
  </si>
  <si>
    <t>Changes in NWC</t>
  </si>
  <si>
    <t>Total liabilities and  equity</t>
  </si>
  <si>
    <t>WACC</t>
  </si>
  <si>
    <t>$mm</t>
  </si>
  <si>
    <t>PV of FCFF</t>
  </si>
  <si>
    <t>Net debt ($mm)</t>
  </si>
  <si>
    <t>Equity Value ($mm)</t>
  </si>
  <si>
    <t>WACC Calculation</t>
  </si>
  <si>
    <t>Risk Free Rate</t>
  </si>
  <si>
    <t>Market Risk Premium</t>
  </si>
  <si>
    <t>Beta</t>
  </si>
  <si>
    <t>Cost of Equity (%)</t>
  </si>
  <si>
    <t>Proportion of Debt in Target Capital Structure (%)</t>
  </si>
  <si>
    <t>WACC (%)</t>
  </si>
  <si>
    <t>Net Revenue ($mm)</t>
  </si>
  <si>
    <t>Cash Flow ($mm)</t>
  </si>
  <si>
    <t>After-tax Cost of Debt (%)</t>
  </si>
  <si>
    <t>LT Target</t>
  </si>
  <si>
    <t>Gradient</t>
  </si>
  <si>
    <t>TV</t>
  </si>
  <si>
    <t>% from terminal value</t>
  </si>
  <si>
    <t>Changes in working capital</t>
  </si>
  <si>
    <t>Adj. Gross Profit ($mm)</t>
  </si>
  <si>
    <t>EBT</t>
  </si>
  <si>
    <t>2022e</t>
  </si>
  <si>
    <t>2023e</t>
  </si>
  <si>
    <t>Total Net Revenue</t>
  </si>
  <si>
    <t>Gain/loss on disposal of investments/assets</t>
  </si>
  <si>
    <t>Growth (%)</t>
  </si>
  <si>
    <t>Number of ITM options</t>
  </si>
  <si>
    <t>Number of ITM warrants</t>
  </si>
  <si>
    <t>Exercisable options</t>
  </si>
  <si>
    <t>Exercise Price</t>
  </si>
  <si>
    <t>Number</t>
  </si>
  <si>
    <t>Exercisable warrants</t>
  </si>
  <si>
    <t>Outstanding</t>
  </si>
  <si>
    <t>Discount to factor attrition</t>
  </si>
  <si>
    <t>Increase in diluted share count due to RSUs</t>
  </si>
  <si>
    <t>Repurchased shares using treasury method</t>
  </si>
  <si>
    <t>Market price</t>
  </si>
  <si>
    <t>Subsequent Events impacting the share count</t>
  </si>
  <si>
    <t>Convertible Debt</t>
  </si>
  <si>
    <t>Basic shares</t>
  </si>
  <si>
    <t>Increase in sharecount due to dilution</t>
  </si>
  <si>
    <t>Total impact due to subsequent events</t>
  </si>
  <si>
    <t>Total shares repurchased using treasury method</t>
  </si>
  <si>
    <t>Shares repurchased using treasury method</t>
  </si>
  <si>
    <t>Total Diluted Shares</t>
  </si>
  <si>
    <t>Shares issued</t>
  </si>
  <si>
    <t>Options/Warrants exercised</t>
  </si>
  <si>
    <t xml:space="preserve">Convertible debt </t>
  </si>
  <si>
    <t>Share data</t>
  </si>
  <si>
    <t>Basic shares O/S (mm)</t>
  </si>
  <si>
    <t>Market Cap ($mm)</t>
  </si>
  <si>
    <t>Cash ($mm)</t>
  </si>
  <si>
    <t>Debt ($mm)</t>
  </si>
  <si>
    <t>Next Reporting Date</t>
  </si>
  <si>
    <t>12-Month Forward Target:</t>
  </si>
  <si>
    <t>Proected. Return:</t>
  </si>
  <si>
    <t>Potential Catalysts for the Share Price</t>
  </si>
  <si>
    <t>Key Drivers of Our Investment Thesis</t>
  </si>
  <si>
    <t xml:space="preserve">Increase in cash balance </t>
  </si>
  <si>
    <t>Increase in shares due to subsequent events</t>
  </si>
  <si>
    <t>RSUs/DSUs</t>
  </si>
  <si>
    <t>Equivalent shares</t>
  </si>
  <si>
    <t>Segment</t>
  </si>
  <si>
    <t>Percentage of Revenue (%)</t>
  </si>
  <si>
    <t>Debenture financing deal in 2019</t>
  </si>
  <si>
    <t>Broker warrants</t>
  </si>
  <si>
    <t>Warrants issued with Bought deal in Dec 2020</t>
  </si>
  <si>
    <t>2024e</t>
  </si>
  <si>
    <t>2025e</t>
  </si>
  <si>
    <t>2026e</t>
  </si>
  <si>
    <t>2027e</t>
  </si>
  <si>
    <t>2028e</t>
  </si>
  <si>
    <t>2030e</t>
  </si>
  <si>
    <t>NA</t>
  </si>
  <si>
    <t>New Customers added</t>
  </si>
  <si>
    <t>Churn Rate (%)</t>
  </si>
  <si>
    <t>Income Statement (US$mm)</t>
  </si>
  <si>
    <t>Software and Payments</t>
  </si>
  <si>
    <t>Hardware and other</t>
  </si>
  <si>
    <t>Customer locations at the end of period</t>
  </si>
  <si>
    <t>Average Software and Payments Revenue per month per customer location</t>
  </si>
  <si>
    <t>Software and Payments Revenue</t>
  </si>
  <si>
    <t>Hardware and other revenue per new customer</t>
  </si>
  <si>
    <t>Hardware and Other Revenue</t>
  </si>
  <si>
    <t>SG&amp;A</t>
  </si>
  <si>
    <t>Gross Profit of Software and Payments</t>
  </si>
  <si>
    <t>Gross Margin for Software and Payments (%)</t>
  </si>
  <si>
    <t>Gross Profit of Hardware and others</t>
  </si>
  <si>
    <t>Gross Margin for Hardware and others (%)</t>
  </si>
  <si>
    <t>COGS for software and payments</t>
  </si>
  <si>
    <t>COGS for hardware and others</t>
  </si>
  <si>
    <t>Overall Gross Profit</t>
  </si>
  <si>
    <t>Overall Gross Margin (%)</t>
  </si>
  <si>
    <t>Gross Margin (%)</t>
  </si>
  <si>
    <t>Overall</t>
  </si>
  <si>
    <t>Decline in Customer locations due to Churn</t>
  </si>
  <si>
    <t>RCC</t>
  </si>
  <si>
    <t>vs. RCCe</t>
  </si>
  <si>
    <t>Gross Profit ($mm)</t>
  </si>
  <si>
    <t>Gross margin %</t>
  </si>
  <si>
    <t>EBITDA ($mm)</t>
  </si>
  <si>
    <t>Other KPIs</t>
  </si>
  <si>
    <t>GTV (Gross Transaction Value) (bn)</t>
  </si>
  <si>
    <t>Global Market Insights</t>
  </si>
  <si>
    <t>Estimated Market Size of POS (US$bn)</t>
  </si>
  <si>
    <t>Estimated Market Size of Digital Payments (US$bn)</t>
  </si>
  <si>
    <t>Grand View Research</t>
  </si>
  <si>
    <t>Verified Market Research</t>
  </si>
  <si>
    <t>Report Linker</t>
  </si>
  <si>
    <t>Market Research Future</t>
  </si>
  <si>
    <t>Estimated Global Market Size of Gift Cards (US$bn)</t>
  </si>
  <si>
    <t>ResearchAndMarkets.com</t>
  </si>
  <si>
    <t>https://finance.yahoo.com/news/global-gift-cards-market-research-214500901.html</t>
  </si>
  <si>
    <t>ExpertMarketResearch.com</t>
  </si>
  <si>
    <t>https://www.expertmarketresearch.com/reports/gift-cards-market</t>
  </si>
  <si>
    <t>Allied Market Research</t>
  </si>
  <si>
    <t>https://www.alliedmarketresearch.com/gift-cards-market</t>
  </si>
  <si>
    <t>Next Move Strategy Consulting</t>
  </si>
  <si>
    <t>https://www.nextmsc.com/report/gift-card-market</t>
  </si>
  <si>
    <t>Estimated Market Size of Global Payments (US$bn)</t>
  </si>
  <si>
    <t>https://www.businesswire.com/news/home/20210819005514/en/Payments-Global-Market-Report-2021-COVID-19-Impact-and-Recovery-to-2025-2030---ResearchAndMarkets.com</t>
  </si>
  <si>
    <t>McKinsey Global Payments Report</t>
  </si>
  <si>
    <t>https://www.mckinsey.com/~/media/mckinsey/industries/financial%20services/our%20insights/the%202021%20mckinsey%20global%20payments%20report/2021-mckinsey-global-payments-report.pdf</t>
  </si>
  <si>
    <t>BCG Global Payments 2021</t>
  </si>
  <si>
    <t>https://web-assets.bcg.com/58/30/e7773b6a4c29b79b3673ab21ef66/bcg-global-payments-2021-report-all-in-for-growth-oct-2021-r.pdf</t>
  </si>
  <si>
    <t>PWC Payments 2025</t>
  </si>
  <si>
    <t>https://www.pwc.com/gx/en/industries/financial-services/publications/financial-services-in-2025/payments-in-2025.html</t>
  </si>
  <si>
    <t>EBITDA (Left-Axis)</t>
  </si>
  <si>
    <t>EBITDA Margin (%) (Right-Axis)</t>
  </si>
  <si>
    <t>Terminal EV/Revenue Multiple</t>
  </si>
  <si>
    <t>Company</t>
  </si>
  <si>
    <t>ARPU</t>
  </si>
  <si>
    <t>Givex</t>
  </si>
  <si>
    <t>Toast</t>
  </si>
  <si>
    <t>Block (Square)</t>
  </si>
  <si>
    <t>Lightspeed Commerce</t>
  </si>
  <si>
    <t>Percentage of Customers Using all the functionalities</t>
  </si>
  <si>
    <t>Estimated Minimum ARPU</t>
  </si>
  <si>
    <t>Year</t>
  </si>
  <si>
    <t>Hardware and others</t>
  </si>
  <si>
    <t>Overall Gross Margin</t>
  </si>
  <si>
    <t>Free Cash Flow</t>
  </si>
  <si>
    <t>Customer Locations Growth</t>
  </si>
  <si>
    <t>Implied TP ($)</t>
  </si>
  <si>
    <t>Long-term ARPU ($)</t>
  </si>
  <si>
    <t>GIVX - TSX</t>
  </si>
  <si>
    <t>Fully Diluted Shares (mm)</t>
  </si>
  <si>
    <t>EV/Revenue</t>
  </si>
  <si>
    <t>EV/EBITDA</t>
  </si>
  <si>
    <t>P/E</t>
  </si>
  <si>
    <t>EV/Gross Profit</t>
  </si>
  <si>
    <t>Customer locations</t>
  </si>
  <si>
    <t>Diebold Nixdorf</t>
  </si>
  <si>
    <t>Revenue growth outlook driven by increase in customer locations and ARPU</t>
  </si>
  <si>
    <t>Focus on profitability</t>
  </si>
  <si>
    <t>Competive advantage based on brand, technology, sales team, and management</t>
  </si>
  <si>
    <t>Attractive Valuation</t>
  </si>
  <si>
    <t>Gradual increase in revenue base driven by consistent growth</t>
  </si>
  <si>
    <t>Better than expected growth in ARPU due to uptake of GivexPOS and payment services</t>
  </si>
  <si>
    <t>Better than expected growth in customer locations  due to accretive acquisitions</t>
  </si>
  <si>
    <t xml:space="preserve">Post COVID recovery of key operating markets may improve growth outlook </t>
  </si>
  <si>
    <t>FCF Yield</t>
  </si>
  <si>
    <t>ROE</t>
  </si>
  <si>
    <t>ROIC</t>
  </si>
  <si>
    <t>Terminal EV Contribution to TP</t>
  </si>
  <si>
    <t>FCFF Yield</t>
  </si>
  <si>
    <t>Multiples</t>
  </si>
  <si>
    <t>Profitability Ratio</t>
  </si>
  <si>
    <t>Key Financials</t>
  </si>
  <si>
    <t>Gross profit ($mm)</t>
  </si>
  <si>
    <t>Adjusted EBITDA ($mm)</t>
  </si>
  <si>
    <t>Adjusted EBITDA</t>
  </si>
  <si>
    <t>Segment Wise Revenue Breakup</t>
  </si>
  <si>
    <t>Revenue and Gross Margin Outlook</t>
  </si>
  <si>
    <t>Valuation Multiples</t>
  </si>
  <si>
    <t>NMF</t>
  </si>
  <si>
    <t>ROIC and ROE</t>
  </si>
  <si>
    <t>Lightspeed</t>
  </si>
  <si>
    <t>Ticker</t>
  </si>
  <si>
    <t>Ackroo</t>
  </si>
  <si>
    <t>TSXV:AKR</t>
  </si>
  <si>
    <t>TSX:LSPD</t>
  </si>
  <si>
    <t>Phunware</t>
  </si>
  <si>
    <t>NasdaqCM:PHUN</t>
  </si>
  <si>
    <t>Cardlytics</t>
  </si>
  <si>
    <t>NasdaqGM:CDLX</t>
  </si>
  <si>
    <t>Bridgeline Digital</t>
  </si>
  <si>
    <t>NasdaqCM:BLIN</t>
  </si>
  <si>
    <t>Weave Communications</t>
  </si>
  <si>
    <t>NYSE:WEAV</t>
  </si>
  <si>
    <t>EV</t>
  </si>
  <si>
    <t>LTM Gross Profit</t>
  </si>
  <si>
    <t>EV/LTM Gross Profit</t>
  </si>
  <si>
    <t>MEDIAN</t>
  </si>
  <si>
    <t>EV/Gross Profit Multiple</t>
  </si>
  <si>
    <t>Enterprise Value</t>
  </si>
  <si>
    <t>TP</t>
  </si>
  <si>
    <t>Perion network</t>
  </si>
  <si>
    <t>NasdaqGS:PERI</t>
  </si>
  <si>
    <t>Enghouse Systems</t>
  </si>
  <si>
    <t>TSX:ENGH</t>
  </si>
  <si>
    <t>Dye &amp; Durham</t>
  </si>
  <si>
    <t>TSX:DND</t>
  </si>
  <si>
    <t>Riskifield</t>
  </si>
  <si>
    <t>NYSE:RSKD</t>
  </si>
  <si>
    <t>TP ($/sh)</t>
  </si>
  <si>
    <t>Valuation using EV/Gross Profit Multiple</t>
  </si>
  <si>
    <t>TP Calculation</t>
  </si>
  <si>
    <t>Equity Value per Share Based on DCF</t>
  </si>
  <si>
    <t>Equity Value per Share Based on Relative Valuation</t>
  </si>
  <si>
    <t>EV/LTM Gross Multiple</t>
  </si>
  <si>
    <t>Equity Value per Share ($mm)</t>
  </si>
  <si>
    <t>Q3/23</t>
  </si>
  <si>
    <t>Gross Profit 2024e</t>
  </si>
  <si>
    <t>Revenue and EBITDA Outlook</t>
  </si>
  <si>
    <t>BAABTAVMT0NBTAFI/////wFQFAAAABdDSVEuVFNYOkVOR0guSVFfR1AuMjAwMAEAAAB3ywoAAgAAAAcyOTcuODI3AQgAAAAFAAAAATEBAAAACy0yMDI3NDcxNDM0AwAAAAIyNwIAAAACMTAEAAAAATAHAAAACTExLzIvMjAyMwgAAAAJNy8zMS8yMDIzCQAAAAEwada+LLTb2wgGxOAstNvbCBxDSVEuTkFTREFRQ006QkxJTi5JUV9HUC4yMDAwAQAAAGM5dQACAAAABjExLjI1NwEIAAAABQAAAAExAQAAAAstMjAzMzA0OTQ3MgMAAAADMTYwAgAAAAIxMAQAAAABMAcAAAAJMTEvMi8yMDIzCAAAAAk2LzMwLzIwMjMJAAAAATBp1r4stNvbCGKN4Sy029sIFkNJUS5UU1g6RE5ELklRX0dQLjIwMDABAAAABvKzAAIAAAAHNDAzLjk1NQEIAAAABQAAAAExAQAAAAstMjAyMjM2MDUwMAMAAAACMjcCAAAAAjEwBAAAAAEwBwAAAAkxMS8yLzIwMjMIAAAACTkvMzAvMjAyMwkAAAABMGnWviy029sIBsTgLLTb2wgcQ0lRLk5BU0RBUUNNOlBIVU4uSVFfR1AuMjAwMAEAAADR/HsGAgAAAAUyLjYwMgEIAAAABQAAAAExAQAAAAstMjAzMjc1NjAxMwMAAAADMTYwAgAAAAIxMAQAAAABMAcAAAAJMTEvMi8yMDIzCAAAAAk2LzMwLzIwMjMJAAAAATBp1r4stNvbCHlj4Sy029sIGENJUS5OWVNFOlJTS0QuSVFfR1AuMjAwMAEAAACC3XYOAgAAAAcxNDYuOTg3AQgAAAAFAAAAATEBAAAACy0yMDMzMDAzMTY1AwAAAAMxNjACAAAAAjEw</t>
  </si>
  <si>
    <t>BAAAAAEwBwAAAAkxMS8yLzIwMjMIAAAACTYvMzAvMjAyMwkAAAABMGnWviy029sI9hDhLLTb2wgYQ0lRLk5ZU0U6V0VBVi5JUV9HUC4yMDAwAQAAAJTqUw8CAAAABzEwOS40NDQBCAAAAAUAAAACMjkCAAAAAjEwAQAAAAstMjAyMTc3OTM1NAMAAAADMTYwBAAAAAEwBwAAAAkxMS8yLzIwMjMIAAAACTkvMzAvMjAyMwkAAAABMGnWviy029sI9hDhLLTb2wgcQ0lRLk5BU0RBUUdNOkNETFguSVFfR1AuMjAwMAEAAAATDKgDAgAAAAcxMTcuMjQ5AQgAAAAFAAAAATEBAAAACy0yMDM2MTg5NjU3AwAAAAMxNjACAAAAAjEwBAAAAAEwBwAAAAkxMS8yLzIwMjMIAAAACTYvMzAvMjAyMwkAAAABMGnWviy029sIB3nhLLTb2wgcQ0lRLk5BU0RBUUdTOlBFUkkuSVFfR1AuMjAwMAEAAADqCrUOAgAAAAcyNjAuNzk5AQgAAAAFAAAAATEBAAAACy0yMDI2NDQ4OTM2AwAAAAMxNjACAAAAAjEwBAAAAAEwBwAAAAkxMS8yLzIwMjMIAAAACTYvMzAvMjAyMwkAAAABMGnWviy029sIMTzhLLTb2wgXQ0lRLlRTWFY6QUtSLklRX0dQLjIwMDABAAAAEG9vDAIAAAAHNS45NTQyMwEIAAAABQAAAAExAQAAAAstMjAzNTcxNTc5MgMAAAACMjcCAAAAAjEwBAAAAAEwBwAAAAkxMS8yLzIwMjMIAAAACTYvMzAvMjAyMwkAAAABMGnWviy029sIYo3hLLTb2wgXQ0lRLlRTWDpMU1BELklRX0dQLjIwMDABAAAAJE5MBgIAAAAGMzU3LjA0AQgA</t>
  </si>
  <si>
    <t>AAAFAAAAAjI5AgAAAAIxMAEAAAALLTIwMjE2NTIzNzADAAAAAzE2MAQAAAABMAcAAAAJMTEvMi8yMDIzCAAAAAk5LzMwLzIwMjMJAAAAATBp1r4stNvbCDE84Sy029sIIkNJUS5UU1hWOkFLUi5JUV9URVZfT1VULjIwMjMtMDgtMDEBAAAAEG9vDAIAAAAJMTYuMjQxNTY4AQYAAAAFAAAAATEBAAAACy0yMDQzODAwODc5AwAAAAIyNwIAAAAFNDYyMTQEAAAAATAHAAAACDgvMS8yMDIzada+LLTb2wgHeeEstNvbCCdDSVEuTkFTREFRQ006QkxJTi5JUV9URVZfT1VULjIwMjMtMDgtMDEBAAAAYzl1AAIAAAAJMTAuNDg3NzM2AQYAAAAFAAAAATEBAAAACy0yMDQ1Mzc4MjIwAwAAAAMxNjACAAAABTQ2MjE0BAAAAAEwBwAAAAg4LzEvMjAyM2nWviy029sIYo3hLLTb2wgiQ0lRLlRTWDpMU1BELklRX1RFVl9PVVQuMjAyMy0wOC0wMQEAAAAkTkwGAgAAAAoyNDMyLjQyODU4AQYAAAAFAAAAATEBAAAACy0yMDQzODMxNjU1AwAAAAIyNwIAAAAFNDYyMTQEAAAAATAHAAAACDgvMS8yMDIzada+LLTb2wh3teEstNvbCCdDSVEuTkFTREFRQ006UEhVTi5JUV9URVZfT1VULjIwMjMtMDgtMDEBAAAA0fx7BgIAAAAJNTEuNzExODM5AQYAAAAFAAAAATEBAAAACy0yMDQ1OTgxNDU5AwAAAAMxNjACAAAABTQ2MjE0BAAAAAEwBwAAAAg4LzEvMjAyM2nWviy029sIeWPhLLTb2wgnQ0lRLk5BU0RBUUdNOkNETFguSVFfVEVWX09V</t>
  </si>
  <si>
    <t>VC4yMDIzLTA4LTAxAQAAABMMqAMCAAAACjU5NS40ODM0MjkBBgAAAAUAAAABMQEAAAALLTIwMzYxOTA0OTkDAAAAAzE2MAIAAAAFNDYyMTQEAAAAATAHAAAACDgvMS8yMDIzada+LLTb2wgHeeEstNvbCCNDSVEuTllTRTpXRUFWLklRX1RFVl9PVVQuMjAyMy0wOC0wMQEAAACU6lMPAgAAAAo3NTEuNjMxMjQ4AQYAAAAFAAAAATEBAAAACy0yMDQ0OTA3NjMyAwAAAAMxNjACAAAABTQ2MjE0BAAAAAEwBwAAAAg4LzEvMjAyM2nWviy029sI9hDhLLTb2wgnQ0lRLk5BU0RBUUdTOlBFUkkuSVFfVEVWX09VVC4yMDIzLTA4LTAxAQAAAOoKtQ4CAAAACjEzNjcuNDE4MzYBBgAAAAUAAAABMQEAAAALLTIwNDc3MTQ2NzkDAAAAAzE2MAIAAAAFNDYyMTQEAAAAATAHAAAACDgvMS8yMDIzada+LLTb2wgxPOEstNvbCCJDSVEuVFNYOkVOR0guSVFfVEVWX09VVC4yMDIzLTA4LTAxAQAAAHfLCgACAAAACzE0MTEuMjk0OTQzAQYAAAAFAAAAATEBAAAACy0yMDQwNzcyODIwAwAAAAIyNwIAAAAFNDYyMTQEAAAAATAHAAAACDgvMS8yMDIzada+LLTb2wgxPOEstNvbCCFDSVEuVFNYOkRORC5JUV9URVZfT1VULjIwMjMtMDgtMDEBAAAABvKzAAIAAAAKMjMyNy4xNTMwMQEGAAAABQAAAAExAQAAAAstMjA0NjQ0MTE0OQMAAAACMjcCAAAABTQ2MjE0BAAAAAEwBwAAAAg4LzEvMjAyM2nWviy029sIBsTgLLTb2wgjQ0lRLk5ZU0U6</t>
  </si>
  <si>
    <t>UlNLRC5JUV9URVZfT1VULjIwMjMtMDgtMDEBAAAAgt12DgIAAAAKNDY3LjQ1NjIzNgEGAAAABQAAAAIyOQIAAAAFNDYyMTQBAAAACy0yMDQ1MTA3MzMzAwAAAAMxNjAEAAAAATAHAAAACDgvMS8yMDIzada+LLTb2wj2EOEstNvbCA==</t>
  </si>
  <si>
    <t>Revenue Growth</t>
  </si>
  <si>
    <t>Gross Margin</t>
  </si>
  <si>
    <t>SG&amp;A as a percent of sales</t>
  </si>
  <si>
    <t>Other operating expenses as a percent of sales</t>
  </si>
  <si>
    <t>Growth rate of capex for intangible assets</t>
  </si>
  <si>
    <t>Growth rate of capex for tangible assets</t>
  </si>
  <si>
    <t>Capex for Tangible assets</t>
  </si>
  <si>
    <t>growth (%)</t>
  </si>
  <si>
    <t>Capex for Intangible assets</t>
  </si>
  <si>
    <t>Non-recurring expenses</t>
  </si>
  <si>
    <t>Other operating expenses</t>
  </si>
  <si>
    <t>Non recurring expenses</t>
  </si>
  <si>
    <t>Depreciation of tangible assets</t>
  </si>
  <si>
    <t>as a % of tangible assets</t>
  </si>
  <si>
    <t>Depreciation of Right of Use Assets</t>
  </si>
  <si>
    <t>as a % of Right of assets</t>
  </si>
  <si>
    <t>Amortization of Intangible assets</t>
  </si>
  <si>
    <t>as a % of intangible assets</t>
  </si>
  <si>
    <t>Tangible assets (PPE)</t>
  </si>
  <si>
    <t>Right of Use assets</t>
  </si>
  <si>
    <t>Goodwill</t>
  </si>
  <si>
    <t>Depreciation of tangible assets as a % of tangible assets</t>
  </si>
  <si>
    <t>Depreciation of Right of use assets as a % of right of use assets</t>
  </si>
  <si>
    <t>Default option is to use the most recent value: if it doesn’t make sense to the user ask the user to input value manually</t>
  </si>
  <si>
    <t>Amortization of intangible assets as a % of right of use assets</t>
  </si>
  <si>
    <t>Default option is to use the most recent value: if it doesn’t make sense to the user ask the user to input value manually. Rule to reduce the percentage so that amotization falls with in 10% of previous value (need to think about rules for the algorithm)</t>
  </si>
  <si>
    <t>Interest Income</t>
  </si>
  <si>
    <t>Interest income as a % of cash and equivalents</t>
  </si>
  <si>
    <t>Effective interest rate on debt (%)</t>
  </si>
  <si>
    <t>Effective interest rate on cash (%)</t>
  </si>
  <si>
    <t>Default option is to take the previous value. If the effective rate is above 10%, ask the uder for a cost of debt (%)</t>
  </si>
  <si>
    <t>Default option is to take the previous value. If the effective rate is above 5%, ask the user to input rate of interest on cash (%)</t>
  </si>
  <si>
    <t>Interest Expense</t>
  </si>
  <si>
    <t>Interest expense as a % of gross debt</t>
  </si>
  <si>
    <t>Gross Debt</t>
  </si>
  <si>
    <t>Cash and Equivalents</t>
  </si>
  <si>
    <t>Share of Gain/loss from associates</t>
  </si>
  <si>
    <t>Gain/loss from the sale of investments or assets</t>
  </si>
  <si>
    <t>Default option is to keep it either zero or same as previous year. Question wont show up if the values are already zero</t>
  </si>
  <si>
    <t>Default option is to keep it either zero or same as previous year. Question wont show up if the values are already zero. Option to provide values manually if there is a known impact in the upcoming year</t>
  </si>
  <si>
    <t>Income tax rate</t>
  </si>
  <si>
    <t xml:space="preserve">Default option is to use 27% for Canada and 21% for US. Give an option for user to modify if he intends </t>
  </si>
  <si>
    <t>Non controlling interest</t>
  </si>
  <si>
    <t>Default option to use the same as previous year. Unless the user has issues</t>
  </si>
  <si>
    <t>Inventory as a % of COGS</t>
  </si>
  <si>
    <t>Default option is to use the same percent as last year. Ask the user for inputs if modification is needed. If the inventory turnover days falls outside a specific range (i.e inventory is too high or low in the previous period)</t>
  </si>
  <si>
    <t>Accounts Receivable as a % of sales</t>
  </si>
  <si>
    <t>Other current liabilities as a % of COGS</t>
  </si>
  <si>
    <t>Default option is to use the same percent as last year. Ask the user for inputs if modification is needed. If the accounts payable days falls outside a specific range (i.e acccounts payable is too high or low in the previous period)</t>
  </si>
  <si>
    <t>Default option is to use the same percent as last year. Ask the user for inputs if modification is needed. If the accounts receivable days falls outside a specific range (i.e accounts receivable is too high or low in the previous period)</t>
  </si>
  <si>
    <t>Proceeds from loans</t>
  </si>
  <si>
    <t>Repayment of loans</t>
  </si>
  <si>
    <t>Shares bought back</t>
  </si>
  <si>
    <t>Dividends paid</t>
  </si>
  <si>
    <t>Default option is to keep this zero unless the user prompts</t>
  </si>
  <si>
    <t>Other Non current assets</t>
  </si>
  <si>
    <t>Next fiscal end</t>
  </si>
  <si>
    <t>Today</t>
  </si>
  <si>
    <t>Default option to keep it zero unless the user prompts</t>
  </si>
  <si>
    <t>Driven automatically by excel unless the user intends to modify or certain rules are violated</t>
  </si>
  <si>
    <t>Impact of acquisition of businesses</t>
  </si>
  <si>
    <t>Sale of assets/investments</t>
  </si>
  <si>
    <t>default is zero unless user answers yes to a question on acquisitions</t>
  </si>
  <si>
    <t>default is zero unless user answers yes to a question on sale of assets/investments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</si>
</sst>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8">
    <numFmt numFmtId="8" formatCode="&quot;$&quot;#,##0.00_);[Red]\(&quot;$&quot;#,##0.00\)"/>
    <numFmt numFmtId="41" formatCode="_(* #,##0_);_(* \(#,##0\);_(* &quot;-&quot;_);_(@_)"/>
    <numFmt numFmtId="43" formatCode="_(* #,##0.00_);_(* \(#,##0.00\);_(* &quot;-&quot;??_);_(@_)"/>
    <numFmt numFmtId="165" formatCode="0.0"/>
    <numFmt numFmtId="166" formatCode="0.0%"/>
    <numFmt numFmtId="167" formatCode="_(* #,##0.0_);_(* \(#,##0.0\);_(* &quot;-&quot;??_);_(@_)"/>
    <numFmt numFmtId="168" formatCode="_(* #,##0_);_(* \(#,##0\);_(* &quot;-&quot;??_);_(@_)"/>
    <numFmt numFmtId="169" formatCode="_(* #,##0.0_);_(* \(#,##0.0\);_(* &quot;-&quot;?_);_(@_)"/>
    <numFmt numFmtId="170" formatCode="#,##0.0_);\(#,##0.0\);#,##0.0_);@_)"/>
    <numFmt numFmtId="171" formatCode="0.0%_);\(0.0%\);0.0%_);@_)"/>
    <numFmt numFmtId="172" formatCode="&quot;F&quot;0&quot;e&quot;"/>
    <numFmt numFmtId="173" formatCode="&quot;$&quot;#,##0.00"/>
    <numFmt numFmtId="174" formatCode="_(* #,##0%_);_(* \(#,##0%\);_(* &quot;-&quot;??_);_(@_)"/>
    <numFmt numFmtId="175" formatCode="#,##0_);\(#,##0\);\-_);@_)"/>
    <numFmt numFmtId="176" formatCode="&quot;FY&quot;0&quot;e&quot;"/>
    <numFmt numFmtId="177" formatCode="0.00_);\(0.00\)"/>
    <numFmt numFmtId="178" formatCode="&quot;$&quot;#,##0"/>
    <numFmt numFmtId="179" formatCode="0.0\x"/>
    <numFmt numFmtId="180" formatCode="0&quot;e&quot;"/>
    <numFmt numFmtId="181" formatCode="&quot;$&quot;#,##0.0"/>
    <numFmt numFmtId="182" formatCode="0.0_);\(0.0\)"/>
    <numFmt numFmtId="183" formatCode="0_);\(0\)"/>
    <numFmt numFmtId="184" formatCode="General&quot;e&quot;"/>
    <numFmt numFmtId="185" formatCode="[$-409]mmm\-yy;@"/>
    <numFmt numFmtId="186" formatCode="_(* #,##0.000_);_(* \(#,##0.000\);_(* &quot;-&quot;??_);_(@_)"/>
    <numFmt numFmtId="187" formatCode="&quot;$&quot;#,##0.000"/>
    <numFmt numFmtId="190" formatCode="mm/dd/yy;@"/>
    <numFmt numFmtId="191" formatCode="m/d/yy;@"/>
  </numFmts>
  <fonts count="57" x14ac:knownFonts="1">
    <font>
      <sz val="11"/>
      <color theme="1"/>
      <name val="Calibri"/>
      <family val="2"/>
      <scheme val="minor"/>
    </font>
    <font>
      <sz val="11"/>
      <color theme="1"/>
      <name val="Calibri"/>
      <family val="2"/>
      <scheme val="minor"/>
    </font>
    <font>
      <b/>
      <sz val="11"/>
      <color theme="1"/>
      <name val="Calibri"/>
      <family val="2"/>
      <scheme val="minor"/>
    </font>
    <font>
      <b/>
      <sz val="9"/>
      <color indexed="81"/>
      <name val="Tahoma"/>
      <family val="2"/>
    </font>
    <font>
      <sz val="10"/>
      <name val="Arial"/>
      <family val="2"/>
    </font>
    <font>
      <b/>
      <sz val="8"/>
      <color theme="0"/>
      <name val="Open Sans"/>
      <family val="2"/>
    </font>
    <font>
      <sz val="8"/>
      <color theme="1"/>
      <name val="Open Sans"/>
      <family val="2"/>
    </font>
    <font>
      <sz val="8"/>
      <color rgb="FF0000FF"/>
      <name val="Open Sans"/>
      <family val="2"/>
    </font>
    <font>
      <b/>
      <sz val="8"/>
      <color theme="1"/>
      <name val="Open Sans"/>
      <family val="2"/>
    </font>
    <font>
      <sz val="8"/>
      <name val="Open Sans"/>
      <family val="2"/>
    </font>
    <font>
      <sz val="8"/>
      <color theme="3"/>
      <name val="Open Sans"/>
      <family val="2"/>
    </font>
    <font>
      <sz val="8"/>
      <color rgb="FF000000"/>
      <name val="Open Sans"/>
      <family val="2"/>
    </font>
    <font>
      <i/>
      <sz val="8"/>
      <color theme="1"/>
      <name val="Open Sans"/>
      <family val="2"/>
    </font>
    <font>
      <sz val="8"/>
      <color theme="0"/>
      <name val="Open Sans"/>
      <family val="2"/>
    </font>
    <font>
      <i/>
      <sz val="8"/>
      <name val="Open Sans"/>
      <family val="2"/>
    </font>
    <font>
      <b/>
      <sz val="8"/>
      <name val="Open Sans"/>
      <family val="2"/>
    </font>
    <font>
      <i/>
      <sz val="8"/>
      <color theme="3"/>
      <name val="Open Sans"/>
      <family val="2"/>
    </font>
    <font>
      <b/>
      <sz val="8"/>
      <color theme="3"/>
      <name val="Open Sans"/>
      <family val="2"/>
    </font>
    <font>
      <b/>
      <sz val="9"/>
      <color rgb="FFFFFFFF"/>
      <name val="Open Sans"/>
      <family val="2"/>
    </font>
    <font>
      <sz val="9"/>
      <color rgb="FF000000"/>
      <name val="Open Sans"/>
      <family val="2"/>
    </font>
    <font>
      <b/>
      <sz val="9"/>
      <color theme="0"/>
      <name val="Open Sans"/>
      <family val="2"/>
    </font>
    <font>
      <b/>
      <u val="singleAccounting"/>
      <sz val="9"/>
      <color theme="0"/>
      <name val="Open Sans"/>
      <family val="2"/>
    </font>
    <font>
      <i/>
      <sz val="8"/>
      <color rgb="FF0000FF"/>
      <name val="Open Sans"/>
      <family val="2"/>
    </font>
    <font>
      <b/>
      <sz val="8"/>
      <color rgb="FF0000FF"/>
      <name val="Open Sans"/>
      <family val="2"/>
    </font>
    <font>
      <sz val="8"/>
      <color rgb="FF00B050"/>
      <name val="Open Sans"/>
      <family val="2"/>
    </font>
    <font>
      <b/>
      <i/>
      <sz val="8"/>
      <color theme="0"/>
      <name val="Open Sans"/>
      <family val="2"/>
    </font>
    <font>
      <b/>
      <sz val="8"/>
      <color theme="0"/>
      <name val="Open Sans"/>
      <family val="2"/>
    </font>
    <font>
      <sz val="9"/>
      <color theme="1"/>
      <name val="Open Sans"/>
      <family val="2"/>
    </font>
    <font>
      <sz val="9"/>
      <color theme="0"/>
      <name val="Open Sans"/>
      <family val="2"/>
    </font>
    <font>
      <sz val="8"/>
      <color theme="3"/>
      <name val="Open Sans"/>
      <family val="2"/>
    </font>
    <font>
      <sz val="8"/>
      <color theme="1"/>
      <name val="Open Sans"/>
      <family val="2"/>
    </font>
    <font>
      <b/>
      <sz val="8"/>
      <color theme="3"/>
      <name val="Open Sans"/>
      <family val="2"/>
    </font>
    <font>
      <sz val="8"/>
      <color rgb="FF0000FF"/>
      <name val="Open Sans"/>
      <family val="2"/>
    </font>
    <font>
      <b/>
      <sz val="8"/>
      <color rgb="FF0000FF"/>
      <name val="Open Sans"/>
      <family val="2"/>
    </font>
    <font>
      <b/>
      <sz val="11"/>
      <color theme="1"/>
      <name val="Open Sans"/>
      <family val="2"/>
    </font>
    <font>
      <sz val="11"/>
      <color theme="1"/>
      <name val="Open Sans"/>
      <family val="2"/>
    </font>
    <font>
      <sz val="8"/>
      <color theme="0"/>
      <name val="Open Sans"/>
      <family val="2"/>
    </font>
    <font>
      <b/>
      <sz val="9"/>
      <color theme="0"/>
      <name val="Open Sans"/>
      <family val="2"/>
    </font>
    <font>
      <i/>
      <sz val="8"/>
      <color theme="3"/>
      <name val="Open Sans"/>
      <family val="2"/>
    </font>
    <font>
      <b/>
      <u val="singleAccounting"/>
      <sz val="9"/>
      <color theme="0"/>
      <name val="Open Sans"/>
      <family val="2"/>
    </font>
    <font>
      <b/>
      <sz val="8"/>
      <color theme="1"/>
      <name val="Open Sans"/>
      <family val="2"/>
    </font>
    <font>
      <sz val="9"/>
      <color indexed="81"/>
      <name val="Tahoma"/>
      <family val="2"/>
    </font>
    <font>
      <sz val="8"/>
      <color theme="1"/>
      <name val="Open Sans"/>
      <family val="2"/>
    </font>
    <font>
      <b/>
      <sz val="8"/>
      <color theme="1"/>
      <name val="Open Sans"/>
      <family val="2"/>
    </font>
    <font>
      <b/>
      <sz val="9"/>
      <color rgb="FF005596"/>
      <name val="Arial"/>
      <family val="2"/>
    </font>
    <font>
      <b/>
      <sz val="10"/>
      <color rgb="FF005596"/>
      <name val="Arial"/>
      <family val="2"/>
    </font>
    <font>
      <b/>
      <sz val="8"/>
      <color rgb="FF005596"/>
      <name val="Arial"/>
      <family val="2"/>
    </font>
    <font>
      <sz val="8"/>
      <name val="Arial"/>
      <family val="2"/>
    </font>
    <font>
      <b/>
      <sz val="8"/>
      <name val="Arial"/>
      <family val="2"/>
    </font>
    <font>
      <sz val="8"/>
      <color rgb="FF0000FF"/>
      <name val="Open Sans"/>
      <family val="2"/>
    </font>
    <font>
      <sz val="8"/>
      <name val="Open Sans"/>
      <family val="2"/>
    </font>
    <font>
      <sz val="8"/>
      <color rgb="FFFF0000"/>
      <name val="Open Sans"/>
      <family val="2"/>
    </font>
    <font>
      <b/>
      <sz val="11"/>
      <color theme="0"/>
      <name val="Calibri"/>
      <family val="2"/>
      <scheme val="minor"/>
    </font>
    <font>
      <u/>
      <sz val="11"/>
      <color theme="10"/>
      <name val="Calibri"/>
      <family val="2"/>
      <scheme val="minor"/>
    </font>
    <font>
      <b/>
      <sz val="8"/>
      <color theme="0"/>
      <name val="Open Sans"/>
      <family val="2"/>
    </font>
    <font>
      <b/>
      <sz val="9"/>
      <name val="Arial"/>
      <family val="2"/>
    </font>
    <font>
      <b/>
      <sz val="9"/>
      <color theme="0"/>
      <name val="Arial"/>
      <family val="2"/>
    </font>
  </fonts>
  <fills count="13">
    <fill>
      <patternFill patternType="none"/>
    </fill>
    <fill>
      <patternFill patternType="gray125"/>
    </fill>
    <fill>
      <patternFill patternType="solid">
        <fgColor theme="0"/>
        <bgColor indexed="64"/>
      </patternFill>
    </fill>
    <fill>
      <patternFill patternType="solid">
        <fgColor theme="8"/>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3"/>
        <bgColor indexed="64"/>
      </patternFill>
    </fill>
    <fill>
      <patternFill patternType="solid">
        <fgColor theme="2"/>
        <bgColor indexed="64"/>
      </patternFill>
    </fill>
    <fill>
      <patternFill patternType="solid">
        <fgColor rgb="FF0000FF"/>
        <bgColor indexed="64"/>
      </patternFill>
    </fill>
    <fill>
      <patternFill patternType="solid">
        <fgColor rgb="FF005596"/>
        <bgColor indexed="64"/>
      </patternFill>
    </fill>
    <fill>
      <patternFill patternType="solid">
        <fgColor rgb="FF767878"/>
        <bgColor indexed="64"/>
      </patternFill>
    </fill>
    <fill>
      <patternFill patternType="solid">
        <fgColor rgb="FFFFFF00"/>
        <bgColor indexed="64"/>
      </patternFill>
    </fill>
    <fill>
      <patternFill patternType="solid">
        <fgColor rgb="FF92D050"/>
        <bgColor indexed="64"/>
      </patternFill>
    </fill>
  </fills>
  <borders count="10">
    <border>
      <left/>
      <right/>
      <top/>
      <bottom/>
      <diagonal/>
    </border>
    <border>
      <left/>
      <right/>
      <top/>
      <bottom style="thin">
        <color auto="1"/>
      </bottom>
      <diagonal/>
    </border>
    <border>
      <left/>
      <right/>
      <top style="thin">
        <color indexed="64"/>
      </top>
      <bottom style="medium">
        <color indexed="64"/>
      </bottom>
      <diagonal/>
    </border>
    <border>
      <left style="thin">
        <color auto="1"/>
      </left>
      <right/>
      <top style="thin">
        <color indexed="64"/>
      </top>
      <bottom/>
      <diagonal/>
    </border>
    <border>
      <left/>
      <right/>
      <top style="thin">
        <color indexed="64"/>
      </top>
      <bottom style="thin">
        <color indexed="64"/>
      </bottom>
      <diagonal/>
    </border>
    <border>
      <left/>
      <right style="thin">
        <color auto="1"/>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s>
  <cellStyleXfs count="7">
    <xf numFmtId="0" fontId="0" fillId="0" borderId="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0" fontId="4" fillId="0" borderId="0" applyFill="0" applyBorder="0" applyProtection="0">
      <protection locked="0"/>
    </xf>
    <xf numFmtId="0" fontId="53" fillId="0" borderId="0" applyNumberFormat="0" applyFill="0" applyBorder="0" applyAlignment="0" applyProtection="0"/>
  </cellStyleXfs>
  <cellXfs count="442">
    <xf numFmtId="0" fontId="0" fillId="0" borderId="0" xfId="0"/>
    <xf numFmtId="0" fontId="6" fillId="0" borderId="0" xfId="0" applyFont="1"/>
    <xf numFmtId="0" fontId="6" fillId="0" borderId="0" xfId="0" applyFont="1" applyAlignment="1">
      <alignment vertical="center"/>
    </xf>
    <xf numFmtId="0" fontId="10" fillId="0" borderId="0" xfId="0" applyFont="1"/>
    <xf numFmtId="0" fontId="11" fillId="0" borderId="0" xfId="0" applyFont="1" applyAlignment="1">
      <alignment vertical="center"/>
    </xf>
    <xf numFmtId="0" fontId="13" fillId="0" borderId="0" xfId="0" applyFont="1" applyAlignment="1">
      <alignment vertical="center"/>
    </xf>
    <xf numFmtId="0" fontId="6" fillId="0" borderId="0" xfId="0" applyFont="1" applyAlignment="1">
      <alignment horizontal="left" indent="1"/>
    </xf>
    <xf numFmtId="9" fontId="6" fillId="0" borderId="0" xfId="2" applyFont="1"/>
    <xf numFmtId="0" fontId="10" fillId="0" borderId="0" xfId="0" applyFont="1" applyAlignment="1">
      <alignment vertical="center"/>
    </xf>
    <xf numFmtId="41" fontId="10" fillId="0" borderId="0" xfId="0" applyNumberFormat="1" applyFont="1" applyAlignment="1">
      <alignment vertical="center"/>
    </xf>
    <xf numFmtId="0" fontId="10" fillId="0" borderId="1" xfId="0" applyFont="1" applyBorder="1" applyAlignment="1">
      <alignment horizontal="left" vertical="center"/>
    </xf>
    <xf numFmtId="41" fontId="10" fillId="0" borderId="1" xfId="0" applyNumberFormat="1" applyFont="1" applyBorder="1" applyAlignment="1">
      <alignment vertical="center"/>
    </xf>
    <xf numFmtId="0" fontId="10" fillId="0" borderId="1" xfId="0" applyFont="1" applyBorder="1" applyAlignment="1">
      <alignment vertical="center"/>
    </xf>
    <xf numFmtId="0" fontId="10" fillId="0" borderId="0" xfId="0" applyFont="1" applyAlignment="1">
      <alignment horizontal="left" vertical="center"/>
    </xf>
    <xf numFmtId="0" fontId="16" fillId="2" borderId="0" xfId="0" applyFont="1" applyFill="1" applyAlignment="1">
      <alignment horizontal="left" vertical="center"/>
    </xf>
    <xf numFmtId="174" fontId="10" fillId="0" borderId="0" xfId="0" applyNumberFormat="1" applyFont="1" applyAlignment="1">
      <alignment horizontal="right" vertical="center"/>
    </xf>
    <xf numFmtId="0" fontId="17" fillId="0" borderId="0" xfId="0" applyFont="1" applyAlignment="1">
      <alignment horizontal="left" vertical="center"/>
    </xf>
    <xf numFmtId="41" fontId="17" fillId="0" borderId="0" xfId="0" applyNumberFormat="1" applyFont="1" applyAlignment="1">
      <alignment vertical="center"/>
    </xf>
    <xf numFmtId="175" fontId="10" fillId="0" borderId="1" xfId="3" applyNumberFormat="1" applyFont="1" applyBorder="1" applyAlignment="1">
      <alignment vertical="center"/>
    </xf>
    <xf numFmtId="0" fontId="17" fillId="0" borderId="0" xfId="0" applyFont="1" applyAlignment="1">
      <alignment vertical="center"/>
    </xf>
    <xf numFmtId="0" fontId="10" fillId="2" borderId="0" xfId="0" applyFont="1" applyFill="1" applyAlignment="1">
      <alignment vertical="center"/>
    </xf>
    <xf numFmtId="41" fontId="10" fillId="2" borderId="0" xfId="0" applyNumberFormat="1" applyFont="1" applyFill="1" applyAlignment="1">
      <alignment vertical="center"/>
    </xf>
    <xf numFmtId="41" fontId="17" fillId="2" borderId="0" xfId="0" applyNumberFormat="1" applyFont="1" applyFill="1" applyAlignment="1">
      <alignment vertical="center"/>
    </xf>
    <xf numFmtId="0" fontId="19" fillId="0" borderId="0" xfId="0" applyFont="1" applyAlignment="1">
      <alignment vertical="center"/>
    </xf>
    <xf numFmtId="0" fontId="8" fillId="0" borderId="0" xfId="0" applyFont="1"/>
    <xf numFmtId="165" fontId="6" fillId="0" borderId="0" xfId="0" applyNumberFormat="1" applyFont="1"/>
    <xf numFmtId="1" fontId="6" fillId="0" borderId="0" xfId="0" applyNumberFormat="1" applyFont="1"/>
    <xf numFmtId="165" fontId="8" fillId="0" borderId="0" xfId="0" applyNumberFormat="1" applyFont="1"/>
    <xf numFmtId="0" fontId="6" fillId="0" borderId="1" xfId="0" applyFont="1" applyBorder="1"/>
    <xf numFmtId="0" fontId="10" fillId="0" borderId="1" xfId="0" applyFont="1" applyBorder="1"/>
    <xf numFmtId="0" fontId="17" fillId="0" borderId="0" xfId="0" applyFont="1"/>
    <xf numFmtId="183" fontId="6" fillId="0" borderId="0" xfId="0" applyNumberFormat="1" applyFont="1"/>
    <xf numFmtId="1" fontId="6" fillId="0" borderId="1" xfId="0" applyNumberFormat="1" applyFont="1" applyBorder="1"/>
    <xf numFmtId="9" fontId="8" fillId="0" borderId="0" xfId="2" applyFont="1"/>
    <xf numFmtId="167" fontId="6" fillId="0" borderId="0" xfId="1" applyNumberFormat="1" applyFont="1"/>
    <xf numFmtId="0" fontId="5" fillId="0" borderId="0" xfId="0" applyFont="1"/>
    <xf numFmtId="0" fontId="8" fillId="4" borderId="0" xfId="0" applyFont="1" applyFill="1" applyAlignment="1">
      <alignment horizontal="center"/>
    </xf>
    <xf numFmtId="0" fontId="6" fillId="4" borderId="0" xfId="0" applyFont="1" applyFill="1" applyAlignment="1">
      <alignment horizontal="center"/>
    </xf>
    <xf numFmtId="0" fontId="12" fillId="0" borderId="0" xfId="0" applyFont="1" applyAlignment="1">
      <alignment horizontal="left" indent="1"/>
    </xf>
    <xf numFmtId="9" fontId="22" fillId="4" borderId="0" xfId="0" applyNumberFormat="1" applyFont="1" applyFill="1" applyAlignment="1">
      <alignment horizontal="center"/>
    </xf>
    <xf numFmtId="0" fontId="12" fillId="0" borderId="0" xfId="0" applyFont="1"/>
    <xf numFmtId="9" fontId="12" fillId="0" borderId="0" xfId="2" applyFont="1"/>
    <xf numFmtId="1" fontId="7" fillId="0" borderId="0" xfId="0" applyNumberFormat="1" applyFont="1"/>
    <xf numFmtId="1" fontId="8" fillId="0" borderId="0" xfId="0" applyNumberFormat="1" applyFont="1"/>
    <xf numFmtId="168" fontId="8" fillId="0" borderId="0" xfId="1" applyNumberFormat="1" applyFont="1"/>
    <xf numFmtId="9" fontId="12" fillId="0" borderId="1" xfId="2" applyFont="1" applyBorder="1"/>
    <xf numFmtId="1" fontId="23" fillId="0" borderId="0" xfId="0" applyNumberFormat="1" applyFont="1"/>
    <xf numFmtId="167" fontId="23" fillId="0" borderId="0" xfId="1" applyNumberFormat="1" applyFont="1"/>
    <xf numFmtId="167" fontId="23" fillId="0" borderId="0" xfId="0" applyNumberFormat="1" applyFont="1"/>
    <xf numFmtId="167" fontId="8" fillId="0" borderId="0" xfId="0" applyNumberFormat="1" applyFont="1"/>
    <xf numFmtId="0" fontId="6" fillId="4" borderId="1" xfId="0" applyFont="1" applyFill="1" applyBorder="1" applyAlignment="1">
      <alignment horizontal="center"/>
    </xf>
    <xf numFmtId="168" fontId="7" fillId="0" borderId="0" xfId="1" applyNumberFormat="1" applyFont="1"/>
    <xf numFmtId="168" fontId="8" fillId="0" borderId="0" xfId="0" applyNumberFormat="1" applyFont="1"/>
    <xf numFmtId="9" fontId="7" fillId="4" borderId="0" xfId="0" applyNumberFormat="1" applyFont="1" applyFill="1" applyAlignment="1">
      <alignment horizontal="center"/>
    </xf>
    <xf numFmtId="168" fontId="6" fillId="0" borderId="0" xfId="0" applyNumberFormat="1" applyFont="1"/>
    <xf numFmtId="167" fontId="7" fillId="0" borderId="0" xfId="1" applyNumberFormat="1" applyFont="1"/>
    <xf numFmtId="167" fontId="6" fillId="0" borderId="0" xfId="0" applyNumberFormat="1" applyFont="1"/>
    <xf numFmtId="165" fontId="7" fillId="0" borderId="0" xfId="0" applyNumberFormat="1" applyFont="1"/>
    <xf numFmtId="166" fontId="8" fillId="0" borderId="0" xfId="2" applyNumberFormat="1" applyFont="1"/>
    <xf numFmtId="165" fontId="23" fillId="0" borderId="0" xfId="0" applyNumberFormat="1" applyFont="1"/>
    <xf numFmtId="182" fontId="23" fillId="0" borderId="0" xfId="0" applyNumberFormat="1" applyFont="1"/>
    <xf numFmtId="0" fontId="6" fillId="0" borderId="1" xfId="0" applyFont="1" applyBorder="1" applyAlignment="1">
      <alignment horizontal="left" indent="1"/>
    </xf>
    <xf numFmtId="165" fontId="7" fillId="0" borderId="1" xfId="0" applyNumberFormat="1" applyFont="1" applyBorder="1"/>
    <xf numFmtId="1" fontId="7" fillId="0" borderId="1" xfId="0" applyNumberFormat="1" applyFont="1" applyBorder="1"/>
    <xf numFmtId="182" fontId="7" fillId="0" borderId="1" xfId="0" applyNumberFormat="1" applyFont="1" applyBorder="1"/>
    <xf numFmtId="168" fontId="6" fillId="0" borderId="1" xfId="0" applyNumberFormat="1" applyFont="1" applyBorder="1"/>
    <xf numFmtId="0" fontId="12" fillId="4" borderId="0" xfId="0" applyFont="1" applyFill="1" applyAlignment="1">
      <alignment horizontal="center"/>
    </xf>
    <xf numFmtId="166" fontId="12" fillId="0" borderId="0" xfId="2" applyNumberFormat="1" applyFont="1"/>
    <xf numFmtId="9" fontId="12" fillId="0" borderId="0" xfId="2" applyFont="1" applyBorder="1"/>
    <xf numFmtId="9" fontId="8" fillId="0" borderId="0" xfId="2" applyFont="1" applyBorder="1"/>
    <xf numFmtId="182" fontId="7" fillId="0" borderId="0" xfId="0" applyNumberFormat="1" applyFont="1"/>
    <xf numFmtId="182" fontId="6" fillId="0" borderId="0" xfId="0" applyNumberFormat="1" applyFont="1"/>
    <xf numFmtId="165" fontId="12" fillId="0" borderId="0" xfId="2" applyNumberFormat="1" applyFont="1"/>
    <xf numFmtId="9" fontId="22" fillId="0" borderId="0" xfId="2" applyFont="1"/>
    <xf numFmtId="182" fontId="7" fillId="0" borderId="0" xfId="1" applyNumberFormat="1" applyFont="1"/>
    <xf numFmtId="167" fontId="7" fillId="0" borderId="1" xfId="1" applyNumberFormat="1" applyFont="1" applyBorder="1"/>
    <xf numFmtId="168" fontId="7" fillId="0" borderId="1" xfId="1" applyNumberFormat="1" applyFont="1" applyBorder="1"/>
    <xf numFmtId="182" fontId="8" fillId="0" borderId="0" xfId="0" applyNumberFormat="1" applyFont="1"/>
    <xf numFmtId="168" fontId="7" fillId="0" borderId="0" xfId="0" applyNumberFormat="1" applyFont="1"/>
    <xf numFmtId="9" fontId="7" fillId="0" borderId="0" xfId="2" applyFont="1"/>
    <xf numFmtId="2" fontId="8" fillId="0" borderId="0" xfId="0" applyNumberFormat="1" applyFont="1"/>
    <xf numFmtId="182" fontId="7" fillId="0" borderId="1" xfId="1" applyNumberFormat="1" applyFont="1" applyBorder="1"/>
    <xf numFmtId="182" fontId="6" fillId="0" borderId="1" xfId="0" applyNumberFormat="1" applyFont="1" applyBorder="1"/>
    <xf numFmtId="1" fontId="9" fillId="0" borderId="0" xfId="0" applyNumberFormat="1" applyFont="1"/>
    <xf numFmtId="165" fontId="7" fillId="0" borderId="1" xfId="1" applyNumberFormat="1" applyFont="1" applyBorder="1"/>
    <xf numFmtId="165" fontId="6" fillId="0" borderId="1" xfId="0" applyNumberFormat="1" applyFont="1" applyBorder="1"/>
    <xf numFmtId="182" fontId="8" fillId="4" borderId="0" xfId="0" applyNumberFormat="1" applyFont="1" applyFill="1" applyAlignment="1">
      <alignment horizontal="center"/>
    </xf>
    <xf numFmtId="2" fontId="7" fillId="0" borderId="0" xfId="0" applyNumberFormat="1" applyFont="1"/>
    <xf numFmtId="43" fontId="6" fillId="0" borderId="0" xfId="0" applyNumberFormat="1" applyFont="1"/>
    <xf numFmtId="43" fontId="7" fillId="0" borderId="0" xfId="1" applyFont="1"/>
    <xf numFmtId="166" fontId="6" fillId="0" borderId="0" xfId="2" applyNumberFormat="1" applyFont="1"/>
    <xf numFmtId="0" fontId="12" fillId="0" borderId="0" xfId="0" applyFont="1" applyAlignment="1">
      <alignment horizontal="left" indent="2"/>
    </xf>
    <xf numFmtId="9" fontId="14" fillId="0" borderId="0" xfId="2" applyFont="1"/>
    <xf numFmtId="9" fontId="12" fillId="0" borderId="0" xfId="2" applyFont="1" applyAlignment="1">
      <alignment horizontal="left" indent="2"/>
    </xf>
    <xf numFmtId="9" fontId="22" fillId="4" borderId="0" xfId="2" applyFont="1" applyFill="1" applyAlignment="1">
      <alignment horizontal="center"/>
    </xf>
    <xf numFmtId="168" fontId="7" fillId="0" borderId="1" xfId="0" applyNumberFormat="1" applyFont="1" applyBorder="1"/>
    <xf numFmtId="183" fontId="7" fillId="0" borderId="0" xfId="1" applyNumberFormat="1" applyFont="1"/>
    <xf numFmtId="183" fontId="7" fillId="0" borderId="1" xfId="1" applyNumberFormat="1" applyFont="1" applyBorder="1"/>
    <xf numFmtId="183" fontId="7" fillId="0" borderId="1" xfId="0" applyNumberFormat="1" applyFont="1" applyBorder="1"/>
    <xf numFmtId="183" fontId="6" fillId="0" borderId="1" xfId="0" applyNumberFormat="1" applyFont="1" applyBorder="1"/>
    <xf numFmtId="0" fontId="8" fillId="0" borderId="4" xfId="0" applyFont="1" applyBorder="1"/>
    <xf numFmtId="0" fontId="8" fillId="4" borderId="4" xfId="0" applyFont="1" applyFill="1" applyBorder="1" applyAlignment="1">
      <alignment horizontal="center"/>
    </xf>
    <xf numFmtId="183" fontId="8" fillId="0" borderId="4" xfId="0" applyNumberFormat="1" applyFont="1" applyBorder="1"/>
    <xf numFmtId="168" fontId="8" fillId="0" borderId="4" xfId="0" applyNumberFormat="1" applyFont="1" applyBorder="1"/>
    <xf numFmtId="167" fontId="8" fillId="0" borderId="0" xfId="1" applyNumberFormat="1" applyFont="1"/>
    <xf numFmtId="183" fontId="8" fillId="0" borderId="0" xfId="0" applyNumberFormat="1" applyFont="1"/>
    <xf numFmtId="43" fontId="8" fillId="0" borderId="0" xfId="0" applyNumberFormat="1" applyFont="1"/>
    <xf numFmtId="183" fontId="7" fillId="0" borderId="0" xfId="0" applyNumberFormat="1" applyFont="1"/>
    <xf numFmtId="183" fontId="7" fillId="0" borderId="0" xfId="1" applyNumberFormat="1" applyFont="1" applyBorder="1"/>
    <xf numFmtId="0" fontId="12" fillId="0" borderId="1" xfId="0" applyFont="1" applyBorder="1" applyAlignment="1">
      <alignment horizontal="left" indent="2"/>
    </xf>
    <xf numFmtId="9" fontId="7" fillId="4" borderId="1" xfId="0" applyNumberFormat="1" applyFont="1" applyFill="1" applyBorder="1" applyAlignment="1">
      <alignment horizontal="center"/>
    </xf>
    <xf numFmtId="9" fontId="22" fillId="0" borderId="1" xfId="2" applyFont="1" applyBorder="1"/>
    <xf numFmtId="1" fontId="8" fillId="0" borderId="4" xfId="0" applyNumberFormat="1" applyFont="1" applyBorder="1"/>
    <xf numFmtId="168" fontId="6" fillId="0" borderId="4" xfId="0" applyNumberFormat="1" applyFont="1" applyBorder="1"/>
    <xf numFmtId="183" fontId="8" fillId="0" borderId="0" xfId="1" applyNumberFormat="1" applyFont="1"/>
    <xf numFmtId="167" fontId="6" fillId="0" borderId="1" xfId="0" applyNumberFormat="1" applyFont="1" applyBorder="1"/>
    <xf numFmtId="183" fontId="8" fillId="0" borderId="4" xfId="1" applyNumberFormat="1" applyFont="1" applyBorder="1"/>
    <xf numFmtId="168" fontId="8" fillId="0" borderId="4" xfId="1" applyNumberFormat="1" applyFont="1" applyBorder="1"/>
    <xf numFmtId="169" fontId="6" fillId="0" borderId="0" xfId="0" applyNumberFormat="1" applyFont="1"/>
    <xf numFmtId="0" fontId="6" fillId="0" borderId="0" xfId="0" applyFont="1" applyAlignment="1">
      <alignment horizontal="left" indent="2"/>
    </xf>
    <xf numFmtId="0" fontId="6" fillId="0" borderId="1" xfId="0" applyFont="1" applyBorder="1" applyAlignment="1">
      <alignment horizontal="left" indent="2"/>
    </xf>
    <xf numFmtId="183" fontId="9" fillId="0" borderId="1" xfId="0" applyNumberFormat="1" applyFont="1" applyBorder="1"/>
    <xf numFmtId="0" fontId="6" fillId="4" borderId="0" xfId="0" applyFont="1" applyFill="1"/>
    <xf numFmtId="0" fontId="6" fillId="0" borderId="0" xfId="0" applyFont="1" applyAlignment="1">
      <alignment horizontal="center"/>
    </xf>
    <xf numFmtId="166" fontId="7" fillId="5" borderId="0" xfId="0" applyNumberFormat="1" applyFont="1" applyFill="1" applyAlignment="1">
      <alignment horizontal="center"/>
    </xf>
    <xf numFmtId="9" fontId="7" fillId="5" borderId="0" xfId="0" applyNumberFormat="1" applyFont="1" applyFill="1" applyAlignment="1">
      <alignment horizontal="center"/>
    </xf>
    <xf numFmtId="165" fontId="6" fillId="0" borderId="0" xfId="1" applyNumberFormat="1" applyFont="1" applyFill="1" applyAlignment="1">
      <alignment horizontal="center"/>
    </xf>
    <xf numFmtId="0" fontId="8" fillId="3" borderId="6" xfId="0" applyFont="1" applyFill="1" applyBorder="1"/>
    <xf numFmtId="0" fontId="8" fillId="3" borderId="4" xfId="0" applyFont="1" applyFill="1" applyBorder="1"/>
    <xf numFmtId="0" fontId="8" fillId="0" borderId="3" xfId="0" applyFont="1" applyBorder="1"/>
    <xf numFmtId="0" fontId="8" fillId="0" borderId="9" xfId="0" applyFont="1" applyBorder="1"/>
    <xf numFmtId="9" fontId="8" fillId="0" borderId="7" xfId="2" applyFont="1" applyFill="1" applyBorder="1" applyAlignment="1">
      <alignment horizontal="center"/>
    </xf>
    <xf numFmtId="0" fontId="6" fillId="2" borderId="0" xfId="0" applyFont="1" applyFill="1" applyAlignment="1">
      <alignment vertical="center"/>
    </xf>
    <xf numFmtId="168" fontId="10" fillId="0" borderId="0" xfId="1" applyNumberFormat="1" applyFont="1"/>
    <xf numFmtId="0" fontId="10" fillId="0" borderId="1" xfId="0" applyFont="1" applyBorder="1" applyAlignment="1">
      <alignment horizontal="left" indent="1"/>
    </xf>
    <xf numFmtId="168" fontId="10" fillId="0" borderId="1" xfId="1" applyNumberFormat="1" applyFont="1" applyBorder="1"/>
    <xf numFmtId="37" fontId="10" fillId="0" borderId="1" xfId="1" applyNumberFormat="1" applyFont="1" applyBorder="1"/>
    <xf numFmtId="37" fontId="10" fillId="0" borderId="0" xfId="1" applyNumberFormat="1" applyFont="1"/>
    <xf numFmtId="0" fontId="10" fillId="0" borderId="0" xfId="0" applyFont="1" applyAlignment="1">
      <alignment horizontal="left" indent="1"/>
    </xf>
    <xf numFmtId="0" fontId="17" fillId="0" borderId="2" xfId="0" applyFont="1" applyBorder="1"/>
    <xf numFmtId="0" fontId="16" fillId="0" borderId="0" xfId="0" applyFont="1" applyAlignment="1">
      <alignment horizontal="left" indent="1"/>
    </xf>
    <xf numFmtId="177" fontId="10" fillId="0" borderId="0" xfId="0" applyNumberFormat="1" applyFont="1"/>
    <xf numFmtId="168" fontId="17" fillId="0" borderId="2" xfId="1" applyNumberFormat="1" applyFont="1" applyBorder="1"/>
    <xf numFmtId="0" fontId="10" fillId="0" borderId="4" xfId="0" applyFont="1" applyBorder="1"/>
    <xf numFmtId="168" fontId="10" fillId="0" borderId="4" xfId="1" applyNumberFormat="1" applyFont="1" applyBorder="1"/>
    <xf numFmtId="173" fontId="17" fillId="0" borderId="2" xfId="0" applyNumberFormat="1" applyFont="1" applyBorder="1"/>
    <xf numFmtId="168" fontId="10" fillId="0" borderId="0" xfId="0" applyNumberFormat="1" applyFont="1"/>
    <xf numFmtId="0" fontId="10" fillId="0" borderId="0" xfId="0" applyFont="1" applyAlignment="1">
      <alignment horizontal="left" indent="2"/>
    </xf>
    <xf numFmtId="183" fontId="10" fillId="0" borderId="0" xfId="1" applyNumberFormat="1" applyFont="1"/>
    <xf numFmtId="183" fontId="10" fillId="0" borderId="1" xfId="1" applyNumberFormat="1" applyFont="1" applyBorder="1"/>
    <xf numFmtId="183" fontId="17" fillId="0" borderId="2" xfId="1" applyNumberFormat="1" applyFont="1" applyBorder="1"/>
    <xf numFmtId="168" fontId="17" fillId="0" borderId="0" xfId="1" applyNumberFormat="1" applyFont="1"/>
    <xf numFmtId="37" fontId="17" fillId="0" borderId="0" xfId="1" applyNumberFormat="1" applyFont="1"/>
    <xf numFmtId="37" fontId="17" fillId="0" borderId="2" xfId="1" applyNumberFormat="1" applyFont="1" applyBorder="1"/>
    <xf numFmtId="0" fontId="11" fillId="0" borderId="0" xfId="0" applyFont="1" applyAlignment="1">
      <alignment horizontal="left" vertical="center"/>
    </xf>
    <xf numFmtId="41" fontId="11" fillId="0" borderId="0" xfId="0" applyNumberFormat="1" applyFont="1" applyAlignment="1">
      <alignment vertical="center"/>
    </xf>
    <xf numFmtId="9" fontId="6" fillId="0" borderId="0" xfId="2" applyFont="1" applyAlignment="1">
      <alignment vertical="center"/>
    </xf>
    <xf numFmtId="0" fontId="26" fillId="6" borderId="0" xfId="0" applyFont="1" applyFill="1" applyAlignment="1">
      <alignment vertical="center"/>
    </xf>
    <xf numFmtId="0" fontId="20" fillId="2" borderId="0" xfId="0" applyFont="1" applyFill="1"/>
    <xf numFmtId="166" fontId="10" fillId="2" borderId="0" xfId="0" applyNumberFormat="1" applyFont="1" applyFill="1" applyAlignment="1">
      <alignment vertical="center"/>
    </xf>
    <xf numFmtId="167" fontId="10" fillId="2" borderId="0" xfId="1" applyNumberFormat="1" applyFont="1" applyFill="1" applyAlignment="1">
      <alignment vertical="center"/>
    </xf>
    <xf numFmtId="166" fontId="10" fillId="2" borderId="0" xfId="2" applyNumberFormat="1" applyFont="1" applyFill="1" applyAlignment="1">
      <alignment vertical="center"/>
    </xf>
    <xf numFmtId="0" fontId="8" fillId="0" borderId="0" xfId="0" applyFont="1" applyAlignment="1">
      <alignment vertical="center"/>
    </xf>
    <xf numFmtId="178" fontId="6" fillId="0" borderId="0" xfId="0" applyNumberFormat="1" applyFont="1" applyAlignment="1">
      <alignment vertical="center"/>
    </xf>
    <xf numFmtId="165" fontId="6" fillId="0" borderId="0" xfId="0" applyNumberFormat="1" applyFont="1" applyAlignment="1">
      <alignment vertical="center"/>
    </xf>
    <xf numFmtId="1" fontId="6" fillId="0" borderId="0" xfId="0" applyNumberFormat="1" applyFont="1" applyAlignment="1">
      <alignment vertical="center"/>
    </xf>
    <xf numFmtId="0" fontId="30" fillId="0" borderId="0" xfId="0" applyFont="1" applyAlignment="1">
      <alignment vertical="center"/>
    </xf>
    <xf numFmtId="0" fontId="20" fillId="2" borderId="0" xfId="0" applyFont="1" applyFill="1" applyAlignment="1">
      <alignment horizontal="centerContinuous" vertical="center"/>
    </xf>
    <xf numFmtId="0" fontId="5" fillId="2" borderId="0" xfId="0" applyFont="1" applyFill="1" applyAlignment="1">
      <alignment horizontal="centerContinuous" vertical="center"/>
    </xf>
    <xf numFmtId="166" fontId="26" fillId="6" borderId="0" xfId="2" applyNumberFormat="1" applyFont="1" applyFill="1" applyAlignment="1">
      <alignment vertical="center"/>
    </xf>
    <xf numFmtId="0" fontId="20" fillId="2" borderId="0" xfId="0" applyFont="1" applyFill="1" applyAlignment="1">
      <alignment horizontal="right"/>
    </xf>
    <xf numFmtId="184" fontId="20" fillId="2" borderId="0" xfId="0" applyNumberFormat="1" applyFont="1" applyFill="1" applyAlignment="1">
      <alignment horizontal="right"/>
    </xf>
    <xf numFmtId="0" fontId="17" fillId="7" borderId="0" xfId="0" applyFont="1" applyFill="1" applyAlignment="1">
      <alignment horizontal="left" indent="1"/>
    </xf>
    <xf numFmtId="183" fontId="17" fillId="7" borderId="0" xfId="1" applyNumberFormat="1" applyFont="1" applyFill="1"/>
    <xf numFmtId="183" fontId="10" fillId="0" borderId="0" xfId="1" applyNumberFormat="1" applyFont="1" applyBorder="1"/>
    <xf numFmtId="0" fontId="31" fillId="0" borderId="0" xfId="0" applyFont="1"/>
    <xf numFmtId="168" fontId="31" fillId="0" borderId="0" xfId="1" applyNumberFormat="1" applyFont="1"/>
    <xf numFmtId="0" fontId="17" fillId="7" borderId="0" xfId="0" applyFont="1" applyFill="1"/>
    <xf numFmtId="168" fontId="17" fillId="7" borderId="0" xfId="1" applyNumberFormat="1" applyFont="1" applyFill="1"/>
    <xf numFmtId="0" fontId="16" fillId="7" borderId="0" xfId="0" applyFont="1" applyFill="1" applyAlignment="1">
      <alignment horizontal="left" indent="2"/>
    </xf>
    <xf numFmtId="9" fontId="16" fillId="7" borderId="0" xfId="2" applyFont="1" applyFill="1"/>
    <xf numFmtId="168" fontId="10" fillId="0" borderId="0" xfId="1" applyNumberFormat="1" applyFont="1" applyBorder="1"/>
    <xf numFmtId="183" fontId="32" fillId="0" borderId="0" xfId="0" applyNumberFormat="1" applyFont="1"/>
    <xf numFmtId="183" fontId="32" fillId="0" borderId="1" xfId="0" applyNumberFormat="1" applyFont="1" applyBorder="1"/>
    <xf numFmtId="167" fontId="32" fillId="0" borderId="1" xfId="0" applyNumberFormat="1" applyFont="1" applyBorder="1"/>
    <xf numFmtId="168" fontId="32" fillId="0" borderId="0" xfId="0" applyNumberFormat="1" applyFont="1"/>
    <xf numFmtId="167" fontId="32" fillId="0" borderId="0" xfId="0" applyNumberFormat="1" applyFont="1"/>
    <xf numFmtId="165" fontId="32" fillId="0" borderId="0" xfId="0" applyNumberFormat="1" applyFont="1"/>
    <xf numFmtId="165" fontId="32" fillId="0" borderId="1" xfId="0" applyNumberFormat="1" applyFont="1" applyBorder="1"/>
    <xf numFmtId="0" fontId="34" fillId="0" borderId="0" xfId="0" applyFont="1"/>
    <xf numFmtId="0" fontId="35" fillId="0" borderId="0" xfId="0" applyFont="1"/>
    <xf numFmtId="0" fontId="30" fillId="2" borderId="0" xfId="0" applyFont="1" applyFill="1"/>
    <xf numFmtId="0" fontId="29" fillId="2" borderId="0" xfId="0" applyFont="1" applyFill="1"/>
    <xf numFmtId="170" fontId="29" fillId="2" borderId="0" xfId="0" applyNumberFormat="1" applyFont="1" applyFill="1" applyAlignment="1">
      <alignment horizontal="center"/>
    </xf>
    <xf numFmtId="171" fontId="38" fillId="2" borderId="0" xfId="0" applyNumberFormat="1" applyFont="1" applyFill="1" applyAlignment="1">
      <alignment horizontal="center"/>
    </xf>
    <xf numFmtId="0" fontId="36" fillId="0" borderId="0" xfId="0" applyFont="1"/>
    <xf numFmtId="0" fontId="37" fillId="0" borderId="0" xfId="0" applyFont="1" applyAlignment="1">
      <alignment horizontal="center"/>
    </xf>
    <xf numFmtId="0" fontId="26" fillId="0" borderId="0" xfId="0" applyFont="1" applyAlignment="1">
      <alignment horizontal="center"/>
    </xf>
    <xf numFmtId="170" fontId="29" fillId="7" borderId="0" xfId="0" applyNumberFormat="1" applyFont="1" applyFill="1" applyAlignment="1">
      <alignment horizontal="center"/>
    </xf>
    <xf numFmtId="171" fontId="38" fillId="7" borderId="0" xfId="0" applyNumberFormat="1" applyFont="1" applyFill="1" applyAlignment="1">
      <alignment horizontal="center"/>
    </xf>
    <xf numFmtId="0" fontId="40" fillId="0" borderId="0" xfId="0" applyFont="1"/>
    <xf numFmtId="182" fontId="33" fillId="0" borderId="0" xfId="0" applyNumberFormat="1" applyFont="1"/>
    <xf numFmtId="170" fontId="29" fillId="0" borderId="0" xfId="0" applyNumberFormat="1" applyFont="1" applyAlignment="1">
      <alignment horizontal="center"/>
    </xf>
    <xf numFmtId="171" fontId="38" fillId="0" borderId="0" xfId="0" applyNumberFormat="1" applyFont="1" applyAlignment="1">
      <alignment horizontal="center"/>
    </xf>
    <xf numFmtId="167" fontId="7" fillId="0" borderId="0" xfId="0" applyNumberFormat="1" applyFont="1"/>
    <xf numFmtId="0" fontId="6" fillId="8" borderId="0" xfId="0" applyFont="1" applyFill="1"/>
    <xf numFmtId="0" fontId="6" fillId="2" borderId="0" xfId="0" applyFont="1" applyFill="1"/>
    <xf numFmtId="0" fontId="12" fillId="2" borderId="0" xfId="0" applyFont="1" applyFill="1"/>
    <xf numFmtId="182" fontId="8" fillId="2" borderId="0" xfId="0" applyNumberFormat="1" applyFont="1" applyFill="1"/>
    <xf numFmtId="0" fontId="8" fillId="2" borderId="0" xfId="0" applyFont="1" applyFill="1"/>
    <xf numFmtId="167" fontId="7" fillId="0" borderId="1" xfId="0" applyNumberFormat="1" applyFont="1" applyBorder="1"/>
    <xf numFmtId="183" fontId="7" fillId="2" borderId="0" xfId="0" applyNumberFormat="1" applyFont="1" applyFill="1"/>
    <xf numFmtId="183" fontId="7" fillId="2" borderId="1" xfId="0" applyNumberFormat="1" applyFont="1" applyFill="1" applyBorder="1"/>
    <xf numFmtId="182" fontId="6" fillId="2" borderId="0" xfId="0" applyNumberFormat="1" applyFont="1" applyFill="1"/>
    <xf numFmtId="9" fontId="42" fillId="0" borderId="0" xfId="2" applyFont="1"/>
    <xf numFmtId="9" fontId="22" fillId="0" borderId="0" xfId="0" applyNumberFormat="1" applyFont="1"/>
    <xf numFmtId="9" fontId="9" fillId="0" borderId="0" xfId="2" applyFont="1"/>
    <xf numFmtId="1" fontId="5" fillId="2" borderId="0" xfId="0" applyNumberFormat="1" applyFont="1" applyFill="1" applyAlignment="1">
      <alignment vertical="center"/>
    </xf>
    <xf numFmtId="180" fontId="5" fillId="2" borderId="0" xfId="0" applyNumberFormat="1" applyFont="1" applyFill="1" applyAlignment="1">
      <alignment vertical="center"/>
    </xf>
    <xf numFmtId="176" fontId="6" fillId="2" borderId="0" xfId="0" applyNumberFormat="1" applyFont="1" applyFill="1" applyAlignment="1">
      <alignment vertical="center"/>
    </xf>
    <xf numFmtId="0" fontId="30" fillId="2" borderId="0" xfId="0" applyFont="1" applyFill="1" applyAlignment="1">
      <alignment vertical="center"/>
    </xf>
    <xf numFmtId="173" fontId="6" fillId="2" borderId="0" xfId="0" applyNumberFormat="1" applyFont="1" applyFill="1" applyAlignment="1">
      <alignment vertical="center"/>
    </xf>
    <xf numFmtId="165" fontId="6" fillId="2" borderId="0" xfId="0" applyNumberFormat="1" applyFont="1" applyFill="1" applyAlignment="1">
      <alignment vertical="center"/>
    </xf>
    <xf numFmtId="1" fontId="6" fillId="2" borderId="0" xfId="0" applyNumberFormat="1" applyFont="1" applyFill="1" applyAlignment="1">
      <alignment vertical="center"/>
    </xf>
    <xf numFmtId="0" fontId="0" fillId="2" borderId="0" xfId="0" applyFill="1"/>
    <xf numFmtId="2" fontId="30" fillId="2" borderId="0" xfId="0" applyNumberFormat="1" applyFont="1" applyFill="1" applyAlignment="1">
      <alignment vertical="center"/>
    </xf>
    <xf numFmtId="17" fontId="6" fillId="2" borderId="0" xfId="0" applyNumberFormat="1" applyFont="1" applyFill="1" applyAlignment="1">
      <alignment horizontal="left" vertical="center"/>
    </xf>
    <xf numFmtId="0" fontId="43" fillId="2" borderId="0" xfId="0" applyFont="1" applyFill="1" applyAlignment="1">
      <alignment vertical="center"/>
    </xf>
    <xf numFmtId="0" fontId="2" fillId="2" borderId="0" xfId="0" applyFont="1" applyFill="1"/>
    <xf numFmtId="2" fontId="30" fillId="2" borderId="0" xfId="0" applyNumberFormat="1" applyFont="1" applyFill="1" applyAlignment="1">
      <alignment horizontal="center" vertical="center"/>
    </xf>
    <xf numFmtId="0" fontId="0" fillId="2" borderId="0" xfId="0" applyFill="1" applyAlignment="1">
      <alignment horizontal="center"/>
    </xf>
    <xf numFmtId="9" fontId="30" fillId="2" borderId="0" xfId="2" applyFont="1" applyFill="1" applyAlignment="1">
      <alignment horizontal="center" vertical="center"/>
    </xf>
    <xf numFmtId="0" fontId="15" fillId="2" borderId="0" xfId="0" applyFont="1" applyFill="1"/>
    <xf numFmtId="165" fontId="7" fillId="2" borderId="0" xfId="0" applyNumberFormat="1" applyFont="1" applyFill="1" applyAlignment="1">
      <alignment horizontal="center" vertical="center"/>
    </xf>
    <xf numFmtId="1" fontId="7" fillId="2" borderId="0" xfId="0" applyNumberFormat="1" applyFont="1" applyFill="1" applyAlignment="1">
      <alignment horizontal="center" vertical="center"/>
    </xf>
    <xf numFmtId="165" fontId="30" fillId="2" borderId="0" xfId="0" applyNumberFormat="1" applyFont="1" applyFill="1" applyAlignment="1">
      <alignment horizontal="center" vertical="center"/>
    </xf>
    <xf numFmtId="17" fontId="43" fillId="0" borderId="0" xfId="0" applyNumberFormat="1" applyFont="1" applyAlignment="1">
      <alignment vertical="center"/>
    </xf>
    <xf numFmtId="1" fontId="5" fillId="9" borderId="0" xfId="0" applyNumberFormat="1" applyFont="1" applyFill="1" applyAlignment="1">
      <alignment vertical="center"/>
    </xf>
    <xf numFmtId="180" fontId="5" fillId="9" borderId="0" xfId="0" applyNumberFormat="1" applyFont="1" applyFill="1" applyAlignment="1">
      <alignment vertical="center"/>
    </xf>
    <xf numFmtId="0" fontId="5" fillId="9" borderId="0" xfId="0" applyFont="1" applyFill="1"/>
    <xf numFmtId="0" fontId="5" fillId="9" borderId="0" xfId="0" applyFont="1" applyFill="1" applyAlignment="1">
      <alignment horizontal="center"/>
    </xf>
    <xf numFmtId="17" fontId="5" fillId="9" borderId="0" xfId="0" applyNumberFormat="1" applyFont="1" applyFill="1"/>
    <xf numFmtId="180" fontId="5" fillId="9" borderId="0" xfId="0" applyNumberFormat="1" applyFont="1" applyFill="1"/>
    <xf numFmtId="0" fontId="6" fillId="9" borderId="0" xfId="0" applyFont="1" applyFill="1"/>
    <xf numFmtId="0" fontId="13" fillId="9" borderId="0" xfId="0" applyFont="1" applyFill="1" applyAlignment="1">
      <alignment horizontal="center"/>
    </xf>
    <xf numFmtId="0" fontId="8" fillId="9" borderId="0" xfId="0" applyFont="1" applyFill="1" applyAlignment="1">
      <alignment horizontal="center"/>
    </xf>
    <xf numFmtId="0" fontId="6" fillId="9" borderId="0" xfId="0" applyFont="1" applyFill="1" applyAlignment="1">
      <alignment horizontal="center"/>
    </xf>
    <xf numFmtId="0" fontId="28" fillId="9" borderId="0" xfId="0" applyFont="1" applyFill="1"/>
    <xf numFmtId="172" fontId="39" fillId="9" borderId="0" xfId="0" applyNumberFormat="1" applyFont="1" applyFill="1" applyAlignment="1">
      <alignment horizontal="centerContinuous"/>
    </xf>
    <xf numFmtId="172" fontId="27" fillId="9" borderId="0" xfId="0" applyNumberFormat="1" applyFont="1" applyFill="1" applyAlignment="1">
      <alignment horizontal="centerContinuous"/>
    </xf>
    <xf numFmtId="0" fontId="37" fillId="9" borderId="0" xfId="0" applyFont="1" applyFill="1" applyAlignment="1">
      <alignment horizontal="center"/>
    </xf>
    <xf numFmtId="0" fontId="30" fillId="9" borderId="0" xfId="0" applyFont="1" applyFill="1"/>
    <xf numFmtId="0" fontId="20" fillId="9" borderId="0" xfId="0" applyFont="1" applyFill="1"/>
    <xf numFmtId="0" fontId="20" fillId="9" borderId="0" xfId="0" applyFont="1" applyFill="1" applyAlignment="1">
      <alignment horizontal="right"/>
    </xf>
    <xf numFmtId="184" fontId="20" fillId="9" borderId="0" xfId="0" applyNumberFormat="1" applyFont="1" applyFill="1" applyAlignment="1">
      <alignment horizontal="right"/>
    </xf>
    <xf numFmtId="0" fontId="18" fillId="9" borderId="0" xfId="0" applyFont="1" applyFill="1" applyAlignment="1">
      <alignment vertical="center"/>
    </xf>
    <xf numFmtId="1" fontId="18" fillId="9" borderId="0" xfId="0" applyNumberFormat="1" applyFont="1" applyFill="1" applyAlignment="1">
      <alignment horizontal="right" vertical="center"/>
    </xf>
    <xf numFmtId="176" fontId="18" fillId="9" borderId="0" xfId="0" applyNumberFormat="1" applyFont="1" applyFill="1" applyAlignment="1">
      <alignment horizontal="center" vertical="center"/>
    </xf>
    <xf numFmtId="0" fontId="6" fillId="9" borderId="0" xfId="0" applyFont="1" applyFill="1" applyAlignment="1">
      <alignment vertical="center"/>
    </xf>
    <xf numFmtId="0" fontId="25" fillId="10" borderId="0" xfId="0" applyFont="1" applyFill="1" applyAlignment="1">
      <alignment horizontal="left" vertical="center" indent="1"/>
    </xf>
    <xf numFmtId="0" fontId="25" fillId="10" borderId="0" xfId="0" applyFont="1" applyFill="1" applyAlignment="1">
      <alignment horizontal="left" vertical="center"/>
    </xf>
    <xf numFmtId="174" fontId="25" fillId="10" borderId="0" xfId="2" applyNumberFormat="1" applyFont="1" applyFill="1" applyBorder="1" applyAlignment="1">
      <alignment horizontal="right" vertical="center"/>
    </xf>
    <xf numFmtId="172" fontId="18" fillId="9" borderId="0" xfId="0" applyNumberFormat="1" applyFont="1" applyFill="1" applyAlignment="1">
      <alignment horizontal="right" vertical="center"/>
    </xf>
    <xf numFmtId="0" fontId="13" fillId="9" borderId="0" xfId="0" applyFont="1" applyFill="1" applyAlignment="1">
      <alignment vertical="center"/>
    </xf>
    <xf numFmtId="0" fontId="0" fillId="9" borderId="0" xfId="0" applyFill="1" applyAlignment="1">
      <alignment horizontal="center"/>
    </xf>
    <xf numFmtId="0" fontId="36" fillId="9" borderId="0" xfId="0" applyFont="1" applyFill="1"/>
    <xf numFmtId="0" fontId="21" fillId="9" borderId="0" xfId="0" applyFont="1" applyFill="1" applyAlignment="1">
      <alignment horizontal="centerContinuous"/>
    </xf>
    <xf numFmtId="0" fontId="39" fillId="9" borderId="0" xfId="0" applyFont="1" applyFill="1" applyAlignment="1">
      <alignment horizontal="centerContinuous"/>
    </xf>
    <xf numFmtId="0" fontId="20" fillId="9" borderId="0" xfId="0" applyFont="1" applyFill="1" applyAlignment="1">
      <alignment horizontal="center"/>
    </xf>
    <xf numFmtId="166" fontId="6" fillId="0" borderId="0" xfId="0" applyNumberFormat="1" applyFont="1"/>
    <xf numFmtId="173" fontId="6" fillId="0" borderId="0" xfId="0" applyNumberFormat="1" applyFont="1"/>
    <xf numFmtId="2" fontId="6" fillId="0" borderId="0" xfId="0" applyNumberFormat="1" applyFont="1"/>
    <xf numFmtId="0" fontId="44" fillId="2" borderId="0" xfId="0" applyFont="1" applyFill="1"/>
    <xf numFmtId="173" fontId="44" fillId="2" borderId="0" xfId="0" applyNumberFormat="1" applyFont="1" applyFill="1" applyAlignment="1">
      <alignment horizontal="right"/>
    </xf>
    <xf numFmtId="9" fontId="44" fillId="2" borderId="0" xfId="2" applyFont="1" applyFill="1" applyAlignment="1">
      <alignment horizontal="right"/>
    </xf>
    <xf numFmtId="0" fontId="44" fillId="2" borderId="0" xfId="0" applyFont="1" applyFill="1" applyAlignment="1">
      <alignment horizontal="right"/>
    </xf>
    <xf numFmtId="0" fontId="45" fillId="2" borderId="0" xfId="0" applyFont="1" applyFill="1" applyAlignment="1">
      <alignment horizontal="right"/>
    </xf>
    <xf numFmtId="0" fontId="46" fillId="2" borderId="0" xfId="0" applyFont="1" applyFill="1"/>
    <xf numFmtId="0" fontId="47" fillId="2" borderId="0" xfId="0" applyFont="1" applyFill="1"/>
    <xf numFmtId="165" fontId="47" fillId="2" borderId="0" xfId="0" applyNumberFormat="1" applyFont="1" applyFill="1" applyAlignment="1">
      <alignment horizontal="right"/>
    </xf>
    <xf numFmtId="181" fontId="47" fillId="2" borderId="0" xfId="0" applyNumberFormat="1" applyFont="1" applyFill="1" applyAlignment="1">
      <alignment horizontal="right"/>
    </xf>
    <xf numFmtId="0" fontId="48" fillId="2" borderId="0" xfId="0" applyFont="1" applyFill="1"/>
    <xf numFmtId="185" fontId="48" fillId="2" borderId="0" xfId="0" quotePrefix="1" applyNumberFormat="1" applyFont="1" applyFill="1" applyAlignment="1">
      <alignment horizontal="right"/>
    </xf>
    <xf numFmtId="0" fontId="20" fillId="9" borderId="0" xfId="0" applyFont="1" applyFill="1" applyAlignment="1">
      <alignment vertical="center"/>
    </xf>
    <xf numFmtId="0" fontId="5" fillId="9" borderId="0" xfId="0" applyFont="1" applyFill="1" applyAlignment="1">
      <alignment vertical="center"/>
    </xf>
    <xf numFmtId="0" fontId="6" fillId="9" borderId="0" xfId="0" applyFont="1" applyFill="1" applyAlignment="1">
      <alignment horizontal="left" vertical="center"/>
    </xf>
    <xf numFmtId="0" fontId="11" fillId="9" borderId="0" xfId="0" applyFont="1" applyFill="1" applyAlignment="1">
      <alignment vertical="center"/>
    </xf>
    <xf numFmtId="167" fontId="49" fillId="0" borderId="0" xfId="1" applyNumberFormat="1" applyFont="1"/>
    <xf numFmtId="167" fontId="49" fillId="0" borderId="0" xfId="0" applyNumberFormat="1" applyFont="1"/>
    <xf numFmtId="9" fontId="49" fillId="0" borderId="0" xfId="2" applyFont="1"/>
    <xf numFmtId="9" fontId="9" fillId="0" borderId="0" xfId="0" applyNumberFormat="1" applyFont="1"/>
    <xf numFmtId="9" fontId="49" fillId="0" borderId="0" xfId="2" applyFont="1" applyBorder="1"/>
    <xf numFmtId="9" fontId="42" fillId="0" borderId="0" xfId="2" applyFont="1" applyBorder="1"/>
    <xf numFmtId="168" fontId="49" fillId="0" borderId="0" xfId="1" applyNumberFormat="1" applyFont="1"/>
    <xf numFmtId="167" fontId="42" fillId="0" borderId="0" xfId="0" applyNumberFormat="1" applyFont="1"/>
    <xf numFmtId="168" fontId="42" fillId="0" borderId="0" xfId="1" applyNumberFormat="1" applyFont="1"/>
    <xf numFmtId="168" fontId="50" fillId="0" borderId="0" xfId="1" applyNumberFormat="1" applyFont="1"/>
    <xf numFmtId="168" fontId="6" fillId="0" borderId="0" xfId="1" applyNumberFormat="1" applyFont="1" applyBorder="1"/>
    <xf numFmtId="1" fontId="9" fillId="0" borderId="1" xfId="0" applyNumberFormat="1" applyFont="1" applyBorder="1"/>
    <xf numFmtId="2" fontId="7" fillId="2" borderId="0" xfId="0" applyNumberFormat="1" applyFont="1" applyFill="1" applyAlignment="1">
      <alignment horizontal="center" vertical="center"/>
    </xf>
    <xf numFmtId="0" fontId="7" fillId="2" borderId="0" xfId="0" applyFont="1" applyFill="1" applyAlignment="1">
      <alignment vertical="center"/>
    </xf>
    <xf numFmtId="0" fontId="43" fillId="0" borderId="0" xfId="0" applyFont="1" applyAlignment="1">
      <alignment vertical="center"/>
    </xf>
    <xf numFmtId="0" fontId="20" fillId="0" borderId="0" xfId="0" applyFont="1" applyAlignment="1">
      <alignment vertical="center"/>
    </xf>
    <xf numFmtId="0" fontId="20" fillId="0" borderId="0" xfId="0" applyFont="1" applyAlignment="1">
      <alignment horizontal="center" vertical="center"/>
    </xf>
    <xf numFmtId="165" fontId="10" fillId="0" borderId="0" xfId="0" applyNumberFormat="1" applyFont="1" applyAlignment="1">
      <alignment horizontal="center" vertical="center"/>
    </xf>
    <xf numFmtId="166" fontId="10" fillId="0" borderId="0" xfId="2" applyNumberFormat="1" applyFont="1" applyFill="1" applyAlignment="1">
      <alignment horizontal="center" vertical="center"/>
    </xf>
    <xf numFmtId="166" fontId="6" fillId="0" borderId="0" xfId="2" applyNumberFormat="1" applyFont="1" applyAlignment="1">
      <alignment vertical="center"/>
    </xf>
    <xf numFmtId="168" fontId="49" fillId="0" borderId="0" xfId="0" applyNumberFormat="1" applyFont="1"/>
    <xf numFmtId="9" fontId="6" fillId="0" borderId="0" xfId="2" applyFont="1" applyBorder="1"/>
    <xf numFmtId="0" fontId="42" fillId="0" borderId="0" xfId="0" applyFont="1"/>
    <xf numFmtId="177" fontId="7" fillId="0" borderId="0" xfId="0" applyNumberFormat="1" applyFont="1"/>
    <xf numFmtId="167" fontId="7" fillId="2" borderId="0" xfId="1" applyNumberFormat="1" applyFont="1" applyFill="1" applyAlignment="1">
      <alignment horizontal="center" vertical="center"/>
    </xf>
    <xf numFmtId="2" fontId="7" fillId="2" borderId="0" xfId="1" applyNumberFormat="1" applyFont="1" applyFill="1" applyAlignment="1">
      <alignment horizontal="center" vertical="center"/>
    </xf>
    <xf numFmtId="43" fontId="7" fillId="0" borderId="0" xfId="0" applyNumberFormat="1" applyFont="1"/>
    <xf numFmtId="43" fontId="7" fillId="0" borderId="1" xfId="0" applyNumberFormat="1" applyFont="1" applyBorder="1"/>
    <xf numFmtId="177" fontId="7" fillId="0" borderId="1" xfId="0" applyNumberFormat="1" applyFont="1" applyBorder="1"/>
    <xf numFmtId="177" fontId="8" fillId="0" borderId="4" xfId="0" applyNumberFormat="1" applyFont="1" applyBorder="1"/>
    <xf numFmtId="177" fontId="8" fillId="0" borderId="0" xfId="0" applyNumberFormat="1" applyFont="1"/>
    <xf numFmtId="177" fontId="8" fillId="0" borderId="0" xfId="1" applyNumberFormat="1" applyFont="1"/>
    <xf numFmtId="177" fontId="8" fillId="0" borderId="4" xfId="1" applyNumberFormat="1" applyFont="1" applyBorder="1"/>
    <xf numFmtId="168" fontId="6" fillId="0" borderId="0" xfId="1" applyNumberFormat="1" applyFont="1"/>
    <xf numFmtId="9" fontId="50" fillId="0" borderId="0" xfId="2" applyFont="1"/>
    <xf numFmtId="168" fontId="9" fillId="0" borderId="0" xfId="0" applyNumberFormat="1" applyFont="1"/>
    <xf numFmtId="167" fontId="9" fillId="0" borderId="0" xfId="0" applyNumberFormat="1" applyFont="1"/>
    <xf numFmtId="168" fontId="51" fillId="0" borderId="0" xfId="0" applyNumberFormat="1" applyFont="1"/>
    <xf numFmtId="9" fontId="22" fillId="4" borderId="0" xfId="2" applyFont="1" applyFill="1" applyBorder="1" applyAlignment="1">
      <alignment horizontal="center"/>
    </xf>
    <xf numFmtId="9" fontId="23" fillId="0" borderId="0" xfId="0" applyNumberFormat="1" applyFont="1"/>
    <xf numFmtId="169" fontId="12" fillId="0" borderId="0" xfId="0" applyNumberFormat="1" applyFont="1"/>
    <xf numFmtId="167" fontId="9" fillId="0" borderId="0" xfId="1" applyNumberFormat="1" applyFont="1"/>
    <xf numFmtId="1" fontId="49" fillId="0" borderId="0" xfId="0" applyNumberFormat="1" applyFont="1"/>
    <xf numFmtId="1" fontId="43" fillId="0" borderId="0" xfId="0" applyNumberFormat="1" applyFont="1"/>
    <xf numFmtId="168" fontId="43" fillId="0" borderId="0" xfId="0" applyNumberFormat="1" applyFont="1"/>
    <xf numFmtId="1" fontId="42" fillId="0" borderId="0" xfId="0" applyNumberFormat="1" applyFont="1"/>
    <xf numFmtId="9" fontId="12" fillId="0" borderId="0" xfId="2" applyFont="1" applyFill="1"/>
    <xf numFmtId="165" fontId="42" fillId="0" borderId="0" xfId="0" applyNumberFormat="1" applyFont="1"/>
    <xf numFmtId="165" fontId="43" fillId="0" borderId="0" xfId="0" applyNumberFormat="1" applyFont="1"/>
    <xf numFmtId="183" fontId="23" fillId="0" borderId="0" xfId="0" applyNumberFormat="1" applyFont="1"/>
    <xf numFmtId="166" fontId="14" fillId="0" borderId="0" xfId="2" applyNumberFormat="1" applyFont="1"/>
    <xf numFmtId="0" fontId="10" fillId="2" borderId="0" xfId="0" applyFont="1" applyFill="1"/>
    <xf numFmtId="0" fontId="16" fillId="2" borderId="0" xfId="0" applyFont="1" applyFill="1" applyAlignment="1">
      <alignment horizontal="left" indent="1"/>
    </xf>
    <xf numFmtId="172" fontId="21" fillId="9" borderId="0" xfId="0" applyNumberFormat="1" applyFont="1" applyFill="1" applyAlignment="1">
      <alignment horizontal="centerContinuous"/>
    </xf>
    <xf numFmtId="0" fontId="13" fillId="0" borderId="0" xfId="0" applyFont="1"/>
    <xf numFmtId="17" fontId="5" fillId="0" borderId="0" xfId="0" applyNumberFormat="1" applyFont="1"/>
    <xf numFmtId="9" fontId="12" fillId="0" borderId="0" xfId="2" applyFont="1" applyFill="1" applyBorder="1"/>
    <xf numFmtId="9" fontId="8" fillId="0" borderId="0" xfId="2" applyFont="1" applyFill="1" applyBorder="1"/>
    <xf numFmtId="182" fontId="12" fillId="0" borderId="0" xfId="0" applyNumberFormat="1" applyFont="1"/>
    <xf numFmtId="186" fontId="7" fillId="0" borderId="0" xfId="1" applyNumberFormat="1" applyFont="1"/>
    <xf numFmtId="186" fontId="7" fillId="0" borderId="0" xfId="1" applyNumberFormat="1" applyFont="1" applyFill="1" applyBorder="1"/>
    <xf numFmtId="0" fontId="2" fillId="0" borderId="0" xfId="0" applyFont="1"/>
    <xf numFmtId="0" fontId="0" fillId="0" borderId="0" xfId="0" applyAlignment="1">
      <alignment horizontal="center"/>
    </xf>
    <xf numFmtId="168" fontId="0" fillId="0" borderId="0" xfId="1" applyNumberFormat="1" applyFont="1"/>
    <xf numFmtId="0" fontId="52" fillId="9" borderId="0" xfId="0" applyFont="1" applyFill="1"/>
    <xf numFmtId="0" fontId="52" fillId="9" borderId="0" xfId="0" applyFont="1" applyFill="1" applyAlignment="1">
      <alignment horizontal="center"/>
    </xf>
    <xf numFmtId="168" fontId="0" fillId="2" borderId="0" xfId="1" applyNumberFormat="1" applyFont="1" applyFill="1"/>
    <xf numFmtId="168" fontId="0" fillId="2" borderId="0" xfId="1" applyNumberFormat="1" applyFont="1" applyFill="1" applyAlignment="1">
      <alignment horizontal="center"/>
    </xf>
    <xf numFmtId="1" fontId="0" fillId="2" borderId="0" xfId="0" applyNumberFormat="1" applyFill="1" applyAlignment="1">
      <alignment horizontal="center"/>
    </xf>
    <xf numFmtId="0" fontId="0" fillId="9" borderId="0" xfId="0" applyFill="1"/>
    <xf numFmtId="168" fontId="0" fillId="9" borderId="0" xfId="1" applyNumberFormat="1" applyFont="1" applyFill="1"/>
    <xf numFmtId="0" fontId="53" fillId="0" borderId="0" xfId="6"/>
    <xf numFmtId="168" fontId="0" fillId="9" borderId="0" xfId="1" applyNumberFormat="1" applyFont="1" applyFill="1" applyAlignment="1">
      <alignment horizontal="center"/>
    </xf>
    <xf numFmtId="37" fontId="0" fillId="2" borderId="0" xfId="1" applyNumberFormat="1" applyFont="1" applyFill="1" applyAlignment="1">
      <alignment horizontal="center" vertical="center"/>
    </xf>
    <xf numFmtId="0" fontId="52" fillId="2" borderId="0" xfId="0" applyFont="1" applyFill="1" applyAlignment="1">
      <alignment horizontal="center"/>
    </xf>
    <xf numFmtId="168" fontId="12" fillId="0" borderId="0" xfId="0" applyNumberFormat="1" applyFont="1"/>
    <xf numFmtId="168" fontId="12" fillId="0" borderId="0" xfId="1" applyNumberFormat="1" applyFont="1" applyBorder="1"/>
    <xf numFmtId="179" fontId="8" fillId="0" borderId="8" xfId="0" applyNumberFormat="1" applyFont="1" applyBorder="1" applyAlignment="1">
      <alignment horizontal="left"/>
    </xf>
    <xf numFmtId="179" fontId="8" fillId="0" borderId="1" xfId="0" applyNumberFormat="1" applyFont="1" applyBorder="1" applyAlignment="1">
      <alignment horizontal="left"/>
    </xf>
    <xf numFmtId="181" fontId="8" fillId="3" borderId="5" xfId="0" applyNumberFormat="1" applyFont="1" applyFill="1" applyBorder="1" applyAlignment="1">
      <alignment horizontal="center"/>
    </xf>
    <xf numFmtId="1" fontId="6" fillId="0" borderId="0" xfId="0" applyNumberFormat="1" applyFont="1" applyAlignment="1">
      <alignment horizontal="left" vertical="center"/>
    </xf>
    <xf numFmtId="0" fontId="6" fillId="0" borderId="0" xfId="0" applyFont="1" applyAlignment="1">
      <alignment horizontal="left" vertical="center"/>
    </xf>
    <xf numFmtId="9" fontId="6" fillId="0" borderId="0" xfId="0" applyNumberFormat="1" applyFont="1" applyAlignment="1">
      <alignment vertical="center"/>
    </xf>
    <xf numFmtId="168" fontId="6" fillId="0" borderId="0" xfId="1" applyNumberFormat="1" applyFont="1" applyAlignment="1">
      <alignment vertical="center"/>
    </xf>
    <xf numFmtId="0" fontId="43" fillId="0" borderId="0" xfId="0" applyFont="1" applyAlignment="1">
      <alignment horizontal="right" vertical="center"/>
    </xf>
    <xf numFmtId="180" fontId="15" fillId="0" borderId="0" xfId="0" applyNumberFormat="1" applyFont="1"/>
    <xf numFmtId="1" fontId="24" fillId="0" borderId="0" xfId="0" applyNumberFormat="1" applyFont="1" applyAlignment="1">
      <alignment horizontal="center"/>
    </xf>
    <xf numFmtId="180" fontId="43" fillId="0" borderId="0" xfId="0" applyNumberFormat="1" applyFont="1" applyAlignment="1">
      <alignment vertical="center"/>
    </xf>
    <xf numFmtId="168" fontId="6" fillId="0" borderId="0" xfId="0" applyNumberFormat="1" applyFont="1" applyAlignment="1">
      <alignment vertical="center"/>
    </xf>
    <xf numFmtId="0" fontId="6" fillId="0" borderId="0" xfId="0" applyFont="1" applyAlignment="1">
      <alignment horizontal="center" vertical="center"/>
    </xf>
    <xf numFmtId="166" fontId="6" fillId="0" borderId="0" xfId="0" applyNumberFormat="1" applyFont="1" applyAlignment="1">
      <alignment horizontal="center" vertical="center"/>
    </xf>
    <xf numFmtId="165" fontId="6" fillId="0" borderId="0" xfId="0" applyNumberFormat="1" applyFont="1" applyAlignment="1">
      <alignment horizontal="center" vertical="center"/>
    </xf>
    <xf numFmtId="0" fontId="54" fillId="9" borderId="0" xfId="0" applyFont="1" applyFill="1" applyAlignment="1">
      <alignment horizontal="center" vertical="center"/>
    </xf>
    <xf numFmtId="167" fontId="55" fillId="2" borderId="0" xfId="1" applyNumberFormat="1" applyFont="1" applyFill="1" applyAlignment="1">
      <alignment horizontal="right"/>
    </xf>
    <xf numFmtId="0" fontId="56" fillId="9" borderId="0" xfId="0" applyFont="1" applyFill="1"/>
    <xf numFmtId="173" fontId="56" fillId="9" borderId="0" xfId="0" applyNumberFormat="1" applyFont="1" applyFill="1" applyAlignment="1">
      <alignment horizontal="right"/>
    </xf>
    <xf numFmtId="0" fontId="47" fillId="9" borderId="0" xfId="0" applyFont="1" applyFill="1"/>
    <xf numFmtId="165" fontId="47" fillId="9" borderId="0" xfId="0" applyNumberFormat="1" applyFont="1" applyFill="1" applyAlignment="1">
      <alignment horizontal="right"/>
    </xf>
    <xf numFmtId="0" fontId="25" fillId="2" borderId="0" xfId="0" applyFont="1" applyFill="1" applyAlignment="1">
      <alignment horizontal="left" vertical="center" indent="1"/>
    </xf>
    <xf numFmtId="0" fontId="25" fillId="2" borderId="0" xfId="0" applyFont="1" applyFill="1" applyAlignment="1">
      <alignment horizontal="left" vertical="center"/>
    </xf>
    <xf numFmtId="174" fontId="25" fillId="2" borderId="0" xfId="2" applyNumberFormat="1" applyFont="1" applyFill="1" applyBorder="1" applyAlignment="1">
      <alignment horizontal="right" vertical="center"/>
    </xf>
    <xf numFmtId="0" fontId="10" fillId="2" borderId="0" xfId="0" applyFont="1" applyFill="1" applyAlignment="1">
      <alignment horizontal="left" vertical="center"/>
    </xf>
    <xf numFmtId="0" fontId="17" fillId="2" borderId="0" xfId="0" applyFont="1" applyFill="1" applyAlignment="1">
      <alignment horizontal="left" vertical="center"/>
    </xf>
    <xf numFmtId="174" fontId="10" fillId="2" borderId="0" xfId="0" applyNumberFormat="1" applyFont="1" applyFill="1" applyAlignment="1">
      <alignment horizontal="right" vertical="center"/>
    </xf>
    <xf numFmtId="175" fontId="10" fillId="0" borderId="0" xfId="3" applyNumberFormat="1" applyFont="1" applyBorder="1" applyAlignment="1">
      <alignment vertical="center"/>
    </xf>
    <xf numFmtId="167" fontId="44" fillId="2" borderId="0" xfId="1" applyNumberFormat="1" applyFont="1" applyFill="1" applyAlignment="1">
      <alignment horizontal="right"/>
    </xf>
    <xf numFmtId="9" fontId="55" fillId="2" borderId="0" xfId="2" applyFont="1" applyFill="1" applyAlignment="1">
      <alignment horizontal="right"/>
    </xf>
    <xf numFmtId="180" fontId="6" fillId="0" borderId="0" xfId="0" applyNumberFormat="1" applyFont="1" applyAlignment="1">
      <alignment vertical="center"/>
    </xf>
    <xf numFmtId="166" fontId="6" fillId="0" borderId="0" xfId="0" applyNumberFormat="1" applyFont="1" applyAlignment="1">
      <alignment vertical="center"/>
    </xf>
    <xf numFmtId="168" fontId="55" fillId="2" borderId="0" xfId="1" applyNumberFormat="1" applyFont="1" applyFill="1" applyAlignment="1">
      <alignment horizontal="right"/>
    </xf>
    <xf numFmtId="0" fontId="7" fillId="0" borderId="0" xfId="0" applyFont="1"/>
    <xf numFmtId="187" fontId="0" fillId="0" borderId="0" xfId="0" applyNumberFormat="1"/>
    <xf numFmtId="166" fontId="12" fillId="0" borderId="0" xfId="2" applyNumberFormat="1" applyFont="1" applyFill="1"/>
    <xf numFmtId="166" fontId="9" fillId="0" borderId="0" xfId="0" applyNumberFormat="1" applyFont="1"/>
    <xf numFmtId="180" fontId="5" fillId="9" borderId="0" xfId="0" applyNumberFormat="1" applyFont="1" applyFill="1" applyAlignment="1">
      <alignment horizontal="right" vertical="center"/>
    </xf>
    <xf numFmtId="0" fontId="8" fillId="0" borderId="0" xfId="0" applyFont="1" applyAlignment="1">
      <alignment horizontal="right" vertical="center"/>
    </xf>
    <xf numFmtId="49" fontId="56" fillId="9" borderId="0" xfId="0" applyNumberFormat="1" applyFont="1" applyFill="1" applyAlignment="1">
      <alignment horizontal="right"/>
    </xf>
    <xf numFmtId="165" fontId="0" fillId="2" borderId="0" xfId="0" applyNumberFormat="1" applyFill="1"/>
    <xf numFmtId="1" fontId="0" fillId="2" borderId="0" xfId="0" applyNumberFormat="1" applyFill="1"/>
    <xf numFmtId="165" fontId="2" fillId="2" borderId="0" xfId="0" applyNumberFormat="1" applyFont="1" applyFill="1"/>
    <xf numFmtId="167" fontId="23" fillId="2" borderId="0" xfId="0" applyNumberFormat="1" applyFont="1" applyFill="1"/>
    <xf numFmtId="167" fontId="6" fillId="2" borderId="0" xfId="0" applyNumberFormat="1" applyFont="1" applyFill="1"/>
    <xf numFmtId="167" fontId="8" fillId="3" borderId="4" xfId="1" applyNumberFormat="1" applyFont="1" applyFill="1" applyBorder="1"/>
    <xf numFmtId="0" fontId="13" fillId="9" borderId="0" xfId="0" applyFont="1" applyFill="1"/>
    <xf numFmtId="181" fontId="6" fillId="0" borderId="0" xfId="0" applyNumberFormat="1" applyFont="1"/>
    <xf numFmtId="166" fontId="42" fillId="0" borderId="0" xfId="2" applyNumberFormat="1" applyFont="1" applyBorder="1"/>
    <xf numFmtId="8" fontId="6" fillId="0" borderId="0" xfId="0" applyNumberFormat="1" applyFont="1" applyAlignment="1">
      <alignment vertical="center"/>
    </xf>
    <xf numFmtId="9" fontId="0" fillId="0" borderId="0" xfId="0" applyNumberFormat="1"/>
    <xf numFmtId="166" fontId="0" fillId="0" borderId="0" xfId="0" applyNumberFormat="1"/>
    <xf numFmtId="165" fontId="9" fillId="0" borderId="0" xfId="0" applyNumberFormat="1" applyFont="1"/>
    <xf numFmtId="9" fontId="0" fillId="0" borderId="0" xfId="2" applyFont="1"/>
    <xf numFmtId="166" fontId="0" fillId="0" borderId="0" xfId="2" applyNumberFormat="1" applyFont="1"/>
    <xf numFmtId="43" fontId="0" fillId="0" borderId="0" xfId="1" applyFont="1"/>
    <xf numFmtId="8" fontId="6" fillId="0" borderId="0" xfId="0" applyNumberFormat="1" applyFont="1"/>
    <xf numFmtId="190" fontId="6" fillId="0" borderId="0" xfId="0" applyNumberFormat="1" applyFont="1"/>
    <xf numFmtId="37" fontId="6" fillId="0" borderId="0" xfId="1" applyNumberFormat="1" applyFont="1"/>
    <xf numFmtId="191" fontId="6" fillId="0" borderId="0" xfId="0" applyNumberFormat="1" applyFont="1"/>
    <xf numFmtId="9" fontId="6" fillId="11" borderId="0" xfId="2" applyFont="1" applyFill="1"/>
    <xf numFmtId="166" fontId="12" fillId="11" borderId="0" xfId="2" applyNumberFormat="1" applyFont="1" applyFill="1"/>
    <xf numFmtId="9" fontId="22" fillId="11" borderId="0" xfId="2" applyFont="1" applyFill="1"/>
    <xf numFmtId="0" fontId="0" fillId="12" borderId="0" xfId="0" applyFill="1"/>
    <xf numFmtId="0" fontId="6" fillId="0" borderId="1" xfId="0" applyFont="1" applyBorder="1" applyAlignment="1"/>
    <xf numFmtId="9" fontId="9" fillId="12" borderId="0" xfId="2" applyFont="1" applyFill="1"/>
    <xf numFmtId="1" fontId="7" fillId="12" borderId="1" xfId="0" applyNumberFormat="1" applyFont="1" applyFill="1" applyBorder="1"/>
    <xf numFmtId="9" fontId="6" fillId="12" borderId="0" xfId="2" applyNumberFormat="1" applyFont="1" applyFill="1"/>
    <xf numFmtId="167" fontId="0" fillId="0" borderId="0" xfId="1" applyNumberFormat="1" applyFont="1"/>
    <xf numFmtId="1" fontId="0" fillId="0" borderId="0" xfId="0" applyNumberFormat="1"/>
    <xf numFmtId="183" fontId="6" fillId="12" borderId="0" xfId="0" applyNumberFormat="1" applyFont="1" applyFill="1"/>
    <xf numFmtId="183" fontId="7" fillId="12" borderId="0" xfId="0" applyNumberFormat="1" applyFont="1" applyFill="1"/>
    <xf numFmtId="166" fontId="6" fillId="12" borderId="0" xfId="2" applyNumberFormat="1" applyFont="1" applyFill="1"/>
    <xf numFmtId="0" fontId="6" fillId="12" borderId="0" xfId="0" applyFont="1" applyFill="1"/>
    <xf numFmtId="1" fontId="6" fillId="12" borderId="0" xfId="0" applyNumberFormat="1" applyFont="1" applyFill="1"/>
    <xf numFmtId="1" fontId="7" fillId="12" borderId="0" xfId="0" applyNumberFormat="1" applyFont="1" applyFill="1"/>
    <xf numFmtId="9" fontId="12" fillId="12" borderId="1" xfId="2" applyFont="1" applyFill="1" applyBorder="1"/>
    <xf numFmtId="182" fontId="7" fillId="12" borderId="0" xfId="0" applyNumberFormat="1" applyFont="1" applyFill="1"/>
  </cellXfs>
  <cellStyles count="7">
    <cellStyle name="AFE" xfId="5" xr:uid="{00000000-0005-0000-0000-000000000000}"/>
    <cellStyle name="Comma" xfId="1" builtinId="3"/>
    <cellStyle name="Comma 2" xfId="3" xr:uid="{00000000-0005-0000-0000-000002000000}"/>
    <cellStyle name="Comma 4" xfId="4" xr:uid="{00000000-0005-0000-0000-000003000000}"/>
    <cellStyle name="Hyperlink" xfId="6" builtinId="8"/>
    <cellStyle name="Normal" xfId="0" builtinId="0"/>
    <cellStyle name="Percent" xfId="2" builtinId="5"/>
  </cellStyles>
  <dxfs count="1">
    <dxf>
      <font>
        <color rgb="FF9C0006"/>
      </font>
      <fill>
        <patternFill>
          <bgColor rgb="FFFFC7CE"/>
        </patternFill>
      </fill>
    </dxf>
  </dxfs>
  <tableStyles count="0" defaultTableStyle="TableStyleMedium2" defaultPivotStyle="PivotStyleLight16"/>
  <colors>
    <mruColors>
      <color rgb="FFFF9B11"/>
      <color rgb="FF005596"/>
      <color rgb="FF0000FF"/>
      <color rgb="FFD90000"/>
      <color rgb="FF767878"/>
      <color rgb="FF262727"/>
      <color rgb="FFA391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Competition!$B$20</c:f>
              <c:strCache>
                <c:ptCount val="1"/>
                <c:pt idx="0">
                  <c:v>EV/LTM Gross Multiple</c:v>
                </c:pt>
              </c:strCache>
            </c:strRef>
          </c:tx>
          <c:spPr>
            <a:solidFill>
              <a:schemeClr val="accent2"/>
            </a:solidFill>
            <a:ln>
              <a:noFill/>
            </a:ln>
            <a:effectLst/>
          </c:spPr>
          <c:invertIfNegative val="0"/>
          <c:dPt>
            <c:idx val="5"/>
            <c:invertIfNegative val="0"/>
            <c:bubble3D val="0"/>
            <c:spPr>
              <a:solidFill>
                <a:srgbClr val="FF9B11"/>
              </a:solidFill>
              <a:ln>
                <a:noFill/>
              </a:ln>
              <a:effectLst/>
            </c:spPr>
            <c:extLst>
              <c:ext xmlns:c16="http://schemas.microsoft.com/office/drawing/2014/chart" uri="{C3380CC4-5D6E-409C-BE32-E72D297353CC}">
                <c16:uniqueId val="{00000001-91BE-4AD1-8FA0-82CA2F0B22FB}"/>
              </c:ext>
            </c:extLst>
          </c:dPt>
          <c:dPt>
            <c:idx val="8"/>
            <c:invertIfNegative val="0"/>
            <c:bubble3D val="0"/>
            <c:spPr>
              <a:solidFill>
                <a:srgbClr val="005596"/>
              </a:solidFill>
              <a:ln>
                <a:noFill/>
              </a:ln>
              <a:effectLst/>
            </c:spPr>
            <c:extLst>
              <c:ext xmlns:c16="http://schemas.microsoft.com/office/drawing/2014/chart" uri="{C3380CC4-5D6E-409C-BE32-E72D297353CC}">
                <c16:uniqueId val="{00000003-8042-4076-97DE-99DB14EB28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Competition!$A$21:$A$31</c:f>
              <c:strCache>
                <c:ptCount val="11"/>
                <c:pt idx="0">
                  <c:v>Bridgeline Digital</c:v>
                </c:pt>
                <c:pt idx="1">
                  <c:v>Ackroo</c:v>
                </c:pt>
                <c:pt idx="2">
                  <c:v>Riskifield</c:v>
                </c:pt>
                <c:pt idx="3">
                  <c:v>Enghouse Systems</c:v>
                </c:pt>
                <c:pt idx="4">
                  <c:v>Cardlytics</c:v>
                </c:pt>
                <c:pt idx="5">
                  <c:v>MEDIAN</c:v>
                </c:pt>
                <c:pt idx="6">
                  <c:v>Perion network</c:v>
                </c:pt>
                <c:pt idx="7">
                  <c:v>Dye &amp; Durham</c:v>
                </c:pt>
                <c:pt idx="8">
                  <c:v>Weave Communications</c:v>
                </c:pt>
                <c:pt idx="9">
                  <c:v>Lightspeed</c:v>
                </c:pt>
                <c:pt idx="10">
                  <c:v>Phunware</c:v>
                </c:pt>
              </c:strCache>
            </c:strRef>
          </c:cat>
          <c:val>
            <c:numRef>
              <c:f>Competition!$B$21:$B$31</c:f>
              <c:numCache>
                <c:formatCode>0.0</c:formatCode>
                <c:ptCount val="11"/>
                <c:pt idx="0">
                  <c:v>0.93166385360220316</c:v>
                </c:pt>
                <c:pt idx="1">
                  <c:v>2.7277364159597464</c:v>
                </c:pt>
                <c:pt idx="2">
                  <c:v>3.1802556688686754</c:v>
                </c:pt>
                <c:pt idx="3">
                  <c:v>4.7386400158481266</c:v>
                </c:pt>
                <c:pt idx="4">
                  <c:v>5.0787932519680341</c:v>
                </c:pt>
                <c:pt idx="5">
                  <c:v>5.1609909572506245</c:v>
                </c:pt>
                <c:pt idx="6">
                  <c:v>5.2431886625332149</c:v>
                </c:pt>
                <c:pt idx="7">
                  <c:v>5.7609214145139935</c:v>
                </c:pt>
                <c:pt idx="8">
                  <c:v>6.8677245897445269</c:v>
                </c:pt>
                <c:pt idx="9">
                  <c:v>7.1052797649127619</c:v>
                </c:pt>
                <c:pt idx="10">
                  <c:v>19.873881629515758</c:v>
                </c:pt>
              </c:numCache>
            </c:numRef>
          </c:val>
          <c:extLst>
            <c:ext xmlns:c16="http://schemas.microsoft.com/office/drawing/2014/chart" uri="{C3380CC4-5D6E-409C-BE32-E72D297353CC}">
              <c16:uniqueId val="{00000000-91BE-4AD1-8FA0-82CA2F0B22FB}"/>
            </c:ext>
          </c:extLst>
        </c:ser>
        <c:dLbls>
          <c:showLegendKey val="0"/>
          <c:showVal val="0"/>
          <c:showCatName val="0"/>
          <c:showSerName val="0"/>
          <c:showPercent val="0"/>
          <c:showBubbleSize val="0"/>
        </c:dLbls>
        <c:gapWidth val="182"/>
        <c:axId val="145128879"/>
        <c:axId val="145128399"/>
      </c:barChart>
      <c:catAx>
        <c:axId val="145128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28399"/>
        <c:crosses val="autoZero"/>
        <c:auto val="1"/>
        <c:lblAlgn val="ctr"/>
        <c:lblOffset val="100"/>
        <c:noMultiLvlLbl val="0"/>
      </c:catAx>
      <c:valAx>
        <c:axId val="145128399"/>
        <c:scaling>
          <c:orientation val="minMax"/>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28879"/>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Charts!$A$159</c:f>
              <c:strCache>
                <c:ptCount val="1"/>
                <c:pt idx="0">
                  <c:v>Software and Payments</c:v>
                </c:pt>
              </c:strCache>
            </c:strRef>
          </c:tx>
          <c:spPr>
            <a:solidFill>
              <a:srgbClr val="005596"/>
            </a:solidFill>
            <a:ln>
              <a:noFill/>
            </a:ln>
            <a:effectLst/>
          </c:spPr>
          <c:invertIfNegative val="0"/>
          <c:cat>
            <c:numRef>
              <c:f>Charts!$B$158:$K$158</c:f>
              <c:numCache>
                <c:formatCode>0"e"</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Charts!$B$159:$K$159</c:f>
              <c:numCache>
                <c:formatCode>0%</c:formatCode>
                <c:ptCount val="10"/>
                <c:pt idx="0">
                  <c:v>0.69043087352946508</c:v>
                </c:pt>
                <c:pt idx="1">
                  <c:v>0.68486386393251497</c:v>
                </c:pt>
                <c:pt idx="2">
                  <c:v>0.69931794848120143</c:v>
                </c:pt>
                <c:pt idx="3">
                  <c:v>0.69891303365567392</c:v>
                </c:pt>
                <c:pt idx="4">
                  <c:v>0.69727208648813876</c:v>
                </c:pt>
                <c:pt idx="5">
                  <c:v>0.69490765259604959</c:v>
                </c:pt>
                <c:pt idx="6">
                  <c:v>0.69213396660897064</c:v>
                </c:pt>
                <c:pt idx="7">
                  <c:v>0.68917493463345658</c:v>
                </c:pt>
                <c:pt idx="8">
                  <c:v>0.68617793530298443</c:v>
                </c:pt>
                <c:pt idx="9">
                  <c:v>0.68324186853902369</c:v>
                </c:pt>
              </c:numCache>
            </c:numRef>
          </c:val>
          <c:extLst>
            <c:ext xmlns:c16="http://schemas.microsoft.com/office/drawing/2014/chart" uri="{C3380CC4-5D6E-409C-BE32-E72D297353CC}">
              <c16:uniqueId val="{00000000-A63B-4C9A-9BFF-5008DDF72729}"/>
            </c:ext>
          </c:extLst>
        </c:ser>
        <c:ser>
          <c:idx val="1"/>
          <c:order val="1"/>
          <c:tx>
            <c:strRef>
              <c:f>Charts!$A$160</c:f>
              <c:strCache>
                <c:ptCount val="1"/>
                <c:pt idx="0">
                  <c:v>Hardware and others</c:v>
                </c:pt>
              </c:strCache>
            </c:strRef>
          </c:tx>
          <c:spPr>
            <a:solidFill>
              <a:srgbClr val="FF9B11"/>
            </a:solidFill>
            <a:ln>
              <a:noFill/>
            </a:ln>
            <a:effectLst/>
          </c:spPr>
          <c:invertIfNegative val="0"/>
          <c:cat>
            <c:numRef>
              <c:f>Charts!$B$158:$K$158</c:f>
              <c:numCache>
                <c:formatCode>0"e"</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Charts!$B$160:$K$160</c:f>
              <c:numCache>
                <c:formatCode>0%</c:formatCode>
                <c:ptCount val="10"/>
                <c:pt idx="0">
                  <c:v>0.50735490772933933</c:v>
                </c:pt>
                <c:pt idx="1">
                  <c:v>0.38415545590433481</c:v>
                </c:pt>
                <c:pt idx="2">
                  <c:v>0.35746202603928739</c:v>
                </c:pt>
                <c:pt idx="3">
                  <c:v>0.40134272213339428</c:v>
                </c:pt>
                <c:pt idx="4">
                  <c:v>0.43864131381338511</c:v>
                </c:pt>
                <c:pt idx="5">
                  <c:v>0.47034511674137736</c:v>
                </c:pt>
                <c:pt idx="6">
                  <c:v>0.49729334923017077</c:v>
                </c:pt>
                <c:pt idx="7">
                  <c:v>0.52019934684564517</c:v>
                </c:pt>
                <c:pt idx="8">
                  <c:v>0.53966944481879842</c:v>
                </c:pt>
                <c:pt idx="9">
                  <c:v>0.55621902809597867</c:v>
                </c:pt>
              </c:numCache>
            </c:numRef>
          </c:val>
          <c:extLst>
            <c:ext xmlns:c16="http://schemas.microsoft.com/office/drawing/2014/chart" uri="{C3380CC4-5D6E-409C-BE32-E72D297353CC}">
              <c16:uniqueId val="{00000001-A63B-4C9A-9BFF-5008DDF72729}"/>
            </c:ext>
          </c:extLst>
        </c:ser>
        <c:ser>
          <c:idx val="2"/>
          <c:order val="2"/>
          <c:tx>
            <c:strRef>
              <c:f>Charts!$A$161</c:f>
              <c:strCache>
                <c:ptCount val="1"/>
                <c:pt idx="0">
                  <c:v>Overall Gross Margin</c:v>
                </c:pt>
              </c:strCache>
            </c:strRef>
          </c:tx>
          <c:spPr>
            <a:solidFill>
              <a:srgbClr val="D90000"/>
            </a:solidFill>
            <a:ln>
              <a:noFill/>
            </a:ln>
            <a:effectLst/>
          </c:spPr>
          <c:invertIfNegative val="0"/>
          <c:cat>
            <c:numRef>
              <c:f>Charts!$B$158:$K$158</c:f>
              <c:numCache>
                <c:formatCode>0"e"</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Charts!$B$161:$K$161</c:f>
              <c:numCache>
                <c:formatCode>0%</c:formatCode>
                <c:ptCount val="10"/>
                <c:pt idx="0">
                  <c:v>0.69043087352946508</c:v>
                </c:pt>
                <c:pt idx="1">
                  <c:v>0.68486386393251497</c:v>
                </c:pt>
                <c:pt idx="2">
                  <c:v>0.7</c:v>
                </c:pt>
                <c:pt idx="3">
                  <c:v>0.7</c:v>
                </c:pt>
                <c:pt idx="4">
                  <c:v>0.7</c:v>
                </c:pt>
                <c:pt idx="5">
                  <c:v>0.7</c:v>
                </c:pt>
                <c:pt idx="6">
                  <c:v>0.7</c:v>
                </c:pt>
                <c:pt idx="7">
                  <c:v>0.7</c:v>
                </c:pt>
                <c:pt idx="8">
                  <c:v>0.7</c:v>
                </c:pt>
                <c:pt idx="9">
                  <c:v>0.7</c:v>
                </c:pt>
              </c:numCache>
            </c:numRef>
          </c:val>
          <c:extLst>
            <c:ext xmlns:c16="http://schemas.microsoft.com/office/drawing/2014/chart" uri="{C3380CC4-5D6E-409C-BE32-E72D297353CC}">
              <c16:uniqueId val="{00000002-A63B-4C9A-9BFF-5008DDF72729}"/>
            </c:ext>
          </c:extLst>
        </c:ser>
        <c:dLbls>
          <c:showLegendKey val="0"/>
          <c:showVal val="0"/>
          <c:showCatName val="0"/>
          <c:showSerName val="0"/>
          <c:showPercent val="0"/>
          <c:showBubbleSize val="0"/>
        </c:dLbls>
        <c:gapWidth val="219"/>
        <c:overlap val="-27"/>
        <c:axId val="676346512"/>
        <c:axId val="676345336"/>
      </c:barChart>
      <c:catAx>
        <c:axId val="676346512"/>
        <c:scaling>
          <c:orientation val="minMax"/>
        </c:scaling>
        <c:delete val="0"/>
        <c:axPos val="b"/>
        <c:numFmt formatCode="0&quot;e&quot;"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345336"/>
        <c:crosses val="autoZero"/>
        <c:auto val="1"/>
        <c:lblAlgn val="ctr"/>
        <c:lblOffset val="100"/>
        <c:noMultiLvlLbl val="0"/>
      </c:catAx>
      <c:valAx>
        <c:axId val="67634533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346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Charts!$A$165</c:f>
              <c:strCache>
                <c:ptCount val="1"/>
                <c:pt idx="0">
                  <c:v>EBIT</c:v>
                </c:pt>
              </c:strCache>
            </c:strRef>
          </c:tx>
          <c:spPr>
            <a:solidFill>
              <a:srgbClr val="FF9B11"/>
            </a:solidFill>
            <a:ln>
              <a:noFill/>
            </a:ln>
            <a:effectLst/>
          </c:spPr>
          <c:invertIfNegative val="0"/>
          <c:cat>
            <c:numRef>
              <c:f>Charts!$C$164:$K$164</c:f>
              <c:numCache>
                <c:formatCode>0"e"</c:formatCode>
                <c:ptCount val="9"/>
                <c:pt idx="0">
                  <c:v>2022</c:v>
                </c:pt>
                <c:pt idx="1">
                  <c:v>2023</c:v>
                </c:pt>
                <c:pt idx="2">
                  <c:v>2024</c:v>
                </c:pt>
                <c:pt idx="3">
                  <c:v>2025</c:v>
                </c:pt>
                <c:pt idx="4">
                  <c:v>2026</c:v>
                </c:pt>
                <c:pt idx="5">
                  <c:v>2027</c:v>
                </c:pt>
                <c:pt idx="6">
                  <c:v>2028</c:v>
                </c:pt>
                <c:pt idx="7">
                  <c:v>2029</c:v>
                </c:pt>
                <c:pt idx="8">
                  <c:v>2030</c:v>
                </c:pt>
              </c:numCache>
            </c:numRef>
          </c:cat>
          <c:val>
            <c:numRef>
              <c:f>Charts!$C$165:$K$165</c:f>
              <c:numCache>
                <c:formatCode>_(* #,##0_);_(* \(#,##0\);_(* "-"??_);_(@_)</c:formatCode>
                <c:ptCount val="9"/>
                <c:pt idx="0">
                  <c:v>-4.1429999999999998</c:v>
                </c:pt>
                <c:pt idx="1">
                  <c:v>4.0890230732253032</c:v>
                </c:pt>
                <c:pt idx="2">
                  <c:v>8.1465623312272335</c:v>
                </c:pt>
                <c:pt idx="3">
                  <c:v>11.575960114603948</c:v>
                </c:pt>
                <c:pt idx="4">
                  <c:v>14.626110509143114</c:v>
                </c:pt>
                <c:pt idx="5">
                  <c:v>17.46547109830362</c:v>
                </c:pt>
                <c:pt idx="6">
                  <c:v>20.206589484567715</c:v>
                </c:pt>
                <c:pt idx="7">
                  <c:v>22.928370218678658</c:v>
                </c:pt>
                <c:pt idx="8">
                  <c:v>25.686356253392638</c:v>
                </c:pt>
              </c:numCache>
            </c:numRef>
          </c:val>
          <c:extLst>
            <c:ext xmlns:c16="http://schemas.microsoft.com/office/drawing/2014/chart" uri="{C3380CC4-5D6E-409C-BE32-E72D297353CC}">
              <c16:uniqueId val="{00000000-15E7-4276-82EC-DE56C1AADA51}"/>
            </c:ext>
          </c:extLst>
        </c:ser>
        <c:ser>
          <c:idx val="1"/>
          <c:order val="1"/>
          <c:tx>
            <c:strRef>
              <c:f>Charts!$A$166</c:f>
              <c:strCache>
                <c:ptCount val="1"/>
                <c:pt idx="0">
                  <c:v>Free Cash Flow</c:v>
                </c:pt>
              </c:strCache>
            </c:strRef>
          </c:tx>
          <c:spPr>
            <a:solidFill>
              <a:srgbClr val="005596"/>
            </a:solidFill>
            <a:ln>
              <a:noFill/>
            </a:ln>
            <a:effectLst/>
          </c:spPr>
          <c:invertIfNegative val="0"/>
          <c:cat>
            <c:numRef>
              <c:f>Charts!$C$164:$K$164</c:f>
              <c:numCache>
                <c:formatCode>0"e"</c:formatCode>
                <c:ptCount val="9"/>
                <c:pt idx="0">
                  <c:v>2022</c:v>
                </c:pt>
                <c:pt idx="1">
                  <c:v>2023</c:v>
                </c:pt>
                <c:pt idx="2">
                  <c:v>2024</c:v>
                </c:pt>
                <c:pt idx="3">
                  <c:v>2025</c:v>
                </c:pt>
                <c:pt idx="4">
                  <c:v>2026</c:v>
                </c:pt>
                <c:pt idx="5">
                  <c:v>2027</c:v>
                </c:pt>
                <c:pt idx="6">
                  <c:v>2028</c:v>
                </c:pt>
                <c:pt idx="7">
                  <c:v>2029</c:v>
                </c:pt>
                <c:pt idx="8">
                  <c:v>2030</c:v>
                </c:pt>
              </c:numCache>
            </c:numRef>
          </c:cat>
          <c:val>
            <c:numRef>
              <c:f>Charts!$C$166:$K$166</c:f>
              <c:numCache>
                <c:formatCode>0</c:formatCode>
                <c:ptCount val="9"/>
                <c:pt idx="0">
                  <c:v>-15.975</c:v>
                </c:pt>
                <c:pt idx="1">
                  <c:v>1.0439219816013554</c:v>
                </c:pt>
                <c:pt idx="2">
                  <c:v>6.6719621646096172</c:v>
                </c:pt>
                <c:pt idx="3">
                  <c:v>8.2990891476202613</c:v>
                </c:pt>
                <c:pt idx="4">
                  <c:v>9.9653892167626843</c:v>
                </c:pt>
                <c:pt idx="5">
                  <c:v>11.665776229071108</c:v>
                </c:pt>
                <c:pt idx="6">
                  <c:v>13.408355191082901</c:v>
                </c:pt>
                <c:pt idx="7">
                  <c:v>15.204211281593746</c:v>
                </c:pt>
                <c:pt idx="8">
                  <c:v>17.066546245269834</c:v>
                </c:pt>
              </c:numCache>
            </c:numRef>
          </c:val>
          <c:extLst>
            <c:ext xmlns:c16="http://schemas.microsoft.com/office/drawing/2014/chart" uri="{C3380CC4-5D6E-409C-BE32-E72D297353CC}">
              <c16:uniqueId val="{00000001-15E7-4276-82EC-DE56C1AADA51}"/>
            </c:ext>
          </c:extLst>
        </c:ser>
        <c:dLbls>
          <c:showLegendKey val="0"/>
          <c:showVal val="0"/>
          <c:showCatName val="0"/>
          <c:showSerName val="0"/>
          <c:showPercent val="0"/>
          <c:showBubbleSize val="0"/>
        </c:dLbls>
        <c:gapWidth val="219"/>
        <c:overlap val="-27"/>
        <c:axId val="676346120"/>
        <c:axId val="676346904"/>
      </c:barChart>
      <c:catAx>
        <c:axId val="676346120"/>
        <c:scaling>
          <c:orientation val="minMax"/>
        </c:scaling>
        <c:delete val="0"/>
        <c:axPos val="b"/>
        <c:numFmt formatCode="0&quot;e&quot;"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346904"/>
        <c:crosses val="autoZero"/>
        <c:auto val="1"/>
        <c:lblAlgn val="ctr"/>
        <c:lblOffset val="100"/>
        <c:noMultiLvlLbl val="0"/>
      </c:catAx>
      <c:valAx>
        <c:axId val="6763469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3461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Charts!$A$216</c:f>
              <c:strCache>
                <c:ptCount val="1"/>
                <c:pt idx="0">
                  <c:v>Customer locations</c:v>
                </c:pt>
              </c:strCache>
            </c:strRef>
          </c:tx>
          <c:spPr>
            <a:solidFill>
              <a:srgbClr val="005596"/>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C0E-45C4-8E3F-FFD3E5973968}"/>
                </c:ext>
              </c:extLst>
            </c:dLbl>
            <c:dLbl>
              <c:idx val="1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C0E-45C4-8E3F-FFD3E597396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Charts!$B$215:$O$215</c:f>
              <c:numCache>
                <c:formatCode>0"e"</c:formatCode>
                <c:ptCount val="14"/>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numCache>
            </c:numRef>
          </c:cat>
          <c:val>
            <c:numRef>
              <c:f>Charts!$B$216:$O$216</c:f>
              <c:numCache>
                <c:formatCode>_(* #,##0_);_(* \(#,##0\);_(* "-"??_);_(@_)</c:formatCode>
                <c:ptCount val="14"/>
                <c:pt idx="0">
                  <c:v>122000</c:v>
                </c:pt>
                <c:pt idx="1">
                  <c:v>130000</c:v>
                </c:pt>
                <c:pt idx="2">
                  <c:v>137339.67213114756</c:v>
                </c:pt>
                <c:pt idx="3">
                  <c:v>144092.28105993016</c:v>
                </c:pt>
                <c:pt idx="4">
                  <c:v>150336.34289702159</c:v>
                </c:pt>
                <c:pt idx="5">
                  <c:v>156149.40073235094</c:v>
                </c:pt>
                <c:pt idx="6">
                  <c:v>161604.2634856356</c:v>
                </c:pt>
                <c:pt idx="7">
                  <c:v>166767.01719421972</c:v>
                </c:pt>
                <c:pt idx="8">
                  <c:v>171696.23537175532</c:v>
                </c:pt>
                <c:pt idx="9">
                  <c:v>176442.95119716885</c:v>
                </c:pt>
                <c:pt idx="10">
                  <c:v>181051.07786450585</c:v>
                </c:pt>
                <c:pt idx="11">
                  <c:v>185558.06315711048</c:v>
                </c:pt>
                <c:pt idx="12">
                  <c:v>189995.63916107154</c:v>
                </c:pt>
                <c:pt idx="13">
                  <c:v>194390.58136259872</c:v>
                </c:pt>
              </c:numCache>
            </c:numRef>
          </c:val>
          <c:extLst>
            <c:ext xmlns:c16="http://schemas.microsoft.com/office/drawing/2014/chart" uri="{C3380CC4-5D6E-409C-BE32-E72D297353CC}">
              <c16:uniqueId val="{00000002-8C0E-45C4-8E3F-FFD3E5973968}"/>
            </c:ext>
          </c:extLst>
        </c:ser>
        <c:dLbls>
          <c:showLegendKey val="0"/>
          <c:showVal val="0"/>
          <c:showCatName val="0"/>
          <c:showSerName val="0"/>
          <c:showPercent val="0"/>
          <c:showBubbleSize val="0"/>
        </c:dLbls>
        <c:gapWidth val="219"/>
        <c:overlap val="-27"/>
        <c:axId val="676344552"/>
        <c:axId val="676345728"/>
      </c:barChart>
      <c:catAx>
        <c:axId val="676344552"/>
        <c:scaling>
          <c:orientation val="minMax"/>
        </c:scaling>
        <c:delete val="0"/>
        <c:axPos val="b"/>
        <c:numFmt formatCode="0&quot;e&quot;"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345728"/>
        <c:crosses val="autoZero"/>
        <c:auto val="1"/>
        <c:lblAlgn val="ctr"/>
        <c:lblOffset val="100"/>
        <c:noMultiLvlLbl val="0"/>
      </c:catAx>
      <c:valAx>
        <c:axId val="676345728"/>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34455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Charts!$A$231</c:f>
              <c:strCache>
                <c:ptCount val="1"/>
                <c:pt idx="0">
                  <c:v>ROIC</c:v>
                </c:pt>
              </c:strCache>
            </c:strRef>
          </c:tx>
          <c:spPr>
            <a:solidFill>
              <a:srgbClr val="00559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Charts!$D$230:$F$230</c:f>
              <c:numCache>
                <c:formatCode>0"e"</c:formatCode>
                <c:ptCount val="3"/>
                <c:pt idx="0">
                  <c:v>2024</c:v>
                </c:pt>
                <c:pt idx="1">
                  <c:v>2025</c:v>
                </c:pt>
                <c:pt idx="2">
                  <c:v>2026</c:v>
                </c:pt>
              </c:numCache>
            </c:numRef>
          </c:cat>
          <c:val>
            <c:numRef>
              <c:f>Charts!$D$231:$F$231</c:f>
              <c:numCache>
                <c:formatCode>0.0%</c:formatCode>
                <c:ptCount val="3"/>
                <c:pt idx="0">
                  <c:v>9.3177680059398763E-2</c:v>
                </c:pt>
                <c:pt idx="1">
                  <c:v>0.11788596697280243</c:v>
                </c:pt>
                <c:pt idx="2">
                  <c:v>0.13057599180278862</c:v>
                </c:pt>
              </c:numCache>
            </c:numRef>
          </c:val>
          <c:extLst>
            <c:ext xmlns:c16="http://schemas.microsoft.com/office/drawing/2014/chart" uri="{C3380CC4-5D6E-409C-BE32-E72D297353CC}">
              <c16:uniqueId val="{00000000-7207-4C55-A353-8B25277CA22B}"/>
            </c:ext>
          </c:extLst>
        </c:ser>
        <c:ser>
          <c:idx val="1"/>
          <c:order val="1"/>
          <c:tx>
            <c:strRef>
              <c:f>Charts!$A$232</c:f>
              <c:strCache>
                <c:ptCount val="1"/>
                <c:pt idx="0">
                  <c:v>ROE</c:v>
                </c:pt>
              </c:strCache>
            </c:strRef>
          </c:tx>
          <c:spPr>
            <a:solidFill>
              <a:srgbClr val="FF9B1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Charts!$D$230:$F$230</c:f>
              <c:numCache>
                <c:formatCode>0"e"</c:formatCode>
                <c:ptCount val="3"/>
                <c:pt idx="0">
                  <c:v>2024</c:v>
                </c:pt>
                <c:pt idx="1">
                  <c:v>2025</c:v>
                </c:pt>
                <c:pt idx="2">
                  <c:v>2026</c:v>
                </c:pt>
              </c:numCache>
            </c:numRef>
          </c:cat>
          <c:val>
            <c:numRef>
              <c:f>Charts!$D$232:$F$232</c:f>
              <c:numCache>
                <c:formatCode>0.0%</c:formatCode>
                <c:ptCount val="3"/>
                <c:pt idx="0">
                  <c:v>0.10384277632979387</c:v>
                </c:pt>
                <c:pt idx="1">
                  <c:v>0.13223349262203798</c:v>
                </c:pt>
                <c:pt idx="2">
                  <c:v>0.14507812686033247</c:v>
                </c:pt>
              </c:numCache>
            </c:numRef>
          </c:val>
          <c:extLst>
            <c:ext xmlns:c16="http://schemas.microsoft.com/office/drawing/2014/chart" uri="{C3380CC4-5D6E-409C-BE32-E72D297353CC}">
              <c16:uniqueId val="{00000001-7207-4C55-A353-8B25277CA22B}"/>
            </c:ext>
          </c:extLst>
        </c:ser>
        <c:dLbls>
          <c:showLegendKey val="0"/>
          <c:showVal val="0"/>
          <c:showCatName val="0"/>
          <c:showSerName val="0"/>
          <c:showPercent val="0"/>
          <c:showBubbleSize val="0"/>
        </c:dLbls>
        <c:gapWidth val="219"/>
        <c:overlap val="-27"/>
        <c:axId val="681905912"/>
        <c:axId val="689588248"/>
      </c:barChart>
      <c:catAx>
        <c:axId val="681905912"/>
        <c:scaling>
          <c:orientation val="minMax"/>
        </c:scaling>
        <c:delete val="0"/>
        <c:axPos val="b"/>
        <c:numFmt formatCode="0&quot;e&quot;"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588248"/>
        <c:crosses val="autoZero"/>
        <c:auto val="1"/>
        <c:lblAlgn val="ctr"/>
        <c:lblOffset val="100"/>
        <c:noMultiLvlLbl val="0"/>
      </c:catAx>
      <c:valAx>
        <c:axId val="689588248"/>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905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Charts!$A$231</c:f>
              <c:strCache>
                <c:ptCount val="1"/>
                <c:pt idx="0">
                  <c:v>ROIC</c:v>
                </c:pt>
              </c:strCache>
            </c:strRef>
          </c:tx>
          <c:spPr>
            <a:solidFill>
              <a:srgbClr val="00559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Charts!$D$230:$F$230</c:f>
              <c:numCache>
                <c:formatCode>0"e"</c:formatCode>
                <c:ptCount val="3"/>
                <c:pt idx="0">
                  <c:v>2024</c:v>
                </c:pt>
                <c:pt idx="1">
                  <c:v>2025</c:v>
                </c:pt>
                <c:pt idx="2">
                  <c:v>2026</c:v>
                </c:pt>
              </c:numCache>
            </c:numRef>
          </c:cat>
          <c:val>
            <c:numRef>
              <c:f>Charts!$D$231:$F$231</c:f>
              <c:numCache>
                <c:formatCode>0.0%</c:formatCode>
                <c:ptCount val="3"/>
                <c:pt idx="0">
                  <c:v>9.3177680059398763E-2</c:v>
                </c:pt>
                <c:pt idx="1">
                  <c:v>0.11788596697280243</c:v>
                </c:pt>
                <c:pt idx="2">
                  <c:v>0.13057599180278862</c:v>
                </c:pt>
              </c:numCache>
            </c:numRef>
          </c:val>
          <c:extLst>
            <c:ext xmlns:c16="http://schemas.microsoft.com/office/drawing/2014/chart" uri="{C3380CC4-5D6E-409C-BE32-E72D297353CC}">
              <c16:uniqueId val="{00000000-7DB6-4E1A-ACC3-A876A44311CA}"/>
            </c:ext>
          </c:extLst>
        </c:ser>
        <c:ser>
          <c:idx val="1"/>
          <c:order val="1"/>
          <c:tx>
            <c:strRef>
              <c:f>Charts!$A$232</c:f>
              <c:strCache>
                <c:ptCount val="1"/>
                <c:pt idx="0">
                  <c:v>ROE</c:v>
                </c:pt>
              </c:strCache>
            </c:strRef>
          </c:tx>
          <c:spPr>
            <a:solidFill>
              <a:srgbClr val="FF9B1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Charts!$D$230:$F$230</c:f>
              <c:numCache>
                <c:formatCode>0"e"</c:formatCode>
                <c:ptCount val="3"/>
                <c:pt idx="0">
                  <c:v>2024</c:v>
                </c:pt>
                <c:pt idx="1">
                  <c:v>2025</c:v>
                </c:pt>
                <c:pt idx="2">
                  <c:v>2026</c:v>
                </c:pt>
              </c:numCache>
            </c:numRef>
          </c:cat>
          <c:val>
            <c:numRef>
              <c:f>Charts!$D$232:$F$232</c:f>
              <c:numCache>
                <c:formatCode>0.0%</c:formatCode>
                <c:ptCount val="3"/>
                <c:pt idx="0">
                  <c:v>0.10384277632979387</c:v>
                </c:pt>
                <c:pt idx="1">
                  <c:v>0.13223349262203798</c:v>
                </c:pt>
                <c:pt idx="2">
                  <c:v>0.14507812686033247</c:v>
                </c:pt>
              </c:numCache>
            </c:numRef>
          </c:val>
          <c:extLst>
            <c:ext xmlns:c16="http://schemas.microsoft.com/office/drawing/2014/chart" uri="{C3380CC4-5D6E-409C-BE32-E72D297353CC}">
              <c16:uniqueId val="{00000001-7DB6-4E1A-ACC3-A876A44311CA}"/>
            </c:ext>
          </c:extLst>
        </c:ser>
        <c:dLbls>
          <c:showLegendKey val="0"/>
          <c:showVal val="0"/>
          <c:showCatName val="0"/>
          <c:showSerName val="0"/>
          <c:showPercent val="0"/>
          <c:showBubbleSize val="0"/>
        </c:dLbls>
        <c:gapWidth val="219"/>
        <c:overlap val="-27"/>
        <c:axId val="681905912"/>
        <c:axId val="689588248"/>
      </c:barChart>
      <c:catAx>
        <c:axId val="681905912"/>
        <c:scaling>
          <c:orientation val="minMax"/>
        </c:scaling>
        <c:delete val="0"/>
        <c:axPos val="b"/>
        <c:numFmt formatCode="0&quot;e&quot;"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588248"/>
        <c:crosses val="autoZero"/>
        <c:auto val="1"/>
        <c:lblAlgn val="ctr"/>
        <c:lblOffset val="100"/>
        <c:noMultiLvlLbl val="0"/>
      </c:catAx>
      <c:valAx>
        <c:axId val="689588248"/>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905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885139357580303"/>
          <c:y val="6.1111111111111109E-2"/>
          <c:w val="0.86687393242511357"/>
          <c:h val="0.70303980752405948"/>
        </c:manualLayout>
      </c:layout>
      <c:barChart>
        <c:barDir val="col"/>
        <c:grouping val="clustered"/>
        <c:varyColors val="0"/>
        <c:ser>
          <c:idx val="0"/>
          <c:order val="0"/>
          <c:tx>
            <c:strRef>
              <c:f>Charts!$A$36</c:f>
              <c:strCache>
                <c:ptCount val="1"/>
                <c:pt idx="0">
                  <c:v>Net Revenue ($mm)</c:v>
                </c:pt>
              </c:strCache>
            </c:strRef>
          </c:tx>
          <c:spPr>
            <a:solidFill>
              <a:srgbClr val="005596"/>
            </a:solidFill>
            <a:ln>
              <a:noFill/>
            </a:ln>
            <a:effectLst/>
          </c:spPr>
          <c:invertIfNegative val="0"/>
          <c:cat>
            <c:strRef>
              <c:f>Charts!$B$35:$E$35</c:f>
              <c:strCache>
                <c:ptCount val="4"/>
                <c:pt idx="0">
                  <c:v>2022</c:v>
                </c:pt>
                <c:pt idx="1">
                  <c:v>2023e</c:v>
                </c:pt>
                <c:pt idx="2">
                  <c:v>2024e</c:v>
                </c:pt>
                <c:pt idx="3">
                  <c:v>2025e</c:v>
                </c:pt>
              </c:strCache>
            </c:strRef>
          </c:cat>
          <c:val>
            <c:numRef>
              <c:f>Charts!$B$36:$E$36</c:f>
              <c:numCache>
                <c:formatCode>"$"#,##0</c:formatCode>
                <c:ptCount val="4"/>
                <c:pt idx="0">
                  <c:v>72.905000000000001</c:v>
                </c:pt>
                <c:pt idx="1">
                  <c:v>75.092150000000004</c:v>
                </c:pt>
                <c:pt idx="2">
                  <c:v>77.344914500000002</c:v>
                </c:pt>
                <c:pt idx="3">
                  <c:v>79.665261935000004</c:v>
                </c:pt>
              </c:numCache>
            </c:numRef>
          </c:val>
          <c:extLst>
            <c:ext xmlns:c16="http://schemas.microsoft.com/office/drawing/2014/chart" uri="{C3380CC4-5D6E-409C-BE32-E72D297353CC}">
              <c16:uniqueId val="{00000000-D970-4C4E-8D22-1C5BAA95D89A}"/>
            </c:ext>
          </c:extLst>
        </c:ser>
        <c:ser>
          <c:idx val="1"/>
          <c:order val="1"/>
          <c:tx>
            <c:strRef>
              <c:f>Charts!$A$37</c:f>
              <c:strCache>
                <c:ptCount val="1"/>
                <c:pt idx="0">
                  <c:v>Adj. Gross Profit ($mm)</c:v>
                </c:pt>
              </c:strCache>
            </c:strRef>
          </c:tx>
          <c:spPr>
            <a:solidFill>
              <a:srgbClr val="262727"/>
            </a:solidFill>
            <a:ln>
              <a:noFill/>
            </a:ln>
            <a:effectLst/>
          </c:spPr>
          <c:invertIfNegative val="0"/>
          <c:cat>
            <c:strRef>
              <c:f>Charts!$B$35:$E$35</c:f>
              <c:strCache>
                <c:ptCount val="4"/>
                <c:pt idx="0">
                  <c:v>2022</c:v>
                </c:pt>
                <c:pt idx="1">
                  <c:v>2023e</c:v>
                </c:pt>
                <c:pt idx="2">
                  <c:v>2024e</c:v>
                </c:pt>
                <c:pt idx="3">
                  <c:v>2025e</c:v>
                </c:pt>
              </c:strCache>
            </c:strRef>
          </c:cat>
          <c:val>
            <c:numRef>
              <c:f>Charts!$B$37:$E$37</c:f>
              <c:numCache>
                <c:formatCode>"$"#,##0</c:formatCode>
                <c:ptCount val="4"/>
                <c:pt idx="0">
                  <c:v>49.930000000000007</c:v>
                </c:pt>
                <c:pt idx="1">
                  <c:v>54.775476950687057</c:v>
                </c:pt>
                <c:pt idx="2">
                  <c:v>58.336920202856511</c:v>
                </c:pt>
                <c:pt idx="3">
                  <c:v>61.841248765166057</c:v>
                </c:pt>
              </c:numCache>
            </c:numRef>
          </c:val>
          <c:extLst>
            <c:ext xmlns:c16="http://schemas.microsoft.com/office/drawing/2014/chart" uri="{C3380CC4-5D6E-409C-BE32-E72D297353CC}">
              <c16:uniqueId val="{00000001-D970-4C4E-8D22-1C5BAA95D89A}"/>
            </c:ext>
          </c:extLst>
        </c:ser>
        <c:dLbls>
          <c:showLegendKey val="0"/>
          <c:showVal val="0"/>
          <c:showCatName val="0"/>
          <c:showSerName val="0"/>
          <c:showPercent val="0"/>
          <c:showBubbleSize val="0"/>
        </c:dLbls>
        <c:gapWidth val="219"/>
        <c:overlap val="-27"/>
        <c:axId val="676331224"/>
        <c:axId val="676340632"/>
      </c:barChart>
      <c:lineChart>
        <c:grouping val="stacked"/>
        <c:varyColors val="0"/>
        <c:ser>
          <c:idx val="2"/>
          <c:order val="2"/>
          <c:tx>
            <c:strRef>
              <c:f>Charts!$A$38</c:f>
              <c:strCache>
                <c:ptCount val="1"/>
                <c:pt idx="0">
                  <c:v>Adj. Gross Margin (%)</c:v>
                </c:pt>
              </c:strCache>
            </c:strRef>
          </c:tx>
          <c:spPr>
            <a:ln w="28575" cap="rnd">
              <a:noFill/>
              <a:round/>
            </a:ln>
            <a:effectLst>
              <a:outerShdw blurRad="50800" dist="50800" dir="5400000" algn="ctr" rotWithShape="0">
                <a:schemeClr val="bg1"/>
              </a:outerShdw>
            </a:effectLst>
          </c:spPr>
          <c:marker>
            <c:symbol val="circle"/>
            <c:size val="25"/>
            <c:spPr>
              <a:solidFill>
                <a:srgbClr val="767878"/>
              </a:solidFill>
              <a:ln w="9525">
                <a:solidFill>
                  <a:schemeClr val="accent3"/>
                </a:solidFill>
              </a:ln>
              <a:effectLst>
                <a:outerShdw blurRad="50800" dist="50800" dir="5400000" algn="ctr" rotWithShape="0">
                  <a:schemeClr val="bg1"/>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Open Sans" panose="020B0606030504020204" pitchFamily="34" charset="0"/>
                    <a:ea typeface="Open Sans" panose="020B0606030504020204" pitchFamily="34" charset="0"/>
                    <a:cs typeface="Open Sans" panose="020B0606030504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Charts!$B$35:$E$35</c:f>
              <c:strCache>
                <c:ptCount val="4"/>
                <c:pt idx="0">
                  <c:v>2022</c:v>
                </c:pt>
                <c:pt idx="1">
                  <c:v>2023e</c:v>
                </c:pt>
                <c:pt idx="2">
                  <c:v>2024e</c:v>
                </c:pt>
                <c:pt idx="3">
                  <c:v>2025e</c:v>
                </c:pt>
              </c:strCache>
            </c:strRef>
          </c:cat>
          <c:val>
            <c:numRef>
              <c:f>Charts!$B$38:$E$38</c:f>
              <c:numCache>
                <c:formatCode>0%</c:formatCode>
                <c:ptCount val="4"/>
                <c:pt idx="0">
                  <c:v>0.68486386393251497</c:v>
                </c:pt>
                <c:pt idx="1">
                  <c:v>0.7</c:v>
                </c:pt>
                <c:pt idx="2">
                  <c:v>0.7</c:v>
                </c:pt>
                <c:pt idx="3">
                  <c:v>0.7</c:v>
                </c:pt>
              </c:numCache>
            </c:numRef>
          </c:val>
          <c:smooth val="0"/>
          <c:extLst>
            <c:ext xmlns:c16="http://schemas.microsoft.com/office/drawing/2014/chart" uri="{C3380CC4-5D6E-409C-BE32-E72D297353CC}">
              <c16:uniqueId val="{00000002-D970-4C4E-8D22-1C5BAA95D89A}"/>
            </c:ext>
          </c:extLst>
        </c:ser>
        <c:ser>
          <c:idx val="3"/>
          <c:order val="3"/>
          <c:tx>
            <c:strRef>
              <c:f>Charts!$A$39</c:f>
              <c:strCache>
                <c:ptCount val="1"/>
              </c:strCache>
            </c:strRef>
          </c:tx>
          <c:spPr>
            <a:ln w="25400" cap="rnd">
              <a:noFill/>
              <a:round/>
            </a:ln>
            <a:effectLst/>
          </c:spPr>
          <c:marker>
            <c:symbol val="circle"/>
            <c:size val="5"/>
            <c:spPr>
              <a:solidFill>
                <a:schemeClr val="accent4"/>
              </a:solidFill>
              <a:ln w="9525">
                <a:solidFill>
                  <a:schemeClr val="accent4"/>
                </a:solidFill>
              </a:ln>
              <a:effectLst/>
            </c:spPr>
          </c:marker>
          <c:cat>
            <c:strRef>
              <c:f>Charts!$B$35:$E$35</c:f>
              <c:strCache>
                <c:ptCount val="4"/>
                <c:pt idx="0">
                  <c:v>2022</c:v>
                </c:pt>
                <c:pt idx="1">
                  <c:v>2023e</c:v>
                </c:pt>
                <c:pt idx="2">
                  <c:v>2024e</c:v>
                </c:pt>
                <c:pt idx="3">
                  <c:v>2025e</c:v>
                </c:pt>
              </c:strCache>
            </c:strRef>
          </c:cat>
          <c:val>
            <c:numRef>
              <c:f>Charts!$B$39:$E$39</c:f>
              <c:numCache>
                <c:formatCode>General</c:formatCode>
                <c:ptCount val="4"/>
              </c:numCache>
            </c:numRef>
          </c:val>
          <c:smooth val="0"/>
          <c:extLst>
            <c:ext xmlns:c16="http://schemas.microsoft.com/office/drawing/2014/chart" uri="{C3380CC4-5D6E-409C-BE32-E72D297353CC}">
              <c16:uniqueId val="{00000003-D970-4C4E-8D22-1C5BAA95D89A}"/>
            </c:ext>
          </c:extLst>
        </c:ser>
        <c:dLbls>
          <c:showLegendKey val="0"/>
          <c:showVal val="0"/>
          <c:showCatName val="0"/>
          <c:showSerName val="0"/>
          <c:showPercent val="0"/>
          <c:showBubbleSize val="0"/>
        </c:dLbls>
        <c:marker val="1"/>
        <c:smooth val="0"/>
        <c:axId val="676339848"/>
        <c:axId val="676342592"/>
      </c:lineChart>
      <c:catAx>
        <c:axId val="676331224"/>
        <c:scaling>
          <c:orientation val="minMax"/>
        </c:scaling>
        <c:delete val="0"/>
        <c:axPos val="b"/>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2"/>
                </a:solidFill>
                <a:latin typeface="Open Sans" panose="020B0606030504020204" pitchFamily="34" charset="0"/>
                <a:ea typeface="Open Sans" panose="020B0606030504020204" pitchFamily="34" charset="0"/>
                <a:cs typeface="Open Sans" panose="020B0606030504020204" pitchFamily="34" charset="0"/>
              </a:defRPr>
            </a:pPr>
            <a:endParaRPr lang="en-US"/>
          </a:p>
        </c:txPr>
        <c:crossAx val="676340632"/>
        <c:crosses val="autoZero"/>
        <c:auto val="1"/>
        <c:lblAlgn val="ctr"/>
        <c:lblOffset val="100"/>
        <c:noMultiLvlLbl val="0"/>
      </c:catAx>
      <c:valAx>
        <c:axId val="676340632"/>
        <c:scaling>
          <c:orientation val="minMax"/>
          <c:min val="0"/>
        </c:scaling>
        <c:delete val="0"/>
        <c:axPos val="l"/>
        <c:majorGridlines>
          <c:spPr>
            <a:ln w="9525" cap="flat" cmpd="sng" algn="ctr">
              <a:solidFill>
                <a:schemeClr val="bg2"/>
              </a:solidFill>
              <a:prstDash val="dash"/>
              <a:round/>
            </a:ln>
            <a:effectLst/>
          </c:spPr>
        </c:majorGridlines>
        <c:title>
          <c:tx>
            <c:rich>
              <a:bodyPr rot="-5400000" spcFirstLastPara="1" vertOverflow="ellipsis" vert="horz" wrap="square" anchor="ctr" anchorCtr="1"/>
              <a:lstStyle/>
              <a:p>
                <a:pPr>
                  <a:defRPr sz="900" b="0" i="0" u="none" strike="noStrike" kern="1200" baseline="0">
                    <a:solidFill>
                      <a:schemeClr val="tx2"/>
                    </a:solidFill>
                    <a:latin typeface="Open Sans" panose="020B0606030504020204" pitchFamily="34" charset="0"/>
                    <a:ea typeface="Open Sans" panose="020B0606030504020204" pitchFamily="34" charset="0"/>
                    <a:cs typeface="Open Sans" panose="020B0606030504020204" pitchFamily="34" charset="0"/>
                  </a:defRPr>
                </a:pPr>
                <a:r>
                  <a:rPr lang="en-CA"/>
                  <a:t>$mm</a:t>
                </a:r>
              </a:p>
            </c:rich>
          </c:tx>
          <c:layout>
            <c:manualLayout>
              <c:xMode val="edge"/>
              <c:yMode val="edge"/>
              <c:x val="7.9365079365079361E-3"/>
              <c:y val="0.31074190726159229"/>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2"/>
                  </a:solidFill>
                  <a:latin typeface="Open Sans" panose="020B0606030504020204" pitchFamily="34" charset="0"/>
                  <a:ea typeface="Open Sans" panose="020B0606030504020204" pitchFamily="34" charset="0"/>
                  <a:cs typeface="Open Sans" panose="020B0606030504020204" pitchFamily="34" charset="0"/>
                </a:defRPr>
              </a:pPr>
              <a:endParaRPr lang="en-US"/>
            </a:p>
          </c:txPr>
        </c:title>
        <c:numFmt formatCode="&quot;$&quot;#,##0" sourceLinked="0"/>
        <c:majorTickMark val="none"/>
        <c:minorTickMark val="none"/>
        <c:tickLblPos val="nextTo"/>
        <c:spPr>
          <a:noFill/>
          <a:ln>
            <a:solidFill>
              <a:schemeClr val="bg2"/>
            </a:solidFill>
          </a:ln>
          <a:effectLst/>
        </c:spPr>
        <c:txPr>
          <a:bodyPr rot="-60000000" spcFirstLastPara="1" vertOverflow="ellipsis" vert="horz" wrap="square" anchor="ctr" anchorCtr="1"/>
          <a:lstStyle/>
          <a:p>
            <a:pPr>
              <a:defRPr sz="900" b="0" i="0" u="none" strike="noStrike" kern="1200" baseline="0">
                <a:solidFill>
                  <a:schemeClr val="tx2"/>
                </a:solidFill>
                <a:latin typeface="Open Sans" panose="020B0606030504020204" pitchFamily="34" charset="0"/>
                <a:ea typeface="Open Sans" panose="020B0606030504020204" pitchFamily="34" charset="0"/>
                <a:cs typeface="Open Sans" panose="020B0606030504020204" pitchFamily="34" charset="0"/>
              </a:defRPr>
            </a:pPr>
            <a:endParaRPr lang="en-US"/>
          </a:p>
        </c:txPr>
        <c:crossAx val="676331224"/>
        <c:crosses val="autoZero"/>
        <c:crossBetween val="between"/>
      </c:valAx>
      <c:valAx>
        <c:axId val="676342592"/>
        <c:scaling>
          <c:orientation val="minMax"/>
        </c:scaling>
        <c:delete val="0"/>
        <c:axPos val="r"/>
        <c:numFmt formatCode="0%" sourceLinked="1"/>
        <c:majorTickMark val="none"/>
        <c:minorTickMark val="none"/>
        <c:tickLblPos val="nextTo"/>
        <c:spPr>
          <a:noFill/>
          <a:ln>
            <a:solidFill>
              <a:schemeClr val="bg2"/>
            </a:solidFill>
          </a:ln>
          <a:effectLst/>
        </c:spPr>
        <c:txPr>
          <a:bodyPr rot="-60000000" spcFirstLastPara="1" vertOverflow="ellipsis" vert="horz" wrap="square" anchor="ctr" anchorCtr="1"/>
          <a:lstStyle/>
          <a:p>
            <a:pPr>
              <a:defRPr sz="100" b="0" i="0" u="none" strike="noStrike" kern="1200" baseline="0">
                <a:solidFill>
                  <a:schemeClr val="bg1"/>
                </a:solidFill>
                <a:latin typeface="Open Sans" panose="020B0606030504020204" pitchFamily="34" charset="0"/>
                <a:ea typeface="Open Sans" panose="020B0606030504020204" pitchFamily="34" charset="0"/>
                <a:cs typeface="Open Sans" panose="020B0606030504020204" pitchFamily="34" charset="0"/>
              </a:defRPr>
            </a:pPr>
            <a:endParaRPr lang="en-US"/>
          </a:p>
        </c:txPr>
        <c:crossAx val="676339848"/>
        <c:crosses val="max"/>
        <c:crossBetween val="between"/>
      </c:valAx>
      <c:catAx>
        <c:axId val="676339848"/>
        <c:scaling>
          <c:orientation val="minMax"/>
        </c:scaling>
        <c:delete val="1"/>
        <c:axPos val="b"/>
        <c:numFmt formatCode="General" sourceLinked="1"/>
        <c:majorTickMark val="out"/>
        <c:minorTickMark val="none"/>
        <c:tickLblPos val="nextTo"/>
        <c:crossAx val="676342592"/>
        <c:crosses val="autoZero"/>
        <c:auto val="1"/>
        <c:lblAlgn val="ctr"/>
        <c:lblOffset val="100"/>
        <c:noMultiLvlLbl val="0"/>
      </c:catAx>
      <c:spPr>
        <a:noFill/>
        <a:ln>
          <a:noFill/>
        </a:ln>
        <a:effectLst/>
      </c:spPr>
    </c:plotArea>
    <c:legend>
      <c:legendPos val="b"/>
      <c:layout>
        <c:manualLayout>
          <c:xMode val="edge"/>
          <c:yMode val="edge"/>
          <c:x val="3.3221055701370662E-2"/>
          <c:y val="0.87476718188004277"/>
          <c:w val="0.74793797271992135"/>
          <c:h val="0.11067294423248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Open Sans" panose="020B0606030504020204" pitchFamily="34" charset="0"/>
              <a:ea typeface="Open Sans" panose="020B0606030504020204" pitchFamily="34" charset="0"/>
              <a:cs typeface="Open Sans" panose="020B0606030504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900" b="0">
          <a:solidFill>
            <a:schemeClr val="tx2"/>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272824705863679"/>
          <c:y val="0.10828022581400583"/>
          <c:w val="0.84966548909324646"/>
          <c:h val="0.58800539298048571"/>
        </c:manualLayout>
      </c:layout>
      <c:barChart>
        <c:barDir val="col"/>
        <c:grouping val="clustered"/>
        <c:varyColors val="0"/>
        <c:ser>
          <c:idx val="0"/>
          <c:order val="0"/>
          <c:tx>
            <c:strRef>
              <c:f>Charts!$A$84</c:f>
              <c:strCache>
                <c:ptCount val="1"/>
                <c:pt idx="0">
                  <c:v>Revenue</c:v>
                </c:pt>
              </c:strCache>
            </c:strRef>
          </c:tx>
          <c:spPr>
            <a:solidFill>
              <a:srgbClr val="FF9B11"/>
            </a:solidFill>
            <a:ln>
              <a:solidFill>
                <a:srgbClr val="00559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Charts!$C$83:$E$83</c:f>
              <c:strCache>
                <c:ptCount val="3"/>
                <c:pt idx="0">
                  <c:v>2023e</c:v>
                </c:pt>
                <c:pt idx="1">
                  <c:v>2024e</c:v>
                </c:pt>
                <c:pt idx="2">
                  <c:v>2025e</c:v>
                </c:pt>
              </c:strCache>
            </c:strRef>
          </c:cat>
          <c:val>
            <c:numRef>
              <c:f>Charts!$C$84:$E$84</c:f>
              <c:numCache>
                <c:formatCode>0</c:formatCode>
                <c:ptCount val="3"/>
                <c:pt idx="0">
                  <c:v>75.092150000000004</c:v>
                </c:pt>
                <c:pt idx="1">
                  <c:v>77.344914500000002</c:v>
                </c:pt>
                <c:pt idx="2">
                  <c:v>79.665261935000004</c:v>
                </c:pt>
              </c:numCache>
            </c:numRef>
          </c:val>
          <c:extLst>
            <c:ext xmlns:c16="http://schemas.microsoft.com/office/drawing/2014/chart" uri="{C3380CC4-5D6E-409C-BE32-E72D297353CC}">
              <c16:uniqueId val="{00000000-6A78-4050-ADC1-65603D734208}"/>
            </c:ext>
          </c:extLst>
        </c:ser>
        <c:ser>
          <c:idx val="1"/>
          <c:order val="1"/>
          <c:tx>
            <c:strRef>
              <c:f>Charts!$A$85</c:f>
              <c:strCache>
                <c:ptCount val="1"/>
                <c:pt idx="0">
                  <c:v>EBITDA</c:v>
                </c:pt>
              </c:strCache>
            </c:strRef>
          </c:tx>
          <c:spPr>
            <a:solidFill>
              <a:srgbClr val="005596"/>
            </a:solidFill>
            <a:ln>
              <a:solidFill>
                <a:srgbClr val="FF9B1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Charts!$C$83:$E$83</c:f>
              <c:strCache>
                <c:ptCount val="3"/>
                <c:pt idx="0">
                  <c:v>2023e</c:v>
                </c:pt>
                <c:pt idx="1">
                  <c:v>2024e</c:v>
                </c:pt>
                <c:pt idx="2">
                  <c:v>2025e</c:v>
                </c:pt>
              </c:strCache>
            </c:strRef>
          </c:cat>
          <c:val>
            <c:numRef>
              <c:f>Charts!$C$85:$E$85</c:f>
              <c:numCache>
                <c:formatCode>0</c:formatCode>
                <c:ptCount val="3"/>
                <c:pt idx="0">
                  <c:v>9.720186950687058</c:v>
                </c:pt>
                <c:pt idx="1">
                  <c:v>12.316696075356511</c:v>
                </c:pt>
                <c:pt idx="2">
                  <c:v>14.838744223516059</c:v>
                </c:pt>
              </c:numCache>
            </c:numRef>
          </c:val>
          <c:extLst>
            <c:ext xmlns:c16="http://schemas.microsoft.com/office/drawing/2014/chart" uri="{C3380CC4-5D6E-409C-BE32-E72D297353CC}">
              <c16:uniqueId val="{00000001-6A78-4050-ADC1-65603D734208}"/>
            </c:ext>
          </c:extLst>
        </c:ser>
        <c:dLbls>
          <c:showLegendKey val="0"/>
          <c:showVal val="0"/>
          <c:showCatName val="0"/>
          <c:showSerName val="0"/>
          <c:showPercent val="0"/>
          <c:showBubbleSize val="0"/>
        </c:dLbls>
        <c:gapWidth val="219"/>
        <c:overlap val="-27"/>
        <c:axId val="676337496"/>
        <c:axId val="676337888"/>
      </c:barChart>
      <c:catAx>
        <c:axId val="676337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337888"/>
        <c:crosses val="autoZero"/>
        <c:auto val="1"/>
        <c:lblAlgn val="ctr"/>
        <c:lblOffset val="100"/>
        <c:noMultiLvlLbl val="0"/>
      </c:catAx>
      <c:valAx>
        <c:axId val="67633788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337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885139357580303"/>
          <c:y val="6.1111111111111109E-2"/>
          <c:w val="0.86687393242511357"/>
          <c:h val="0.70303980752405948"/>
        </c:manualLayout>
      </c:layout>
      <c:barChart>
        <c:barDir val="col"/>
        <c:grouping val="clustered"/>
        <c:varyColors val="0"/>
        <c:ser>
          <c:idx val="0"/>
          <c:order val="0"/>
          <c:tx>
            <c:strRef>
              <c:f>Charts!$A$36</c:f>
              <c:strCache>
                <c:ptCount val="1"/>
                <c:pt idx="0">
                  <c:v>Net Revenue ($mm)</c:v>
                </c:pt>
              </c:strCache>
            </c:strRef>
          </c:tx>
          <c:spPr>
            <a:solidFill>
              <a:srgbClr val="005596"/>
            </a:solidFill>
            <a:ln>
              <a:noFill/>
            </a:ln>
            <a:effectLst/>
          </c:spPr>
          <c:invertIfNegative val="0"/>
          <c:cat>
            <c:strRef>
              <c:f>Charts!$B$35:$E$35</c:f>
              <c:strCache>
                <c:ptCount val="4"/>
                <c:pt idx="0">
                  <c:v>2022</c:v>
                </c:pt>
                <c:pt idx="1">
                  <c:v>2023e</c:v>
                </c:pt>
                <c:pt idx="2">
                  <c:v>2024e</c:v>
                </c:pt>
                <c:pt idx="3">
                  <c:v>2025e</c:v>
                </c:pt>
              </c:strCache>
            </c:strRef>
          </c:cat>
          <c:val>
            <c:numRef>
              <c:f>Charts!$B$36:$E$36</c:f>
              <c:numCache>
                <c:formatCode>"$"#,##0</c:formatCode>
                <c:ptCount val="4"/>
                <c:pt idx="0">
                  <c:v>72.905000000000001</c:v>
                </c:pt>
                <c:pt idx="1">
                  <c:v>75.092150000000004</c:v>
                </c:pt>
                <c:pt idx="2">
                  <c:v>77.344914500000002</c:v>
                </c:pt>
                <c:pt idx="3">
                  <c:v>79.665261935000004</c:v>
                </c:pt>
              </c:numCache>
            </c:numRef>
          </c:val>
          <c:extLst>
            <c:ext xmlns:c16="http://schemas.microsoft.com/office/drawing/2014/chart" uri="{C3380CC4-5D6E-409C-BE32-E72D297353CC}">
              <c16:uniqueId val="{00000000-9091-4EDC-9983-F50F62CBC2E4}"/>
            </c:ext>
          </c:extLst>
        </c:ser>
        <c:ser>
          <c:idx val="1"/>
          <c:order val="1"/>
          <c:tx>
            <c:strRef>
              <c:f>Charts!$A$37</c:f>
              <c:strCache>
                <c:ptCount val="1"/>
                <c:pt idx="0">
                  <c:v>Adj. Gross Profit ($mm)</c:v>
                </c:pt>
              </c:strCache>
            </c:strRef>
          </c:tx>
          <c:spPr>
            <a:solidFill>
              <a:srgbClr val="262727"/>
            </a:solidFill>
            <a:ln>
              <a:noFill/>
            </a:ln>
            <a:effectLst/>
          </c:spPr>
          <c:invertIfNegative val="0"/>
          <c:cat>
            <c:strRef>
              <c:f>Charts!$B$35:$E$35</c:f>
              <c:strCache>
                <c:ptCount val="4"/>
                <c:pt idx="0">
                  <c:v>2022</c:v>
                </c:pt>
                <c:pt idx="1">
                  <c:v>2023e</c:v>
                </c:pt>
                <c:pt idx="2">
                  <c:v>2024e</c:v>
                </c:pt>
                <c:pt idx="3">
                  <c:v>2025e</c:v>
                </c:pt>
              </c:strCache>
            </c:strRef>
          </c:cat>
          <c:val>
            <c:numRef>
              <c:f>Charts!$B$37:$E$37</c:f>
              <c:numCache>
                <c:formatCode>"$"#,##0</c:formatCode>
                <c:ptCount val="4"/>
                <c:pt idx="0">
                  <c:v>49.930000000000007</c:v>
                </c:pt>
                <c:pt idx="1">
                  <c:v>54.775476950687057</c:v>
                </c:pt>
                <c:pt idx="2">
                  <c:v>58.336920202856511</c:v>
                </c:pt>
                <c:pt idx="3">
                  <c:v>61.841248765166057</c:v>
                </c:pt>
              </c:numCache>
            </c:numRef>
          </c:val>
          <c:extLst>
            <c:ext xmlns:c16="http://schemas.microsoft.com/office/drawing/2014/chart" uri="{C3380CC4-5D6E-409C-BE32-E72D297353CC}">
              <c16:uniqueId val="{00000001-9091-4EDC-9983-F50F62CBC2E4}"/>
            </c:ext>
          </c:extLst>
        </c:ser>
        <c:dLbls>
          <c:showLegendKey val="0"/>
          <c:showVal val="0"/>
          <c:showCatName val="0"/>
          <c:showSerName val="0"/>
          <c:showPercent val="0"/>
          <c:showBubbleSize val="0"/>
        </c:dLbls>
        <c:gapWidth val="219"/>
        <c:overlap val="-27"/>
        <c:axId val="676331224"/>
        <c:axId val="676340632"/>
      </c:barChart>
      <c:lineChart>
        <c:grouping val="stacked"/>
        <c:varyColors val="0"/>
        <c:ser>
          <c:idx val="2"/>
          <c:order val="2"/>
          <c:tx>
            <c:strRef>
              <c:f>Charts!$A$38</c:f>
              <c:strCache>
                <c:ptCount val="1"/>
                <c:pt idx="0">
                  <c:v>Adj. Gross Margin (%)</c:v>
                </c:pt>
              </c:strCache>
            </c:strRef>
          </c:tx>
          <c:spPr>
            <a:ln w="28575" cap="rnd">
              <a:noFill/>
              <a:round/>
            </a:ln>
            <a:effectLst>
              <a:outerShdw blurRad="50800" dist="50800" dir="5400000" algn="ctr" rotWithShape="0">
                <a:schemeClr val="bg1"/>
              </a:outerShdw>
            </a:effectLst>
          </c:spPr>
          <c:marker>
            <c:symbol val="circle"/>
            <c:size val="25"/>
            <c:spPr>
              <a:solidFill>
                <a:srgbClr val="767878"/>
              </a:solidFill>
              <a:ln w="9525">
                <a:solidFill>
                  <a:schemeClr val="accent3"/>
                </a:solidFill>
              </a:ln>
              <a:effectLst>
                <a:outerShdw blurRad="50800" dist="50800" dir="5400000" algn="ctr" rotWithShape="0">
                  <a:schemeClr val="bg1"/>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Open Sans" panose="020B0606030504020204" pitchFamily="34" charset="0"/>
                    <a:ea typeface="Open Sans" panose="020B0606030504020204" pitchFamily="34" charset="0"/>
                    <a:cs typeface="Open Sans" panose="020B0606030504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Charts!$B$35:$E$35</c:f>
              <c:strCache>
                <c:ptCount val="4"/>
                <c:pt idx="0">
                  <c:v>2022</c:v>
                </c:pt>
                <c:pt idx="1">
                  <c:v>2023e</c:v>
                </c:pt>
                <c:pt idx="2">
                  <c:v>2024e</c:v>
                </c:pt>
                <c:pt idx="3">
                  <c:v>2025e</c:v>
                </c:pt>
              </c:strCache>
            </c:strRef>
          </c:cat>
          <c:val>
            <c:numRef>
              <c:f>Charts!$B$38:$E$38</c:f>
              <c:numCache>
                <c:formatCode>0%</c:formatCode>
                <c:ptCount val="4"/>
                <c:pt idx="0">
                  <c:v>0.68486386393251497</c:v>
                </c:pt>
                <c:pt idx="1">
                  <c:v>0.7</c:v>
                </c:pt>
                <c:pt idx="2">
                  <c:v>0.7</c:v>
                </c:pt>
                <c:pt idx="3">
                  <c:v>0.7</c:v>
                </c:pt>
              </c:numCache>
            </c:numRef>
          </c:val>
          <c:smooth val="0"/>
          <c:extLst>
            <c:ext xmlns:c16="http://schemas.microsoft.com/office/drawing/2014/chart" uri="{C3380CC4-5D6E-409C-BE32-E72D297353CC}">
              <c16:uniqueId val="{00000002-9091-4EDC-9983-F50F62CBC2E4}"/>
            </c:ext>
          </c:extLst>
        </c:ser>
        <c:ser>
          <c:idx val="3"/>
          <c:order val="3"/>
          <c:tx>
            <c:strRef>
              <c:f>Charts!$A$39</c:f>
              <c:strCache>
                <c:ptCount val="1"/>
              </c:strCache>
            </c:strRef>
          </c:tx>
          <c:spPr>
            <a:ln w="25400" cap="rnd">
              <a:noFill/>
              <a:round/>
            </a:ln>
            <a:effectLst/>
          </c:spPr>
          <c:marker>
            <c:symbol val="circle"/>
            <c:size val="5"/>
            <c:spPr>
              <a:solidFill>
                <a:schemeClr val="accent4"/>
              </a:solidFill>
              <a:ln w="9525">
                <a:solidFill>
                  <a:schemeClr val="accent4"/>
                </a:solidFill>
              </a:ln>
              <a:effectLst/>
            </c:spPr>
          </c:marker>
          <c:cat>
            <c:strRef>
              <c:f>Charts!$B$35:$E$35</c:f>
              <c:strCache>
                <c:ptCount val="4"/>
                <c:pt idx="0">
                  <c:v>2022</c:v>
                </c:pt>
                <c:pt idx="1">
                  <c:v>2023e</c:v>
                </c:pt>
                <c:pt idx="2">
                  <c:v>2024e</c:v>
                </c:pt>
                <c:pt idx="3">
                  <c:v>2025e</c:v>
                </c:pt>
              </c:strCache>
            </c:strRef>
          </c:cat>
          <c:val>
            <c:numRef>
              <c:f>Charts!$B$39:$E$39</c:f>
              <c:numCache>
                <c:formatCode>General</c:formatCode>
                <c:ptCount val="4"/>
              </c:numCache>
            </c:numRef>
          </c:val>
          <c:smooth val="0"/>
          <c:extLst>
            <c:ext xmlns:c16="http://schemas.microsoft.com/office/drawing/2014/chart" uri="{C3380CC4-5D6E-409C-BE32-E72D297353CC}">
              <c16:uniqueId val="{00000000-D91C-4821-9754-1E81CCC58CB5}"/>
            </c:ext>
          </c:extLst>
        </c:ser>
        <c:dLbls>
          <c:showLegendKey val="0"/>
          <c:showVal val="0"/>
          <c:showCatName val="0"/>
          <c:showSerName val="0"/>
          <c:showPercent val="0"/>
          <c:showBubbleSize val="0"/>
        </c:dLbls>
        <c:marker val="1"/>
        <c:smooth val="0"/>
        <c:axId val="676339848"/>
        <c:axId val="676342592"/>
      </c:lineChart>
      <c:catAx>
        <c:axId val="676331224"/>
        <c:scaling>
          <c:orientation val="minMax"/>
        </c:scaling>
        <c:delete val="0"/>
        <c:axPos val="b"/>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2"/>
                </a:solidFill>
                <a:latin typeface="Open Sans" panose="020B0606030504020204" pitchFamily="34" charset="0"/>
                <a:ea typeface="Open Sans" panose="020B0606030504020204" pitchFamily="34" charset="0"/>
                <a:cs typeface="Open Sans" panose="020B0606030504020204" pitchFamily="34" charset="0"/>
              </a:defRPr>
            </a:pPr>
            <a:endParaRPr lang="en-US"/>
          </a:p>
        </c:txPr>
        <c:crossAx val="676340632"/>
        <c:crosses val="autoZero"/>
        <c:auto val="1"/>
        <c:lblAlgn val="ctr"/>
        <c:lblOffset val="100"/>
        <c:noMultiLvlLbl val="0"/>
      </c:catAx>
      <c:valAx>
        <c:axId val="676340632"/>
        <c:scaling>
          <c:orientation val="minMax"/>
          <c:min val="0"/>
        </c:scaling>
        <c:delete val="0"/>
        <c:axPos val="l"/>
        <c:majorGridlines>
          <c:spPr>
            <a:ln w="9525" cap="flat" cmpd="sng" algn="ctr">
              <a:solidFill>
                <a:schemeClr val="bg2"/>
              </a:solidFill>
              <a:prstDash val="dash"/>
              <a:round/>
            </a:ln>
            <a:effectLst/>
          </c:spPr>
        </c:majorGridlines>
        <c:title>
          <c:tx>
            <c:rich>
              <a:bodyPr rot="-5400000" spcFirstLastPara="1" vertOverflow="ellipsis" vert="horz" wrap="square" anchor="ctr" anchorCtr="1"/>
              <a:lstStyle/>
              <a:p>
                <a:pPr>
                  <a:defRPr sz="900" b="0" i="0" u="none" strike="noStrike" kern="1200" baseline="0">
                    <a:solidFill>
                      <a:schemeClr val="tx2"/>
                    </a:solidFill>
                    <a:latin typeface="Open Sans" panose="020B0606030504020204" pitchFamily="34" charset="0"/>
                    <a:ea typeface="Open Sans" panose="020B0606030504020204" pitchFamily="34" charset="0"/>
                    <a:cs typeface="Open Sans" panose="020B0606030504020204" pitchFamily="34" charset="0"/>
                  </a:defRPr>
                </a:pPr>
                <a:r>
                  <a:rPr lang="en-CA"/>
                  <a:t>$mm</a:t>
                </a:r>
              </a:p>
            </c:rich>
          </c:tx>
          <c:layout>
            <c:manualLayout>
              <c:xMode val="edge"/>
              <c:yMode val="edge"/>
              <c:x val="7.9365079365079361E-3"/>
              <c:y val="0.31074190726159229"/>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2"/>
                  </a:solidFill>
                  <a:latin typeface="Open Sans" panose="020B0606030504020204" pitchFamily="34" charset="0"/>
                  <a:ea typeface="Open Sans" panose="020B0606030504020204" pitchFamily="34" charset="0"/>
                  <a:cs typeface="Open Sans" panose="020B0606030504020204" pitchFamily="34" charset="0"/>
                </a:defRPr>
              </a:pPr>
              <a:endParaRPr lang="en-US"/>
            </a:p>
          </c:txPr>
        </c:title>
        <c:numFmt formatCode="&quot;$&quot;#,##0" sourceLinked="0"/>
        <c:majorTickMark val="none"/>
        <c:minorTickMark val="none"/>
        <c:tickLblPos val="nextTo"/>
        <c:spPr>
          <a:noFill/>
          <a:ln>
            <a:solidFill>
              <a:schemeClr val="bg2"/>
            </a:solidFill>
          </a:ln>
          <a:effectLst/>
        </c:spPr>
        <c:txPr>
          <a:bodyPr rot="-60000000" spcFirstLastPara="1" vertOverflow="ellipsis" vert="horz" wrap="square" anchor="ctr" anchorCtr="1"/>
          <a:lstStyle/>
          <a:p>
            <a:pPr>
              <a:defRPr sz="900" b="0" i="0" u="none" strike="noStrike" kern="1200" baseline="0">
                <a:solidFill>
                  <a:schemeClr val="tx2"/>
                </a:solidFill>
                <a:latin typeface="Open Sans" panose="020B0606030504020204" pitchFamily="34" charset="0"/>
                <a:ea typeface="Open Sans" panose="020B0606030504020204" pitchFamily="34" charset="0"/>
                <a:cs typeface="Open Sans" panose="020B0606030504020204" pitchFamily="34" charset="0"/>
              </a:defRPr>
            </a:pPr>
            <a:endParaRPr lang="en-US"/>
          </a:p>
        </c:txPr>
        <c:crossAx val="676331224"/>
        <c:crosses val="autoZero"/>
        <c:crossBetween val="between"/>
      </c:valAx>
      <c:valAx>
        <c:axId val="676342592"/>
        <c:scaling>
          <c:orientation val="minMax"/>
        </c:scaling>
        <c:delete val="0"/>
        <c:axPos val="r"/>
        <c:numFmt formatCode="0%" sourceLinked="1"/>
        <c:majorTickMark val="none"/>
        <c:minorTickMark val="none"/>
        <c:tickLblPos val="nextTo"/>
        <c:spPr>
          <a:noFill/>
          <a:ln>
            <a:solidFill>
              <a:schemeClr val="bg2"/>
            </a:solidFill>
          </a:ln>
          <a:effectLst/>
        </c:spPr>
        <c:txPr>
          <a:bodyPr rot="-60000000" spcFirstLastPara="1" vertOverflow="ellipsis" vert="horz" wrap="square" anchor="ctr" anchorCtr="1"/>
          <a:lstStyle/>
          <a:p>
            <a:pPr>
              <a:defRPr sz="100" b="0" i="0" u="none" strike="noStrike" kern="1200" baseline="0">
                <a:solidFill>
                  <a:schemeClr val="bg1"/>
                </a:solidFill>
                <a:latin typeface="Open Sans" panose="020B0606030504020204" pitchFamily="34" charset="0"/>
                <a:ea typeface="Open Sans" panose="020B0606030504020204" pitchFamily="34" charset="0"/>
                <a:cs typeface="Open Sans" panose="020B0606030504020204" pitchFamily="34" charset="0"/>
              </a:defRPr>
            </a:pPr>
            <a:endParaRPr lang="en-US"/>
          </a:p>
        </c:txPr>
        <c:crossAx val="676339848"/>
        <c:crosses val="max"/>
        <c:crossBetween val="between"/>
      </c:valAx>
      <c:catAx>
        <c:axId val="676339848"/>
        <c:scaling>
          <c:orientation val="minMax"/>
        </c:scaling>
        <c:delete val="1"/>
        <c:axPos val="b"/>
        <c:numFmt formatCode="General" sourceLinked="1"/>
        <c:majorTickMark val="out"/>
        <c:minorTickMark val="none"/>
        <c:tickLblPos val="nextTo"/>
        <c:crossAx val="676342592"/>
        <c:crosses val="autoZero"/>
        <c:auto val="1"/>
        <c:lblAlgn val="ctr"/>
        <c:lblOffset val="100"/>
        <c:noMultiLvlLbl val="0"/>
      </c:catAx>
      <c:spPr>
        <a:noFill/>
        <a:ln>
          <a:noFill/>
        </a:ln>
        <a:effectLst/>
      </c:spPr>
    </c:plotArea>
    <c:legend>
      <c:legendPos val="b"/>
      <c:layout>
        <c:manualLayout>
          <c:xMode val="edge"/>
          <c:yMode val="edge"/>
          <c:x val="3.3221055701370662E-2"/>
          <c:y val="0.87476718188004277"/>
          <c:w val="0.74793797271992135"/>
          <c:h val="0.11067294423248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Open Sans" panose="020B0606030504020204" pitchFamily="34" charset="0"/>
              <a:ea typeface="Open Sans" panose="020B0606030504020204" pitchFamily="34" charset="0"/>
              <a:cs typeface="Open Sans" panose="020B0606030504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900" b="0">
          <a:solidFill>
            <a:schemeClr val="tx2"/>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813521996219806"/>
          <c:y val="8.7310175613523167E-2"/>
          <c:w val="0.81842530328033714"/>
          <c:h val="0.64550500631865459"/>
        </c:manualLayout>
      </c:layout>
      <c:barChart>
        <c:barDir val="col"/>
        <c:grouping val="clustered"/>
        <c:varyColors val="0"/>
        <c:ser>
          <c:idx val="0"/>
          <c:order val="0"/>
          <c:tx>
            <c:strRef>
              <c:f>Charts!$A$14</c:f>
              <c:strCache>
                <c:ptCount val="1"/>
                <c:pt idx="0">
                  <c:v>Software and Payments Revenue</c:v>
                </c:pt>
              </c:strCache>
            </c:strRef>
          </c:tx>
          <c:spPr>
            <a:solidFill>
              <a:srgbClr val="005596"/>
            </a:solidFill>
            <a:ln>
              <a:noFill/>
            </a:ln>
            <a:effectLst/>
          </c:spPr>
          <c:invertIfNegative val="0"/>
          <c:cat>
            <c:numRef>
              <c:f>Charts!$B$13:$L$13</c:f>
              <c:numCache>
                <c:formatCode>0</c:formatCode>
                <c:ptCount val="11"/>
                <c:pt idx="0">
                  <c:v>2018</c:v>
                </c:pt>
                <c:pt idx="1">
                  <c:v>2019</c:v>
                </c:pt>
                <c:pt idx="2">
                  <c:v>2020</c:v>
                </c:pt>
                <c:pt idx="3" formatCode="0&quot;e&quot;">
                  <c:v>2021</c:v>
                </c:pt>
                <c:pt idx="4" formatCode="0&quot;e&quot;">
                  <c:v>2022</c:v>
                </c:pt>
                <c:pt idx="5" formatCode="0&quot;e&quot;">
                  <c:v>2023</c:v>
                </c:pt>
                <c:pt idx="6" formatCode="0&quot;e&quot;">
                  <c:v>2024</c:v>
                </c:pt>
                <c:pt idx="7" formatCode="0&quot;e&quot;">
                  <c:v>2025</c:v>
                </c:pt>
                <c:pt idx="8" formatCode="0&quot;e&quot;">
                  <c:v>2026</c:v>
                </c:pt>
                <c:pt idx="9" formatCode="0&quot;e&quot;">
                  <c:v>2027</c:v>
                </c:pt>
                <c:pt idx="10" formatCode="0&quot;e&quot;">
                  <c:v>2028</c:v>
                </c:pt>
              </c:numCache>
            </c:numRef>
          </c:cat>
          <c:val>
            <c:numRef>
              <c:f>Charts!$B$14:$L$14</c:f>
              <c:numCache>
                <c:formatCode>"$"#,##0</c:formatCode>
                <c:ptCount val="11"/>
                <c:pt idx="0">
                  <c:v>39.646999999999998</c:v>
                </c:pt>
                <c:pt idx="1">
                  <c:v>46.74</c:v>
                </c:pt>
                <c:pt idx="2">
                  <c:v>48.93</c:v>
                </c:pt>
                <c:pt idx="3">
                  <c:v>51.428000000000004</c:v>
                </c:pt>
                <c:pt idx="4">
                  <c:v>67.552999999999997</c:v>
                </c:pt>
                <c:pt idx="5">
                  <c:v>71.759999999999991</c:v>
                </c:pt>
                <c:pt idx="6">
                  <c:v>77.327728996721319</c:v>
                </c:pt>
                <c:pt idx="7">
                  <c:v>82.914571722398705</c:v>
                </c:pt>
                <c:pt idx="8">
                  <c:v>88.549151460597997</c:v>
                </c:pt>
                <c:pt idx="9">
                  <c:v>94.26137325558993</c:v>
                </c:pt>
                <c:pt idx="10">
                  <c:v>100.08130924487519</c:v>
                </c:pt>
              </c:numCache>
            </c:numRef>
          </c:val>
          <c:extLst>
            <c:ext xmlns:c16="http://schemas.microsoft.com/office/drawing/2014/chart" uri="{C3380CC4-5D6E-409C-BE32-E72D297353CC}">
              <c16:uniqueId val="{00000000-4001-4EB8-9DC9-C54A7019452C}"/>
            </c:ext>
          </c:extLst>
        </c:ser>
        <c:ser>
          <c:idx val="1"/>
          <c:order val="1"/>
          <c:tx>
            <c:strRef>
              <c:f>Charts!$A$15</c:f>
              <c:strCache>
                <c:ptCount val="1"/>
                <c:pt idx="0">
                  <c:v>Hardware and Other Revenue</c:v>
                </c:pt>
              </c:strCache>
            </c:strRef>
          </c:tx>
          <c:spPr>
            <a:solidFill>
              <a:srgbClr val="767878"/>
            </a:solidFill>
            <a:ln>
              <a:noFill/>
            </a:ln>
            <a:effectLst/>
          </c:spPr>
          <c:invertIfNegative val="0"/>
          <c:cat>
            <c:numRef>
              <c:f>Charts!$B$13:$L$13</c:f>
              <c:numCache>
                <c:formatCode>0</c:formatCode>
                <c:ptCount val="11"/>
                <c:pt idx="0">
                  <c:v>2018</c:v>
                </c:pt>
                <c:pt idx="1">
                  <c:v>2019</c:v>
                </c:pt>
                <c:pt idx="2">
                  <c:v>2020</c:v>
                </c:pt>
                <c:pt idx="3" formatCode="0&quot;e&quot;">
                  <c:v>2021</c:v>
                </c:pt>
                <c:pt idx="4" formatCode="0&quot;e&quot;">
                  <c:v>2022</c:v>
                </c:pt>
                <c:pt idx="5" formatCode="0&quot;e&quot;">
                  <c:v>2023</c:v>
                </c:pt>
                <c:pt idx="6" formatCode="0&quot;e&quot;">
                  <c:v>2024</c:v>
                </c:pt>
                <c:pt idx="7" formatCode="0&quot;e&quot;">
                  <c:v>2025</c:v>
                </c:pt>
                <c:pt idx="8" formatCode="0&quot;e&quot;">
                  <c:v>2026</c:v>
                </c:pt>
                <c:pt idx="9" formatCode="0&quot;e&quot;">
                  <c:v>2027</c:v>
                </c:pt>
                <c:pt idx="10" formatCode="0&quot;e&quot;">
                  <c:v>2028</c:v>
                </c:pt>
              </c:numCache>
            </c:numRef>
          </c:cat>
          <c:val>
            <c:numRef>
              <c:f>Charts!$B$15:$L$15</c:f>
              <c:numCache>
                <c:formatCode>"$"#,##0</c:formatCode>
                <c:ptCount val="11"/>
                <c:pt idx="0">
                  <c:v>1.8169999999999999</c:v>
                </c:pt>
                <c:pt idx="1">
                  <c:v>2.5920000000000001</c:v>
                </c:pt>
                <c:pt idx="2">
                  <c:v>2.5950000000000002</c:v>
                </c:pt>
                <c:pt idx="3">
                  <c:v>3.7389999999999999</c:v>
                </c:pt>
                <c:pt idx="4">
                  <c:v>5.3520000000000003</c:v>
                </c:pt>
                <c:pt idx="5">
                  <c:v>6.5670000000000002</c:v>
                </c:pt>
                <c:pt idx="6">
                  <c:v>6.1403384074941556</c:v>
                </c:pt>
                <c:pt idx="7">
                  <c:v>5.7756970600990645</c:v>
                </c:pt>
                <c:pt idx="8">
                  <c:v>5.4618832342185515</c:v>
                </c:pt>
                <c:pt idx="9">
                  <c:v>5.2003375329662189</c:v>
                </c:pt>
                <c:pt idx="10">
                  <c:v>4.9869845996558819</c:v>
                </c:pt>
              </c:numCache>
            </c:numRef>
          </c:val>
          <c:extLst>
            <c:ext xmlns:c16="http://schemas.microsoft.com/office/drawing/2014/chart" uri="{C3380CC4-5D6E-409C-BE32-E72D297353CC}">
              <c16:uniqueId val="{00000001-4001-4EB8-9DC9-C54A7019452C}"/>
            </c:ext>
          </c:extLst>
        </c:ser>
        <c:dLbls>
          <c:showLegendKey val="0"/>
          <c:showVal val="0"/>
          <c:showCatName val="0"/>
          <c:showSerName val="0"/>
          <c:showPercent val="0"/>
          <c:showBubbleSize val="0"/>
        </c:dLbls>
        <c:gapWidth val="219"/>
        <c:overlap val="-27"/>
        <c:axId val="676334360"/>
        <c:axId val="676334752"/>
      </c:barChart>
      <c:catAx>
        <c:axId val="676334360"/>
        <c:scaling>
          <c:orientation val="minMax"/>
        </c:scaling>
        <c:delete val="0"/>
        <c:axPos val="b"/>
        <c:numFmt formatCode="0"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2"/>
                </a:solidFill>
                <a:latin typeface="Open sans" panose="020B0606030504020204"/>
                <a:ea typeface="+mn-ea"/>
                <a:cs typeface="Arial" panose="020B0604020202020204" pitchFamily="34" charset="0"/>
              </a:defRPr>
            </a:pPr>
            <a:endParaRPr lang="en-US"/>
          </a:p>
        </c:txPr>
        <c:crossAx val="676334752"/>
        <c:crosses val="autoZero"/>
        <c:auto val="1"/>
        <c:lblAlgn val="ctr"/>
        <c:lblOffset val="100"/>
        <c:noMultiLvlLbl val="0"/>
      </c:catAx>
      <c:valAx>
        <c:axId val="676334752"/>
        <c:scaling>
          <c:orientation val="minMax"/>
        </c:scaling>
        <c:delete val="0"/>
        <c:axPos val="l"/>
        <c:majorGridlines>
          <c:spPr>
            <a:ln w="9525" cap="flat" cmpd="sng" algn="ctr">
              <a:solidFill>
                <a:schemeClr val="bg2"/>
              </a:solidFill>
              <a:prstDash val="sysDash"/>
              <a:round/>
            </a:ln>
            <a:effectLst/>
          </c:spPr>
        </c:majorGridlines>
        <c:title>
          <c:tx>
            <c:rich>
              <a:bodyPr rot="-5400000" spcFirstLastPara="1" vertOverflow="ellipsis" vert="horz" wrap="square" anchor="ctr" anchorCtr="1"/>
              <a:lstStyle/>
              <a:p>
                <a:pPr>
                  <a:defRPr sz="900" b="0" i="0" u="none" strike="noStrike" kern="1200" baseline="0">
                    <a:solidFill>
                      <a:schemeClr val="tx2"/>
                    </a:solidFill>
                    <a:latin typeface="Open sans" panose="020B0606030504020204"/>
                    <a:ea typeface="+mn-ea"/>
                    <a:cs typeface="Arial" panose="020B0604020202020204" pitchFamily="34" charset="0"/>
                  </a:defRPr>
                </a:pPr>
                <a:r>
                  <a:rPr lang="en-CA"/>
                  <a:t>Revenue ($mm)</a:t>
                </a:r>
              </a:p>
            </c:rich>
          </c:tx>
          <c:layout>
            <c:manualLayout>
              <c:xMode val="edge"/>
              <c:yMode val="edge"/>
              <c:x val="1.0583425047189435E-2"/>
              <c:y val="0.17891951006124235"/>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2"/>
                  </a:solidFill>
                  <a:latin typeface="Open sans" panose="020B0606030504020204"/>
                  <a:ea typeface="+mn-ea"/>
                  <a:cs typeface="Arial" panose="020B0604020202020204" pitchFamily="34" charset="0"/>
                </a:defRPr>
              </a:pPr>
              <a:endParaRPr lang="en-US"/>
            </a:p>
          </c:txPr>
        </c:title>
        <c:numFmt formatCode="&quot;$&quot;#,##0" sourceLinked="1"/>
        <c:majorTickMark val="none"/>
        <c:minorTickMark val="none"/>
        <c:tickLblPos val="nextTo"/>
        <c:spPr>
          <a:noFill/>
          <a:ln>
            <a:solidFill>
              <a:schemeClr val="bg2"/>
            </a:solidFill>
          </a:ln>
          <a:effectLst/>
        </c:spPr>
        <c:txPr>
          <a:bodyPr rot="-60000000" spcFirstLastPara="1" vertOverflow="ellipsis" vert="horz" wrap="square" anchor="ctr" anchorCtr="1"/>
          <a:lstStyle/>
          <a:p>
            <a:pPr>
              <a:defRPr sz="900" b="0" i="0" u="none" strike="noStrike" kern="1200" baseline="0">
                <a:solidFill>
                  <a:schemeClr val="tx2"/>
                </a:solidFill>
                <a:latin typeface="Open sans" panose="020B0606030504020204"/>
                <a:ea typeface="+mn-ea"/>
                <a:cs typeface="Arial" panose="020B0604020202020204" pitchFamily="34" charset="0"/>
              </a:defRPr>
            </a:pPr>
            <a:endParaRPr lang="en-US"/>
          </a:p>
        </c:txPr>
        <c:crossAx val="676334360"/>
        <c:crosses val="autoZero"/>
        <c:crossBetween val="between"/>
      </c:valAx>
      <c:spPr>
        <a:noFill/>
        <a:ln>
          <a:noFill/>
        </a:ln>
        <a:effectLst/>
      </c:spPr>
    </c:plotArea>
    <c:legend>
      <c:legendPos val="t"/>
      <c:layout>
        <c:manualLayout>
          <c:xMode val="edge"/>
          <c:yMode val="edge"/>
          <c:x val="0.22326349541632046"/>
          <c:y val="0"/>
          <c:w val="0.65773384321089212"/>
          <c:h val="0.108766723308522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Open sans" panose="020B0606030504020204"/>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900" b="0">
          <a:solidFill>
            <a:schemeClr val="tx2"/>
          </a:solidFill>
          <a:latin typeface="Open sans" panose="020B0606030504020204"/>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Charts!$B$28</c:f>
              <c:strCache>
                <c:ptCount val="1"/>
                <c:pt idx="0">
                  <c:v>Percentage of Revenue (%)</c:v>
                </c:pt>
              </c:strCache>
            </c:strRef>
          </c:tx>
          <c:dPt>
            <c:idx val="0"/>
            <c:bubble3D val="0"/>
            <c:spPr>
              <a:solidFill>
                <a:srgbClr val="005596"/>
              </a:solidFill>
              <a:ln w="19050">
                <a:solidFill>
                  <a:schemeClr val="lt1"/>
                </a:solidFill>
              </a:ln>
              <a:effectLst/>
            </c:spPr>
            <c:extLst>
              <c:ext xmlns:c16="http://schemas.microsoft.com/office/drawing/2014/chart" uri="{C3380CC4-5D6E-409C-BE32-E72D297353CC}">
                <c16:uniqueId val="{00000001-E38D-4C8D-8802-38512C208653}"/>
              </c:ext>
            </c:extLst>
          </c:dPt>
          <c:dPt>
            <c:idx val="1"/>
            <c:bubble3D val="0"/>
            <c:spPr>
              <a:solidFill>
                <a:srgbClr val="767878"/>
              </a:solidFill>
              <a:ln w="19050">
                <a:solidFill>
                  <a:schemeClr val="lt1"/>
                </a:solidFill>
              </a:ln>
              <a:effectLst/>
            </c:spPr>
            <c:extLst>
              <c:ext xmlns:c16="http://schemas.microsoft.com/office/drawing/2014/chart" uri="{C3380CC4-5D6E-409C-BE32-E72D297353CC}">
                <c16:uniqueId val="{00000003-E38D-4C8D-8802-38512C20865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Charts!$A$29:$A$30</c:f>
              <c:strCache>
                <c:ptCount val="2"/>
                <c:pt idx="0">
                  <c:v>Software and Payments Revenue</c:v>
                </c:pt>
                <c:pt idx="1">
                  <c:v>Hardware and Other Revenue</c:v>
                </c:pt>
              </c:strCache>
            </c:strRef>
          </c:cat>
          <c:val>
            <c:numRef>
              <c:f>Charts!$B$29:$B$30</c:f>
              <c:numCache>
                <c:formatCode>0.0%</c:formatCode>
                <c:ptCount val="2"/>
                <c:pt idx="0">
                  <c:v>0.9299933811924036</c:v>
                </c:pt>
                <c:pt idx="1">
                  <c:v>7.0006618807596357E-2</c:v>
                </c:pt>
              </c:numCache>
            </c:numRef>
          </c:val>
          <c:extLst>
            <c:ext xmlns:c16="http://schemas.microsoft.com/office/drawing/2014/chart" uri="{C3380CC4-5D6E-409C-BE32-E72D297353CC}">
              <c16:uniqueId val="{00000004-E38D-4C8D-8802-38512C208653}"/>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6.7807452751791559E-3"/>
          <c:y val="0.90070539505597991"/>
          <c:w val="0.78267654826845701"/>
          <c:h val="9.929460494402012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Charts!$A$53</c:f>
              <c:strCache>
                <c:ptCount val="1"/>
                <c:pt idx="0">
                  <c:v>EBITDA (Left-Axis)</c:v>
                </c:pt>
              </c:strCache>
            </c:strRef>
          </c:tx>
          <c:spPr>
            <a:solidFill>
              <a:srgbClr val="005596"/>
            </a:solidFill>
            <a:ln>
              <a:noFill/>
            </a:ln>
            <a:effectLst/>
          </c:spPr>
          <c:invertIfNegative val="0"/>
          <c:cat>
            <c:numRef>
              <c:f>Charts!$B$52:$H$52</c:f>
              <c:numCache>
                <c:formatCode>mmm\-yy</c:formatCode>
                <c:ptCount val="7"/>
                <c:pt idx="0">
                  <c:v>43891</c:v>
                </c:pt>
                <c:pt idx="1">
                  <c:v>43983</c:v>
                </c:pt>
                <c:pt idx="2">
                  <c:v>44075</c:v>
                </c:pt>
                <c:pt idx="3">
                  <c:v>44166</c:v>
                </c:pt>
                <c:pt idx="4">
                  <c:v>44256</c:v>
                </c:pt>
                <c:pt idx="5">
                  <c:v>44348</c:v>
                </c:pt>
                <c:pt idx="6">
                  <c:v>44440</c:v>
                </c:pt>
              </c:numCache>
            </c:numRef>
          </c:cat>
          <c:val>
            <c:numRef>
              <c:f>Charts!$B$53:$H$53</c:f>
              <c:numCache>
                <c:formatCode>0.0</c:formatCode>
                <c:ptCount val="7"/>
                <c:pt idx="0">
                  <c:v>1.5530000000000044</c:v>
                </c:pt>
                <c:pt idx="1">
                  <c:v>2.8239999999999998</c:v>
                </c:pt>
                <c:pt idx="2">
                  <c:v>1.7929999999999957</c:v>
                </c:pt>
                <c:pt idx="3">
                  <c:v>2.833000000000002</c:v>
                </c:pt>
                <c:pt idx="4">
                  <c:v>0.10699999999999754</c:v>
                </c:pt>
                <c:pt idx="5">
                  <c:v>3.077</c:v>
                </c:pt>
                <c:pt idx="6">
                  <c:v>2.665</c:v>
                </c:pt>
              </c:numCache>
            </c:numRef>
          </c:val>
          <c:extLst>
            <c:ext xmlns:c16="http://schemas.microsoft.com/office/drawing/2014/chart" uri="{C3380CC4-5D6E-409C-BE32-E72D297353CC}">
              <c16:uniqueId val="{00000000-B7A1-4F8F-B858-5C451F0A0919}"/>
            </c:ext>
          </c:extLst>
        </c:ser>
        <c:dLbls>
          <c:showLegendKey val="0"/>
          <c:showVal val="0"/>
          <c:showCatName val="0"/>
          <c:showSerName val="0"/>
          <c:showPercent val="0"/>
          <c:showBubbleSize val="0"/>
        </c:dLbls>
        <c:gapWidth val="219"/>
        <c:overlap val="-27"/>
        <c:axId val="676343376"/>
        <c:axId val="676331616"/>
      </c:barChart>
      <c:dateAx>
        <c:axId val="676343376"/>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331616"/>
        <c:crosses val="autoZero"/>
        <c:auto val="1"/>
        <c:lblOffset val="100"/>
        <c:baseTimeUnit val="months"/>
        <c:majorUnit val="3"/>
        <c:majorTimeUnit val="months"/>
      </c:dateAx>
      <c:valAx>
        <c:axId val="67633161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34337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Charts!$A$53</c:f>
              <c:strCache>
                <c:ptCount val="1"/>
                <c:pt idx="0">
                  <c:v>EBITDA (Left-Axis)</c:v>
                </c:pt>
              </c:strCache>
            </c:strRef>
          </c:tx>
          <c:spPr>
            <a:solidFill>
              <a:srgbClr val="005596"/>
            </a:solidFill>
            <a:ln>
              <a:noFill/>
            </a:ln>
            <a:effectLst/>
          </c:spPr>
          <c:invertIfNegative val="0"/>
          <c:dLbls>
            <c:dLbl>
              <c:idx val="1"/>
              <c:layout>
                <c:manualLayout>
                  <c:x val="-4.4444444444444446E-2"/>
                  <c:y val="1.388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AA7-4172-9DC6-E7E8AB67EF23}"/>
                </c:ext>
              </c:extLst>
            </c:dLbl>
            <c:dLbl>
              <c:idx val="2"/>
              <c:layout>
                <c:manualLayout>
                  <c:x val="-5.2777777777777778E-2"/>
                  <c:y val="4.62962962962962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AA7-4172-9DC6-E7E8AB67EF23}"/>
                </c:ext>
              </c:extLst>
            </c:dLbl>
            <c:dLbl>
              <c:idx val="3"/>
              <c:layout>
                <c:manualLayout>
                  <c:x val="-4.166666666666672E-2"/>
                  <c:y val="3.2407407407407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AA7-4172-9DC6-E7E8AB67EF2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Charts!$B$52:$H$52</c:f>
              <c:numCache>
                <c:formatCode>mmm\-yy</c:formatCode>
                <c:ptCount val="7"/>
                <c:pt idx="0">
                  <c:v>43891</c:v>
                </c:pt>
                <c:pt idx="1">
                  <c:v>43983</c:v>
                </c:pt>
                <c:pt idx="2">
                  <c:v>44075</c:v>
                </c:pt>
                <c:pt idx="3">
                  <c:v>44166</c:v>
                </c:pt>
                <c:pt idx="4">
                  <c:v>44256</c:v>
                </c:pt>
                <c:pt idx="5">
                  <c:v>44348</c:v>
                </c:pt>
                <c:pt idx="6">
                  <c:v>44440</c:v>
                </c:pt>
              </c:numCache>
            </c:numRef>
          </c:cat>
          <c:val>
            <c:numRef>
              <c:f>Charts!$B$53:$H$53</c:f>
              <c:numCache>
                <c:formatCode>0.0</c:formatCode>
                <c:ptCount val="7"/>
                <c:pt idx="0">
                  <c:v>1.5530000000000044</c:v>
                </c:pt>
                <c:pt idx="1">
                  <c:v>2.8239999999999998</c:v>
                </c:pt>
                <c:pt idx="2">
                  <c:v>1.7929999999999957</c:v>
                </c:pt>
                <c:pt idx="3">
                  <c:v>2.833000000000002</c:v>
                </c:pt>
                <c:pt idx="4">
                  <c:v>0.10699999999999754</c:v>
                </c:pt>
                <c:pt idx="5">
                  <c:v>3.077</c:v>
                </c:pt>
                <c:pt idx="6">
                  <c:v>2.665</c:v>
                </c:pt>
              </c:numCache>
            </c:numRef>
          </c:val>
          <c:extLst>
            <c:ext xmlns:c16="http://schemas.microsoft.com/office/drawing/2014/chart" uri="{C3380CC4-5D6E-409C-BE32-E72D297353CC}">
              <c16:uniqueId val="{00000003-6AA7-4172-9DC6-E7E8AB67EF23}"/>
            </c:ext>
          </c:extLst>
        </c:ser>
        <c:dLbls>
          <c:showLegendKey val="0"/>
          <c:showVal val="0"/>
          <c:showCatName val="0"/>
          <c:showSerName val="0"/>
          <c:showPercent val="0"/>
          <c:showBubbleSize val="0"/>
        </c:dLbls>
        <c:gapWidth val="219"/>
        <c:overlap val="-27"/>
        <c:axId val="676335144"/>
        <c:axId val="676335928"/>
      </c:barChart>
      <c:scatterChart>
        <c:scatterStyle val="lineMarker"/>
        <c:varyColors val="0"/>
        <c:ser>
          <c:idx val="1"/>
          <c:order val="1"/>
          <c:tx>
            <c:strRef>
              <c:f>Charts!$A$54</c:f>
              <c:strCache>
                <c:ptCount val="1"/>
                <c:pt idx="0">
                  <c:v>EBITDA Margin (%) (Right-Axis)</c:v>
                </c:pt>
              </c:strCache>
            </c:strRef>
          </c:tx>
          <c:spPr>
            <a:ln w="0" cap="rnd">
              <a:solidFill>
                <a:schemeClr val="accent2"/>
              </a:solidFill>
              <a:round/>
            </a:ln>
            <a:effectLst/>
          </c:spPr>
          <c:marker>
            <c:symbol val="circle"/>
            <c:size val="5"/>
            <c:spPr>
              <a:solidFill>
                <a:srgbClr val="FF9B11"/>
              </a:solidFill>
              <a:ln w="9525">
                <a:solidFill>
                  <a:schemeClr val="accent2"/>
                </a:solidFill>
              </a:ln>
              <a:effectLst/>
            </c:spPr>
          </c:marker>
          <c:dLbls>
            <c:dLbl>
              <c:idx val="2"/>
              <c:layout>
                <c:manualLayout>
                  <c:x val="-1.1111111111111112E-2"/>
                  <c:y val="-4.16666666666667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AA7-4172-9DC6-E7E8AB67EF23}"/>
                </c:ext>
              </c:extLst>
            </c:dLbl>
            <c:dLbl>
              <c:idx val="6"/>
              <c:layout>
                <c:manualLayout>
                  <c:x val="-0.10277777777777788"/>
                  <c:y val="4.629629629629586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AA7-4172-9DC6-E7E8AB67EF2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Charts!$B$52:$H$52</c:f>
              <c:numCache>
                <c:formatCode>mmm\-yy</c:formatCode>
                <c:ptCount val="7"/>
                <c:pt idx="0">
                  <c:v>43891</c:v>
                </c:pt>
                <c:pt idx="1">
                  <c:v>43983</c:v>
                </c:pt>
                <c:pt idx="2">
                  <c:v>44075</c:v>
                </c:pt>
                <c:pt idx="3">
                  <c:v>44166</c:v>
                </c:pt>
                <c:pt idx="4">
                  <c:v>44256</c:v>
                </c:pt>
                <c:pt idx="5">
                  <c:v>44348</c:v>
                </c:pt>
                <c:pt idx="6">
                  <c:v>44440</c:v>
                </c:pt>
              </c:numCache>
            </c:numRef>
          </c:xVal>
          <c:yVal>
            <c:numRef>
              <c:f>Charts!$B$54:$H$54</c:f>
              <c:numCache>
                <c:formatCode>0%</c:formatCode>
                <c:ptCount val="7"/>
                <c:pt idx="0">
                  <c:v>0.11015746914455983</c:v>
                </c:pt>
                <c:pt idx="1">
                  <c:v>0.26616399622997172</c:v>
                </c:pt>
                <c:pt idx="2">
                  <c:v>0.16378916598154708</c:v>
                </c:pt>
                <c:pt idx="3">
                  <c:v>0.17851291745431647</c:v>
                </c:pt>
                <c:pt idx="4">
                  <c:v>8.2396426921297963E-3</c:v>
                </c:pt>
                <c:pt idx="5">
                  <c:v>0.24764587525150902</c:v>
                </c:pt>
                <c:pt idx="6">
                  <c:v>0.18292264397007343</c:v>
                </c:pt>
              </c:numCache>
            </c:numRef>
          </c:yVal>
          <c:smooth val="0"/>
          <c:extLst>
            <c:ext xmlns:c16="http://schemas.microsoft.com/office/drawing/2014/chart" uri="{C3380CC4-5D6E-409C-BE32-E72D297353CC}">
              <c16:uniqueId val="{00000006-6AA7-4172-9DC6-E7E8AB67EF23}"/>
            </c:ext>
          </c:extLst>
        </c:ser>
        <c:dLbls>
          <c:showLegendKey val="0"/>
          <c:showVal val="0"/>
          <c:showCatName val="0"/>
          <c:showSerName val="0"/>
          <c:showPercent val="0"/>
          <c:showBubbleSize val="0"/>
        </c:dLbls>
        <c:axId val="676336712"/>
        <c:axId val="676336320"/>
      </c:scatterChart>
      <c:dateAx>
        <c:axId val="67633514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335928"/>
        <c:crosses val="autoZero"/>
        <c:auto val="1"/>
        <c:lblOffset val="100"/>
        <c:baseTimeUnit val="months"/>
        <c:majorUnit val="3"/>
        <c:majorTimeUnit val="months"/>
      </c:dateAx>
      <c:valAx>
        <c:axId val="676335928"/>
        <c:scaling>
          <c:orientation val="minMax"/>
        </c:scaling>
        <c:delete val="0"/>
        <c:axPos val="l"/>
        <c:majorGridlines>
          <c:spPr>
            <a:ln w="9525" cap="flat" cmpd="sng" algn="ctr">
              <a:no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335144"/>
        <c:crosses val="autoZero"/>
        <c:crossBetween val="between"/>
      </c:valAx>
      <c:valAx>
        <c:axId val="676336320"/>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336712"/>
        <c:crosses val="max"/>
        <c:crossBetween val="midCat"/>
      </c:valAx>
      <c:valAx>
        <c:axId val="676336712"/>
        <c:scaling>
          <c:orientation val="minMax"/>
        </c:scaling>
        <c:delete val="1"/>
        <c:axPos val="b"/>
        <c:numFmt formatCode="mmm\-yy" sourceLinked="1"/>
        <c:majorTickMark val="out"/>
        <c:minorTickMark val="none"/>
        <c:tickLblPos val="nextTo"/>
        <c:crossAx val="6763363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Charts!$A$84</c:f>
              <c:strCache>
                <c:ptCount val="1"/>
                <c:pt idx="0">
                  <c:v>Revenue</c:v>
                </c:pt>
              </c:strCache>
            </c:strRef>
          </c:tx>
          <c:spPr>
            <a:solidFill>
              <a:srgbClr val="FF9B11"/>
            </a:solidFill>
            <a:ln>
              <a:solidFill>
                <a:srgbClr val="00559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Charts!$C$83:$E$83</c:f>
              <c:strCache>
                <c:ptCount val="3"/>
                <c:pt idx="0">
                  <c:v>2023e</c:v>
                </c:pt>
                <c:pt idx="1">
                  <c:v>2024e</c:v>
                </c:pt>
                <c:pt idx="2">
                  <c:v>2025e</c:v>
                </c:pt>
              </c:strCache>
            </c:strRef>
          </c:cat>
          <c:val>
            <c:numRef>
              <c:f>Charts!$C$84:$E$84</c:f>
              <c:numCache>
                <c:formatCode>0</c:formatCode>
                <c:ptCount val="3"/>
                <c:pt idx="0">
                  <c:v>75.092150000000004</c:v>
                </c:pt>
                <c:pt idx="1">
                  <c:v>77.344914500000002</c:v>
                </c:pt>
                <c:pt idx="2">
                  <c:v>79.665261935000004</c:v>
                </c:pt>
              </c:numCache>
            </c:numRef>
          </c:val>
          <c:extLst>
            <c:ext xmlns:c16="http://schemas.microsoft.com/office/drawing/2014/chart" uri="{C3380CC4-5D6E-409C-BE32-E72D297353CC}">
              <c16:uniqueId val="{00000002-06E1-4095-A692-23B859BEF9D8}"/>
            </c:ext>
          </c:extLst>
        </c:ser>
        <c:ser>
          <c:idx val="1"/>
          <c:order val="1"/>
          <c:tx>
            <c:strRef>
              <c:f>Charts!$A$85</c:f>
              <c:strCache>
                <c:ptCount val="1"/>
                <c:pt idx="0">
                  <c:v>EBITDA</c:v>
                </c:pt>
              </c:strCache>
            </c:strRef>
          </c:tx>
          <c:spPr>
            <a:solidFill>
              <a:srgbClr val="005596"/>
            </a:solidFill>
            <a:ln>
              <a:solidFill>
                <a:srgbClr val="FF9B1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Charts!$C$83:$E$83</c:f>
              <c:strCache>
                <c:ptCount val="3"/>
                <c:pt idx="0">
                  <c:v>2023e</c:v>
                </c:pt>
                <c:pt idx="1">
                  <c:v>2024e</c:v>
                </c:pt>
                <c:pt idx="2">
                  <c:v>2025e</c:v>
                </c:pt>
              </c:strCache>
            </c:strRef>
          </c:cat>
          <c:val>
            <c:numRef>
              <c:f>Charts!$C$85:$E$85</c:f>
              <c:numCache>
                <c:formatCode>0</c:formatCode>
                <c:ptCount val="3"/>
                <c:pt idx="0">
                  <c:v>9.720186950687058</c:v>
                </c:pt>
                <c:pt idx="1">
                  <c:v>12.316696075356511</c:v>
                </c:pt>
                <c:pt idx="2">
                  <c:v>14.838744223516059</c:v>
                </c:pt>
              </c:numCache>
            </c:numRef>
          </c:val>
          <c:extLst>
            <c:ext xmlns:c16="http://schemas.microsoft.com/office/drawing/2014/chart" uri="{C3380CC4-5D6E-409C-BE32-E72D297353CC}">
              <c16:uniqueId val="{00000003-06E1-4095-A692-23B859BEF9D8}"/>
            </c:ext>
          </c:extLst>
        </c:ser>
        <c:dLbls>
          <c:showLegendKey val="0"/>
          <c:showVal val="0"/>
          <c:showCatName val="0"/>
          <c:showSerName val="0"/>
          <c:showPercent val="0"/>
          <c:showBubbleSize val="0"/>
        </c:dLbls>
        <c:gapWidth val="219"/>
        <c:overlap val="-27"/>
        <c:axId val="676337496"/>
        <c:axId val="676337888"/>
      </c:barChart>
      <c:catAx>
        <c:axId val="676337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337888"/>
        <c:crosses val="autoZero"/>
        <c:auto val="1"/>
        <c:lblAlgn val="ctr"/>
        <c:lblOffset val="100"/>
        <c:noMultiLvlLbl val="0"/>
      </c:catAx>
      <c:valAx>
        <c:axId val="67633788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337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Charts!$B$132</c:f>
              <c:strCache>
                <c:ptCount val="1"/>
                <c:pt idx="0">
                  <c:v>Estimated Minimum ARPU</c:v>
                </c:pt>
              </c:strCache>
            </c:strRef>
          </c:tx>
          <c:spPr>
            <a:solidFill>
              <a:srgbClr val="00559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Charts!$A$133:$A$142</c:f>
              <c:numCache>
                <c:formatCode>0%</c:formatCode>
                <c:ptCount val="10"/>
                <c:pt idx="0">
                  <c:v>0.1</c:v>
                </c:pt>
                <c:pt idx="1">
                  <c:v>0.2</c:v>
                </c:pt>
                <c:pt idx="2">
                  <c:v>0.3</c:v>
                </c:pt>
                <c:pt idx="3">
                  <c:v>0.4</c:v>
                </c:pt>
                <c:pt idx="4">
                  <c:v>0.5</c:v>
                </c:pt>
                <c:pt idx="5">
                  <c:v>0.6</c:v>
                </c:pt>
                <c:pt idx="6">
                  <c:v>0.7</c:v>
                </c:pt>
                <c:pt idx="7">
                  <c:v>0.8</c:v>
                </c:pt>
                <c:pt idx="8">
                  <c:v>0.9</c:v>
                </c:pt>
                <c:pt idx="9">
                  <c:v>1</c:v>
                </c:pt>
              </c:numCache>
            </c:numRef>
          </c:cat>
          <c:val>
            <c:numRef>
              <c:f>Charts!$B$133:$B$142</c:f>
              <c:numCache>
                <c:formatCode>_(* #,##0_);_(* \(#,##0\);_(* "-"??_);_(@_)</c:formatCode>
                <c:ptCount val="10"/>
                <c:pt idx="0">
                  <c:v>70.5</c:v>
                </c:pt>
                <c:pt idx="1">
                  <c:v>96</c:v>
                </c:pt>
                <c:pt idx="2">
                  <c:v>121.5</c:v>
                </c:pt>
                <c:pt idx="3">
                  <c:v>147</c:v>
                </c:pt>
                <c:pt idx="4">
                  <c:v>172.5</c:v>
                </c:pt>
                <c:pt idx="5">
                  <c:v>198</c:v>
                </c:pt>
                <c:pt idx="6">
                  <c:v>223.5</c:v>
                </c:pt>
                <c:pt idx="7">
                  <c:v>249</c:v>
                </c:pt>
                <c:pt idx="8">
                  <c:v>274.5</c:v>
                </c:pt>
                <c:pt idx="9">
                  <c:v>300</c:v>
                </c:pt>
              </c:numCache>
            </c:numRef>
          </c:val>
          <c:extLst>
            <c:ext xmlns:c16="http://schemas.microsoft.com/office/drawing/2014/chart" uri="{C3380CC4-5D6E-409C-BE32-E72D297353CC}">
              <c16:uniqueId val="{00000000-BCD3-46CA-950C-8FFD2AEB7CB3}"/>
            </c:ext>
          </c:extLst>
        </c:ser>
        <c:dLbls>
          <c:showLegendKey val="0"/>
          <c:showVal val="0"/>
          <c:showCatName val="0"/>
          <c:showSerName val="0"/>
          <c:showPercent val="0"/>
          <c:showBubbleSize val="0"/>
        </c:dLbls>
        <c:gapWidth val="219"/>
        <c:overlap val="-27"/>
        <c:axId val="676338280"/>
        <c:axId val="676338672"/>
      </c:barChart>
      <c:catAx>
        <c:axId val="67633828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Percentage</a:t>
                </a:r>
                <a:r>
                  <a:rPr lang="en-US" b="1" baseline="0"/>
                  <a:t> of Customers using all the Givex's Technology Services</a:t>
                </a:r>
                <a:endParaRPr lang="en-US"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338672"/>
        <c:crosses val="autoZero"/>
        <c:auto val="1"/>
        <c:lblAlgn val="ctr"/>
        <c:lblOffset val="100"/>
        <c:noMultiLvlLbl val="0"/>
      </c:catAx>
      <c:valAx>
        <c:axId val="676338672"/>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Estimated Minimum</a:t>
                </a:r>
                <a:r>
                  <a:rPr lang="en-US" b="1" baseline="0"/>
                  <a:t> ARPU</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33828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26159230096237E-2"/>
          <c:y val="2.5428331875182269E-2"/>
          <c:w val="0.84396062992125986"/>
          <c:h val="0.78202974628171473"/>
        </c:manualLayout>
      </c:layout>
      <c:lineChart>
        <c:grouping val="standard"/>
        <c:varyColors val="0"/>
        <c:ser>
          <c:idx val="0"/>
          <c:order val="0"/>
          <c:tx>
            <c:strRef>
              <c:f>Charts!$A$152</c:f>
              <c:strCache>
                <c:ptCount val="1"/>
                <c:pt idx="0">
                  <c:v>ARPU</c:v>
                </c:pt>
              </c:strCache>
            </c:strRef>
          </c:tx>
          <c:spPr>
            <a:ln w="28575" cap="rnd">
              <a:solidFill>
                <a:srgbClr val="FF9B11"/>
              </a:solidFill>
              <a:round/>
            </a:ln>
            <a:effectLst/>
          </c:spPr>
          <c:marker>
            <c:symbol val="none"/>
          </c:marker>
          <c:dLbls>
            <c:dLbl>
              <c:idx val="0"/>
              <c:layout>
                <c:manualLayout>
                  <c:x val="-5.8333333333333348E-2"/>
                  <c:y val="-5.09259259259259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42F-443B-9F88-2E0B207091D3}"/>
                </c:ext>
              </c:extLst>
            </c:dLbl>
            <c:dLbl>
              <c:idx val="14"/>
              <c:layout>
                <c:manualLayout>
                  <c:x val="-7.7777777777777779E-2"/>
                  <c:y val="-5.09259259259259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42F-443B-9F88-2E0B207091D3}"/>
                </c:ext>
              </c:extLst>
            </c:dLbl>
            <c:spPr>
              <a:solidFill>
                <a:srgbClr val="005596"/>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numRef>
              <c:f>Charts!$B$151:$P$151</c:f>
              <c:numCache>
                <c:formatCode>0"e"</c:formatCode>
                <c:ptCount val="15"/>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numCache>
            </c:numRef>
          </c:cat>
          <c:val>
            <c:numRef>
              <c:f>Charts!$B$152:$P$152</c:f>
              <c:numCache>
                <c:formatCode>0</c:formatCode>
                <c:ptCount val="15"/>
                <c:pt idx="0">
                  <c:v>42.856666666666676</c:v>
                </c:pt>
                <c:pt idx="1">
                  <c:v>46.142759562841533</c:v>
                </c:pt>
                <c:pt idx="2">
                  <c:v>45.999999999999993</c:v>
                </c:pt>
                <c:pt idx="3">
                  <c:v>46.919999999999995</c:v>
                </c:pt>
                <c:pt idx="4">
                  <c:v>47.952239999999996</c:v>
                </c:pt>
                <c:pt idx="5">
                  <c:v>49.083912863999998</c:v>
                </c:pt>
                <c:pt idx="6">
                  <c:v>50.305120616056321</c:v>
                </c:pt>
                <c:pt idx="7">
                  <c:v>51.60822446049464</c:v>
                </c:pt>
                <c:pt idx="8">
                  <c:v>52.98736136439733</c:v>
                </c:pt>
                <c:pt idx="9">
                  <c:v>54.438079016754166</c:v>
                </c:pt>
                <c:pt idx="10">
                  <c:v>55.957056460970655</c:v>
                </c:pt>
                <c:pt idx="11">
                  <c:v>57.541887792502777</c:v>
                </c:pt>
                <c:pt idx="12">
                  <c:v>59.190913011834461</c:v>
                </c:pt>
                <c:pt idx="13">
                  <c:v>60.90308464328794</c:v>
                </c:pt>
                <c:pt idx="14">
                  <c:v>62.677861831232889</c:v>
                </c:pt>
              </c:numCache>
            </c:numRef>
          </c:val>
          <c:smooth val="0"/>
          <c:extLst>
            <c:ext xmlns:c16="http://schemas.microsoft.com/office/drawing/2014/chart" uri="{C3380CC4-5D6E-409C-BE32-E72D297353CC}">
              <c16:uniqueId val="{00000002-F42F-443B-9F88-2E0B207091D3}"/>
            </c:ext>
          </c:extLst>
        </c:ser>
        <c:dLbls>
          <c:showLegendKey val="0"/>
          <c:showVal val="0"/>
          <c:showCatName val="0"/>
          <c:showSerName val="0"/>
          <c:showPercent val="0"/>
          <c:showBubbleSize val="0"/>
        </c:dLbls>
        <c:smooth val="0"/>
        <c:axId val="676332400"/>
        <c:axId val="676332792"/>
      </c:lineChart>
      <c:catAx>
        <c:axId val="676332400"/>
        <c:scaling>
          <c:orientation val="minMax"/>
        </c:scaling>
        <c:delete val="0"/>
        <c:axPos val="b"/>
        <c:numFmt formatCode="0&quot;e&quot;"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76332792"/>
        <c:crosses val="autoZero"/>
        <c:auto val="1"/>
        <c:lblAlgn val="ctr"/>
        <c:lblOffset val="100"/>
        <c:noMultiLvlLbl val="0"/>
      </c:catAx>
      <c:valAx>
        <c:axId val="676332792"/>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ARPU</a:t>
                </a:r>
                <a:r>
                  <a:rPr lang="en-US" b="1" baseline="0"/>
                  <a:t> ($)</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3324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12" Type="http://schemas.openxmlformats.org/officeDocument/2006/relationships/chart" Target="../charts/chart13.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chart" Target="../charts/chart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image" Target="../media/image1.emf"/><Relationship Id="rId5" Type="http://schemas.openxmlformats.org/officeDocument/2006/relationships/chart" Target="../charts/chart16.xml"/><Relationship Id="rId4"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7</xdr:col>
      <xdr:colOff>133350</xdr:colOff>
      <xdr:row>23</xdr:row>
      <xdr:rowOff>71437</xdr:rowOff>
    </xdr:from>
    <xdr:to>
      <xdr:col>14</xdr:col>
      <xdr:colOff>438150</xdr:colOff>
      <xdr:row>37</xdr:row>
      <xdr:rowOff>147637</xdr:rowOff>
    </xdr:to>
    <xdr:graphicFrame macro="">
      <xdr:nvGraphicFramePr>
        <xdr:cNvPr id="2" name="Chart 1">
          <a:extLst>
            <a:ext uri="{FF2B5EF4-FFF2-40B4-BE49-F238E27FC236}">
              <a16:creationId xmlns:a16="http://schemas.microsoft.com/office/drawing/2014/main" id="{7DBDBDB9-11DB-F9B7-10DA-2F62FAF9EC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39531</xdr:colOff>
      <xdr:row>33</xdr:row>
      <xdr:rowOff>4761</xdr:rowOff>
    </xdr:from>
    <xdr:to>
      <xdr:col>13</xdr:col>
      <xdr:colOff>958693</xdr:colOff>
      <xdr:row>47</xdr:row>
      <xdr:rowOff>54291</xdr:rowOff>
    </xdr:to>
    <xdr:graphicFrame macro="">
      <xdr:nvGraphicFramePr>
        <xdr:cNvPr id="9" name="Chart 8">
          <a:extLst>
            <a:ext uri="{FF2B5EF4-FFF2-40B4-BE49-F238E27FC236}">
              <a16:creationId xmlns:a16="http://schemas.microsoft.com/office/drawing/2014/main" id="{00000000-0008-0000-04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613410</xdr:colOff>
      <xdr:row>3</xdr:row>
      <xdr:rowOff>114300</xdr:rowOff>
    </xdr:from>
    <xdr:to>
      <xdr:col>15</xdr:col>
      <xdr:colOff>389097</xdr:colOff>
      <xdr:row>19</xdr:row>
      <xdr:rowOff>59055</xdr:rowOff>
    </xdr:to>
    <xdr:graphicFrame macro="">
      <xdr:nvGraphicFramePr>
        <xdr:cNvPr id="6" name="Chart 5">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129540</xdr:colOff>
      <xdr:row>16</xdr:row>
      <xdr:rowOff>16192</xdr:rowOff>
    </xdr:from>
    <xdr:to>
      <xdr:col>7</xdr:col>
      <xdr:colOff>552450</xdr:colOff>
      <xdr:row>31</xdr:row>
      <xdr:rowOff>31432</xdr:rowOff>
    </xdr:to>
    <xdr:graphicFrame macro="">
      <xdr:nvGraphicFramePr>
        <xdr:cNvPr id="10" name="Chart 9">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2453640</xdr:colOff>
      <xdr:row>23</xdr:row>
      <xdr:rowOff>83820</xdr:rowOff>
    </xdr:from>
    <xdr:to>
      <xdr:col>14</xdr:col>
      <xdr:colOff>784860</xdr:colOff>
      <xdr:row>27</xdr:row>
      <xdr:rowOff>91440</xdr:rowOff>
    </xdr:to>
    <xdr:sp macro="" textlink="">
      <xdr:nvSpPr>
        <xdr:cNvPr id="25" name="Flowchart: Process 24">
          <a:extLst>
            <a:ext uri="{FF2B5EF4-FFF2-40B4-BE49-F238E27FC236}">
              <a16:creationId xmlns:a16="http://schemas.microsoft.com/office/drawing/2014/main" id="{00000000-0008-0000-0400-000019000000}"/>
            </a:ext>
          </a:extLst>
        </xdr:cNvPr>
        <xdr:cNvSpPr/>
      </xdr:nvSpPr>
      <xdr:spPr>
        <a:xfrm>
          <a:off x="18539460" y="2857500"/>
          <a:ext cx="1028700" cy="525780"/>
        </a:xfrm>
        <a:prstGeom prst="flowChartProcess">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1173480</xdr:colOff>
      <xdr:row>55</xdr:row>
      <xdr:rowOff>118110</xdr:rowOff>
    </xdr:from>
    <xdr:to>
      <xdr:col>10</xdr:col>
      <xdr:colOff>426720</xdr:colOff>
      <xdr:row>77</xdr:row>
      <xdr:rowOff>57150</xdr:rowOff>
    </xdr:to>
    <xdr:graphicFrame macro="">
      <xdr:nvGraphicFramePr>
        <xdr:cNvPr id="27" name="Chart 26">
          <a:extLst>
            <a:ext uri="{FF2B5EF4-FFF2-40B4-BE49-F238E27FC236}">
              <a16:creationId xmlns:a16="http://schemas.microsoft.com/office/drawing/2014/main" id="{00000000-0008-0000-0400-00001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434340</xdr:colOff>
      <xdr:row>55</xdr:row>
      <xdr:rowOff>133350</xdr:rowOff>
    </xdr:from>
    <xdr:to>
      <xdr:col>3</xdr:col>
      <xdr:colOff>739140</xdr:colOff>
      <xdr:row>77</xdr:row>
      <xdr:rowOff>72390</xdr:rowOff>
    </xdr:to>
    <xdr:graphicFrame macro="">
      <xdr:nvGraphicFramePr>
        <xdr:cNvPr id="28" name="Chart 27">
          <a:extLst>
            <a:ext uri="{FF2B5EF4-FFF2-40B4-BE49-F238E27FC236}">
              <a16:creationId xmlns:a16="http://schemas.microsoft.com/office/drawing/2014/main" id="{00000000-0008-0000-0400-00001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190500</xdr:colOff>
      <xdr:row>80</xdr:row>
      <xdr:rowOff>90487</xdr:rowOff>
    </xdr:from>
    <xdr:to>
      <xdr:col>13</xdr:col>
      <xdr:colOff>0</xdr:colOff>
      <xdr:row>99</xdr:row>
      <xdr:rowOff>119062</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981075</xdr:colOff>
      <xdr:row>127</xdr:row>
      <xdr:rowOff>71437</xdr:rowOff>
    </xdr:from>
    <xdr:to>
      <xdr:col>6</xdr:col>
      <xdr:colOff>276225</xdr:colOff>
      <xdr:row>146</xdr:row>
      <xdr:rowOff>100012</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180975</xdr:colOff>
      <xdr:row>153</xdr:row>
      <xdr:rowOff>33337</xdr:rowOff>
    </xdr:from>
    <xdr:to>
      <xdr:col>14</xdr:col>
      <xdr:colOff>723900</xdr:colOff>
      <xdr:row>172</xdr:row>
      <xdr:rowOff>61912</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219075</xdr:colOff>
      <xdr:row>168</xdr:row>
      <xdr:rowOff>61912</xdr:rowOff>
    </xdr:from>
    <xdr:to>
      <xdr:col>13</xdr:col>
      <xdr:colOff>1228725</xdr:colOff>
      <xdr:row>187</xdr:row>
      <xdr:rowOff>90487</xdr:rowOff>
    </xdr:to>
    <xdr:graphicFrame macro="">
      <xdr:nvGraphicFramePr>
        <xdr:cNvPr id="5" name="Chart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476250</xdr:colOff>
      <xdr:row>168</xdr:row>
      <xdr:rowOff>42862</xdr:rowOff>
    </xdr:from>
    <xdr:to>
      <xdr:col>5</xdr:col>
      <xdr:colOff>809625</xdr:colOff>
      <xdr:row>187</xdr:row>
      <xdr:rowOff>71437</xdr:rowOff>
    </xdr:to>
    <xdr:graphicFrame macro="">
      <xdr:nvGraphicFramePr>
        <xdr:cNvPr id="7" name="Chart 6">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676275</xdr:colOff>
      <xdr:row>191</xdr:row>
      <xdr:rowOff>71437</xdr:rowOff>
    </xdr:from>
    <xdr:to>
      <xdr:col>12</xdr:col>
      <xdr:colOff>152400</xdr:colOff>
      <xdr:row>213</xdr:row>
      <xdr:rowOff>90487</xdr:rowOff>
    </xdr:to>
    <xdr:graphicFrame macro="">
      <xdr:nvGraphicFramePr>
        <xdr:cNvPr id="11" name="Chart 10">
          <a:extLst>
            <a:ext uri="{FF2B5EF4-FFF2-40B4-BE49-F238E27FC236}">
              <a16:creationId xmlns:a16="http://schemas.microsoft.com/office/drawing/2014/main" id="{00000000-0008-0000-04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457200</xdr:colOff>
      <xdr:row>229</xdr:row>
      <xdr:rowOff>80962</xdr:rowOff>
    </xdr:from>
    <xdr:to>
      <xdr:col>13</xdr:col>
      <xdr:colOff>266700</xdr:colOff>
      <xdr:row>248</xdr:row>
      <xdr:rowOff>109537</xdr:rowOff>
    </xdr:to>
    <xdr:graphicFrame macro="">
      <xdr:nvGraphicFramePr>
        <xdr:cNvPr id="8" name="Chart 7">
          <a:extLst>
            <a:ext uri="{FF2B5EF4-FFF2-40B4-BE49-F238E27FC236}">
              <a16:creationId xmlns:a16="http://schemas.microsoft.com/office/drawing/2014/main" id="{00000000-0008-0000-04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143388</xdr:colOff>
      <xdr:row>3</xdr:row>
      <xdr:rowOff>163871</xdr:rowOff>
    </xdr:from>
    <xdr:to>
      <xdr:col>13</xdr:col>
      <xdr:colOff>563306</xdr:colOff>
      <xdr:row>14</xdr:row>
      <xdr:rowOff>14727</xdr:rowOff>
    </xdr:to>
    <xdr:pic>
      <xdr:nvPicPr>
        <xdr:cNvPr id="4" name="Picture 3">
          <a:extLst>
            <a:ext uri="{FF2B5EF4-FFF2-40B4-BE49-F238E27FC236}">
              <a16:creationId xmlns:a16="http://schemas.microsoft.com/office/drawing/2014/main" id="{CDF24C21-8EE2-048E-69FE-F79B054FD91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916130" y="635000"/>
          <a:ext cx="3769031" cy="16534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0</xdr:colOff>
      <xdr:row>15</xdr:row>
      <xdr:rowOff>0</xdr:rowOff>
    </xdr:from>
    <xdr:to>
      <xdr:col>14</xdr:col>
      <xdr:colOff>0</xdr:colOff>
      <xdr:row>24</xdr:row>
      <xdr:rowOff>122904</xdr:rowOff>
    </xdr:to>
    <xdr:graphicFrame macro="">
      <xdr:nvGraphicFramePr>
        <xdr:cNvPr id="6" name="Chart 5">
          <a:extLst>
            <a:ext uri="{FF2B5EF4-FFF2-40B4-BE49-F238E27FC236}">
              <a16:creationId xmlns:a16="http://schemas.microsoft.com/office/drawing/2014/main" id="{AF7600CE-CA8D-43DB-A3DD-66444BABCE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34</xdr:row>
      <xdr:rowOff>20484</xdr:rowOff>
    </xdr:from>
    <xdr:to>
      <xdr:col>6</xdr:col>
      <xdr:colOff>727177</xdr:colOff>
      <xdr:row>45</xdr:row>
      <xdr:rowOff>51210</xdr:rowOff>
    </xdr:to>
    <xdr:graphicFrame macro="">
      <xdr:nvGraphicFramePr>
        <xdr:cNvPr id="10" name="Chart 9">
          <a:extLst>
            <a:ext uri="{FF2B5EF4-FFF2-40B4-BE49-F238E27FC236}">
              <a16:creationId xmlns:a16="http://schemas.microsoft.com/office/drawing/2014/main" id="{A2F2E337-E06F-4582-AEBD-86E4E5007C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313765</xdr:colOff>
      <xdr:row>26</xdr:row>
      <xdr:rowOff>11206</xdr:rowOff>
    </xdr:from>
    <xdr:to>
      <xdr:col>13</xdr:col>
      <xdr:colOff>146797</xdr:colOff>
      <xdr:row>32</xdr:row>
      <xdr:rowOff>39781</xdr:rowOff>
    </xdr:to>
    <xdr:pic>
      <xdr:nvPicPr>
        <xdr:cNvPr id="13" name="Picture 12">
          <a:extLst>
            <a:ext uri="{FF2B5EF4-FFF2-40B4-BE49-F238E27FC236}">
              <a16:creationId xmlns:a16="http://schemas.microsoft.com/office/drawing/2014/main" id="{9CBE79F8-9FFA-2730-B2F0-847719078DF8}"/>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244353" y="4101353"/>
          <a:ext cx="2959473" cy="9698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67236</xdr:colOff>
      <xdr:row>34</xdr:row>
      <xdr:rowOff>22413</xdr:rowOff>
    </xdr:from>
    <xdr:to>
      <xdr:col>13</xdr:col>
      <xdr:colOff>280148</xdr:colOff>
      <xdr:row>45</xdr:row>
      <xdr:rowOff>56031</xdr:rowOff>
    </xdr:to>
    <xdr:graphicFrame macro="">
      <xdr:nvGraphicFramePr>
        <xdr:cNvPr id="16" name="Chart 15">
          <a:extLst>
            <a:ext uri="{FF2B5EF4-FFF2-40B4-BE49-F238E27FC236}">
              <a16:creationId xmlns:a16="http://schemas.microsoft.com/office/drawing/2014/main" id="{67F8E6F2-2ADB-4118-B42D-975DE3F92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ATB CM">
      <a:dk1>
        <a:srgbClr val="000000"/>
      </a:dk1>
      <a:lt1>
        <a:sysClr val="window" lastClr="FFFFFF"/>
      </a:lt1>
      <a:dk2>
        <a:srgbClr val="63666A"/>
      </a:dk2>
      <a:lt2>
        <a:srgbClr val="C1C6C8"/>
      </a:lt2>
      <a:accent1>
        <a:srgbClr val="009CDE"/>
      </a:accent1>
      <a:accent2>
        <a:srgbClr val="005EB8"/>
      </a:accent2>
      <a:accent3>
        <a:srgbClr val="ED8B00"/>
      </a:accent3>
      <a:accent4>
        <a:srgbClr val="63666A"/>
      </a:accent4>
      <a:accent5>
        <a:srgbClr val="C6CDD1"/>
      </a:accent5>
      <a:accent6>
        <a:srgbClr val="71C5E8"/>
      </a:accent6>
      <a:hlink>
        <a:srgbClr val="005EB8"/>
      </a:hlink>
      <a:folHlink>
        <a:srgbClr val="ED8B0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hyperlink" Target="https://finance.yahoo.com/news/global-gift-cards-market-research-214500901.html" TargetMode="External"/></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heetViews>
  <sheetFormatPr defaultRowHeight="15" x14ac:dyDescent="0.25"/>
  <sheetData>
    <row r="1" spans="1:2" x14ac:dyDescent="0.25">
      <c r="B1" t="s">
        <v>109</v>
      </c>
    </row>
    <row r="2" spans="1:2" x14ac:dyDescent="0.25"/>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31"/>
  <sheetViews>
    <sheetView showGridLines="0" workbookViewId="0">
      <selection activeCell="F26" sqref="F26"/>
    </sheetView>
  </sheetViews>
  <sheetFormatPr defaultColWidth="9.140625" defaultRowHeight="16.5" x14ac:dyDescent="0.3"/>
  <cols>
    <col min="1" max="1" width="22.28515625" style="190" customWidth="1"/>
    <col min="2" max="2" width="9.140625" style="190"/>
    <col min="3" max="3" width="17.28515625" style="190" customWidth="1"/>
    <col min="4" max="4" width="8.7109375" style="190" bestFit="1" customWidth="1"/>
    <col min="5" max="5" width="6.7109375" style="190" customWidth="1"/>
    <col min="6" max="6" width="9.7109375" style="190" bestFit="1" customWidth="1"/>
    <col min="7" max="7" width="6.7109375" style="190" customWidth="1"/>
    <col min="8" max="8" width="13.42578125" style="190" customWidth="1"/>
    <col min="9" max="17" width="6.7109375" style="190" customWidth="1"/>
    <col min="18" max="16384" width="9.140625" style="190"/>
  </cols>
  <sheetData>
    <row r="1" spans="1:10" x14ac:dyDescent="0.3">
      <c r="A1" s="189"/>
    </row>
    <row r="3" spans="1:10" x14ac:dyDescent="0.3">
      <c r="A3" s="189"/>
    </row>
    <row r="5" spans="1:10" ht="18.75" x14ac:dyDescent="0.45">
      <c r="C5" s="265"/>
      <c r="D5" s="266" t="s">
        <v>347</v>
      </c>
      <c r="E5" s="267"/>
      <c r="F5" s="250" t="s">
        <v>65</v>
      </c>
      <c r="H5" s="250"/>
      <c r="I5" s="250"/>
      <c r="J5" s="250"/>
    </row>
    <row r="6" spans="1:10" x14ac:dyDescent="0.3">
      <c r="C6" s="265"/>
      <c r="D6" s="250" t="s">
        <v>64</v>
      </c>
      <c r="E6" s="268" t="s">
        <v>231</v>
      </c>
      <c r="F6" s="268" t="s">
        <v>232</v>
      </c>
      <c r="H6" s="250"/>
      <c r="I6" s="250"/>
      <c r="J6" s="250"/>
    </row>
    <row r="7" spans="1:10" ht="4.9000000000000004" customHeight="1" x14ac:dyDescent="0.3">
      <c r="C7" s="195"/>
      <c r="D7" s="196"/>
      <c r="E7" s="196"/>
      <c r="F7" s="196"/>
      <c r="H7" s="196"/>
      <c r="I7" s="196"/>
      <c r="J7" s="196"/>
    </row>
    <row r="8" spans="1:10" x14ac:dyDescent="0.3">
      <c r="C8" s="192" t="s">
        <v>66</v>
      </c>
      <c r="D8" s="193">
        <f>Model!X43</f>
        <v>19.640999999999998</v>
      </c>
      <c r="E8" s="193">
        <v>19.9465</v>
      </c>
      <c r="F8" s="193">
        <f>D8-E8</f>
        <v>-0.3055000000000021</v>
      </c>
      <c r="H8" s="193"/>
      <c r="I8" s="193"/>
      <c r="J8" s="193"/>
    </row>
    <row r="9" spans="1:10" x14ac:dyDescent="0.3">
      <c r="C9" s="338" t="s">
        <v>304</v>
      </c>
      <c r="D9" s="193">
        <f>Model!X46</f>
        <v>13.571999999999997</v>
      </c>
      <c r="E9" s="193">
        <v>14.451385044341587</v>
      </c>
      <c r="F9" s="193">
        <f>D9-E9</f>
        <v>-0.87938504434158915</v>
      </c>
      <c r="H9" s="193"/>
      <c r="I9" s="193"/>
      <c r="J9" s="193"/>
    </row>
    <row r="10" spans="1:10" x14ac:dyDescent="0.3">
      <c r="C10" s="339" t="s">
        <v>234</v>
      </c>
      <c r="D10" s="194">
        <f>D9/D8</f>
        <v>0.69100351305941643</v>
      </c>
      <c r="E10" s="194">
        <v>0.7245073092693749</v>
      </c>
      <c r="F10" s="194">
        <f>D10-E10</f>
        <v>-3.350379620995847E-2</v>
      </c>
      <c r="H10" s="194"/>
      <c r="I10" s="194"/>
      <c r="J10" s="194"/>
    </row>
    <row r="11" spans="1:10" x14ac:dyDescent="0.3">
      <c r="C11" s="338" t="s">
        <v>305</v>
      </c>
      <c r="D11" s="193">
        <f>Model!X56</f>
        <v>1.3360000000000001</v>
      </c>
      <c r="E11" s="193">
        <v>1.9513850443415865</v>
      </c>
      <c r="F11" s="193">
        <f>D11-E11</f>
        <v>-0.61538504434158647</v>
      </c>
      <c r="H11" s="193"/>
      <c r="I11" s="193"/>
      <c r="J11" s="193"/>
    </row>
    <row r="12" spans="1:10" ht="5.0999999999999996" customHeight="1" x14ac:dyDescent="0.3">
      <c r="C12" s="191"/>
      <c r="D12" s="191"/>
      <c r="E12" s="191"/>
      <c r="F12" s="191"/>
      <c r="G12" s="191"/>
      <c r="H12" s="191"/>
      <c r="I12" s="191"/>
      <c r="J12" s="191"/>
    </row>
    <row r="13" spans="1:10" ht="5.0999999999999996" customHeight="1" x14ac:dyDescent="0.3">
      <c r="C13" s="251"/>
      <c r="D13" s="251"/>
      <c r="E13" s="251"/>
      <c r="F13" s="251"/>
      <c r="G13" s="251"/>
      <c r="H13" s="251"/>
      <c r="I13" s="251"/>
      <c r="J13" s="251"/>
    </row>
    <row r="23" spans="3:9" ht="18.75" x14ac:dyDescent="0.45">
      <c r="C23" s="247"/>
      <c r="D23" s="248" t="s">
        <v>157</v>
      </c>
      <c r="E23" s="249"/>
      <c r="F23" s="340" t="s">
        <v>202</v>
      </c>
      <c r="G23" s="249"/>
      <c r="H23" s="340" t="s">
        <v>203</v>
      </c>
      <c r="I23" s="249"/>
    </row>
    <row r="24" spans="3:9" x14ac:dyDescent="0.3">
      <c r="C24" s="247"/>
      <c r="D24" s="250" t="s">
        <v>67</v>
      </c>
      <c r="E24" s="250" t="s">
        <v>68</v>
      </c>
      <c r="F24" s="250" t="s">
        <v>67</v>
      </c>
      <c r="G24" s="250" t="s">
        <v>68</v>
      </c>
      <c r="H24" s="250" t="s">
        <v>67</v>
      </c>
      <c r="I24" s="250" t="s">
        <v>68</v>
      </c>
    </row>
    <row r="25" spans="3:9" ht="4.9000000000000004" customHeight="1" x14ac:dyDescent="0.3">
      <c r="C25" s="195"/>
      <c r="D25" s="197"/>
      <c r="E25" s="197"/>
      <c r="F25" s="197"/>
      <c r="G25" s="197"/>
      <c r="H25" s="197"/>
      <c r="I25" s="197"/>
    </row>
    <row r="26" spans="3:9" x14ac:dyDescent="0.3">
      <c r="C26" s="192" t="s">
        <v>66</v>
      </c>
      <c r="D26" s="198">
        <f>Model!AH43</f>
        <v>75.092150000000004</v>
      </c>
      <c r="E26" s="202">
        <v>79.145499999999998</v>
      </c>
      <c r="F26" s="198">
        <f>Model!AI43</f>
        <v>77.344914500000002</v>
      </c>
      <c r="G26" s="202">
        <v>83.28805791799499</v>
      </c>
      <c r="H26" s="198">
        <f>Model!AJ43</f>
        <v>79.665261935000004</v>
      </c>
      <c r="I26" s="202">
        <v>87.770799783389293</v>
      </c>
    </row>
    <row r="27" spans="3:9" x14ac:dyDescent="0.3">
      <c r="C27" s="338" t="s">
        <v>233</v>
      </c>
      <c r="D27" s="198">
        <f>Model!AH46</f>
        <v>54.775476950687057</v>
      </c>
      <c r="E27" s="202">
        <v>56.684662947461263</v>
      </c>
      <c r="F27" s="198">
        <f>Model!AI46</f>
        <v>58.336920202856511</v>
      </c>
      <c r="G27" s="202">
        <v>59.254057558163161</v>
      </c>
      <c r="H27" s="198">
        <f>Model!AJ46</f>
        <v>61.841248765166057</v>
      </c>
      <c r="I27" s="202">
        <v>62.037499162600938</v>
      </c>
    </row>
    <row r="28" spans="3:9" x14ac:dyDescent="0.3">
      <c r="C28" s="339" t="s">
        <v>234</v>
      </c>
      <c r="D28" s="199">
        <f t="shared" ref="D28:H28" si="0">D27/D26</f>
        <v>0.72944344982381049</v>
      </c>
      <c r="E28" s="203">
        <v>0.71620828660456082</v>
      </c>
      <c r="F28" s="199">
        <f t="shared" si="0"/>
        <v>0.75424377387936103</v>
      </c>
      <c r="G28" s="203">
        <v>0.71143521699718837</v>
      </c>
      <c r="H28" s="199">
        <f t="shared" si="0"/>
        <v>0.77626367205850888</v>
      </c>
      <c r="I28" s="203">
        <v>0.70681250843907195</v>
      </c>
    </row>
    <row r="29" spans="3:9" x14ac:dyDescent="0.3">
      <c r="C29" s="338" t="s">
        <v>235</v>
      </c>
      <c r="D29" s="198">
        <f>Model!AH54</f>
        <v>9.720186950687058</v>
      </c>
      <c r="E29" s="202">
        <v>6.933662947461265</v>
      </c>
      <c r="F29" s="198">
        <f>Model!AI54</f>
        <v>12.316696075356511</v>
      </c>
      <c r="G29" s="202">
        <v>8.50803755816316</v>
      </c>
      <c r="H29" s="198">
        <f>Model!AJ54</f>
        <v>14.838744223516059</v>
      </c>
      <c r="I29" s="202">
        <v>10.276558762600935</v>
      </c>
    </row>
    <row r="30" spans="3:9" ht="5.0999999999999996" customHeight="1" x14ac:dyDescent="0.3">
      <c r="C30" s="191"/>
      <c r="D30" s="191"/>
      <c r="E30" s="191"/>
      <c r="F30" s="191"/>
      <c r="G30" s="191"/>
      <c r="H30" s="191"/>
      <c r="I30" s="191"/>
    </row>
    <row r="31" spans="3:9" ht="5.0999999999999996" customHeight="1" x14ac:dyDescent="0.3">
      <c r="C31" s="251"/>
      <c r="D31" s="251"/>
      <c r="E31" s="251"/>
      <c r="F31" s="251"/>
      <c r="G31" s="251"/>
      <c r="H31" s="251"/>
      <c r="I31" s="251"/>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307C1-B1EE-4ED8-9CD8-1E31C5474EA4}">
  <dimension ref="A1:F1"/>
  <sheetViews>
    <sheetView workbookViewId="0"/>
  </sheetViews>
  <sheetFormatPr defaultRowHeight="15" x14ac:dyDescent="0.25"/>
  <sheetData>
    <row r="1" spans="1:6" x14ac:dyDescent="0.25">
      <c r="A1">
        <v>6</v>
      </c>
      <c r="B1" t="s">
        <v>350</v>
      </c>
      <c r="C1" t="s">
        <v>351</v>
      </c>
      <c r="D1" t="s">
        <v>352</v>
      </c>
      <c r="E1" t="s">
        <v>353</v>
      </c>
      <c r="F1" t="s">
        <v>354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P54"/>
  <sheetViews>
    <sheetView showGridLines="0" zoomScale="85" zoomScaleNormal="85" workbookViewId="0">
      <selection activeCell="Q40" sqref="Q40"/>
    </sheetView>
  </sheetViews>
  <sheetFormatPr defaultColWidth="9.140625" defaultRowHeight="12.75" x14ac:dyDescent="0.25"/>
  <cols>
    <col min="1" max="1" width="9.140625" style="2"/>
    <col min="2" max="2" width="13.28515625" style="2" customWidth="1"/>
    <col min="3" max="3" width="12.28515625" style="2" customWidth="1"/>
    <col min="4" max="6" width="8.5703125" style="2" customWidth="1"/>
    <col min="7" max="7" width="11" style="2" customWidth="1"/>
    <col min="8" max="8" width="2.7109375" style="2" customWidth="1"/>
    <col min="9" max="9" width="9.140625" style="2"/>
    <col min="10" max="10" width="10.5703125" style="2" customWidth="1"/>
    <col min="11" max="16384" width="9.140625" style="2"/>
  </cols>
  <sheetData>
    <row r="3" spans="2:14" ht="11.25" customHeight="1" x14ac:dyDescent="0.25"/>
    <row r="4" spans="2:14" ht="14.25" x14ac:dyDescent="0.25">
      <c r="B4" s="255" t="s">
        <v>112</v>
      </c>
      <c r="C4" s="255"/>
      <c r="D4" s="256">
        <v>2022</v>
      </c>
      <c r="E4" s="262">
        <f>Model!AH1</f>
        <v>2023</v>
      </c>
      <c r="F4" s="262">
        <f>Model!AI1</f>
        <v>2024</v>
      </c>
      <c r="G4" s="262">
        <f>Model!AJ1</f>
        <v>2025</v>
      </c>
      <c r="H4" s="23"/>
      <c r="I4" s="255" t="s">
        <v>307</v>
      </c>
      <c r="J4" s="255"/>
      <c r="K4" s="256"/>
      <c r="L4" s="262"/>
      <c r="M4" s="262"/>
      <c r="N4" s="262"/>
    </row>
    <row r="5" spans="2:14" x14ac:dyDescent="0.25">
      <c r="B5" s="8" t="s">
        <v>62</v>
      </c>
      <c r="C5" s="8"/>
      <c r="D5" s="9">
        <f>Model!AG43</f>
        <v>72.905000000000001</v>
      </c>
      <c r="E5" s="9">
        <f>Model!AH43</f>
        <v>75.092150000000004</v>
      </c>
      <c r="F5" s="9">
        <f>Model!AI43</f>
        <v>77.344914500000002</v>
      </c>
      <c r="G5" s="9">
        <f>Model!AJ43</f>
        <v>79.665261935000004</v>
      </c>
      <c r="H5" s="4"/>
      <c r="I5" s="20"/>
      <c r="J5" s="20"/>
      <c r="K5" s="21"/>
      <c r="L5" s="21"/>
      <c r="M5" s="21"/>
      <c r="N5" s="21"/>
    </row>
    <row r="6" spans="2:14" x14ac:dyDescent="0.25">
      <c r="B6" s="10" t="s">
        <v>113</v>
      </c>
      <c r="C6" s="10"/>
      <c r="D6" s="11">
        <f>D5-D7</f>
        <v>22.974999999999994</v>
      </c>
      <c r="E6" s="11">
        <f>E5-E7</f>
        <v>20.316673049312946</v>
      </c>
      <c r="F6" s="11">
        <f>F5-F7</f>
        <v>19.00799429714349</v>
      </c>
      <c r="G6" s="11">
        <f>G5-G7</f>
        <v>17.824013169833947</v>
      </c>
      <c r="H6" s="4"/>
      <c r="I6" s="388"/>
      <c r="J6" s="388"/>
      <c r="K6" s="21"/>
      <c r="L6" s="21"/>
      <c r="M6" s="21"/>
      <c r="N6" s="21"/>
    </row>
    <row r="7" spans="2:14" x14ac:dyDescent="0.25">
      <c r="B7" s="8" t="s">
        <v>63</v>
      </c>
      <c r="C7" s="8"/>
      <c r="D7" s="9">
        <f>Model!AG46</f>
        <v>49.930000000000007</v>
      </c>
      <c r="E7" s="9">
        <f>Model!AH46</f>
        <v>54.775476950687057</v>
      </c>
      <c r="F7" s="9">
        <f>Model!AI46</f>
        <v>58.336920202856511</v>
      </c>
      <c r="G7" s="9">
        <f>Model!AJ46</f>
        <v>61.841248765166057</v>
      </c>
      <c r="H7" s="4"/>
      <c r="I7" s="20"/>
      <c r="J7" s="20"/>
      <c r="K7" s="21"/>
      <c r="L7" s="21"/>
      <c r="M7" s="21"/>
      <c r="N7" s="21"/>
    </row>
    <row r="8" spans="2:14" x14ac:dyDescent="0.25">
      <c r="B8" s="259" t="s">
        <v>114</v>
      </c>
      <c r="C8" s="260"/>
      <c r="D8" s="261">
        <f>IFERROR(D7/D$5,"-")</f>
        <v>0.68486386393251497</v>
      </c>
      <c r="E8" s="261">
        <f>IFERROR(E7/E$5,"-")</f>
        <v>0.72944344982381049</v>
      </c>
      <c r="F8" s="261">
        <f>IFERROR(F7/F$5,"-")</f>
        <v>0.75424377387936103</v>
      </c>
      <c r="G8" s="261">
        <f>IFERROR(G7/G$5,"-")</f>
        <v>0.77626367205850888</v>
      </c>
      <c r="H8" s="4"/>
      <c r="I8" s="385"/>
      <c r="J8" s="386"/>
      <c r="K8" s="387"/>
      <c r="L8" s="387"/>
      <c r="M8" s="387"/>
      <c r="N8" s="387"/>
    </row>
    <row r="9" spans="2:14" x14ac:dyDescent="0.25">
      <c r="B9" s="12" t="s">
        <v>115</v>
      </c>
      <c r="C9" s="12"/>
      <c r="D9" s="11">
        <f>-D10+D7</f>
        <v>54.073000000000008</v>
      </c>
      <c r="E9" s="11">
        <f>-E10+E7</f>
        <v>50.686453877461751</v>
      </c>
      <c r="F9" s="11">
        <f>-F10+F7</f>
        <v>50.190357871629274</v>
      </c>
      <c r="G9" s="11">
        <f>-G10+G7</f>
        <v>50.265288650562113</v>
      </c>
      <c r="H9" s="4"/>
      <c r="I9" s="20"/>
      <c r="J9" s="20"/>
      <c r="K9" s="21"/>
      <c r="L9" s="21"/>
      <c r="M9" s="21"/>
      <c r="N9" s="21"/>
    </row>
    <row r="10" spans="2:14" x14ac:dyDescent="0.25">
      <c r="B10" s="13" t="s">
        <v>116</v>
      </c>
      <c r="C10" s="13"/>
      <c r="D10" s="9">
        <f>Model!AG65</f>
        <v>-4.1429999999999998</v>
      </c>
      <c r="E10" s="9">
        <f>Model!AH65</f>
        <v>4.0890230732253032</v>
      </c>
      <c r="F10" s="9">
        <f>Model!AI65</f>
        <v>8.1465623312272335</v>
      </c>
      <c r="G10" s="9">
        <f>Model!AJ65</f>
        <v>11.575960114603948</v>
      </c>
      <c r="H10" s="4"/>
      <c r="I10" s="388"/>
      <c r="J10" s="388"/>
      <c r="K10" s="21"/>
      <c r="L10" s="21"/>
      <c r="M10" s="21"/>
      <c r="N10" s="21"/>
    </row>
    <row r="11" spans="2:14" x14ac:dyDescent="0.25">
      <c r="B11" s="14" t="s">
        <v>117</v>
      </c>
      <c r="C11" s="14"/>
      <c r="D11" s="15" t="str">
        <f>IF(D10&lt;0,"-",D10/D$5)</f>
        <v>-</v>
      </c>
      <c r="E11" s="15">
        <f>IF(E10&lt;0,"-",E10/E$5)</f>
        <v>5.445340256238905E-2</v>
      </c>
      <c r="F11" s="15">
        <f>IF(F10&lt;0,"-",F10/F$5)</f>
        <v>0.10532770491623251</v>
      </c>
      <c r="G11" s="15">
        <f>IF(G10&lt;0,"-",G10/G$5)</f>
        <v>0.14530750082826482</v>
      </c>
      <c r="H11" s="4"/>
      <c r="I11" s="14"/>
      <c r="J11" s="14"/>
      <c r="K11" s="390"/>
      <c r="L11" s="390"/>
      <c r="M11" s="390"/>
      <c r="N11" s="390"/>
    </row>
    <row r="12" spans="2:14" x14ac:dyDescent="0.25">
      <c r="B12" s="8" t="s">
        <v>58</v>
      </c>
      <c r="C12" s="8"/>
      <c r="D12" s="9">
        <f>Model!AG54</f>
        <v>6.1560000000000077</v>
      </c>
      <c r="E12" s="9">
        <f>Model!AH54</f>
        <v>9.720186950687058</v>
      </c>
      <c r="F12" s="9">
        <f>Model!AI54</f>
        <v>12.316696075356511</v>
      </c>
      <c r="G12" s="9">
        <f>Model!AJ54</f>
        <v>14.838744223516059</v>
      </c>
      <c r="H12" s="4"/>
      <c r="I12" s="20"/>
      <c r="J12" s="20"/>
      <c r="K12" s="21"/>
      <c r="L12" s="21"/>
      <c r="M12" s="21"/>
      <c r="N12" s="21"/>
    </row>
    <row r="13" spans="2:14" x14ac:dyDescent="0.25">
      <c r="B13" s="16" t="s">
        <v>118</v>
      </c>
      <c r="C13" s="16"/>
      <c r="D13" s="17">
        <f>Model!AG82</f>
        <v>-5.3260000000000023</v>
      </c>
      <c r="E13" s="17">
        <f>Model!AH82</f>
        <v>-0.82941182599844288</v>
      </c>
      <c r="F13" s="17">
        <f>Model!AI82</f>
        <v>5.3556076849724157</v>
      </c>
      <c r="G13" s="17">
        <f>Model!AJ82</f>
        <v>7.8590680668374171</v>
      </c>
      <c r="H13" s="4"/>
      <c r="I13" s="389"/>
      <c r="J13" s="389"/>
      <c r="K13" s="22"/>
      <c r="L13" s="22"/>
      <c r="M13" s="22"/>
      <c r="N13" s="22"/>
    </row>
    <row r="14" spans="2:14" ht="11.25" customHeight="1" x14ac:dyDescent="0.25">
      <c r="H14" s="4"/>
      <c r="I14" s="132"/>
      <c r="J14" s="132"/>
      <c r="K14" s="132"/>
      <c r="L14" s="132"/>
      <c r="M14" s="132"/>
      <c r="N14" s="132"/>
    </row>
    <row r="15" spans="2:14" ht="11.25" customHeight="1" x14ac:dyDescent="0.25">
      <c r="B15" s="255" t="s">
        <v>119</v>
      </c>
      <c r="C15" s="255"/>
      <c r="D15" s="256">
        <f>D4</f>
        <v>2022</v>
      </c>
      <c r="E15" s="262">
        <f>E4</f>
        <v>2023</v>
      </c>
      <c r="F15" s="262">
        <f>F4</f>
        <v>2024</v>
      </c>
      <c r="G15" s="262">
        <f>G4</f>
        <v>2025</v>
      </c>
      <c r="H15" s="4"/>
      <c r="I15" s="255" t="s">
        <v>311</v>
      </c>
      <c r="J15" s="255"/>
      <c r="K15" s="256"/>
      <c r="L15" s="256"/>
      <c r="M15" s="256"/>
      <c r="N15" s="256"/>
    </row>
    <row r="16" spans="2:14" x14ac:dyDescent="0.25">
      <c r="B16" s="8" t="s">
        <v>120</v>
      </c>
      <c r="C16" s="8"/>
      <c r="D16" s="9">
        <f>Model!AG91</f>
        <v>24.431000000000001</v>
      </c>
      <c r="E16" s="9">
        <f>Model!AH91</f>
        <v>25.474921981601355</v>
      </c>
      <c r="F16" s="9">
        <f>Model!AI91</f>
        <v>32.146884146210972</v>
      </c>
      <c r="G16" s="9">
        <f>Model!AJ91</f>
        <v>40.44597329383123</v>
      </c>
      <c r="H16" s="4"/>
      <c r="I16" s="8"/>
      <c r="J16" s="8"/>
      <c r="K16" s="9"/>
      <c r="L16" s="9"/>
      <c r="M16" s="9"/>
      <c r="N16" s="9"/>
    </row>
    <row r="17" spans="2:16" x14ac:dyDescent="0.25">
      <c r="B17" s="8" t="s">
        <v>16</v>
      </c>
      <c r="C17" s="8"/>
      <c r="D17" s="9">
        <f>Model!AG92</f>
        <v>4.1050000000000004</v>
      </c>
      <c r="E17" s="9">
        <f>Model!AH92</f>
        <v>3.6300301574506935</v>
      </c>
      <c r="F17" s="9">
        <f>Model!AI92</f>
        <v>3.3962052922643768</v>
      </c>
      <c r="G17" s="9">
        <f>Model!AJ92</f>
        <v>3.1846604597244128</v>
      </c>
      <c r="H17" s="4"/>
      <c r="I17" s="8"/>
      <c r="J17" s="8"/>
      <c r="K17" s="9"/>
      <c r="L17" s="9"/>
      <c r="M17" s="9"/>
      <c r="N17" s="9"/>
    </row>
    <row r="18" spans="2:16" x14ac:dyDescent="0.25">
      <c r="B18" s="8" t="s">
        <v>80</v>
      </c>
      <c r="C18" s="8"/>
      <c r="D18" s="9" t="e">
        <f>Model!#REF!</f>
        <v>#REF!</v>
      </c>
      <c r="E18" s="9" t="e">
        <f>Model!#REF!</f>
        <v>#REF!</v>
      </c>
      <c r="F18" s="9" t="e">
        <f>Model!#REF!</f>
        <v>#REF!</v>
      </c>
      <c r="G18" s="9" t="e">
        <f>Model!#REF!</f>
        <v>#REF!</v>
      </c>
      <c r="H18" s="4"/>
      <c r="I18" s="8"/>
      <c r="J18" s="8"/>
      <c r="K18" s="9"/>
      <c r="L18" s="9"/>
      <c r="M18" s="9"/>
      <c r="N18" s="9"/>
    </row>
    <row r="19" spans="2:16" x14ac:dyDescent="0.25">
      <c r="B19" s="12" t="s">
        <v>93</v>
      </c>
      <c r="C19" s="12"/>
      <c r="D19" s="18" t="e">
        <f>D20-D18-D17-D16</f>
        <v>#REF!</v>
      </c>
      <c r="E19" s="18" t="e">
        <f>E20-E18-E17-E16</f>
        <v>#REF!</v>
      </c>
      <c r="F19" s="18" t="e">
        <f>F20-F18-F17-F16</f>
        <v>#REF!</v>
      </c>
      <c r="G19" s="18" t="e">
        <f>G20-G18-G17-G16</f>
        <v>#REF!</v>
      </c>
      <c r="H19" s="4"/>
      <c r="I19" s="8"/>
      <c r="J19" s="8"/>
      <c r="K19" s="391"/>
      <c r="L19" s="391"/>
      <c r="M19" s="391"/>
      <c r="N19" s="391"/>
    </row>
    <row r="20" spans="2:16" x14ac:dyDescent="0.25">
      <c r="B20" s="19" t="s">
        <v>20</v>
      </c>
      <c r="C20" s="19"/>
      <c r="D20" s="17">
        <f>Model!AG105</f>
        <v>82.052999999999997</v>
      </c>
      <c r="E20" s="17">
        <f>Model!AH105</f>
        <v>78.857648261590285</v>
      </c>
      <c r="F20" s="17">
        <f>Model!AI105</f>
        <v>83.048517616884311</v>
      </c>
      <c r="G20" s="17">
        <f>Model!AJ105</f>
        <v>89.853829597052496</v>
      </c>
      <c r="H20" s="4"/>
      <c r="I20" s="19"/>
      <c r="J20" s="19"/>
      <c r="K20" s="17"/>
      <c r="L20" s="17"/>
      <c r="M20" s="17"/>
      <c r="N20" s="17"/>
    </row>
    <row r="21" spans="2:16" x14ac:dyDescent="0.25">
      <c r="B21" s="8" t="s">
        <v>121</v>
      </c>
      <c r="C21" s="8"/>
      <c r="D21" s="9">
        <f>Model!AG110</f>
        <v>26.004000000000001</v>
      </c>
      <c r="E21" s="9">
        <f>Model!AH110</f>
        <v>23.638060087588737</v>
      </c>
      <c r="F21" s="9">
        <f>Model!AI110</f>
        <v>22.473321757910345</v>
      </c>
      <c r="G21" s="9">
        <f>Model!AJ110</f>
        <v>21.419565671241116</v>
      </c>
      <c r="H21" s="4"/>
      <c r="I21" s="8"/>
      <c r="J21" s="8"/>
      <c r="K21" s="9"/>
      <c r="L21" s="9"/>
      <c r="M21" s="9"/>
      <c r="N21" s="9"/>
    </row>
    <row r="22" spans="2:16" x14ac:dyDescent="0.25">
      <c r="B22" s="12" t="s">
        <v>122</v>
      </c>
      <c r="C22" s="12"/>
      <c r="D22" s="18">
        <f>D23-D21</f>
        <v>9.0010000000000012</v>
      </c>
      <c r="E22" s="18">
        <f>E23-E21</f>
        <v>9.0010000000000012</v>
      </c>
      <c r="F22" s="18">
        <f>F23-F21</f>
        <v>9.0010000000000012</v>
      </c>
      <c r="G22" s="18">
        <f>G23-G21</f>
        <v>9.0009999999999977</v>
      </c>
      <c r="H22" s="4"/>
      <c r="I22" s="8"/>
      <c r="J22" s="8"/>
      <c r="K22" s="391"/>
      <c r="L22" s="391"/>
      <c r="M22" s="391"/>
      <c r="N22" s="391"/>
    </row>
    <row r="23" spans="2:16" x14ac:dyDescent="0.25">
      <c r="B23" s="19" t="s">
        <v>27</v>
      </c>
      <c r="C23" s="19"/>
      <c r="D23" s="17">
        <f>Model!AG114</f>
        <v>35.005000000000003</v>
      </c>
      <c r="E23" s="17">
        <f>Model!AH114</f>
        <v>32.639060087588739</v>
      </c>
      <c r="F23" s="17">
        <f>Model!AI114</f>
        <v>31.474321757910346</v>
      </c>
      <c r="G23" s="17">
        <f>Model!AJ114</f>
        <v>30.420565671241114</v>
      </c>
      <c r="H23" s="4"/>
      <c r="I23" s="19"/>
      <c r="J23" s="19"/>
      <c r="K23" s="17"/>
      <c r="L23" s="17"/>
      <c r="M23" s="17"/>
      <c r="N23" s="17"/>
    </row>
    <row r="24" spans="2:16" x14ac:dyDescent="0.25">
      <c r="B24" s="8" t="s">
        <v>124</v>
      </c>
      <c r="C24" s="8"/>
      <c r="D24" s="9">
        <f>Model!AG119</f>
        <v>47.048000000000002</v>
      </c>
      <c r="E24" s="9">
        <f>Model!AH119</f>
        <v>46.218588174001553</v>
      </c>
      <c r="F24" s="9">
        <f>Model!AI119</f>
        <v>51.574195858973972</v>
      </c>
      <c r="G24" s="9">
        <f>Model!AJ119</f>
        <v>59.433263925811389</v>
      </c>
      <c r="H24" s="4"/>
      <c r="I24" s="8"/>
      <c r="J24" s="8"/>
      <c r="K24" s="9"/>
      <c r="L24" s="9"/>
      <c r="M24" s="9"/>
      <c r="N24" s="9"/>
      <c r="P24" s="369"/>
    </row>
    <row r="25" spans="2:16" x14ac:dyDescent="0.25">
      <c r="H25" s="4"/>
      <c r="P25" s="369"/>
    </row>
    <row r="26" spans="2:16" ht="14.25" x14ac:dyDescent="0.25">
      <c r="B26" s="255" t="s">
        <v>147</v>
      </c>
      <c r="C26" s="255"/>
      <c r="D26" s="256">
        <f>D15</f>
        <v>2022</v>
      </c>
      <c r="E26" s="262">
        <f>E15</f>
        <v>2023</v>
      </c>
      <c r="F26" s="262">
        <f>F15</f>
        <v>2024</v>
      </c>
      <c r="G26" s="262">
        <f>G15</f>
        <v>2025</v>
      </c>
      <c r="I26" s="255" t="s">
        <v>309</v>
      </c>
      <c r="J26" s="255"/>
      <c r="K26" s="256"/>
      <c r="L26" s="256"/>
      <c r="M26" s="256"/>
      <c r="N26" s="256"/>
    </row>
    <row r="27" spans="2:16" x14ac:dyDescent="0.25">
      <c r="B27" s="8" t="s">
        <v>131</v>
      </c>
      <c r="C27" s="8"/>
      <c r="D27" s="9">
        <f>Model!AG131-Model!AG129</f>
        <v>-2.3630000000000031</v>
      </c>
      <c r="E27" s="9">
        <f>Model!AH131-Model!AH129</f>
        <v>4.8017520514633123</v>
      </c>
      <c r="F27" s="9">
        <f>Model!AI131-Model!AI129</f>
        <v>9.5257414291016929</v>
      </c>
      <c r="G27" s="9">
        <f>Model!AJ131-Model!AJ129</f>
        <v>11.121852175749527</v>
      </c>
      <c r="J27" s="8"/>
      <c r="K27" s="9"/>
      <c r="L27" s="9"/>
      <c r="M27" s="9"/>
      <c r="N27" s="9"/>
    </row>
    <row r="28" spans="2:16" x14ac:dyDescent="0.25">
      <c r="B28" s="12" t="s">
        <v>132</v>
      </c>
      <c r="C28" s="12"/>
      <c r="D28" s="11">
        <f>Model!AG129</f>
        <v>2.3630000000000031</v>
      </c>
      <c r="E28" s="11">
        <f>Model!AH129</f>
        <v>-2.2633000698619568</v>
      </c>
      <c r="F28" s="11">
        <f>Model!AI129</f>
        <v>-1.3144133644920748</v>
      </c>
      <c r="G28" s="11">
        <f>Model!AJ129</f>
        <v>-1.2372161511292656</v>
      </c>
      <c r="I28" s="8"/>
      <c r="J28" s="8"/>
      <c r="K28" s="9"/>
      <c r="L28" s="9"/>
      <c r="M28" s="9"/>
      <c r="N28" s="9"/>
    </row>
    <row r="29" spans="2:16" x14ac:dyDescent="0.25">
      <c r="B29" s="8" t="s">
        <v>123</v>
      </c>
      <c r="C29" s="8"/>
      <c r="D29" s="9">
        <f>D27+D28</f>
        <v>0</v>
      </c>
      <c r="E29" s="9">
        <f>E27+E28</f>
        <v>2.5384519816013555</v>
      </c>
      <c r="F29" s="9">
        <f>F27+F28</f>
        <v>8.2113280646096172</v>
      </c>
      <c r="G29" s="9">
        <f>G27+G28</f>
        <v>9.8846360246202618</v>
      </c>
      <c r="I29" s="8"/>
      <c r="J29" s="8"/>
      <c r="K29" s="9"/>
      <c r="L29" s="9"/>
      <c r="M29" s="9"/>
      <c r="N29" s="9"/>
    </row>
    <row r="30" spans="2:16" x14ac:dyDescent="0.25">
      <c r="B30" s="8" t="s">
        <v>101</v>
      </c>
      <c r="C30" s="8"/>
      <c r="D30" s="9">
        <f>Model!AG142</f>
        <v>-15.975</v>
      </c>
      <c r="E30" s="9">
        <f>Model!AH142</f>
        <v>-1.4945300000000001</v>
      </c>
      <c r="F30" s="9">
        <f>Model!AI142</f>
        <v>-1.5393659000000002</v>
      </c>
      <c r="G30" s="9">
        <f>Model!AJ142</f>
        <v>-1.5855468770000003</v>
      </c>
      <c r="I30" s="8"/>
      <c r="J30" s="8"/>
      <c r="K30" s="9"/>
      <c r="L30" s="9"/>
      <c r="M30" s="9"/>
      <c r="N30" s="9"/>
    </row>
    <row r="31" spans="2:16" x14ac:dyDescent="0.25">
      <c r="B31" s="12" t="s">
        <v>125</v>
      </c>
      <c r="C31" s="12"/>
      <c r="D31" s="11">
        <f>Model!AG150</f>
        <v>-1.8420000000000005</v>
      </c>
      <c r="E31" s="11">
        <f>Model!AH150</f>
        <v>0</v>
      </c>
      <c r="F31" s="11">
        <f>Model!AI150</f>
        <v>0</v>
      </c>
      <c r="G31" s="11">
        <f>Model!AJ150</f>
        <v>0</v>
      </c>
      <c r="I31" s="8"/>
      <c r="J31" s="8"/>
      <c r="K31" s="9"/>
      <c r="L31" s="9"/>
      <c r="M31" s="9"/>
      <c r="N31" s="9"/>
    </row>
    <row r="32" spans="2:16" x14ac:dyDescent="0.25">
      <c r="B32" s="19" t="s">
        <v>126</v>
      </c>
      <c r="C32" s="19"/>
      <c r="D32" s="17">
        <f>D29+D30+D31</f>
        <v>-17.817</v>
      </c>
      <c r="E32" s="17">
        <f>E29+E30+E31</f>
        <v>1.0439219816013554</v>
      </c>
      <c r="F32" s="17">
        <f>F29+F30+F31</f>
        <v>6.6719621646096172</v>
      </c>
      <c r="G32" s="17">
        <f>G29+G30+G31</f>
        <v>8.2990891476202613</v>
      </c>
      <c r="I32" s="19"/>
      <c r="J32" s="19"/>
      <c r="K32" s="17"/>
      <c r="L32" s="17"/>
      <c r="M32" s="17"/>
      <c r="N32" s="17"/>
    </row>
    <row r="33" spans="2:14" ht="5.0999999999999996" customHeight="1" x14ac:dyDescent="0.25"/>
    <row r="34" spans="2:14" ht="11.25" customHeight="1" x14ac:dyDescent="0.25">
      <c r="B34" s="255" t="s">
        <v>308</v>
      </c>
      <c r="C34" s="255"/>
      <c r="D34" s="257"/>
      <c r="E34" s="257"/>
      <c r="F34" s="257"/>
      <c r="G34" s="257"/>
      <c r="I34" s="255" t="s">
        <v>349</v>
      </c>
      <c r="J34" s="255"/>
      <c r="K34" s="257"/>
      <c r="L34" s="257"/>
      <c r="M34" s="257"/>
      <c r="N34" s="257"/>
    </row>
    <row r="47" spans="2:14" ht="14.25" x14ac:dyDescent="0.25">
      <c r="B47" s="283" t="s">
        <v>191</v>
      </c>
      <c r="C47" s="284"/>
      <c r="D47" s="263"/>
      <c r="E47" s="263"/>
      <c r="F47" s="263"/>
      <c r="G47" s="263"/>
      <c r="H47" s="5"/>
      <c r="I47" s="283" t="s">
        <v>192</v>
      </c>
      <c r="J47" s="284"/>
      <c r="K47" s="263"/>
      <c r="L47" s="263"/>
      <c r="M47" s="263"/>
      <c r="N47" s="263"/>
    </row>
    <row r="48" spans="2:14" x14ac:dyDescent="0.25">
      <c r="B48" s="2" t="s">
        <v>292</v>
      </c>
      <c r="I48" s="2" t="s">
        <v>288</v>
      </c>
    </row>
    <row r="49" spans="1:14" x14ac:dyDescent="0.25">
      <c r="A49" s="132"/>
      <c r="B49" s="132" t="s">
        <v>294</v>
      </c>
      <c r="C49" s="132"/>
      <c r="D49" s="132"/>
      <c r="E49" s="132"/>
      <c r="F49" s="132"/>
      <c r="G49" s="132"/>
      <c r="I49" s="132" t="s">
        <v>289</v>
      </c>
      <c r="J49" s="132"/>
      <c r="K49" s="132"/>
      <c r="L49" s="132"/>
      <c r="M49" s="132"/>
      <c r="N49" s="132"/>
    </row>
    <row r="50" spans="1:14" x14ac:dyDescent="0.25">
      <c r="A50" s="132"/>
      <c r="B50" s="132" t="s">
        <v>293</v>
      </c>
      <c r="C50" s="132"/>
      <c r="D50" s="132"/>
      <c r="E50" s="132"/>
      <c r="F50" s="132"/>
      <c r="G50" s="132"/>
      <c r="I50" s="132" t="s">
        <v>290</v>
      </c>
      <c r="J50" s="132"/>
      <c r="K50" s="132"/>
      <c r="L50" s="132"/>
      <c r="M50" s="132"/>
      <c r="N50" s="132"/>
    </row>
    <row r="51" spans="1:14" x14ac:dyDescent="0.25">
      <c r="A51" s="132"/>
      <c r="B51" s="132" t="s">
        <v>295</v>
      </c>
      <c r="C51" s="132"/>
      <c r="D51" s="132"/>
      <c r="E51" s="132"/>
      <c r="F51" s="132"/>
      <c r="G51" s="132"/>
      <c r="I51" s="132" t="s">
        <v>291</v>
      </c>
      <c r="J51" s="132"/>
      <c r="K51" s="132"/>
      <c r="L51" s="132"/>
      <c r="M51" s="132"/>
      <c r="N51" s="132"/>
    </row>
    <row r="52" spans="1:14" ht="3" customHeight="1" x14ac:dyDescent="0.25"/>
    <row r="53" spans="1:14" ht="3" customHeight="1" x14ac:dyDescent="0.25">
      <c r="B53" s="285"/>
      <c r="C53" s="285"/>
      <c r="D53" s="258"/>
      <c r="E53" s="258"/>
      <c r="F53" s="258"/>
      <c r="G53" s="258"/>
      <c r="H53" s="286"/>
      <c r="I53" s="285"/>
      <c r="J53" s="285"/>
      <c r="K53" s="258"/>
      <c r="L53" s="258"/>
      <c r="M53" s="258"/>
      <c r="N53" s="258"/>
    </row>
    <row r="54" spans="1:14" x14ac:dyDescent="0.25">
      <c r="B54" s="154"/>
      <c r="C54" s="154"/>
      <c r="D54" s="155"/>
      <c r="E54" s="155"/>
      <c r="F54" s="155"/>
      <c r="G54" s="155"/>
      <c r="H54" s="4"/>
      <c r="I54" s="154"/>
      <c r="J54" s="154"/>
      <c r="K54" s="155"/>
      <c r="L54" s="155"/>
      <c r="M54" s="155"/>
      <c r="N54" s="155"/>
    </row>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4:S79"/>
  <sheetViews>
    <sheetView showGridLines="0" workbookViewId="0">
      <selection activeCell="D53" sqref="D53:F53"/>
    </sheetView>
  </sheetViews>
  <sheetFormatPr defaultColWidth="9.140625" defaultRowHeight="12.75" x14ac:dyDescent="0.25"/>
  <cols>
    <col min="1" max="1" width="9.140625" style="1"/>
    <col min="2" max="2" width="28.5703125" style="1" customWidth="1"/>
    <col min="3" max="3" width="6.28515625" style="1" hidden="1" customWidth="1"/>
    <col min="4" max="14" width="7.28515625" style="1" customWidth="1"/>
    <col min="15" max="16384" width="9.140625" style="1"/>
  </cols>
  <sheetData>
    <row r="4" spans="2:19" x14ac:dyDescent="0.25">
      <c r="B4" s="239"/>
      <c r="C4" s="239"/>
      <c r="D4" s="239"/>
      <c r="E4" s="239"/>
      <c r="F4" s="239"/>
      <c r="G4" s="239"/>
      <c r="H4" s="239"/>
      <c r="I4" s="239"/>
      <c r="J4" s="239"/>
      <c r="K4" s="239"/>
      <c r="L4" s="239"/>
      <c r="M4" s="239"/>
      <c r="N4" s="239"/>
      <c r="O4" s="239"/>
      <c r="P4" s="239"/>
      <c r="Q4" s="239"/>
      <c r="R4" s="239"/>
      <c r="S4" s="239"/>
    </row>
    <row r="5" spans="2:19" ht="14.25" x14ac:dyDescent="0.3">
      <c r="B5" s="252" t="s">
        <v>69</v>
      </c>
      <c r="C5" s="253">
        <f>Model!AD1</f>
        <v>2019</v>
      </c>
      <c r="D5" s="253">
        <v>2020</v>
      </c>
      <c r="E5" s="253">
        <f>Model!AF1</f>
        <v>2021</v>
      </c>
      <c r="F5" s="253">
        <f>Model!AG1</f>
        <v>2022</v>
      </c>
      <c r="G5" s="254">
        <f>Model!AH1</f>
        <v>2023</v>
      </c>
      <c r="H5" s="254">
        <f>Model!AI1</f>
        <v>2024</v>
      </c>
      <c r="I5" s="254">
        <f>Model!AJ1</f>
        <v>2025</v>
      </c>
      <c r="J5" s="254">
        <f>Model!AK1</f>
        <v>2026</v>
      </c>
      <c r="K5" s="254">
        <f>Model!AL1</f>
        <v>2027</v>
      </c>
      <c r="L5" s="254">
        <f>Model!AM1</f>
        <v>2028</v>
      </c>
      <c r="M5" s="254">
        <f>Model!AN1</f>
        <v>2029</v>
      </c>
      <c r="N5" s="254">
        <f>Model!AO1</f>
        <v>2030</v>
      </c>
      <c r="O5" s="254">
        <f>Model!AP1</f>
        <v>2031</v>
      </c>
      <c r="P5" s="254">
        <f>Model!AQ1</f>
        <v>2032</v>
      </c>
      <c r="Q5" s="254">
        <f>Model!AR1</f>
        <v>2033</v>
      </c>
      <c r="R5" s="254">
        <f>Model!AS1</f>
        <v>2034</v>
      </c>
      <c r="S5" s="254">
        <f>Model!AT1</f>
        <v>2035</v>
      </c>
    </row>
    <row r="6" spans="2:19" ht="5.0999999999999996" customHeight="1" x14ac:dyDescent="0.3">
      <c r="B6" s="158"/>
      <c r="C6" s="170"/>
      <c r="D6" s="171"/>
      <c r="E6" s="171"/>
      <c r="F6" s="171"/>
      <c r="G6" s="171"/>
      <c r="H6" s="171"/>
      <c r="I6" s="171"/>
      <c r="J6" s="171"/>
      <c r="K6" s="171"/>
      <c r="L6" s="171"/>
      <c r="M6" s="171"/>
      <c r="N6" s="171"/>
      <c r="O6" s="171"/>
      <c r="P6" s="171"/>
      <c r="Q6" s="171"/>
      <c r="R6" s="171"/>
      <c r="S6" s="171"/>
    </row>
    <row r="7" spans="2:19" x14ac:dyDescent="0.25">
      <c r="B7" s="30" t="s">
        <v>62</v>
      </c>
      <c r="C7" s="151">
        <f>Model!AD43</f>
        <v>49.332000000000001</v>
      </c>
      <c r="D7" s="151">
        <f>Model!AE43</f>
        <v>51.524999999999999</v>
      </c>
      <c r="E7" s="151">
        <f>Model!AF43</f>
        <v>55.167000000000002</v>
      </c>
      <c r="F7" s="151">
        <f>Model!AG43</f>
        <v>72.905000000000001</v>
      </c>
      <c r="G7" s="151">
        <f>Model!AH43</f>
        <v>75.092150000000004</v>
      </c>
      <c r="H7" s="151">
        <f>Model!AI43</f>
        <v>77.344914500000002</v>
      </c>
      <c r="I7" s="151">
        <f>Model!AJ43</f>
        <v>79.665261935000004</v>
      </c>
      <c r="J7" s="151">
        <f>Model!AK43</f>
        <v>82.05521979305</v>
      </c>
      <c r="K7" s="151">
        <f>Model!AL43</f>
        <v>84.516876386841503</v>
      </c>
      <c r="L7" s="151">
        <f>Model!AM43</f>
        <v>87.052382678446747</v>
      </c>
      <c r="M7" s="151">
        <f>Model!AN43</f>
        <v>89.663954158800152</v>
      </c>
      <c r="N7" s="151">
        <f>Model!AO43</f>
        <v>92.353872783564157</v>
      </c>
      <c r="O7" s="151">
        <f>Model!AP43</f>
        <v>95.124488967071088</v>
      </c>
      <c r="P7" s="151">
        <f>Model!AQ43</f>
        <v>97.978223636083229</v>
      </c>
      <c r="Q7" s="151">
        <f>Model!AR43</f>
        <v>100.91757034516573</v>
      </c>
      <c r="R7" s="151">
        <f>Model!AS43</f>
        <v>103.94509745552071</v>
      </c>
      <c r="S7" s="151">
        <f>Model!AT43</f>
        <v>107.06345037918634</v>
      </c>
    </row>
    <row r="8" spans="2:19" x14ac:dyDescent="0.25">
      <c r="B8" s="138" t="s">
        <v>70</v>
      </c>
      <c r="C8" s="181">
        <f>Model!AD45</f>
        <v>-11.242999999999995</v>
      </c>
      <c r="D8" s="181">
        <f>Model!AE45</f>
        <v>-16.402999999999999</v>
      </c>
      <c r="E8" s="181">
        <f>Model!AF45</f>
        <v>-17.078000000000003</v>
      </c>
      <c r="F8" s="181">
        <f>Model!AG45</f>
        <v>-22.974999999999994</v>
      </c>
      <c r="G8" s="181">
        <f>Model!AH45</f>
        <v>-20.316673049312946</v>
      </c>
      <c r="H8" s="181">
        <f>Model!AI45</f>
        <v>-19.00799429714349</v>
      </c>
      <c r="I8" s="181">
        <f>Model!AJ45</f>
        <v>-17.824013169833947</v>
      </c>
      <c r="J8" s="181">
        <f>Model!AK45</f>
        <v>-16.726232355149264</v>
      </c>
      <c r="K8" s="181">
        <f>Model!AL45</f>
        <v>-15.676047973043893</v>
      </c>
      <c r="L8" s="181">
        <f>Model!AM45</f>
        <v>-14.641948136093234</v>
      </c>
      <c r="M8" s="181">
        <f>Model!AN45</f>
        <v>-13.596327979478502</v>
      </c>
      <c r="N8" s="181">
        <f>Model!AO45</f>
        <v>-12.516721596911509</v>
      </c>
      <c r="O8" s="181">
        <f>Model!AP45</f>
        <v>-11.382680099831276</v>
      </c>
      <c r="P8" s="181">
        <f>Model!AQ45</f>
        <v>-10.176524641065484</v>
      </c>
      <c r="Q8" s="181">
        <f>Model!AR45</f>
        <v>-8.8832050690301116</v>
      </c>
      <c r="R8" s="181">
        <f>Model!AS45</f>
        <v>-7.488157992874747</v>
      </c>
      <c r="S8" s="181">
        <f>Model!AT45</f>
        <v>-5.9781398568764246</v>
      </c>
    </row>
    <row r="9" spans="2:19" x14ac:dyDescent="0.25">
      <c r="B9" s="177" t="s">
        <v>63</v>
      </c>
      <c r="C9" s="178">
        <f>Model!AD46</f>
        <v>38.089000000000006</v>
      </c>
      <c r="D9" s="178">
        <f>Model!AE46</f>
        <v>35.122</v>
      </c>
      <c r="E9" s="178">
        <f>Model!AF46</f>
        <v>38.088999999999999</v>
      </c>
      <c r="F9" s="178">
        <f>Model!AG46</f>
        <v>49.930000000000007</v>
      </c>
      <c r="G9" s="178">
        <f>Model!AH46</f>
        <v>54.775476950687057</v>
      </c>
      <c r="H9" s="178">
        <f>Model!AI46</f>
        <v>58.336920202856511</v>
      </c>
      <c r="I9" s="178">
        <f>Model!AJ46</f>
        <v>61.841248765166057</v>
      </c>
      <c r="J9" s="178">
        <f>Model!AK46</f>
        <v>65.328987437900736</v>
      </c>
      <c r="K9" s="178">
        <f>Model!AL46</f>
        <v>68.84082841379761</v>
      </c>
      <c r="L9" s="178">
        <f>Model!AM46</f>
        <v>72.410434542353514</v>
      </c>
      <c r="M9" s="178">
        <f>Model!AN46</f>
        <v>76.06762617932165</v>
      </c>
      <c r="N9" s="178">
        <f>Model!AO46</f>
        <v>79.837151186652648</v>
      </c>
      <c r="O9" s="178">
        <f>Model!AP46</f>
        <v>83.741808867239811</v>
      </c>
      <c r="P9" s="178">
        <f>Model!AQ46</f>
        <v>87.801698995017745</v>
      </c>
      <c r="Q9" s="178">
        <f>Model!AR46</f>
        <v>92.034365276135617</v>
      </c>
      <c r="R9" s="178">
        <f>Model!AS46</f>
        <v>96.456939462645963</v>
      </c>
      <c r="S9" s="178">
        <f>Model!AT46</f>
        <v>101.08531052230991</v>
      </c>
    </row>
    <row r="10" spans="2:19" x14ac:dyDescent="0.25">
      <c r="B10" s="179" t="s">
        <v>234</v>
      </c>
      <c r="C10" s="180">
        <f>Model!AD47</f>
        <v>0.77209519176193964</v>
      </c>
      <c r="D10" s="180">
        <f>Model!AE47</f>
        <v>0.6816496846191169</v>
      </c>
      <c r="E10" s="180">
        <f>Model!AF47</f>
        <v>0.69043087352946508</v>
      </c>
      <c r="F10" s="180">
        <f>Model!AG47</f>
        <v>0.68486386393251497</v>
      </c>
      <c r="G10" s="180">
        <f>Model!AH47</f>
        <v>0.7</v>
      </c>
      <c r="H10" s="180">
        <f>Model!AI47</f>
        <v>0.7</v>
      </c>
      <c r="I10" s="180">
        <f>Model!AJ47</f>
        <v>0.7</v>
      </c>
      <c r="J10" s="180">
        <f>Model!AK47</f>
        <v>0.7</v>
      </c>
      <c r="K10" s="180">
        <f>Model!AL47</f>
        <v>0.7</v>
      </c>
      <c r="L10" s="180">
        <f>Model!AM47</f>
        <v>0.7</v>
      </c>
      <c r="M10" s="180">
        <f>Model!AN47</f>
        <v>0.7</v>
      </c>
      <c r="N10" s="180">
        <f>Model!AO47</f>
        <v>0.7</v>
      </c>
      <c r="O10" s="180">
        <f>Model!AP47</f>
        <v>0.7</v>
      </c>
      <c r="P10" s="180">
        <f>Model!AQ47</f>
        <v>0.7</v>
      </c>
      <c r="Q10" s="180">
        <f>Model!AR47</f>
        <v>0.7</v>
      </c>
      <c r="R10" s="180">
        <f>Model!AS47</f>
        <v>0.7</v>
      </c>
      <c r="S10" s="180">
        <f>Model!AT47</f>
        <v>0.7</v>
      </c>
    </row>
    <row r="11" spans="2:19" x14ac:dyDescent="0.25">
      <c r="B11" s="30" t="s">
        <v>58</v>
      </c>
      <c r="C11" s="152"/>
      <c r="D11" s="152">
        <f>Model!AE54</f>
        <v>9.0030000000000001</v>
      </c>
      <c r="E11" s="152">
        <f>Model!AF54</f>
        <v>4.6399999999999961</v>
      </c>
      <c r="F11" s="152">
        <f>Model!AG54</f>
        <v>6.1560000000000077</v>
      </c>
      <c r="G11" s="152">
        <f>Model!AH54</f>
        <v>9.720186950687058</v>
      </c>
      <c r="H11" s="152">
        <f>Model!AI54</f>
        <v>12.316696075356511</v>
      </c>
      <c r="I11" s="152">
        <f>Model!AJ54</f>
        <v>14.838744223516059</v>
      </c>
      <c r="J11" s="152">
        <f>Model!AK54</f>
        <v>17.32668385896649</v>
      </c>
      <c r="K11" s="152">
        <f>Model!AL54</f>
        <v>19.821040109429539</v>
      </c>
      <c r="L11" s="152">
        <f>Model!AM54</f>
        <v>22.355314502246635</v>
      </c>
      <c r="M11" s="152">
        <f>Model!AN54</f>
        <v>24.95917230880557</v>
      </c>
      <c r="N11" s="152">
        <f>Model!AO54</f>
        <v>27.657213063938904</v>
      </c>
      <c r="O11" s="152">
        <f>Model!AP54</f>
        <v>30.472095045680007</v>
      </c>
      <c r="P11" s="152">
        <f>Model!AQ54</f>
        <v>33.423784876991562</v>
      </c>
      <c r="Q11" s="152">
        <f>Model!AR54</f>
        <v>36.529701586294472</v>
      </c>
      <c r="R11" s="152">
        <f>Model!AS54</f>
        <v>39.806861349387184</v>
      </c>
      <c r="S11" s="152">
        <f>Model!AT54</f>
        <v>43.271047317549296</v>
      </c>
    </row>
    <row r="12" spans="2:19" x14ac:dyDescent="0.25">
      <c r="B12" s="30" t="s">
        <v>105</v>
      </c>
      <c r="C12" s="152">
        <f>Model!AD65</f>
        <v>5.4950000000000063</v>
      </c>
      <c r="D12" s="152">
        <f>Model!AE65</f>
        <v>8.9610000000000021</v>
      </c>
      <c r="E12" s="152">
        <f>Model!AF65</f>
        <v>1.7679999999999962</v>
      </c>
      <c r="F12" s="152">
        <f>Model!AG65</f>
        <v>-4.1429999999999998</v>
      </c>
      <c r="G12" s="152">
        <f>Model!AH65</f>
        <v>4.0890230732253032</v>
      </c>
      <c r="H12" s="152">
        <f>Model!AI65</f>
        <v>8.1465623312272335</v>
      </c>
      <c r="I12" s="152">
        <f>Model!AJ65</f>
        <v>11.575960114603948</v>
      </c>
      <c r="J12" s="152">
        <f>Model!AK65</f>
        <v>14.626110509143114</v>
      </c>
      <c r="K12" s="152">
        <f>Model!AL65</f>
        <v>17.46547109830362</v>
      </c>
      <c r="L12" s="152">
        <f>Model!AM65</f>
        <v>20.206589484567715</v>
      </c>
      <c r="M12" s="152">
        <f>Model!AN65</f>
        <v>22.928370218678658</v>
      </c>
      <c r="N12" s="152">
        <f>Model!AO65</f>
        <v>25.686356253392638</v>
      </c>
      <c r="O12" s="152">
        <f>Model!AP65</f>
        <v>28.522830696592251</v>
      </c>
      <c r="P12" s="152">
        <f>Model!AQ65</f>
        <v>31.470321429928678</v>
      </c>
      <c r="Q12" s="152">
        <f>Model!AR65</f>
        <v>34.554359026569756</v>
      </c>
      <c r="R12" s="152">
        <f>Model!AS65</f>
        <v>37.797240553529129</v>
      </c>
      <c r="S12" s="152">
        <f>Model!AT65</f>
        <v>41.218211402223993</v>
      </c>
    </row>
    <row r="13" spans="2:19" x14ac:dyDescent="0.25">
      <c r="B13" s="134" t="s">
        <v>71</v>
      </c>
      <c r="C13" s="136">
        <f>C14-C12</f>
        <v>-0.57399999999999984</v>
      </c>
      <c r="D13" s="136">
        <f t="shared" ref="D13:I13" si="0">D14-D12</f>
        <v>-0.60699999999999932</v>
      </c>
      <c r="E13" s="136">
        <f t="shared" si="0"/>
        <v>-1.5170000000000003</v>
      </c>
      <c r="F13" s="136">
        <f t="shared" si="0"/>
        <v>-1.700000000000002</v>
      </c>
      <c r="G13" s="136">
        <f t="shared" si="0"/>
        <v>-1.4995461225382387</v>
      </c>
      <c r="H13" s="136">
        <f t="shared" si="0"/>
        <v>-0.81011344770337601</v>
      </c>
      <c r="I13" s="136">
        <f t="shared" si="0"/>
        <v>-0.81011344770337601</v>
      </c>
      <c r="J13" s="136">
        <f t="shared" ref="J13:M13" si="1">J14-J12</f>
        <v>-0.81011344770337601</v>
      </c>
      <c r="K13" s="136">
        <f t="shared" si="1"/>
        <v>-0.81011344770337601</v>
      </c>
      <c r="L13" s="136">
        <f t="shared" si="1"/>
        <v>-0.81011344770337601</v>
      </c>
      <c r="M13" s="136">
        <f t="shared" si="1"/>
        <v>-0.81011344770337601</v>
      </c>
      <c r="N13" s="136">
        <f t="shared" ref="N13:O13" si="2">N14-N12</f>
        <v>-0.81011344770337601</v>
      </c>
      <c r="O13" s="136">
        <f t="shared" si="2"/>
        <v>-0.81011344770337601</v>
      </c>
      <c r="P13" s="136">
        <f t="shared" ref="P13:S13" si="3">P14-P12</f>
        <v>-0.81011344770337601</v>
      </c>
      <c r="Q13" s="136">
        <f t="shared" si="3"/>
        <v>-0.81011344770337246</v>
      </c>
      <c r="R13" s="136">
        <f t="shared" si="3"/>
        <v>-0.81011344770337246</v>
      </c>
      <c r="S13" s="136">
        <f t="shared" si="3"/>
        <v>-0.81011344770337246</v>
      </c>
    </row>
    <row r="14" spans="2:19" x14ac:dyDescent="0.25">
      <c r="B14" s="3" t="s">
        <v>72</v>
      </c>
      <c r="C14" s="137">
        <f>Model!AD77</f>
        <v>4.9210000000000065</v>
      </c>
      <c r="D14" s="137">
        <f>Model!AE77</f>
        <v>8.3540000000000028</v>
      </c>
      <c r="E14" s="137">
        <f>Model!AF77</f>
        <v>0.25099999999999589</v>
      </c>
      <c r="F14" s="137">
        <f>Model!AG77</f>
        <v>-5.8430000000000017</v>
      </c>
      <c r="G14" s="137">
        <f>Model!AH77</f>
        <v>2.5894769506870645</v>
      </c>
      <c r="H14" s="137">
        <f>Model!AI77</f>
        <v>7.3364488835238575</v>
      </c>
      <c r="I14" s="137">
        <f>Model!AJ77</f>
        <v>10.765846666900572</v>
      </c>
      <c r="J14" s="137">
        <f>Model!AK77</f>
        <v>13.815997061439738</v>
      </c>
      <c r="K14" s="137">
        <f>Model!AL77</f>
        <v>16.655357650600244</v>
      </c>
      <c r="L14" s="137">
        <f>Model!AM77</f>
        <v>19.396476036864339</v>
      </c>
      <c r="M14" s="137">
        <f>Model!AN77</f>
        <v>22.118256770975282</v>
      </c>
      <c r="N14" s="137">
        <f>Model!AO77</f>
        <v>24.876242805689262</v>
      </c>
      <c r="O14" s="137">
        <f>Model!AP77</f>
        <v>27.712717248888875</v>
      </c>
      <c r="P14" s="137">
        <f>Model!AQ77</f>
        <v>30.660207982225302</v>
      </c>
      <c r="Q14" s="137">
        <f>Model!AR77</f>
        <v>33.744245578866384</v>
      </c>
      <c r="R14" s="137">
        <f>Model!AS77</f>
        <v>36.987127105825756</v>
      </c>
      <c r="S14" s="137">
        <f>Model!AT77</f>
        <v>40.40809795452062</v>
      </c>
    </row>
    <row r="15" spans="2:19" x14ac:dyDescent="0.25">
      <c r="B15" s="138" t="s">
        <v>7</v>
      </c>
      <c r="C15" s="137">
        <f>Model!AD79</f>
        <v>-0.127</v>
      </c>
      <c r="D15" s="137">
        <f>Model!AE79</f>
        <v>-0.183</v>
      </c>
      <c r="E15" s="137">
        <f>Model!AF79</f>
        <v>-0.86899999999999999</v>
      </c>
      <c r="F15" s="137">
        <f>Model!AG79</f>
        <v>0</v>
      </c>
      <c r="G15" s="137">
        <f>Model!AH79</f>
        <v>-0.69915877668550741</v>
      </c>
      <c r="H15" s="137">
        <f>Model!AI79</f>
        <v>-1.9808411985514416</v>
      </c>
      <c r="I15" s="137">
        <f>Model!AJ79</f>
        <v>-2.9067786000631548</v>
      </c>
      <c r="J15" s="137">
        <f>Model!AK79</f>
        <v>-3.7303192065887294</v>
      </c>
      <c r="K15" s="137">
        <f>Model!AL79</f>
        <v>-4.496946565662066</v>
      </c>
      <c r="L15" s="137">
        <f>Model!AM79</f>
        <v>-5.2370485299533716</v>
      </c>
      <c r="M15" s="137">
        <f>Model!AN79</f>
        <v>-5.971929328163327</v>
      </c>
      <c r="N15" s="137">
        <f>Model!AO79</f>
        <v>-6.7165855575361011</v>
      </c>
      <c r="O15" s="137">
        <f>Model!AP79</f>
        <v>-7.482433657199997</v>
      </c>
      <c r="P15" s="137">
        <f>Model!AQ79</f>
        <v>-8.2782561552008325</v>
      </c>
      <c r="Q15" s="137">
        <f>Model!AR79</f>
        <v>-9.1109463062939238</v>
      </c>
      <c r="R15" s="137">
        <f>Model!AS79</f>
        <v>-9.986524318572954</v>
      </c>
      <c r="S15" s="137">
        <f>Model!AT79</f>
        <v>-10.910186447720568</v>
      </c>
    </row>
    <row r="16" spans="2:19" ht="13.5" thickBot="1" x14ac:dyDescent="0.3">
      <c r="B16" s="139" t="s">
        <v>73</v>
      </c>
      <c r="C16" s="153">
        <f>Model!AD82</f>
        <v>4.7940000000000067</v>
      </c>
      <c r="D16" s="153">
        <f>Model!AE82</f>
        <v>8.1710000000000029</v>
      </c>
      <c r="E16" s="153">
        <f>Model!AF82</f>
        <v>-0.61800000000000388</v>
      </c>
      <c r="F16" s="153">
        <f>Model!AG82</f>
        <v>-5.3260000000000023</v>
      </c>
      <c r="G16" s="153">
        <f>Model!AH82</f>
        <v>-0.82941182599844288</v>
      </c>
      <c r="H16" s="153">
        <f>Model!AI82</f>
        <v>5.3556076849724157</v>
      </c>
      <c r="I16" s="153">
        <f>Model!AJ82</f>
        <v>7.8590680668374171</v>
      </c>
      <c r="J16" s="153">
        <f>Model!AK82</f>
        <v>10.085677854851008</v>
      </c>
      <c r="K16" s="153">
        <f>Model!AL82</f>
        <v>12.158411084938178</v>
      </c>
      <c r="L16" s="153">
        <f>Model!AM82</f>
        <v>14.159427506910967</v>
      </c>
      <c r="M16" s="153">
        <f>Model!AN82</f>
        <v>16.146327442811955</v>
      </c>
      <c r="N16" s="153">
        <f>Model!AO82</f>
        <v>18.15965724815316</v>
      </c>
      <c r="O16" s="153">
        <f>Model!AP82</f>
        <v>20.230283591688877</v>
      </c>
      <c r="P16" s="153">
        <f>Model!AQ82</f>
        <v>22.381951827024469</v>
      </c>
      <c r="Q16" s="153">
        <f>Model!AR82</f>
        <v>24.633299272572458</v>
      </c>
      <c r="R16" s="153">
        <f>Model!AS82</f>
        <v>27.000602787252802</v>
      </c>
      <c r="S16" s="153">
        <f>Model!AT82</f>
        <v>29.497911506800051</v>
      </c>
    </row>
    <row r="17" spans="2:19" ht="3" customHeight="1" x14ac:dyDescent="0.25">
      <c r="B17" s="3"/>
      <c r="C17" s="137"/>
      <c r="D17" s="137"/>
      <c r="E17" s="137"/>
      <c r="F17" s="137"/>
      <c r="G17" s="137"/>
      <c r="H17" s="137"/>
      <c r="I17" s="137"/>
      <c r="J17" s="137"/>
      <c r="K17" s="137"/>
      <c r="L17" s="137"/>
      <c r="M17" s="137"/>
      <c r="N17" s="137"/>
      <c r="O17" s="137"/>
      <c r="P17" s="137"/>
      <c r="Q17" s="137"/>
      <c r="R17" s="137"/>
      <c r="S17" s="137"/>
    </row>
    <row r="18" spans="2:19" ht="3" customHeight="1" x14ac:dyDescent="0.25">
      <c r="B18" s="3"/>
      <c r="C18" s="141"/>
      <c r="D18" s="141"/>
      <c r="E18" s="141"/>
      <c r="F18" s="141"/>
      <c r="G18" s="141"/>
      <c r="H18" s="141"/>
      <c r="I18" s="141"/>
      <c r="J18" s="141"/>
      <c r="K18" s="141"/>
      <c r="L18" s="141"/>
      <c r="M18" s="141"/>
      <c r="N18" s="141"/>
      <c r="O18" s="141"/>
      <c r="P18" s="141"/>
      <c r="Q18" s="141"/>
      <c r="R18" s="141"/>
      <c r="S18" s="141"/>
    </row>
    <row r="19" spans="2:19" ht="3" customHeight="1" x14ac:dyDescent="0.25">
      <c r="B19" s="3"/>
      <c r="C19" s="3"/>
      <c r="D19" s="3"/>
      <c r="E19" s="3"/>
      <c r="F19" s="3"/>
      <c r="G19" s="3"/>
      <c r="H19" s="3"/>
      <c r="I19" s="3"/>
      <c r="J19" s="3"/>
      <c r="K19" s="3"/>
      <c r="L19" s="3"/>
      <c r="M19" s="3"/>
      <c r="N19" s="3"/>
      <c r="O19" s="3"/>
      <c r="P19" s="3"/>
      <c r="Q19" s="3"/>
      <c r="R19" s="3"/>
      <c r="S19" s="3"/>
    </row>
    <row r="20" spans="2:19" ht="5.0999999999999996" customHeight="1" x14ac:dyDescent="0.25">
      <c r="B20" s="243"/>
      <c r="C20" s="243"/>
      <c r="D20" s="243"/>
      <c r="E20" s="243"/>
      <c r="F20" s="243"/>
      <c r="G20" s="243"/>
      <c r="H20" s="243"/>
      <c r="I20" s="243"/>
      <c r="J20" s="243"/>
      <c r="K20" s="243"/>
      <c r="L20" s="243"/>
      <c r="M20" s="243"/>
      <c r="N20" s="243"/>
      <c r="O20" s="243"/>
      <c r="P20" s="243"/>
      <c r="Q20" s="243"/>
      <c r="R20" s="243"/>
      <c r="S20" s="243"/>
    </row>
    <row r="22" spans="2:19" x14ac:dyDescent="0.25">
      <c r="B22" s="239"/>
      <c r="C22" s="239"/>
      <c r="D22" s="239"/>
      <c r="E22" s="239"/>
      <c r="F22" s="239"/>
      <c r="G22" s="239"/>
      <c r="H22" s="239"/>
      <c r="I22" s="239"/>
      <c r="J22" s="239"/>
      <c r="K22" s="239"/>
      <c r="L22" s="239"/>
      <c r="M22" s="239"/>
      <c r="N22" s="239"/>
      <c r="O22" s="239"/>
      <c r="P22" s="239"/>
      <c r="Q22" s="239"/>
      <c r="R22" s="239"/>
      <c r="S22" s="239"/>
    </row>
    <row r="23" spans="2:19" ht="14.25" x14ac:dyDescent="0.3">
      <c r="B23" s="252" t="s">
        <v>74</v>
      </c>
      <c r="C23" s="253">
        <f>C5</f>
        <v>2019</v>
      </c>
      <c r="D23" s="253">
        <v>2020</v>
      </c>
      <c r="E23" s="253">
        <f t="shared" ref="E23:N23" si="4">E5</f>
        <v>2021</v>
      </c>
      <c r="F23" s="253">
        <f t="shared" si="4"/>
        <v>2022</v>
      </c>
      <c r="G23" s="254">
        <f t="shared" si="4"/>
        <v>2023</v>
      </c>
      <c r="H23" s="254">
        <f t="shared" si="4"/>
        <v>2024</v>
      </c>
      <c r="I23" s="254">
        <f t="shared" si="4"/>
        <v>2025</v>
      </c>
      <c r="J23" s="254">
        <f t="shared" si="4"/>
        <v>2026</v>
      </c>
      <c r="K23" s="254">
        <f t="shared" si="4"/>
        <v>2027</v>
      </c>
      <c r="L23" s="254">
        <f t="shared" si="4"/>
        <v>2028</v>
      </c>
      <c r="M23" s="254">
        <f t="shared" si="4"/>
        <v>2029</v>
      </c>
      <c r="N23" s="254">
        <f t="shared" si="4"/>
        <v>2030</v>
      </c>
      <c r="O23" s="254">
        <f t="shared" ref="O23:S23" si="5">O5</f>
        <v>2031</v>
      </c>
      <c r="P23" s="254">
        <f t="shared" si="5"/>
        <v>2032</v>
      </c>
      <c r="Q23" s="254">
        <f t="shared" si="5"/>
        <v>2033</v>
      </c>
      <c r="R23" s="254">
        <f t="shared" si="5"/>
        <v>2034</v>
      </c>
      <c r="S23" s="254">
        <f t="shared" si="5"/>
        <v>2035</v>
      </c>
    </row>
    <row r="24" spans="2:19" ht="5.0999999999999996" customHeight="1" x14ac:dyDescent="0.3">
      <c r="B24" s="158"/>
      <c r="C24" s="170"/>
      <c r="D24" s="171"/>
      <c r="E24" s="171"/>
      <c r="F24" s="171"/>
      <c r="G24" s="171"/>
      <c r="H24" s="171"/>
      <c r="I24" s="171"/>
      <c r="J24" s="171"/>
      <c r="K24" s="171"/>
      <c r="L24" s="171"/>
      <c r="M24" s="171"/>
      <c r="N24" s="171"/>
      <c r="O24" s="171"/>
      <c r="P24" s="171"/>
      <c r="Q24" s="171"/>
      <c r="R24" s="171"/>
      <c r="S24" s="171"/>
    </row>
    <row r="25" spans="2:19" x14ac:dyDescent="0.25">
      <c r="B25" s="30" t="s">
        <v>75</v>
      </c>
      <c r="C25" s="3"/>
      <c r="D25" s="3"/>
      <c r="E25" s="3"/>
      <c r="F25" s="3"/>
      <c r="G25" s="3"/>
      <c r="H25" s="3"/>
      <c r="I25" s="3"/>
      <c r="J25" s="3"/>
      <c r="K25" s="3"/>
      <c r="L25" s="3"/>
      <c r="M25" s="3"/>
      <c r="N25" s="3"/>
      <c r="O25" s="3"/>
      <c r="P25" s="3"/>
      <c r="Q25" s="3"/>
      <c r="R25" s="3"/>
      <c r="S25" s="3"/>
    </row>
    <row r="26" spans="2:19" x14ac:dyDescent="0.25">
      <c r="B26" s="138" t="s">
        <v>45</v>
      </c>
      <c r="C26" s="133">
        <f>Model!AD91</f>
        <v>0</v>
      </c>
      <c r="D26" s="133">
        <f>Model!AE91</f>
        <v>15.065</v>
      </c>
      <c r="E26" s="133">
        <f>Model!AF91</f>
        <v>36.817</v>
      </c>
      <c r="F26" s="133">
        <f>Model!AG91</f>
        <v>24.431000000000001</v>
      </c>
      <c r="G26" s="133">
        <f>Model!AH91</f>
        <v>25.474921981601355</v>
      </c>
      <c r="H26" s="133">
        <f>Model!AI91</f>
        <v>32.146884146210972</v>
      </c>
      <c r="I26" s="133">
        <f>Model!AJ91</f>
        <v>40.44597329383123</v>
      </c>
      <c r="J26" s="133">
        <f>Model!AK91</f>
        <v>50.411362510593918</v>
      </c>
      <c r="K26" s="133">
        <f>Model!AL91</f>
        <v>62.077138739665024</v>
      </c>
      <c r="L26" s="133">
        <f>Model!AM91</f>
        <v>75.485493930747921</v>
      </c>
      <c r="M26" s="133">
        <f>Model!AN91</f>
        <v>90.689705212341664</v>
      </c>
      <c r="N26" s="133">
        <f>Model!AO91</f>
        <v>107.7562514576115</v>
      </c>
      <c r="O26" s="133">
        <f>Model!AP91</f>
        <v>126.76422972734863</v>
      </c>
      <c r="P26" s="133">
        <f>Model!AQ91</f>
        <v>147.80583142763317</v>
      </c>
      <c r="Q26" s="133">
        <f>Model!AR91</f>
        <v>170.98558163829159</v>
      </c>
      <c r="R26" s="133">
        <f>Model!AS91</f>
        <v>196.41928380663751</v>
      </c>
      <c r="S26" s="133">
        <f>Model!AT91</f>
        <v>224.23420135762484</v>
      </c>
    </row>
    <row r="27" spans="2:19" x14ac:dyDescent="0.25">
      <c r="B27" s="138" t="s">
        <v>76</v>
      </c>
      <c r="C27" s="133">
        <f>Model!AD94</f>
        <v>0</v>
      </c>
      <c r="D27" s="133">
        <f>Model!AE94</f>
        <v>9.1950000000000003</v>
      </c>
      <c r="E27" s="133">
        <f>Model!AF94</f>
        <v>8.4250000000000007</v>
      </c>
      <c r="F27" s="133">
        <f>Model!AG94</f>
        <v>12.411</v>
      </c>
      <c r="G27" s="133">
        <f>Model!AH94</f>
        <v>12.783329999999999</v>
      </c>
      <c r="H27" s="133">
        <f>Model!AI94</f>
        <v>13.166829899999998</v>
      </c>
      <c r="I27" s="133">
        <f>Model!AJ94</f>
        <v>13.561834796999999</v>
      </c>
      <c r="J27" s="133">
        <f>Model!AK94</f>
        <v>13.968689840909999</v>
      </c>
      <c r="K27" s="133">
        <f>Model!AL94</f>
        <v>14.387750536137299</v>
      </c>
      <c r="L27" s="133">
        <f>Model!AM94</f>
        <v>14.819383052221418</v>
      </c>
      <c r="M27" s="133">
        <f>Model!AN94</f>
        <v>15.263964543788061</v>
      </c>
      <c r="N27" s="133">
        <f>Model!AO94</f>
        <v>15.721883480101702</v>
      </c>
      <c r="O27" s="133">
        <f>Model!AP94</f>
        <v>16.193539984504753</v>
      </c>
      <c r="P27" s="133">
        <f>Model!AQ94</f>
        <v>16.679346184039897</v>
      </c>
      <c r="Q27" s="133">
        <f>Model!AR94</f>
        <v>17.179726569561097</v>
      </c>
      <c r="R27" s="133">
        <f>Model!AS94</f>
        <v>17.695118366647929</v>
      </c>
      <c r="S27" s="133">
        <f>Model!AT94</f>
        <v>18.225971917647371</v>
      </c>
    </row>
    <row r="28" spans="2:19" x14ac:dyDescent="0.25">
      <c r="B28" s="138" t="s">
        <v>16</v>
      </c>
      <c r="C28" s="133">
        <f>Model!AD92</f>
        <v>0</v>
      </c>
      <c r="D28" s="133">
        <f>Model!AE92</f>
        <v>2.0750000000000002</v>
      </c>
      <c r="E28" s="133">
        <f>Model!AF92</f>
        <v>2.2999999999999998</v>
      </c>
      <c r="F28" s="133">
        <f>Model!AG92</f>
        <v>4.1050000000000004</v>
      </c>
      <c r="G28" s="133">
        <f>Model!AH92</f>
        <v>3.6300301574506935</v>
      </c>
      <c r="H28" s="133">
        <f>Model!AI92</f>
        <v>3.3962052922643768</v>
      </c>
      <c r="I28" s="133">
        <f>Model!AJ92</f>
        <v>3.1846604597244128</v>
      </c>
      <c r="J28" s="133">
        <f>Model!AK92</f>
        <v>2.9885172499624706</v>
      </c>
      <c r="K28" s="133">
        <f>Model!AL92</f>
        <v>2.8008782123762876</v>
      </c>
      <c r="L28" s="133">
        <f>Model!AM92</f>
        <v>2.6161130402029489</v>
      </c>
      <c r="M28" s="133">
        <f>Model!AN92</f>
        <v>2.4292895040591631</v>
      </c>
      <c r="N28" s="133">
        <f>Model!AO92</f>
        <v>2.2363935649759203</v>
      </c>
      <c r="O28" s="133">
        <f>Model!AP92</f>
        <v>2.0337715695237173</v>
      </c>
      <c r="P28" s="133">
        <f>Model!AQ92</f>
        <v>1.8182647944101775</v>
      </c>
      <c r="Q28" s="133">
        <f>Model!AR92</f>
        <v>1.5871841918767626</v>
      </c>
      <c r="R28" s="133">
        <f>Model!AS92</f>
        <v>1.3379276849075452</v>
      </c>
      <c r="S28" s="133">
        <f>Model!AT92</f>
        <v>1.0681290146889111</v>
      </c>
    </row>
    <row r="29" spans="2:19" x14ac:dyDescent="0.25">
      <c r="B29" s="134" t="s">
        <v>77</v>
      </c>
      <c r="C29" s="135">
        <f>C30-C28-C27-C26</f>
        <v>0</v>
      </c>
      <c r="D29" s="135">
        <f t="shared" ref="D29:I29" si="6">D30-D28-D27-D26</f>
        <v>1.8980000000000015</v>
      </c>
      <c r="E29" s="135">
        <f t="shared" si="6"/>
        <v>4.8240000000000052</v>
      </c>
      <c r="F29" s="135">
        <f t="shared" si="6"/>
        <v>10.096999999999991</v>
      </c>
      <c r="G29" s="135">
        <f t="shared" si="6"/>
        <v>10.097000000000001</v>
      </c>
      <c r="H29" s="135">
        <f t="shared" si="6"/>
        <v>10.096999999999994</v>
      </c>
      <c r="I29" s="135">
        <f t="shared" si="6"/>
        <v>10.096999999999994</v>
      </c>
      <c r="J29" s="135">
        <f t="shared" ref="J29:M29" si="7">J30-J28-J27-J26</f>
        <v>10.096999999999994</v>
      </c>
      <c r="K29" s="135">
        <f t="shared" si="7"/>
        <v>10.096999999999987</v>
      </c>
      <c r="L29" s="135">
        <f t="shared" si="7"/>
        <v>10.096999999999994</v>
      </c>
      <c r="M29" s="135">
        <f t="shared" si="7"/>
        <v>10.097000000000008</v>
      </c>
      <c r="N29" s="135">
        <f t="shared" ref="N29:S29" si="8">N30-N28-N27-N26</f>
        <v>10.096999999999994</v>
      </c>
      <c r="O29" s="135">
        <f t="shared" si="8"/>
        <v>10.09699999999998</v>
      </c>
      <c r="P29" s="135">
        <f t="shared" si="8"/>
        <v>10.09699999999998</v>
      </c>
      <c r="Q29" s="135">
        <f t="shared" si="8"/>
        <v>10.09699999999998</v>
      </c>
      <c r="R29" s="135">
        <f t="shared" si="8"/>
        <v>10.09699999999998</v>
      </c>
      <c r="S29" s="135">
        <f t="shared" si="8"/>
        <v>10.09699999999998</v>
      </c>
    </row>
    <row r="30" spans="2:19" x14ac:dyDescent="0.25">
      <c r="B30" s="175" t="s">
        <v>78</v>
      </c>
      <c r="C30" s="176">
        <f>Model!AD97</f>
        <v>0</v>
      </c>
      <c r="D30" s="176">
        <f>Model!AE97</f>
        <v>28.233000000000001</v>
      </c>
      <c r="E30" s="176">
        <f>Model!AF97</f>
        <v>52.366000000000007</v>
      </c>
      <c r="F30" s="176">
        <f>Model!AG97</f>
        <v>51.043999999999997</v>
      </c>
      <c r="G30" s="176">
        <f>Model!AH97</f>
        <v>51.985282139052046</v>
      </c>
      <c r="H30" s="176">
        <f>Model!AI97</f>
        <v>58.806919338475339</v>
      </c>
      <c r="I30" s="176">
        <f>Model!AJ97</f>
        <v>67.28946855055564</v>
      </c>
      <c r="J30" s="176">
        <f>Model!AK97</f>
        <v>77.465569601466385</v>
      </c>
      <c r="K30" s="176">
        <f>Model!AL97</f>
        <v>89.362767488178605</v>
      </c>
      <c r="L30" s="176">
        <f>Model!AM97</f>
        <v>103.01799002317229</v>
      </c>
      <c r="M30" s="176">
        <f>Model!AN97</f>
        <v>118.47995926018889</v>
      </c>
      <c r="N30" s="176">
        <f>Model!AO97</f>
        <v>135.8115285026891</v>
      </c>
      <c r="O30" s="176">
        <f>Model!AP97</f>
        <v>155.08854128137708</v>
      </c>
      <c r="P30" s="176">
        <f>Model!AQ97</f>
        <v>176.40044240608322</v>
      </c>
      <c r="Q30" s="176">
        <f>Model!AR97</f>
        <v>199.84949239972943</v>
      </c>
      <c r="R30" s="176">
        <f>Model!AS97</f>
        <v>225.54932985819298</v>
      </c>
      <c r="S30" s="176">
        <f>Model!AT97</f>
        <v>253.6253022899611</v>
      </c>
    </row>
    <row r="31" spans="2:19" x14ac:dyDescent="0.25">
      <c r="B31" s="138" t="s">
        <v>79</v>
      </c>
      <c r="C31" s="133" t="e">
        <f>Model!#REF!</f>
        <v>#REF!</v>
      </c>
      <c r="D31" s="133" t="e">
        <f>Model!#REF!</f>
        <v>#REF!</v>
      </c>
      <c r="E31" s="133" t="e">
        <f>Model!#REF!</f>
        <v>#REF!</v>
      </c>
      <c r="F31" s="133" t="e">
        <f>Model!#REF!</f>
        <v>#REF!</v>
      </c>
      <c r="G31" s="133" t="e">
        <f>Model!#REF!</f>
        <v>#REF!</v>
      </c>
      <c r="H31" s="133" t="e">
        <f>Model!#REF!</f>
        <v>#REF!</v>
      </c>
      <c r="I31" s="133" t="e">
        <f>Model!#REF!</f>
        <v>#REF!</v>
      </c>
      <c r="J31" s="133" t="e">
        <f>Model!#REF!</f>
        <v>#REF!</v>
      </c>
      <c r="K31" s="133" t="e">
        <f>Model!#REF!</f>
        <v>#REF!</v>
      </c>
      <c r="L31" s="133" t="e">
        <f>Model!#REF!</f>
        <v>#REF!</v>
      </c>
      <c r="M31" s="133" t="e">
        <f>Model!#REF!</f>
        <v>#REF!</v>
      </c>
      <c r="N31" s="133" t="e">
        <f>Model!#REF!</f>
        <v>#REF!</v>
      </c>
      <c r="O31" s="133" t="e">
        <f>Model!#REF!</f>
        <v>#REF!</v>
      </c>
      <c r="P31" s="133" t="e">
        <f>Model!#REF!</f>
        <v>#REF!</v>
      </c>
      <c r="Q31" s="133" t="e">
        <f>Model!#REF!</f>
        <v>#REF!</v>
      </c>
      <c r="R31" s="133" t="e">
        <f>Model!#REF!</f>
        <v>#REF!</v>
      </c>
      <c r="S31" s="133" t="e">
        <f>Model!#REF!</f>
        <v>#REF!</v>
      </c>
    </row>
    <row r="32" spans="2:19" x14ac:dyDescent="0.25">
      <c r="B32" s="138" t="s">
        <v>80</v>
      </c>
      <c r="C32" s="133" t="e">
        <f>Model!#REF!</f>
        <v>#REF!</v>
      </c>
      <c r="D32" s="133" t="e">
        <f>Model!#REF!</f>
        <v>#REF!</v>
      </c>
      <c r="E32" s="133" t="e">
        <f>Model!#REF!</f>
        <v>#REF!</v>
      </c>
      <c r="F32" s="133" t="e">
        <f>Model!#REF!</f>
        <v>#REF!</v>
      </c>
      <c r="G32" s="133" t="e">
        <f>Model!#REF!</f>
        <v>#REF!</v>
      </c>
      <c r="H32" s="133" t="e">
        <f>Model!#REF!</f>
        <v>#REF!</v>
      </c>
      <c r="I32" s="133" t="e">
        <f>Model!#REF!</f>
        <v>#REF!</v>
      </c>
      <c r="J32" s="133" t="e">
        <f>Model!#REF!</f>
        <v>#REF!</v>
      </c>
      <c r="K32" s="133" t="e">
        <f>Model!#REF!</f>
        <v>#REF!</v>
      </c>
      <c r="L32" s="133" t="e">
        <f>Model!#REF!</f>
        <v>#REF!</v>
      </c>
      <c r="M32" s="133" t="e">
        <f>Model!#REF!</f>
        <v>#REF!</v>
      </c>
      <c r="N32" s="133" t="e">
        <f>Model!#REF!</f>
        <v>#REF!</v>
      </c>
      <c r="O32" s="133" t="e">
        <f>Model!#REF!</f>
        <v>#REF!</v>
      </c>
      <c r="P32" s="133" t="e">
        <f>Model!#REF!</f>
        <v>#REF!</v>
      </c>
      <c r="Q32" s="133" t="e">
        <f>Model!#REF!</f>
        <v>#REF!</v>
      </c>
      <c r="R32" s="133" t="e">
        <f>Model!#REF!</f>
        <v>#REF!</v>
      </c>
      <c r="S32" s="133" t="e">
        <f>Model!#REF!</f>
        <v>#REF!</v>
      </c>
    </row>
    <row r="33" spans="2:19" x14ac:dyDescent="0.25">
      <c r="B33" s="134" t="s">
        <v>81</v>
      </c>
      <c r="C33" s="135">
        <f>Model!AD103</f>
        <v>0</v>
      </c>
      <c r="D33" s="135">
        <f>Model!AE103</f>
        <v>4.8889999999999993</v>
      </c>
      <c r="E33" s="135">
        <f>Model!AF103</f>
        <v>5.4350000000000023</v>
      </c>
      <c r="F33" s="135">
        <f>Model!AG103</f>
        <v>4.6089999999999947</v>
      </c>
      <c r="G33" s="135">
        <f>Model!AH103</f>
        <v>4.6089999999999947</v>
      </c>
      <c r="H33" s="135">
        <f>Model!AI103</f>
        <v>4.6089999999999947</v>
      </c>
      <c r="I33" s="135">
        <f>Model!AJ103</f>
        <v>4.6089999999999947</v>
      </c>
      <c r="J33" s="135">
        <f>Model!AK103</f>
        <v>4.6089999999999947</v>
      </c>
      <c r="K33" s="135">
        <f>Model!AL103</f>
        <v>4.6089999999999947</v>
      </c>
      <c r="L33" s="135">
        <f>Model!AM103</f>
        <v>4.6089999999999947</v>
      </c>
      <c r="M33" s="135">
        <f>Model!AN103</f>
        <v>4.6089999999999947</v>
      </c>
      <c r="N33" s="135">
        <f>Model!AO103</f>
        <v>4.6089999999999947</v>
      </c>
      <c r="O33" s="135">
        <f>Model!AP103</f>
        <v>4.6089999999999947</v>
      </c>
      <c r="P33" s="135">
        <f>Model!AQ103</f>
        <v>4.6089999999999947</v>
      </c>
      <c r="Q33" s="135">
        <f>Model!AR103</f>
        <v>4.6089999999999947</v>
      </c>
      <c r="R33" s="135">
        <f>Model!AS103</f>
        <v>4.6089999999999947</v>
      </c>
      <c r="S33" s="135">
        <f>Model!AT103</f>
        <v>4.6089999999999947</v>
      </c>
    </row>
    <row r="34" spans="2:19" ht="13.5" thickBot="1" x14ac:dyDescent="0.3">
      <c r="B34" s="139" t="s">
        <v>82</v>
      </c>
      <c r="C34" s="142">
        <f>Model!AD105</f>
        <v>0</v>
      </c>
      <c r="D34" s="142">
        <f>Model!AE105</f>
        <v>33.122</v>
      </c>
      <c r="E34" s="142">
        <f>Model!AF105</f>
        <v>70.492000000000004</v>
      </c>
      <c r="F34" s="142">
        <f>Model!AG105</f>
        <v>82.052999999999997</v>
      </c>
      <c r="G34" s="142">
        <f>Model!AH105</f>
        <v>78.857648261590285</v>
      </c>
      <c r="H34" s="142">
        <f>Model!AI105</f>
        <v>83.048517616884311</v>
      </c>
      <c r="I34" s="142">
        <f>Model!AJ105</f>
        <v>89.853829597052496</v>
      </c>
      <c r="J34" s="142">
        <f>Model!AK105</f>
        <v>98.962470581449864</v>
      </c>
      <c r="K34" s="142">
        <f>Model!AL105</f>
        <v>110.18620613884546</v>
      </c>
      <c r="L34" s="142">
        <f>Model!AM105</f>
        <v>123.42527353842381</v>
      </c>
      <c r="M34" s="142">
        <f>Model!AN105</f>
        <v>138.64098766404499</v>
      </c>
      <c r="N34" s="142">
        <f>Model!AO105</f>
        <v>155.83978348409235</v>
      </c>
      <c r="O34" s="142">
        <f>Model!AP105</f>
        <v>175.06075780342883</v>
      </c>
      <c r="P34" s="142">
        <f>Model!AQ105</f>
        <v>196.36921814750039</v>
      </c>
      <c r="Q34" s="142">
        <f>Model!AR105</f>
        <v>219.85144892784305</v>
      </c>
      <c r="R34" s="142">
        <f>Model!AS105</f>
        <v>245.61044463726236</v>
      </c>
      <c r="S34" s="142">
        <f>Model!AT105</f>
        <v>273.76442357192343</v>
      </c>
    </row>
    <row r="35" spans="2:19" x14ac:dyDescent="0.25">
      <c r="B35" s="3"/>
      <c r="C35" s="3"/>
      <c r="D35" s="3"/>
      <c r="E35" s="3"/>
      <c r="F35" s="3"/>
      <c r="G35" s="3"/>
      <c r="H35" s="3"/>
      <c r="I35" s="3"/>
      <c r="J35" s="3"/>
      <c r="K35" s="3"/>
      <c r="L35" s="3"/>
      <c r="M35" s="3"/>
      <c r="N35" s="3"/>
      <c r="O35" s="3"/>
      <c r="P35" s="3"/>
      <c r="Q35" s="3"/>
      <c r="R35" s="3"/>
      <c r="S35" s="3"/>
    </row>
    <row r="36" spans="2:19" x14ac:dyDescent="0.25">
      <c r="B36" s="30" t="s">
        <v>83</v>
      </c>
      <c r="C36" s="3"/>
      <c r="D36" s="3"/>
      <c r="E36" s="3"/>
      <c r="F36" s="3"/>
      <c r="G36" s="3"/>
      <c r="H36" s="3"/>
      <c r="I36" s="3"/>
      <c r="J36" s="3"/>
      <c r="K36" s="3"/>
      <c r="L36" s="3"/>
      <c r="M36" s="3"/>
      <c r="N36" s="3"/>
      <c r="O36" s="3"/>
      <c r="P36" s="3"/>
      <c r="Q36" s="3"/>
      <c r="R36" s="3"/>
      <c r="S36" s="3"/>
    </row>
    <row r="37" spans="2:19" x14ac:dyDescent="0.25">
      <c r="B37" s="138" t="s">
        <v>106</v>
      </c>
      <c r="C37" s="133">
        <f>Model!AD107</f>
        <v>0</v>
      </c>
      <c r="D37" s="133">
        <f>Model!AE107</f>
        <v>5.6370000000000005</v>
      </c>
      <c r="E37" s="133">
        <f>Model!AF107</f>
        <v>6.274</v>
      </c>
      <c r="F37" s="133">
        <f>Model!AG107</f>
        <v>5.5560000000000009</v>
      </c>
      <c r="G37" s="133">
        <f>Model!AH107</f>
        <v>5.5560000000000009</v>
      </c>
      <c r="H37" s="133">
        <f>Model!AI107</f>
        <v>5.5560000000000009</v>
      </c>
      <c r="I37" s="133">
        <f>Model!AJ107</f>
        <v>5.5560000000000009</v>
      </c>
      <c r="J37" s="133">
        <f>Model!AK107</f>
        <v>5.5560000000000009</v>
      </c>
      <c r="K37" s="133">
        <f>Model!AL107</f>
        <v>5.5560000000000009</v>
      </c>
      <c r="L37" s="133">
        <f>Model!AM107</f>
        <v>5.5560000000000009</v>
      </c>
      <c r="M37" s="133">
        <f>Model!AN107</f>
        <v>5.5560000000000009</v>
      </c>
      <c r="N37" s="133">
        <f>Model!AO107</f>
        <v>5.5560000000000009</v>
      </c>
      <c r="O37" s="133">
        <f>Model!AP107</f>
        <v>5.5560000000000009</v>
      </c>
      <c r="P37" s="133">
        <f>Model!AQ107</f>
        <v>5.5560000000000009</v>
      </c>
      <c r="Q37" s="133">
        <f>Model!AR107</f>
        <v>5.5560000000000009</v>
      </c>
      <c r="R37" s="133">
        <f>Model!AS107</f>
        <v>5.5560000000000009</v>
      </c>
      <c r="S37" s="133">
        <f>Model!AT107</f>
        <v>5.5560000000000009</v>
      </c>
    </row>
    <row r="38" spans="2:19" x14ac:dyDescent="0.25">
      <c r="B38" s="134" t="s">
        <v>22</v>
      </c>
      <c r="C38" s="135">
        <f>Model!AD108</f>
        <v>0</v>
      </c>
      <c r="D38" s="135">
        <f>Model!AE108</f>
        <v>8.8620000000000001</v>
      </c>
      <c r="E38" s="135">
        <f>Model!AF108</f>
        <v>12.294</v>
      </c>
      <c r="F38" s="135">
        <f>Model!AG108</f>
        <v>20.448</v>
      </c>
      <c r="G38" s="135">
        <f>Model!AH108</f>
        <v>18.082060087588737</v>
      </c>
      <c r="H38" s="135">
        <f>Model!AI108</f>
        <v>16.917321757910344</v>
      </c>
      <c r="I38" s="135">
        <f>Model!AJ108</f>
        <v>15.863565671241115</v>
      </c>
      <c r="J38" s="135">
        <f>Model!AK108</f>
        <v>14.886528800787474</v>
      </c>
      <c r="K38" s="135">
        <f>Model!AL108</f>
        <v>13.9518532732449</v>
      </c>
      <c r="L38" s="135">
        <f>Model!AM108</f>
        <v>13.031493165912275</v>
      </c>
      <c r="M38" s="135">
        <f>Model!AN108</f>
        <v>12.100879848721501</v>
      </c>
      <c r="N38" s="135">
        <f>Model!AO108</f>
        <v>11.140018420615739</v>
      </c>
      <c r="O38" s="135">
        <f>Model!AP108</f>
        <v>10.13070914826333</v>
      </c>
      <c r="P38" s="135">
        <f>Model!AQ108</f>
        <v>9.0572176653104268</v>
      </c>
      <c r="Q38" s="135">
        <f>Model!AR108</f>
        <v>7.9061491730806424</v>
      </c>
      <c r="R38" s="135">
        <f>Model!AS108</f>
        <v>6.6645420952471319</v>
      </c>
      <c r="S38" s="135">
        <f>Model!AT108</f>
        <v>5.3206095231081241</v>
      </c>
    </row>
    <row r="39" spans="2:19" x14ac:dyDescent="0.25">
      <c r="B39" s="175" t="s">
        <v>84</v>
      </c>
      <c r="C39" s="176">
        <f>Model!AD110</f>
        <v>0</v>
      </c>
      <c r="D39" s="176">
        <f>Model!AE110</f>
        <v>14.499000000000001</v>
      </c>
      <c r="E39" s="176">
        <f>Model!AF110</f>
        <v>18.568000000000001</v>
      </c>
      <c r="F39" s="176">
        <f>Model!AG110</f>
        <v>26.004000000000001</v>
      </c>
      <c r="G39" s="176">
        <f>Model!AH110</f>
        <v>23.638060087588737</v>
      </c>
      <c r="H39" s="176">
        <f>Model!AI110</f>
        <v>22.473321757910345</v>
      </c>
      <c r="I39" s="176">
        <f>Model!AJ110</f>
        <v>21.419565671241116</v>
      </c>
      <c r="J39" s="176">
        <f>Model!AK110</f>
        <v>20.442528800787475</v>
      </c>
      <c r="K39" s="176">
        <f>Model!AL110</f>
        <v>19.507853273244901</v>
      </c>
      <c r="L39" s="176">
        <f>Model!AM110</f>
        <v>18.587493165912278</v>
      </c>
      <c r="M39" s="176">
        <f>Model!AN110</f>
        <v>17.656879848721502</v>
      </c>
      <c r="N39" s="176">
        <f>Model!AO110</f>
        <v>16.69601842061574</v>
      </c>
      <c r="O39" s="176">
        <f>Model!AP110</f>
        <v>15.686709148263331</v>
      </c>
      <c r="P39" s="176">
        <f>Model!AQ110</f>
        <v>14.613217665310428</v>
      </c>
      <c r="Q39" s="176">
        <f>Model!AR110</f>
        <v>13.462149173080643</v>
      </c>
      <c r="R39" s="176">
        <f>Model!AS110</f>
        <v>12.220542095247133</v>
      </c>
      <c r="S39" s="176">
        <f>Model!AT110</f>
        <v>10.876609523108126</v>
      </c>
    </row>
    <row r="40" spans="2:19" x14ac:dyDescent="0.25">
      <c r="B40" s="134" t="s">
        <v>85</v>
      </c>
      <c r="C40" s="135">
        <f>Model!AD113</f>
        <v>0</v>
      </c>
      <c r="D40" s="135">
        <f>Model!AE113</f>
        <v>7.6450000000000005</v>
      </c>
      <c r="E40" s="135">
        <f>Model!AF113</f>
        <v>4.944</v>
      </c>
      <c r="F40" s="135">
        <f>Model!AG113</f>
        <v>9.0009999999999994</v>
      </c>
      <c r="G40" s="135">
        <f>Model!AH113</f>
        <v>9.0009999999999994</v>
      </c>
      <c r="H40" s="135">
        <f>Model!AI113</f>
        <v>9.0009999999999994</v>
      </c>
      <c r="I40" s="135">
        <f>Model!AJ113</f>
        <v>9.0009999999999994</v>
      </c>
      <c r="J40" s="135">
        <f>Model!AK113</f>
        <v>9.0009999999999994</v>
      </c>
      <c r="K40" s="135">
        <f>Model!AL113</f>
        <v>9.0009999999999994</v>
      </c>
      <c r="L40" s="135">
        <f>Model!AM113</f>
        <v>9.0009999999999994</v>
      </c>
      <c r="M40" s="135">
        <f>Model!AN113</f>
        <v>9.0009999999999994</v>
      </c>
      <c r="N40" s="135">
        <f>Model!AO113</f>
        <v>9.0009999999999994</v>
      </c>
      <c r="O40" s="135">
        <f>Model!AP113</f>
        <v>9.0009999999999994</v>
      </c>
      <c r="P40" s="135">
        <f>Model!AQ113</f>
        <v>9.0009999999999994</v>
      </c>
      <c r="Q40" s="135">
        <f>Model!AR113</f>
        <v>9.0009999999999994</v>
      </c>
      <c r="R40" s="135">
        <f>Model!AS113</f>
        <v>9.0009999999999994</v>
      </c>
      <c r="S40" s="135">
        <f>Model!AT113</f>
        <v>9.0009999999999994</v>
      </c>
    </row>
    <row r="41" spans="2:19" ht="13.5" thickBot="1" x14ac:dyDescent="0.3">
      <c r="B41" s="139" t="s">
        <v>27</v>
      </c>
      <c r="C41" s="142">
        <f>Model!AD114</f>
        <v>0</v>
      </c>
      <c r="D41" s="142">
        <f>Model!AE114</f>
        <v>22.144000000000002</v>
      </c>
      <c r="E41" s="142">
        <f>Model!AF114</f>
        <v>23.512</v>
      </c>
      <c r="F41" s="142">
        <f>Model!AG114</f>
        <v>35.005000000000003</v>
      </c>
      <c r="G41" s="142">
        <f>Model!AH114</f>
        <v>32.639060087588739</v>
      </c>
      <c r="H41" s="142">
        <f>Model!AI114</f>
        <v>31.474321757910346</v>
      </c>
      <c r="I41" s="142">
        <f>Model!AJ114</f>
        <v>30.420565671241114</v>
      </c>
      <c r="J41" s="142">
        <f>Model!AK114</f>
        <v>29.443528800787476</v>
      </c>
      <c r="K41" s="142">
        <f>Model!AL114</f>
        <v>28.508853273244902</v>
      </c>
      <c r="L41" s="142">
        <f>Model!AM114</f>
        <v>27.588493165912276</v>
      </c>
      <c r="M41" s="142">
        <f>Model!AN114</f>
        <v>26.6578798487215</v>
      </c>
      <c r="N41" s="142">
        <f>Model!AO114</f>
        <v>25.697018420615741</v>
      </c>
      <c r="O41" s="142">
        <f>Model!AP114</f>
        <v>24.68770914826333</v>
      </c>
      <c r="P41" s="142">
        <f>Model!AQ114</f>
        <v>23.614217665310427</v>
      </c>
      <c r="Q41" s="142">
        <f>Model!AR114</f>
        <v>22.463149173080645</v>
      </c>
      <c r="R41" s="142">
        <f>Model!AS114</f>
        <v>21.221542095247131</v>
      </c>
      <c r="S41" s="142">
        <f>Model!AT114</f>
        <v>19.877609523108127</v>
      </c>
    </row>
    <row r="42" spans="2:19" x14ac:dyDescent="0.25">
      <c r="B42" s="3"/>
      <c r="C42" s="3"/>
      <c r="D42" s="3"/>
      <c r="E42" s="3"/>
      <c r="F42" s="3"/>
      <c r="G42" s="3"/>
      <c r="H42" s="3"/>
      <c r="I42" s="3"/>
      <c r="J42" s="3"/>
      <c r="K42" s="3"/>
      <c r="L42" s="3"/>
      <c r="M42" s="3"/>
      <c r="N42" s="3"/>
      <c r="O42" s="3"/>
      <c r="P42" s="3"/>
      <c r="Q42" s="3"/>
      <c r="R42" s="3"/>
      <c r="S42" s="3"/>
    </row>
    <row r="43" spans="2:19" x14ac:dyDescent="0.25">
      <c r="B43" s="30" t="s">
        <v>86</v>
      </c>
      <c r="C43" s="3"/>
      <c r="D43" s="3"/>
      <c r="E43" s="3"/>
      <c r="F43" s="3"/>
      <c r="G43" s="3"/>
      <c r="H43" s="3"/>
      <c r="I43" s="3"/>
      <c r="J43" s="3"/>
      <c r="K43" s="3"/>
      <c r="L43" s="3"/>
      <c r="M43" s="3"/>
      <c r="N43" s="3"/>
      <c r="O43" s="3"/>
      <c r="P43" s="3"/>
      <c r="Q43" s="3"/>
      <c r="R43" s="3"/>
      <c r="S43" s="3"/>
    </row>
    <row r="44" spans="2:19" x14ac:dyDescent="0.25">
      <c r="B44" s="138" t="str">
        <f>Model!A115</f>
        <v>Share capital, reserves and others</v>
      </c>
      <c r="C44" s="133">
        <f>Model!AD115</f>
        <v>0</v>
      </c>
      <c r="D44" s="133">
        <f>Model!AE115</f>
        <v>3.6040000000000001</v>
      </c>
      <c r="E44" s="133">
        <f>Model!AF115</f>
        <v>29.687999999999999</v>
      </c>
      <c r="F44" s="133">
        <f>Model!AG115</f>
        <v>39.850999999999999</v>
      </c>
      <c r="G44" s="133">
        <f>Model!AH115</f>
        <v>39.850999999999999</v>
      </c>
      <c r="H44" s="133">
        <f>Model!AI115</f>
        <v>39.850999999999999</v>
      </c>
      <c r="I44" s="133">
        <f>Model!AJ115</f>
        <v>39.850999999999999</v>
      </c>
      <c r="J44" s="133">
        <f>Model!AK115</f>
        <v>39.850999999999999</v>
      </c>
      <c r="K44" s="133">
        <f>Model!AL115</f>
        <v>39.850999999999999</v>
      </c>
      <c r="L44" s="133">
        <f>Model!AM115</f>
        <v>39.850999999999999</v>
      </c>
      <c r="M44" s="133">
        <f>Model!AN115</f>
        <v>39.850999999999999</v>
      </c>
      <c r="N44" s="133">
        <f>Model!AO115</f>
        <v>39.850999999999999</v>
      </c>
      <c r="O44" s="133">
        <f>Model!AP115</f>
        <v>39.850999999999999</v>
      </c>
      <c r="P44" s="133">
        <f>Model!AQ115</f>
        <v>39.850999999999999</v>
      </c>
      <c r="Q44" s="133">
        <f>Model!AR115</f>
        <v>39.850999999999999</v>
      </c>
      <c r="R44" s="133">
        <f>Model!AS115</f>
        <v>39.850999999999999</v>
      </c>
      <c r="S44" s="133">
        <f>Model!AT115</f>
        <v>39.850999999999999</v>
      </c>
    </row>
    <row r="45" spans="2:19" x14ac:dyDescent="0.25">
      <c r="B45" s="134" t="str">
        <f>Model!A116</f>
        <v>Retained Earnings</v>
      </c>
      <c r="C45" s="135">
        <f>Model!AD116</f>
        <v>0</v>
      </c>
      <c r="D45" s="135">
        <f>Model!AE116</f>
        <v>21.33</v>
      </c>
      <c r="E45" s="135">
        <f>Model!AF116</f>
        <v>17.292000000000002</v>
      </c>
      <c r="F45" s="135">
        <f>Model!AG116</f>
        <v>7.1970000000000001</v>
      </c>
      <c r="G45" s="135">
        <f>Model!AH116</f>
        <v>6.3675881740015576</v>
      </c>
      <c r="H45" s="135">
        <f>Model!AI116</f>
        <v>11.723195858973973</v>
      </c>
      <c r="I45" s="135">
        <f>Model!AJ116</f>
        <v>19.58226392581139</v>
      </c>
      <c r="J45" s="135">
        <f>Model!AK116</f>
        <v>29.667941780662396</v>
      </c>
      <c r="K45" s="135">
        <f>Model!AL116</f>
        <v>41.826352865600576</v>
      </c>
      <c r="L45" s="135">
        <f>Model!AM116</f>
        <v>55.985780372511542</v>
      </c>
      <c r="M45" s="135">
        <f>Model!AN116</f>
        <v>72.132107815323494</v>
      </c>
      <c r="N45" s="135">
        <f>Model!AO116</f>
        <v>90.291765063476646</v>
      </c>
      <c r="O45" s="135">
        <f>Model!AP116</f>
        <v>110.52204865516552</v>
      </c>
      <c r="P45" s="135">
        <f>Model!AQ116</f>
        <v>132.90400048218999</v>
      </c>
      <c r="Q45" s="135">
        <f>Model!AR116</f>
        <v>157.53729975476244</v>
      </c>
      <c r="R45" s="135">
        <f>Model!AS116</f>
        <v>184.53790254201525</v>
      </c>
      <c r="S45" s="135">
        <f>Model!AT116</f>
        <v>214.0358140488153</v>
      </c>
    </row>
    <row r="46" spans="2:19" x14ac:dyDescent="0.25">
      <c r="B46" s="143" t="s">
        <v>87</v>
      </c>
      <c r="C46" s="144">
        <f>Model!AD119</f>
        <v>0</v>
      </c>
      <c r="D46" s="144">
        <f>Model!AE119</f>
        <v>24.933999999999997</v>
      </c>
      <c r="E46" s="144">
        <f>Model!AF119</f>
        <v>46.980000000000004</v>
      </c>
      <c r="F46" s="144">
        <f>Model!AG119</f>
        <v>47.048000000000002</v>
      </c>
      <c r="G46" s="144">
        <f>Model!AH119</f>
        <v>46.218588174001553</v>
      </c>
      <c r="H46" s="144">
        <f>Model!AI119</f>
        <v>51.574195858973972</v>
      </c>
      <c r="I46" s="144">
        <f>Model!AJ119</f>
        <v>59.433263925811389</v>
      </c>
      <c r="J46" s="144">
        <f>Model!AK119</f>
        <v>69.518941780662402</v>
      </c>
      <c r="K46" s="144">
        <f>Model!AL119</f>
        <v>81.677352865600568</v>
      </c>
      <c r="L46" s="144">
        <f>Model!AM119</f>
        <v>95.836780372511541</v>
      </c>
      <c r="M46" s="144">
        <f>Model!AN119</f>
        <v>111.98310781532349</v>
      </c>
      <c r="N46" s="144">
        <f>Model!AO119</f>
        <v>130.14276506347665</v>
      </c>
      <c r="O46" s="144">
        <f>Model!AP119</f>
        <v>150.37304865516552</v>
      </c>
      <c r="P46" s="144">
        <f>Model!AQ119</f>
        <v>172.75500048218998</v>
      </c>
      <c r="Q46" s="144">
        <f>Model!AR119</f>
        <v>197.38829975476244</v>
      </c>
      <c r="R46" s="144">
        <f>Model!AS119</f>
        <v>224.38890254201524</v>
      </c>
      <c r="S46" s="144">
        <f>Model!AT119</f>
        <v>253.8868140488153</v>
      </c>
    </row>
    <row r="47" spans="2:19" ht="13.5" thickBot="1" x14ac:dyDescent="0.3">
      <c r="B47" s="145" t="s">
        <v>133</v>
      </c>
      <c r="C47" s="142">
        <f>Model!AD120</f>
        <v>0</v>
      </c>
      <c r="D47" s="142">
        <f>Model!AE120</f>
        <v>47.078000000000003</v>
      </c>
      <c r="E47" s="142">
        <f>Model!AF120</f>
        <v>70.492000000000004</v>
      </c>
      <c r="F47" s="142">
        <f>Model!AG120</f>
        <v>82.052999999999997</v>
      </c>
      <c r="G47" s="142">
        <f>Model!AH120</f>
        <v>78.857648261590299</v>
      </c>
      <c r="H47" s="142">
        <f>Model!AI120</f>
        <v>83.048517616884311</v>
      </c>
      <c r="I47" s="142">
        <f>Model!AJ120</f>
        <v>89.85382959705251</v>
      </c>
      <c r="J47" s="142">
        <f>Model!AK120</f>
        <v>98.962470581449878</v>
      </c>
      <c r="K47" s="142">
        <f>Model!AL120</f>
        <v>110.18620613884548</v>
      </c>
      <c r="L47" s="142">
        <f>Model!AM120</f>
        <v>123.42527353842382</v>
      </c>
      <c r="M47" s="142">
        <f>Model!AN120</f>
        <v>138.64098766404499</v>
      </c>
      <c r="N47" s="142">
        <f>Model!AO120</f>
        <v>155.83978348409238</v>
      </c>
      <c r="O47" s="142">
        <f>Model!AP120</f>
        <v>175.06075780342886</v>
      </c>
      <c r="P47" s="142">
        <f>Model!AQ120</f>
        <v>196.36921814750042</v>
      </c>
      <c r="Q47" s="142">
        <f>Model!AR120</f>
        <v>219.85144892784308</v>
      </c>
      <c r="R47" s="142">
        <f>Model!AS120</f>
        <v>245.61044463726239</v>
      </c>
      <c r="S47" s="142">
        <f>Model!AT120</f>
        <v>273.76442357192343</v>
      </c>
    </row>
    <row r="48" spans="2:19" x14ac:dyDescent="0.25">
      <c r="B48" s="140" t="s">
        <v>88</v>
      </c>
      <c r="C48" s="146">
        <f>C47-C34</f>
        <v>0</v>
      </c>
      <c r="D48" s="146">
        <f t="shared" ref="D48:I48" si="9">D47-D34</f>
        <v>13.956000000000003</v>
      </c>
      <c r="E48" s="146">
        <f t="shared" si="9"/>
        <v>0</v>
      </c>
      <c r="F48" s="146">
        <f t="shared" si="9"/>
        <v>0</v>
      </c>
      <c r="G48" s="146">
        <f t="shared" si="9"/>
        <v>0</v>
      </c>
      <c r="H48" s="146">
        <f t="shared" si="9"/>
        <v>0</v>
      </c>
      <c r="I48" s="146">
        <f t="shared" si="9"/>
        <v>0</v>
      </c>
      <c r="J48" s="146">
        <f t="shared" ref="J48:M48" si="10">J47-J34</f>
        <v>0</v>
      </c>
      <c r="K48" s="146">
        <f t="shared" si="10"/>
        <v>0</v>
      </c>
      <c r="L48" s="146">
        <f t="shared" si="10"/>
        <v>0</v>
      </c>
      <c r="M48" s="146">
        <f t="shared" si="10"/>
        <v>0</v>
      </c>
      <c r="N48" s="146">
        <f t="shared" ref="N48:S48" si="11">N47-N34</f>
        <v>0</v>
      </c>
      <c r="O48" s="146">
        <f t="shared" si="11"/>
        <v>0</v>
      </c>
      <c r="P48" s="146">
        <f t="shared" si="11"/>
        <v>0</v>
      </c>
      <c r="Q48" s="146">
        <f t="shared" si="11"/>
        <v>0</v>
      </c>
      <c r="R48" s="146">
        <f t="shared" si="11"/>
        <v>0</v>
      </c>
      <c r="S48" s="146">
        <f t="shared" si="11"/>
        <v>0</v>
      </c>
    </row>
    <row r="49" spans="2:19" ht="3" customHeight="1" x14ac:dyDescent="0.25">
      <c r="B49" s="3"/>
      <c r="C49" s="3"/>
      <c r="D49" s="3"/>
      <c r="E49" s="3"/>
      <c r="F49" s="3"/>
      <c r="G49" s="3"/>
      <c r="H49" s="3"/>
      <c r="I49" s="3"/>
      <c r="J49" s="3"/>
      <c r="K49" s="3"/>
      <c r="L49" s="3"/>
      <c r="M49" s="3"/>
      <c r="N49" s="3"/>
      <c r="O49" s="3"/>
      <c r="P49" s="3"/>
      <c r="Q49" s="3"/>
      <c r="R49" s="3"/>
      <c r="S49" s="3"/>
    </row>
    <row r="50" spans="2:19" ht="4.5" customHeight="1" x14ac:dyDescent="0.25">
      <c r="B50" s="243"/>
      <c r="C50" s="243"/>
      <c r="D50" s="243"/>
      <c r="E50" s="243"/>
      <c r="F50" s="243"/>
      <c r="G50" s="243"/>
      <c r="H50" s="243"/>
      <c r="I50" s="243"/>
      <c r="J50" s="243"/>
      <c r="K50" s="243"/>
      <c r="L50" s="243"/>
      <c r="M50" s="243"/>
      <c r="N50" s="243"/>
      <c r="O50" s="243"/>
      <c r="P50" s="243"/>
      <c r="Q50" s="243"/>
      <c r="R50" s="243"/>
      <c r="S50" s="243"/>
    </row>
    <row r="52" spans="2:19" x14ac:dyDescent="0.25">
      <c r="B52" s="239"/>
      <c r="C52" s="239"/>
      <c r="D52" s="239"/>
      <c r="E52" s="239"/>
      <c r="F52" s="239"/>
      <c r="G52" s="239"/>
      <c r="H52" s="239"/>
      <c r="I52" s="239"/>
      <c r="J52" s="239"/>
      <c r="K52" s="239"/>
      <c r="L52" s="239"/>
      <c r="M52" s="239"/>
      <c r="N52" s="239"/>
      <c r="O52" s="239"/>
      <c r="P52" s="239"/>
      <c r="Q52" s="239"/>
      <c r="R52" s="239"/>
      <c r="S52" s="239"/>
    </row>
    <row r="53" spans="2:19" ht="14.25" x14ac:dyDescent="0.3">
      <c r="B53" s="252" t="s">
        <v>89</v>
      </c>
      <c r="C53" s="253">
        <f>C23</f>
        <v>2019</v>
      </c>
      <c r="D53" s="253">
        <v>2020</v>
      </c>
      <c r="E53" s="253">
        <f t="shared" ref="E53:I53" si="12">E23</f>
        <v>2021</v>
      </c>
      <c r="F53" s="253">
        <f t="shared" si="12"/>
        <v>2022</v>
      </c>
      <c r="G53" s="254">
        <f t="shared" si="12"/>
        <v>2023</v>
      </c>
      <c r="H53" s="254">
        <f t="shared" si="12"/>
        <v>2024</v>
      </c>
      <c r="I53" s="254">
        <f t="shared" si="12"/>
        <v>2025</v>
      </c>
      <c r="J53" s="254">
        <f t="shared" ref="J53:M53" si="13">J23</f>
        <v>2026</v>
      </c>
      <c r="K53" s="254">
        <f t="shared" si="13"/>
        <v>2027</v>
      </c>
      <c r="L53" s="254">
        <f t="shared" si="13"/>
        <v>2028</v>
      </c>
      <c r="M53" s="254">
        <f t="shared" si="13"/>
        <v>2029</v>
      </c>
      <c r="N53" s="254">
        <f t="shared" ref="N53:S53" si="14">N23</f>
        <v>2030</v>
      </c>
      <c r="O53" s="254">
        <f t="shared" si="14"/>
        <v>2031</v>
      </c>
      <c r="P53" s="254">
        <f t="shared" si="14"/>
        <v>2032</v>
      </c>
      <c r="Q53" s="254">
        <f t="shared" si="14"/>
        <v>2033</v>
      </c>
      <c r="R53" s="254">
        <f t="shared" si="14"/>
        <v>2034</v>
      </c>
      <c r="S53" s="254">
        <f t="shared" si="14"/>
        <v>2035</v>
      </c>
    </row>
    <row r="54" spans="2:19" ht="5.0999999999999996" customHeight="1" x14ac:dyDescent="0.3">
      <c r="B54" s="158"/>
      <c r="C54" s="170"/>
      <c r="D54" s="171"/>
      <c r="E54" s="171"/>
      <c r="F54" s="171"/>
      <c r="G54" s="171"/>
      <c r="H54" s="171"/>
      <c r="I54" s="171"/>
      <c r="J54" s="171"/>
      <c r="K54" s="171"/>
      <c r="L54" s="171"/>
      <c r="M54" s="171"/>
      <c r="N54" s="171"/>
      <c r="O54" s="171"/>
      <c r="P54" s="171"/>
      <c r="Q54" s="171"/>
      <c r="R54" s="171"/>
      <c r="S54" s="171"/>
    </row>
    <row r="55" spans="2:19" x14ac:dyDescent="0.25">
      <c r="B55" s="30" t="s">
        <v>90</v>
      </c>
      <c r="C55" s="3"/>
      <c r="D55" s="3"/>
      <c r="E55" s="3"/>
      <c r="F55" s="3"/>
      <c r="G55" s="3"/>
      <c r="H55" s="3"/>
      <c r="I55" s="3"/>
      <c r="J55" s="3"/>
      <c r="K55" s="3"/>
      <c r="L55" s="3"/>
      <c r="M55" s="3"/>
      <c r="N55" s="3"/>
      <c r="O55" s="3"/>
      <c r="P55" s="3"/>
      <c r="Q55" s="3"/>
      <c r="R55" s="3"/>
      <c r="S55" s="3"/>
    </row>
    <row r="56" spans="2:19" x14ac:dyDescent="0.25">
      <c r="B56" s="147" t="s">
        <v>73</v>
      </c>
      <c r="C56" s="148">
        <f>Model!AD126</f>
        <v>4.7940000000000067</v>
      </c>
      <c r="D56" s="148">
        <f>Model!AE126</f>
        <v>8.1710000000000029</v>
      </c>
      <c r="E56" s="148">
        <f>Model!AF126</f>
        <v>-0.5290000000000008</v>
      </c>
      <c r="F56" s="148">
        <f>Model!AG126</f>
        <v>-5.3260000000000023</v>
      </c>
      <c r="G56" s="148">
        <f>Model!AH126</f>
        <v>-0.82941182599844288</v>
      </c>
      <c r="H56" s="148">
        <f>Model!AI126</f>
        <v>5.3556076849724157</v>
      </c>
      <c r="I56" s="148">
        <f>Model!AJ126</f>
        <v>7.8590680668374171</v>
      </c>
      <c r="J56" s="148">
        <f>Model!AK126</f>
        <v>10.085677854851008</v>
      </c>
      <c r="K56" s="148">
        <f>Model!AL126</f>
        <v>12.158411084938178</v>
      </c>
      <c r="L56" s="148">
        <f>Model!AM126</f>
        <v>14.159427506910967</v>
      </c>
      <c r="M56" s="148">
        <f>Model!AN126</f>
        <v>16.146327442811955</v>
      </c>
      <c r="N56" s="148">
        <f>Model!AO126</f>
        <v>18.15965724815316</v>
      </c>
      <c r="O56" s="148">
        <f>Model!AP126</f>
        <v>20.230283591688877</v>
      </c>
      <c r="P56" s="148">
        <f>Model!AQ126</f>
        <v>22.381951827024469</v>
      </c>
      <c r="Q56" s="148">
        <f>Model!AR126</f>
        <v>24.633299272572458</v>
      </c>
      <c r="R56" s="148">
        <f>Model!AS126</f>
        <v>27.000602787252802</v>
      </c>
      <c r="S56" s="148">
        <f>Model!AT126</f>
        <v>29.497911506800051</v>
      </c>
    </row>
    <row r="57" spans="2:19" x14ac:dyDescent="0.25">
      <c r="B57" s="147" t="s">
        <v>91</v>
      </c>
      <c r="C57" s="148">
        <f>Model!AD127</f>
        <v>0</v>
      </c>
      <c r="D57" s="148">
        <f>Model!AE127</f>
        <v>0</v>
      </c>
      <c r="E57" s="148">
        <f>Model!AF127</f>
        <v>0</v>
      </c>
      <c r="F57" s="148">
        <f>Model!AG127</f>
        <v>0</v>
      </c>
      <c r="G57" s="148">
        <f>Model!AH127</f>
        <v>5.6311638774617556</v>
      </c>
      <c r="H57" s="148">
        <f>Model!AI127</f>
        <v>4.1701337441292763</v>
      </c>
      <c r="I57" s="148">
        <f>Model!AJ127</f>
        <v>3.2627841089121112</v>
      </c>
      <c r="J57" s="148">
        <f>Model!AK127</f>
        <v>2.7005733498233759</v>
      </c>
      <c r="K57" s="148">
        <f>Model!AL127</f>
        <v>2.3555690111259202</v>
      </c>
      <c r="L57" s="148">
        <f>Model!AM127</f>
        <v>2.1487250176789194</v>
      </c>
      <c r="M57" s="148">
        <f>Model!AN127</f>
        <v>2.0308020901269099</v>
      </c>
      <c r="N57" s="148">
        <f>Model!AO127</f>
        <v>1.9708568105462665</v>
      </c>
      <c r="O57" s="148">
        <f>Model!AP127</f>
        <v>1.9492643490877524</v>
      </c>
      <c r="P57" s="148">
        <f>Model!AQ127</f>
        <v>1.9534634470628873</v>
      </c>
      <c r="Q57" s="148">
        <f>Model!AR127</f>
        <v>1.9753425597247147</v>
      </c>
      <c r="R57" s="148">
        <f>Model!AS127</f>
        <v>2.0096207958580536</v>
      </c>
      <c r="S57" s="148">
        <f>Model!AT127</f>
        <v>2.0528359153253017</v>
      </c>
    </row>
    <row r="58" spans="2:19" x14ac:dyDescent="0.25">
      <c r="B58" s="147" t="s">
        <v>92</v>
      </c>
      <c r="C58" s="148">
        <f>Model!AD128</f>
        <v>0</v>
      </c>
      <c r="D58" s="148">
        <f>Model!AE128</f>
        <v>0</v>
      </c>
      <c r="E58" s="148">
        <f>Model!AF128</f>
        <v>3.5939999999999999</v>
      </c>
      <c r="F58" s="148">
        <f>Model!AG128</f>
        <v>10.497999999999999</v>
      </c>
      <c r="G58" s="148">
        <f>Model!AH128</f>
        <v>0</v>
      </c>
      <c r="H58" s="148">
        <f>Model!AI128</f>
        <v>0</v>
      </c>
      <c r="I58" s="148">
        <f>Model!AJ128</f>
        <v>0</v>
      </c>
      <c r="J58" s="148">
        <f>Model!AK128</f>
        <v>0</v>
      </c>
      <c r="K58" s="148">
        <f>Model!AL128</f>
        <v>0</v>
      </c>
      <c r="L58" s="148">
        <f>Model!AM128</f>
        <v>0</v>
      </c>
      <c r="M58" s="148">
        <f>Model!AN128</f>
        <v>0</v>
      </c>
      <c r="N58" s="148">
        <f>Model!AO128</f>
        <v>0</v>
      </c>
      <c r="O58" s="148">
        <f>Model!AP128</f>
        <v>0</v>
      </c>
      <c r="P58" s="148">
        <f>Model!AQ128</f>
        <v>0</v>
      </c>
      <c r="Q58" s="148">
        <f>Model!AR128</f>
        <v>0</v>
      </c>
      <c r="R58" s="148">
        <f>Model!AS128</f>
        <v>0</v>
      </c>
      <c r="S58" s="148">
        <f>Model!AT128</f>
        <v>0</v>
      </c>
    </row>
    <row r="59" spans="2:19" x14ac:dyDescent="0.25">
      <c r="B59" s="147" t="s">
        <v>93</v>
      </c>
      <c r="C59" s="148">
        <f>Model!AD130</f>
        <v>-0.42500000000000693</v>
      </c>
      <c r="D59" s="148">
        <f>Model!AE130</f>
        <v>2.4639999999999969</v>
      </c>
      <c r="E59" s="148">
        <f>Model!AF130</f>
        <v>0</v>
      </c>
      <c r="F59" s="148">
        <f>Model!AG130</f>
        <v>0</v>
      </c>
      <c r="G59" s="148">
        <f>Model!AH130</f>
        <v>0</v>
      </c>
      <c r="H59" s="148">
        <f>Model!AI130</f>
        <v>0</v>
      </c>
      <c r="I59" s="148">
        <f>Model!AJ130</f>
        <v>0</v>
      </c>
      <c r="J59" s="148">
        <f>Model!AK130</f>
        <v>0</v>
      </c>
      <c r="K59" s="148">
        <f>Model!AL130</f>
        <v>0</v>
      </c>
      <c r="L59" s="148">
        <f>Model!AM130</f>
        <v>0</v>
      </c>
      <c r="M59" s="148">
        <f>Model!AN130</f>
        <v>0</v>
      </c>
      <c r="N59" s="148">
        <f>Model!AO130</f>
        <v>0</v>
      </c>
      <c r="O59" s="148">
        <f>Model!AP130</f>
        <v>0</v>
      </c>
      <c r="P59" s="148">
        <f>Model!AQ130</f>
        <v>0</v>
      </c>
      <c r="Q59" s="148">
        <f>Model!AR130</f>
        <v>0</v>
      </c>
      <c r="R59" s="148">
        <f>Model!AS130</f>
        <v>0</v>
      </c>
      <c r="S59" s="148">
        <f>Model!AT130</f>
        <v>0</v>
      </c>
    </row>
    <row r="60" spans="2:19" x14ac:dyDescent="0.25">
      <c r="B60" s="147" t="s">
        <v>94</v>
      </c>
      <c r="C60" s="174">
        <f>Model!AD129</f>
        <v>0</v>
      </c>
      <c r="D60" s="174">
        <f>Model!AE129</f>
        <v>-2.4079999999999995</v>
      </c>
      <c r="E60" s="174">
        <f>Model!AF129</f>
        <v>0.8682889999999992</v>
      </c>
      <c r="F60" s="174">
        <f>Model!AG129</f>
        <v>2.3630000000000031</v>
      </c>
      <c r="G60" s="174">
        <f>Model!AH129</f>
        <v>-2.2633000698619568</v>
      </c>
      <c r="H60" s="174">
        <f>Model!AI129</f>
        <v>-1.3144133644920748</v>
      </c>
      <c r="I60" s="174">
        <f>Model!AJ129</f>
        <v>-1.2372161511292656</v>
      </c>
      <c r="J60" s="174">
        <f>Model!AK129</f>
        <v>-1.1877487046016988</v>
      </c>
      <c r="K60" s="174">
        <f>Model!AL129</f>
        <v>-1.1660971851836903</v>
      </c>
      <c r="L60" s="174">
        <f>Model!AM129</f>
        <v>-1.1672274512434062</v>
      </c>
      <c r="M60" s="174">
        <f>Model!AN129</f>
        <v>-1.1883712726136313</v>
      </c>
      <c r="N60" s="174">
        <f>Model!AO129</f>
        <v>-1.2258844253361603</v>
      </c>
      <c r="O60" s="174">
        <f>Model!AP129</f>
        <v>-1.2783437813032563</v>
      </c>
      <c r="P60" s="174">
        <f>Model!AQ129</f>
        <v>-1.3437909073745076</v>
      </c>
      <c r="Q60" s="174">
        <f>Model!AR129</f>
        <v>-1.4203682752175701</v>
      </c>
      <c r="R60" s="174">
        <f>Model!AS129</f>
        <v>-1.5077423679511244</v>
      </c>
      <c r="S60" s="174">
        <f>Model!AT129</f>
        <v>-1.6049874529198158</v>
      </c>
    </row>
    <row r="61" spans="2:19" x14ac:dyDescent="0.25">
      <c r="B61" s="172" t="s">
        <v>95</v>
      </c>
      <c r="C61" s="173">
        <f>Model!AD131</f>
        <v>4.3689999999999998</v>
      </c>
      <c r="D61" s="173">
        <f>Model!AE131</f>
        <v>8.2270000000000003</v>
      </c>
      <c r="E61" s="173">
        <f>Model!AF131</f>
        <v>0</v>
      </c>
      <c r="F61" s="173">
        <f>Model!AG131</f>
        <v>0</v>
      </c>
      <c r="G61" s="173">
        <f>Model!AH131</f>
        <v>2.5384519816013555</v>
      </c>
      <c r="H61" s="173">
        <f>Model!AI131</f>
        <v>8.2113280646096172</v>
      </c>
      <c r="I61" s="173">
        <f>Model!AJ131</f>
        <v>9.8846360246202618</v>
      </c>
      <c r="J61" s="173">
        <f>Model!AK131</f>
        <v>11.598502500072685</v>
      </c>
      <c r="K61" s="173">
        <f>Model!AL131</f>
        <v>13.347882910880408</v>
      </c>
      <c r="L61" s="173">
        <f>Model!AM131</f>
        <v>15.14092507334648</v>
      </c>
      <c r="M61" s="173">
        <f>Model!AN131</f>
        <v>16.988758260325234</v>
      </c>
      <c r="N61" s="173">
        <f>Model!AO131</f>
        <v>18.904629633363264</v>
      </c>
      <c r="O61" s="173">
        <f>Model!AP131</f>
        <v>20.901204159473373</v>
      </c>
      <c r="P61" s="173">
        <f>Model!AQ131</f>
        <v>22.991624366712848</v>
      </c>
      <c r="Q61" s="173">
        <f>Model!AR131</f>
        <v>25.188273557079604</v>
      </c>
      <c r="R61" s="173">
        <f>Model!AS131</f>
        <v>27.502481215159733</v>
      </c>
      <c r="S61" s="173">
        <f>Model!AT131</f>
        <v>29.94575996920554</v>
      </c>
    </row>
    <row r="62" spans="2:19" x14ac:dyDescent="0.25">
      <c r="B62" s="3"/>
      <c r="C62" s="148"/>
      <c r="D62" s="148"/>
      <c r="E62" s="148"/>
      <c r="F62" s="148"/>
      <c r="G62" s="148"/>
      <c r="H62" s="148"/>
      <c r="I62" s="148"/>
      <c r="J62" s="148"/>
      <c r="K62" s="148"/>
      <c r="L62" s="148"/>
      <c r="M62" s="148"/>
      <c r="N62" s="148"/>
      <c r="O62" s="148"/>
      <c r="P62" s="148"/>
      <c r="Q62" s="148"/>
      <c r="R62" s="148"/>
      <c r="S62" s="148"/>
    </row>
    <row r="63" spans="2:19" x14ac:dyDescent="0.25">
      <c r="B63" s="30" t="s">
        <v>96</v>
      </c>
      <c r="C63" s="148"/>
      <c r="D63" s="148"/>
      <c r="E63" s="148"/>
      <c r="F63" s="148"/>
      <c r="G63" s="148"/>
      <c r="H63" s="148"/>
      <c r="I63" s="148"/>
      <c r="J63" s="148"/>
      <c r="K63" s="148"/>
      <c r="L63" s="148"/>
      <c r="M63" s="148"/>
      <c r="N63" s="148"/>
      <c r="O63" s="148"/>
      <c r="P63" s="148"/>
      <c r="Q63" s="148"/>
      <c r="R63" s="148"/>
      <c r="S63" s="148"/>
    </row>
    <row r="64" spans="2:19" x14ac:dyDescent="0.25">
      <c r="B64" s="147" t="s">
        <v>97</v>
      </c>
      <c r="C64" s="148">
        <f>Model!AD146</f>
        <v>0</v>
      </c>
      <c r="D64" s="148">
        <f>Model!AE146</f>
        <v>0</v>
      </c>
      <c r="E64" s="148">
        <f>Model!AF146</f>
        <v>22</v>
      </c>
      <c r="F64" s="148">
        <f>Model!AG146</f>
        <v>0</v>
      </c>
      <c r="G64" s="148">
        <f>Model!AH146</f>
        <v>0</v>
      </c>
      <c r="H64" s="148">
        <f>Model!AI146</f>
        <v>0</v>
      </c>
      <c r="I64" s="148">
        <f>Model!AJ146</f>
        <v>0</v>
      </c>
      <c r="J64" s="148">
        <f>Model!AK146</f>
        <v>0</v>
      </c>
      <c r="K64" s="148">
        <f>Model!AL146</f>
        <v>0</v>
      </c>
      <c r="L64" s="148">
        <f>Model!AM146</f>
        <v>0</v>
      </c>
      <c r="M64" s="148">
        <f>Model!AN146</f>
        <v>0</v>
      </c>
      <c r="N64" s="148">
        <f>Model!AO146</f>
        <v>0</v>
      </c>
      <c r="O64" s="148">
        <f>Model!AP146</f>
        <v>0</v>
      </c>
      <c r="P64" s="148">
        <f>Model!AQ146</f>
        <v>0</v>
      </c>
      <c r="Q64" s="148">
        <f>Model!AR146</f>
        <v>0</v>
      </c>
      <c r="R64" s="148">
        <f>Model!AS146</f>
        <v>0</v>
      </c>
      <c r="S64" s="148">
        <f>Model!AT146</f>
        <v>0</v>
      </c>
    </row>
    <row r="65" spans="2:19" x14ac:dyDescent="0.25">
      <c r="B65" s="147" t="s">
        <v>107</v>
      </c>
      <c r="C65" s="148">
        <f>Model!AD144+Model!AD145</f>
        <v>2.8030000000000004</v>
      </c>
      <c r="D65" s="148">
        <f>Model!AE144+Model!AE145</f>
        <v>-1.0249999999999999</v>
      </c>
      <c r="E65" s="148">
        <f>Model!AF144+Model!AF145</f>
        <v>-2.1820000000000004</v>
      </c>
      <c r="F65" s="148">
        <f>Model!AG144+Model!AG145</f>
        <v>-5.9620000000000042</v>
      </c>
      <c r="G65" s="148">
        <f>Model!AH144+Model!AH145</f>
        <v>0</v>
      </c>
      <c r="H65" s="148">
        <f>Model!AI144+Model!AI145</f>
        <v>0</v>
      </c>
      <c r="I65" s="148">
        <f>Model!AJ144+Model!AJ145</f>
        <v>0</v>
      </c>
      <c r="J65" s="148">
        <f>Model!AK144+Model!AK145</f>
        <v>0</v>
      </c>
      <c r="K65" s="148">
        <f>Model!AL144+Model!AL145</f>
        <v>0</v>
      </c>
      <c r="L65" s="148">
        <f>Model!AM144+Model!AM145</f>
        <v>0</v>
      </c>
      <c r="M65" s="148">
        <f>Model!AN144+Model!AN145</f>
        <v>0</v>
      </c>
      <c r="N65" s="148">
        <f>Model!AO144+Model!AO145</f>
        <v>0</v>
      </c>
      <c r="O65" s="148">
        <f>Model!AP144+Model!AP145</f>
        <v>0</v>
      </c>
      <c r="P65" s="148">
        <f>Model!AQ144+Model!AQ145</f>
        <v>0</v>
      </c>
      <c r="Q65" s="148">
        <f>Model!AR144+Model!AR145</f>
        <v>0</v>
      </c>
      <c r="R65" s="148">
        <f>Model!AS144+Model!AS145</f>
        <v>0</v>
      </c>
      <c r="S65" s="148">
        <f>Model!AT144+Model!AT145</f>
        <v>0</v>
      </c>
    </row>
    <row r="66" spans="2:19" x14ac:dyDescent="0.25">
      <c r="B66" s="147" t="s">
        <v>93</v>
      </c>
      <c r="C66" s="174">
        <f>Model!AD149</f>
        <v>-2.5330000000000004</v>
      </c>
      <c r="D66" s="174">
        <f>Model!AE149</f>
        <v>-1.5020000000000002</v>
      </c>
      <c r="E66" s="174">
        <f>Model!AF149</f>
        <v>-2.2099999999999973</v>
      </c>
      <c r="F66" s="174">
        <f>Model!AG149</f>
        <v>4.1200000000000037</v>
      </c>
      <c r="G66" s="174">
        <f>Model!AH149</f>
        <v>0</v>
      </c>
      <c r="H66" s="174">
        <f>Model!AI149</f>
        <v>0</v>
      </c>
      <c r="I66" s="174">
        <f>Model!AJ149</f>
        <v>0</v>
      </c>
      <c r="J66" s="174">
        <f>Model!AK149</f>
        <v>0</v>
      </c>
      <c r="K66" s="174">
        <f>Model!AL149</f>
        <v>0</v>
      </c>
      <c r="L66" s="174">
        <f>Model!AM149</f>
        <v>0</v>
      </c>
      <c r="M66" s="174">
        <f>Model!AN149</f>
        <v>0</v>
      </c>
      <c r="N66" s="174">
        <f>Model!AO149</f>
        <v>0</v>
      </c>
      <c r="O66" s="174">
        <f>Model!AP149</f>
        <v>0</v>
      </c>
      <c r="P66" s="174">
        <f>Model!AQ149</f>
        <v>0</v>
      </c>
      <c r="Q66" s="174">
        <f>Model!AR149</f>
        <v>0</v>
      </c>
      <c r="R66" s="174">
        <f>Model!AS149</f>
        <v>0</v>
      </c>
      <c r="S66" s="174">
        <f>Model!AT149</f>
        <v>0</v>
      </c>
    </row>
    <row r="67" spans="2:19" x14ac:dyDescent="0.25">
      <c r="B67" s="172" t="s">
        <v>98</v>
      </c>
      <c r="C67" s="173">
        <f>Model!AD150</f>
        <v>0.27</v>
      </c>
      <c r="D67" s="173">
        <f>Model!AE150</f>
        <v>-2.5270000000000001</v>
      </c>
      <c r="E67" s="173">
        <f>Model!AF150</f>
        <v>16.440000000000001</v>
      </c>
      <c r="F67" s="173">
        <f>Model!AG150</f>
        <v>-1.8420000000000005</v>
      </c>
      <c r="G67" s="173">
        <f>Model!AH150</f>
        <v>0</v>
      </c>
      <c r="H67" s="173">
        <f>Model!AI150</f>
        <v>0</v>
      </c>
      <c r="I67" s="173">
        <f>Model!AJ150</f>
        <v>0</v>
      </c>
      <c r="J67" s="173">
        <f>Model!AK150</f>
        <v>0</v>
      </c>
      <c r="K67" s="173">
        <f>Model!AL150</f>
        <v>0</v>
      </c>
      <c r="L67" s="173">
        <f>Model!AM150</f>
        <v>0</v>
      </c>
      <c r="M67" s="173">
        <f>Model!AN150</f>
        <v>0</v>
      </c>
      <c r="N67" s="173">
        <f>Model!AO150</f>
        <v>0</v>
      </c>
      <c r="O67" s="173">
        <f>Model!AP150</f>
        <v>0</v>
      </c>
      <c r="P67" s="173">
        <f>Model!AQ150</f>
        <v>0</v>
      </c>
      <c r="Q67" s="173">
        <f>Model!AR150</f>
        <v>0</v>
      </c>
      <c r="R67" s="173">
        <f>Model!AS150</f>
        <v>0</v>
      </c>
      <c r="S67" s="173">
        <f>Model!AT150</f>
        <v>0</v>
      </c>
    </row>
    <row r="68" spans="2:19" x14ac:dyDescent="0.25">
      <c r="B68" s="3"/>
      <c r="C68" s="148"/>
      <c r="D68" s="148"/>
      <c r="E68" s="148"/>
      <c r="F68" s="148"/>
      <c r="G68" s="148"/>
      <c r="H68" s="148"/>
      <c r="I68" s="148"/>
      <c r="J68" s="148"/>
      <c r="K68" s="148"/>
      <c r="L68" s="148"/>
      <c r="M68" s="148"/>
      <c r="N68" s="148"/>
      <c r="O68" s="148"/>
      <c r="P68" s="148"/>
      <c r="Q68" s="148"/>
      <c r="R68" s="148"/>
      <c r="S68" s="148"/>
    </row>
    <row r="69" spans="2:19" x14ac:dyDescent="0.25">
      <c r="B69" s="30" t="s">
        <v>99</v>
      </c>
      <c r="C69" s="148"/>
      <c r="D69" s="148"/>
      <c r="E69" s="148"/>
      <c r="F69" s="148"/>
      <c r="G69" s="148"/>
      <c r="H69" s="148"/>
      <c r="I69" s="148"/>
      <c r="J69" s="148"/>
      <c r="K69" s="148"/>
      <c r="L69" s="148"/>
      <c r="M69" s="148"/>
      <c r="N69" s="148"/>
      <c r="O69" s="148"/>
      <c r="P69" s="148"/>
      <c r="Q69" s="148"/>
      <c r="R69" s="148"/>
      <c r="S69" s="148"/>
    </row>
    <row r="70" spans="2:19" x14ac:dyDescent="0.25">
      <c r="B70" s="147" t="s">
        <v>100</v>
      </c>
      <c r="C70" s="148">
        <f>Model!AD137</f>
        <v>-1.022</v>
      </c>
      <c r="D70" s="148">
        <f>Model!AE137</f>
        <v>-1.153</v>
      </c>
      <c r="E70" s="148">
        <f>Model!AF137</f>
        <v>-0.82199999999999995</v>
      </c>
      <c r="F70" s="148">
        <f>Model!AG137</f>
        <v>-1.4510000000000001</v>
      </c>
      <c r="G70" s="148">
        <f>Model!AH137</f>
        <v>-1.4945300000000001</v>
      </c>
      <c r="H70" s="148">
        <f>Model!AI137</f>
        <v>-1.5393659000000002</v>
      </c>
      <c r="I70" s="148">
        <f>Model!AJ137</f>
        <v>-1.5855468770000003</v>
      </c>
      <c r="J70" s="148">
        <f>Model!AK137</f>
        <v>-1.6331132833100004</v>
      </c>
      <c r="K70" s="148">
        <f>Model!AL137</f>
        <v>-1.6821066818093005</v>
      </c>
      <c r="L70" s="148">
        <f>Model!AM137</f>
        <v>-1.7325698822635796</v>
      </c>
      <c r="M70" s="148">
        <f>Model!AN137</f>
        <v>-1.7845469787314869</v>
      </c>
      <c r="N70" s="148">
        <f>Model!AO137</f>
        <v>-1.8380833880934315</v>
      </c>
      <c r="O70" s="148">
        <f>Model!AP137</f>
        <v>-1.8932258897362346</v>
      </c>
      <c r="P70" s="148">
        <f>Model!AQ137</f>
        <v>-1.9500226664283218</v>
      </c>
      <c r="Q70" s="148">
        <f>Model!AR137</f>
        <v>-2.0085233464211716</v>
      </c>
      <c r="R70" s="148">
        <f>Model!AS137</f>
        <v>-2.0687790468138068</v>
      </c>
      <c r="S70" s="148">
        <f>Model!AT137</f>
        <v>-2.1308424182182208</v>
      </c>
    </row>
    <row r="71" spans="2:19" x14ac:dyDescent="0.25">
      <c r="B71" s="147" t="s">
        <v>93</v>
      </c>
      <c r="C71" s="174">
        <f>C72-C70</f>
        <v>-3.1970000000000001</v>
      </c>
      <c r="D71" s="174">
        <f t="shared" ref="D71:I71" si="15">D72-D70</f>
        <v>-0.42599999999999993</v>
      </c>
      <c r="E71" s="174">
        <f t="shared" si="15"/>
        <v>-2.3519999999999999</v>
      </c>
      <c r="F71" s="174">
        <f t="shared" si="15"/>
        <v>-14.523999999999999</v>
      </c>
      <c r="G71" s="174">
        <f t="shared" si="15"/>
        <v>0</v>
      </c>
      <c r="H71" s="174">
        <f t="shared" si="15"/>
        <v>0</v>
      </c>
      <c r="I71" s="174">
        <f t="shared" si="15"/>
        <v>0</v>
      </c>
      <c r="J71" s="174">
        <f t="shared" ref="J71:M71" si="16">J72-J70</f>
        <v>0</v>
      </c>
      <c r="K71" s="174">
        <f t="shared" si="16"/>
        <v>0</v>
      </c>
      <c r="L71" s="174">
        <f t="shared" si="16"/>
        <v>0</v>
      </c>
      <c r="M71" s="174">
        <f t="shared" si="16"/>
        <v>0</v>
      </c>
      <c r="N71" s="174">
        <f t="shared" ref="N71:S71" si="17">N72-N70</f>
        <v>0</v>
      </c>
      <c r="O71" s="174">
        <f t="shared" si="17"/>
        <v>0</v>
      </c>
      <c r="P71" s="174">
        <f t="shared" si="17"/>
        <v>0</v>
      </c>
      <c r="Q71" s="174">
        <f t="shared" si="17"/>
        <v>0</v>
      </c>
      <c r="R71" s="174">
        <f t="shared" si="17"/>
        <v>0</v>
      </c>
      <c r="S71" s="174">
        <f t="shared" si="17"/>
        <v>0</v>
      </c>
    </row>
    <row r="72" spans="2:19" x14ac:dyDescent="0.25">
      <c r="B72" s="172" t="s">
        <v>101</v>
      </c>
      <c r="C72" s="173">
        <f>Model!AD142</f>
        <v>-4.2190000000000003</v>
      </c>
      <c r="D72" s="173">
        <f>Model!AE142</f>
        <v>-1.579</v>
      </c>
      <c r="E72" s="173">
        <f>Model!AF142</f>
        <v>-3.1739999999999999</v>
      </c>
      <c r="F72" s="173">
        <f>Model!AG142</f>
        <v>-15.975</v>
      </c>
      <c r="G72" s="173">
        <f>Model!AH142</f>
        <v>-1.4945300000000001</v>
      </c>
      <c r="H72" s="173">
        <f>Model!AI142</f>
        <v>-1.5393659000000002</v>
      </c>
      <c r="I72" s="173">
        <f>Model!AJ142</f>
        <v>-1.5855468770000003</v>
      </c>
      <c r="J72" s="173">
        <f>Model!AK142</f>
        <v>-1.6331132833100004</v>
      </c>
      <c r="K72" s="173">
        <f>Model!AL142</f>
        <v>-1.6821066818093005</v>
      </c>
      <c r="L72" s="173">
        <f>Model!AM142</f>
        <v>-1.7325698822635796</v>
      </c>
      <c r="M72" s="173">
        <f>Model!AN142</f>
        <v>-1.7845469787314869</v>
      </c>
      <c r="N72" s="173">
        <f>Model!AO142</f>
        <v>-1.8380833880934315</v>
      </c>
      <c r="O72" s="173">
        <f>Model!AP142</f>
        <v>-1.8932258897362346</v>
      </c>
      <c r="P72" s="173">
        <f>Model!AQ142</f>
        <v>-1.9500226664283218</v>
      </c>
      <c r="Q72" s="173">
        <f>Model!AR142</f>
        <v>-2.0085233464211716</v>
      </c>
      <c r="R72" s="173">
        <f>Model!AS142</f>
        <v>-2.0687790468138068</v>
      </c>
      <c r="S72" s="173">
        <f>Model!AT142</f>
        <v>-2.1308424182182208</v>
      </c>
    </row>
    <row r="73" spans="2:19" x14ac:dyDescent="0.25">
      <c r="B73" s="3"/>
      <c r="C73" s="148"/>
      <c r="D73" s="148"/>
      <c r="E73" s="148"/>
      <c r="F73" s="148"/>
      <c r="G73" s="148"/>
      <c r="H73" s="148"/>
      <c r="I73" s="148"/>
      <c r="J73" s="148"/>
      <c r="K73" s="148"/>
      <c r="L73" s="148"/>
      <c r="M73" s="148"/>
      <c r="N73" s="148"/>
      <c r="O73" s="148"/>
      <c r="P73" s="148"/>
      <c r="Q73" s="148"/>
      <c r="R73" s="148"/>
      <c r="S73" s="148"/>
    </row>
    <row r="74" spans="2:19" x14ac:dyDescent="0.25">
      <c r="B74" s="3" t="s">
        <v>102</v>
      </c>
      <c r="C74" s="148">
        <f>Model!AD153</f>
        <v>0.10399999999999948</v>
      </c>
      <c r="D74" s="148">
        <f>Model!AE153</f>
        <v>4.0590000000000002</v>
      </c>
      <c r="E74" s="148">
        <f>Model!AF153</f>
        <v>21.689</v>
      </c>
      <c r="F74" s="148">
        <f>Model!AG153</f>
        <v>0</v>
      </c>
      <c r="G74" s="148">
        <f>Model!AH153</f>
        <v>1.0439219816013554</v>
      </c>
      <c r="H74" s="148">
        <f>Model!AI153</f>
        <v>6.6719621646096172</v>
      </c>
      <c r="I74" s="148">
        <f>Model!AJ153</f>
        <v>8.2990891476202613</v>
      </c>
      <c r="J74" s="148">
        <f>Model!AK153</f>
        <v>9.9653892167626843</v>
      </c>
      <c r="K74" s="148">
        <f>Model!AL153</f>
        <v>11.665776229071108</v>
      </c>
      <c r="L74" s="148">
        <f>Model!AM153</f>
        <v>13.408355191082901</v>
      </c>
      <c r="M74" s="148">
        <f>Model!AN153</f>
        <v>15.204211281593746</v>
      </c>
      <c r="N74" s="148">
        <f>Model!AO153</f>
        <v>17.066546245269834</v>
      </c>
      <c r="O74" s="148">
        <f>Model!AP153</f>
        <v>19.007978269737137</v>
      </c>
      <c r="P74" s="148">
        <f>Model!AQ153</f>
        <v>21.041601700284527</v>
      </c>
      <c r="Q74" s="148">
        <f>Model!AR153</f>
        <v>23.179750210658433</v>
      </c>
      <c r="R74" s="148">
        <f>Model!AS153</f>
        <v>25.433702168345928</v>
      </c>
      <c r="S74" s="148">
        <f>Model!AT153</f>
        <v>27.814917550987317</v>
      </c>
    </row>
    <row r="75" spans="2:19" x14ac:dyDescent="0.25">
      <c r="B75" s="29" t="s">
        <v>103</v>
      </c>
      <c r="C75" s="149">
        <f>Model!AC91</f>
        <v>0</v>
      </c>
      <c r="D75" s="149">
        <f>Model!AD91</f>
        <v>0</v>
      </c>
      <c r="E75" s="149">
        <f>Model!AE91</f>
        <v>15.065</v>
      </c>
      <c r="F75" s="149">
        <f>Model!AF91</f>
        <v>36.817</v>
      </c>
      <c r="G75" s="149">
        <f>Model!AG91</f>
        <v>24.431000000000001</v>
      </c>
      <c r="H75" s="149">
        <f>Model!AH91</f>
        <v>25.474921981601355</v>
      </c>
      <c r="I75" s="149">
        <f>Model!AI91</f>
        <v>32.146884146210972</v>
      </c>
      <c r="J75" s="149">
        <f>Model!AJ91</f>
        <v>40.44597329383123</v>
      </c>
      <c r="K75" s="149">
        <f>Model!AK91</f>
        <v>50.411362510593918</v>
      </c>
      <c r="L75" s="149">
        <f>Model!AL91</f>
        <v>62.077138739665024</v>
      </c>
      <c r="M75" s="149">
        <f>Model!AM91</f>
        <v>75.485493930747921</v>
      </c>
      <c r="N75" s="149">
        <f>Model!AN91</f>
        <v>90.689705212341664</v>
      </c>
      <c r="O75" s="149">
        <f>Model!AO91</f>
        <v>107.7562514576115</v>
      </c>
      <c r="P75" s="149">
        <f>Model!AP91</f>
        <v>126.76422972734863</v>
      </c>
      <c r="Q75" s="149">
        <f>Model!AQ91</f>
        <v>147.80583142763317</v>
      </c>
      <c r="R75" s="149">
        <f>Model!AR91</f>
        <v>170.98558163829159</v>
      </c>
      <c r="S75" s="149">
        <f>Model!AS91</f>
        <v>196.41928380663751</v>
      </c>
    </row>
    <row r="76" spans="2:19" ht="10.5" customHeight="1" thickBot="1" x14ac:dyDescent="0.3">
      <c r="B76" s="139" t="s">
        <v>104</v>
      </c>
      <c r="C76" s="150">
        <f>Model!AD91</f>
        <v>0</v>
      </c>
      <c r="D76" s="150">
        <f>Model!AE91</f>
        <v>15.065</v>
      </c>
      <c r="E76" s="150">
        <f>Model!AF91</f>
        <v>36.817</v>
      </c>
      <c r="F76" s="150">
        <f>Model!AG91</f>
        <v>24.431000000000001</v>
      </c>
      <c r="G76" s="150">
        <f>Model!AH91</f>
        <v>25.474921981601355</v>
      </c>
      <c r="H76" s="150">
        <f>Model!AI91</f>
        <v>32.146884146210972</v>
      </c>
      <c r="I76" s="150">
        <f>Model!AJ91</f>
        <v>40.44597329383123</v>
      </c>
      <c r="J76" s="150">
        <f>Model!AK91</f>
        <v>50.411362510593918</v>
      </c>
      <c r="K76" s="150">
        <f>Model!AL91</f>
        <v>62.077138739665024</v>
      </c>
      <c r="L76" s="150">
        <f>Model!AM91</f>
        <v>75.485493930747921</v>
      </c>
      <c r="M76" s="150">
        <f>Model!AN91</f>
        <v>90.689705212341664</v>
      </c>
      <c r="N76" s="150">
        <f>Model!AO91</f>
        <v>107.7562514576115</v>
      </c>
      <c r="O76" s="150">
        <f>Model!AP91</f>
        <v>126.76422972734863</v>
      </c>
      <c r="P76" s="150">
        <f>Model!AQ91</f>
        <v>147.80583142763317</v>
      </c>
      <c r="Q76" s="150">
        <f>Model!AR91</f>
        <v>170.98558163829159</v>
      </c>
      <c r="R76" s="150">
        <f>Model!AS91</f>
        <v>196.41928380663751</v>
      </c>
      <c r="S76" s="150">
        <f>Model!AT91</f>
        <v>224.23420135762484</v>
      </c>
    </row>
    <row r="77" spans="2:19" ht="3" customHeight="1" x14ac:dyDescent="0.25">
      <c r="B77" s="3"/>
      <c r="C77" s="3"/>
      <c r="D77" s="3"/>
      <c r="E77" s="3"/>
      <c r="F77" s="3"/>
      <c r="G77" s="3"/>
      <c r="H77" s="3"/>
      <c r="I77" s="3"/>
      <c r="J77" s="3"/>
      <c r="K77" s="3"/>
      <c r="L77" s="3"/>
      <c r="M77" s="3"/>
      <c r="N77" s="3"/>
      <c r="O77" s="3"/>
      <c r="P77" s="3"/>
      <c r="Q77" s="3"/>
      <c r="R77" s="3"/>
      <c r="S77" s="3"/>
    </row>
    <row r="78" spans="2:19" ht="5.0999999999999996" customHeight="1" x14ac:dyDescent="0.25">
      <c r="B78" s="243"/>
      <c r="C78" s="243"/>
      <c r="D78" s="243"/>
      <c r="E78" s="243"/>
      <c r="F78" s="243"/>
      <c r="G78" s="243"/>
      <c r="H78" s="243"/>
      <c r="I78" s="243"/>
      <c r="J78" s="243"/>
      <c r="K78" s="243"/>
      <c r="L78" s="243"/>
      <c r="M78" s="243"/>
      <c r="N78" s="243"/>
      <c r="O78" s="243"/>
      <c r="P78" s="243"/>
      <c r="Q78" s="243"/>
      <c r="R78" s="243"/>
      <c r="S78" s="243"/>
    </row>
    <row r="79" spans="2:19" x14ac:dyDescent="0.25">
      <c r="N79" s="54"/>
    </row>
  </sheetData>
  <conditionalFormatting sqref="B26">
    <cfRule type="cellIs" dxfId="0" priority="1" operator="lessThan">
      <formula>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D2CDA-4C7F-4AA9-8AAF-85E5006F8649}">
  <dimension ref="A1:P35"/>
  <sheetViews>
    <sheetView workbookViewId="0">
      <selection activeCell="P23" sqref="P23"/>
    </sheetView>
  </sheetViews>
  <sheetFormatPr defaultRowHeight="15" x14ac:dyDescent="0.25"/>
  <cols>
    <col min="1" max="1" width="57.7109375" customWidth="1"/>
    <col min="10" max="10" width="11.85546875" bestFit="1" customWidth="1"/>
  </cols>
  <sheetData>
    <row r="1" spans="1:16" x14ac:dyDescent="0.25">
      <c r="B1" s="348">
        <v>2023</v>
      </c>
      <c r="C1" s="348">
        <v>2024</v>
      </c>
      <c r="D1" s="348">
        <v>2025</v>
      </c>
      <c r="E1" s="348">
        <v>2026</v>
      </c>
      <c r="F1" s="348">
        <v>2027</v>
      </c>
      <c r="G1" s="348">
        <v>2028</v>
      </c>
      <c r="H1" s="348">
        <v>2029</v>
      </c>
      <c r="I1" s="348">
        <v>2030</v>
      </c>
      <c r="J1" s="348">
        <v>2031</v>
      </c>
      <c r="K1" s="348">
        <v>2032</v>
      </c>
      <c r="L1" s="348">
        <v>2033</v>
      </c>
      <c r="M1" s="348">
        <v>2034</v>
      </c>
      <c r="N1" s="348">
        <v>2035</v>
      </c>
      <c r="O1" s="348"/>
    </row>
    <row r="2" spans="1:16" x14ac:dyDescent="0.25">
      <c r="A2" t="s">
        <v>355</v>
      </c>
      <c r="B2" s="414">
        <v>0.03</v>
      </c>
      <c r="C2" s="414">
        <v>0.03</v>
      </c>
      <c r="D2" s="414">
        <v>0.03</v>
      </c>
      <c r="E2" s="414">
        <v>0.03</v>
      </c>
      <c r="F2" s="414">
        <v>0.03</v>
      </c>
      <c r="G2" s="414">
        <v>0.03</v>
      </c>
      <c r="H2" s="414">
        <v>0.03</v>
      </c>
      <c r="I2" s="414">
        <v>0.03</v>
      </c>
      <c r="J2" s="414">
        <v>0.03</v>
      </c>
      <c r="K2" s="414">
        <v>0.03</v>
      </c>
      <c r="L2" s="414">
        <v>0.03</v>
      </c>
      <c r="M2" s="414">
        <v>0.03</v>
      </c>
      <c r="N2" s="414">
        <v>0.03</v>
      </c>
    </row>
    <row r="3" spans="1:16" x14ac:dyDescent="0.25">
      <c r="A3" t="s">
        <v>356</v>
      </c>
      <c r="B3" s="414">
        <v>0.7</v>
      </c>
      <c r="C3" s="414">
        <v>0.7</v>
      </c>
      <c r="D3" s="414">
        <v>0.7</v>
      </c>
      <c r="E3" s="414">
        <v>0.7</v>
      </c>
      <c r="F3" s="414">
        <v>0.7</v>
      </c>
      <c r="G3" s="414">
        <v>0.7</v>
      </c>
      <c r="H3" s="414">
        <v>0.7</v>
      </c>
      <c r="I3" s="414">
        <v>0.7</v>
      </c>
      <c r="J3" s="414">
        <v>0.7</v>
      </c>
      <c r="K3" s="414">
        <v>0.7</v>
      </c>
      <c r="L3" s="414">
        <v>0.7</v>
      </c>
      <c r="M3" s="414">
        <v>0.7</v>
      </c>
      <c r="N3" s="414">
        <v>0.7</v>
      </c>
    </row>
    <row r="4" spans="1:16" x14ac:dyDescent="0.25">
      <c r="A4" t="s">
        <v>357</v>
      </c>
      <c r="B4" s="414">
        <v>0.6</v>
      </c>
      <c r="C4" s="415">
        <f>B4-0.5%</f>
        <v>0.59499999999999997</v>
      </c>
      <c r="D4" s="415">
        <f t="shared" ref="D4:N4" si="0">C4-0.5%</f>
        <v>0.59</v>
      </c>
      <c r="E4" s="415">
        <f t="shared" si="0"/>
        <v>0.58499999999999996</v>
      </c>
      <c r="F4" s="415">
        <f t="shared" si="0"/>
        <v>0.57999999999999996</v>
      </c>
      <c r="G4" s="415">
        <f t="shared" si="0"/>
        <v>0.57499999999999996</v>
      </c>
      <c r="H4" s="415">
        <f t="shared" si="0"/>
        <v>0.56999999999999995</v>
      </c>
      <c r="I4" s="415">
        <f t="shared" si="0"/>
        <v>0.56499999999999995</v>
      </c>
      <c r="J4" s="415">
        <f t="shared" si="0"/>
        <v>0.55999999999999994</v>
      </c>
      <c r="K4" s="415">
        <f t="shared" si="0"/>
        <v>0.55499999999999994</v>
      </c>
      <c r="L4" s="415">
        <f t="shared" si="0"/>
        <v>0.54999999999999993</v>
      </c>
      <c r="M4" s="415">
        <f t="shared" si="0"/>
        <v>0.54499999999999993</v>
      </c>
      <c r="N4" s="415">
        <f t="shared" si="0"/>
        <v>0.53999999999999992</v>
      </c>
    </row>
    <row r="5" spans="1:16" x14ac:dyDescent="0.25">
      <c r="A5" t="s">
        <v>358</v>
      </c>
      <c r="B5" s="414">
        <v>0</v>
      </c>
      <c r="C5" s="414">
        <v>0</v>
      </c>
      <c r="D5" s="414">
        <v>0</v>
      </c>
      <c r="E5" s="414">
        <v>0</v>
      </c>
      <c r="F5" s="414">
        <v>0</v>
      </c>
      <c r="G5" s="414">
        <v>0</v>
      </c>
      <c r="H5" s="414">
        <v>0</v>
      </c>
      <c r="I5" s="414">
        <v>0</v>
      </c>
      <c r="J5" s="414">
        <v>0</v>
      </c>
      <c r="K5" s="414">
        <v>0</v>
      </c>
      <c r="L5" s="414">
        <v>0</v>
      </c>
      <c r="M5" s="414">
        <v>0</v>
      </c>
      <c r="N5" s="414">
        <v>0</v>
      </c>
    </row>
    <row r="6" spans="1:16" x14ac:dyDescent="0.25">
      <c r="A6" s="427" t="s">
        <v>364</v>
      </c>
      <c r="B6" s="419">
        <v>0</v>
      </c>
      <c r="C6" s="419">
        <v>0</v>
      </c>
      <c r="D6" s="419">
        <v>0</v>
      </c>
      <c r="E6" s="419">
        <v>0</v>
      </c>
      <c r="F6" s="419">
        <v>0</v>
      </c>
      <c r="G6" s="419">
        <v>0</v>
      </c>
      <c r="H6" s="419">
        <v>0</v>
      </c>
      <c r="I6" s="419">
        <v>0</v>
      </c>
      <c r="J6" s="419">
        <v>0</v>
      </c>
      <c r="K6" s="419">
        <v>0</v>
      </c>
      <c r="L6" s="419">
        <v>0</v>
      </c>
      <c r="M6" s="419">
        <v>0</v>
      </c>
      <c r="N6" s="419">
        <v>0</v>
      </c>
      <c r="P6" t="s">
        <v>413</v>
      </c>
    </row>
    <row r="7" spans="1:16" x14ac:dyDescent="0.25">
      <c r="A7" t="s">
        <v>360</v>
      </c>
      <c r="B7" s="414">
        <v>0.03</v>
      </c>
      <c r="C7" s="414">
        <v>0.03</v>
      </c>
      <c r="D7" s="414">
        <v>0.03</v>
      </c>
      <c r="E7" s="414">
        <v>0.03</v>
      </c>
      <c r="F7" s="414">
        <v>0.03</v>
      </c>
      <c r="G7" s="414">
        <v>0.03</v>
      </c>
      <c r="H7" s="414">
        <v>0.03</v>
      </c>
      <c r="I7" s="414">
        <v>0.03</v>
      </c>
      <c r="J7" s="414">
        <v>0.03</v>
      </c>
      <c r="K7" s="414">
        <v>0.03</v>
      </c>
      <c r="L7" s="414">
        <v>0.03</v>
      </c>
      <c r="M7" s="414">
        <v>0.03</v>
      </c>
      <c r="N7" s="414">
        <v>0.03</v>
      </c>
    </row>
    <row r="8" spans="1:16" x14ac:dyDescent="0.25">
      <c r="A8" t="s">
        <v>359</v>
      </c>
      <c r="B8" s="414">
        <v>0</v>
      </c>
      <c r="C8" s="414">
        <v>0</v>
      </c>
      <c r="D8" s="414">
        <v>0</v>
      </c>
      <c r="E8" s="414">
        <v>0</v>
      </c>
      <c r="F8" s="414">
        <v>0</v>
      </c>
      <c r="G8" s="414">
        <v>0</v>
      </c>
      <c r="H8" s="414">
        <v>0</v>
      </c>
      <c r="I8" s="414">
        <v>0</v>
      </c>
      <c r="J8" s="414">
        <v>0</v>
      </c>
      <c r="K8" s="414">
        <v>0</v>
      </c>
      <c r="L8" s="414">
        <v>0</v>
      </c>
      <c r="M8" s="414">
        <v>0</v>
      </c>
      <c r="N8" s="414">
        <v>0</v>
      </c>
    </row>
    <row r="9" spans="1:16" x14ac:dyDescent="0.25">
      <c r="A9" s="427" t="s">
        <v>376</v>
      </c>
      <c r="B9" s="414">
        <f>Model!AG59</f>
        <v>0.53761833582461382</v>
      </c>
      <c r="C9" s="414">
        <f>B9</f>
        <v>0.53761833582461382</v>
      </c>
      <c r="D9" s="414">
        <f t="shared" ref="D9:N9" si="1">C9</f>
        <v>0.53761833582461382</v>
      </c>
      <c r="E9" s="414">
        <f t="shared" si="1"/>
        <v>0.53761833582461382</v>
      </c>
      <c r="F9" s="414">
        <f t="shared" si="1"/>
        <v>0.53761833582461382</v>
      </c>
      <c r="G9" s="414">
        <f t="shared" si="1"/>
        <v>0.53761833582461382</v>
      </c>
      <c r="H9" s="414">
        <f t="shared" si="1"/>
        <v>0.53761833582461382</v>
      </c>
      <c r="I9" s="414">
        <f t="shared" si="1"/>
        <v>0.53761833582461382</v>
      </c>
      <c r="J9" s="414">
        <f t="shared" si="1"/>
        <v>0.53761833582461382</v>
      </c>
      <c r="K9" s="414">
        <f t="shared" si="1"/>
        <v>0.53761833582461382</v>
      </c>
      <c r="L9" s="414">
        <f t="shared" si="1"/>
        <v>0.53761833582461382</v>
      </c>
      <c r="M9" s="414">
        <f t="shared" si="1"/>
        <v>0.53761833582461382</v>
      </c>
      <c r="N9" s="414">
        <f t="shared" si="1"/>
        <v>0.53761833582461382</v>
      </c>
      <c r="P9" t="s">
        <v>378</v>
      </c>
    </row>
    <row r="10" spans="1:16" x14ac:dyDescent="0.25">
      <c r="A10" s="427" t="s">
        <v>377</v>
      </c>
      <c r="B10" s="414">
        <f>Model!AG61</f>
        <v>0.43039338961738816</v>
      </c>
      <c r="C10" s="414">
        <f>B10</f>
        <v>0.43039338961738816</v>
      </c>
      <c r="D10" s="414">
        <f t="shared" ref="D10:N10" si="2">C10</f>
        <v>0.43039338961738816</v>
      </c>
      <c r="E10" s="414">
        <f t="shared" si="2"/>
        <v>0.43039338961738816</v>
      </c>
      <c r="F10" s="414">
        <f t="shared" si="2"/>
        <v>0.43039338961738816</v>
      </c>
      <c r="G10" s="414">
        <f t="shared" si="2"/>
        <v>0.43039338961738816</v>
      </c>
      <c r="H10" s="414">
        <f t="shared" si="2"/>
        <v>0.43039338961738816</v>
      </c>
      <c r="I10" s="414">
        <f t="shared" si="2"/>
        <v>0.43039338961738816</v>
      </c>
      <c r="J10" s="414">
        <f t="shared" si="2"/>
        <v>0.43039338961738816</v>
      </c>
      <c r="K10" s="414">
        <f t="shared" si="2"/>
        <v>0.43039338961738816</v>
      </c>
      <c r="L10" s="414">
        <f t="shared" si="2"/>
        <v>0.43039338961738816</v>
      </c>
      <c r="M10" s="414">
        <f t="shared" si="2"/>
        <v>0.43039338961738816</v>
      </c>
      <c r="N10" s="414">
        <f t="shared" si="2"/>
        <v>0.43039338961738816</v>
      </c>
      <c r="P10" t="s">
        <v>378</v>
      </c>
    </row>
    <row r="11" spans="1:16" x14ac:dyDescent="0.25">
      <c r="A11" s="427" t="s">
        <v>379</v>
      </c>
      <c r="B11" s="414">
        <v>0.3</v>
      </c>
      <c r="C11" s="414">
        <f>B11</f>
        <v>0.3</v>
      </c>
      <c r="D11" s="414">
        <f t="shared" ref="D11:N11" si="3">C11</f>
        <v>0.3</v>
      </c>
      <c r="E11" s="414">
        <f t="shared" si="3"/>
        <v>0.3</v>
      </c>
      <c r="F11" s="414">
        <f t="shared" si="3"/>
        <v>0.3</v>
      </c>
      <c r="G11" s="414">
        <f t="shared" si="3"/>
        <v>0.3</v>
      </c>
      <c r="H11" s="414">
        <f t="shared" si="3"/>
        <v>0.3</v>
      </c>
      <c r="I11" s="414">
        <f t="shared" si="3"/>
        <v>0.3</v>
      </c>
      <c r="J11" s="414">
        <f t="shared" si="3"/>
        <v>0.3</v>
      </c>
      <c r="K11" s="414">
        <f t="shared" si="3"/>
        <v>0.3</v>
      </c>
      <c r="L11" s="414">
        <f t="shared" si="3"/>
        <v>0.3</v>
      </c>
      <c r="M11" s="414">
        <f t="shared" si="3"/>
        <v>0.3</v>
      </c>
      <c r="N11" s="414">
        <f t="shared" si="3"/>
        <v>0.3</v>
      </c>
      <c r="P11" t="s">
        <v>380</v>
      </c>
    </row>
    <row r="12" spans="1:16" x14ac:dyDescent="0.25">
      <c r="A12" s="427" t="s">
        <v>383</v>
      </c>
      <c r="B12" s="418">
        <f>Model!AG70</f>
        <v>6.6131710016602091E-2</v>
      </c>
      <c r="C12" s="415">
        <f>B12</f>
        <v>6.6131710016602091E-2</v>
      </c>
      <c r="D12" s="415">
        <f t="shared" ref="D12:N12" si="4">C12</f>
        <v>6.6131710016602091E-2</v>
      </c>
      <c r="E12" s="415">
        <f t="shared" si="4"/>
        <v>6.6131710016602091E-2</v>
      </c>
      <c r="F12" s="415">
        <f t="shared" si="4"/>
        <v>6.6131710016602091E-2</v>
      </c>
      <c r="G12" s="415">
        <f t="shared" si="4"/>
        <v>6.6131710016602091E-2</v>
      </c>
      <c r="H12" s="415">
        <f t="shared" si="4"/>
        <v>6.6131710016602091E-2</v>
      </c>
      <c r="I12" s="415">
        <f t="shared" si="4"/>
        <v>6.6131710016602091E-2</v>
      </c>
      <c r="J12" s="415">
        <f t="shared" si="4"/>
        <v>6.6131710016602091E-2</v>
      </c>
      <c r="K12" s="415">
        <f t="shared" si="4"/>
        <v>6.6131710016602091E-2</v>
      </c>
      <c r="L12" s="415">
        <f t="shared" si="4"/>
        <v>6.6131710016602091E-2</v>
      </c>
      <c r="M12" s="415">
        <f t="shared" si="4"/>
        <v>6.6131710016602091E-2</v>
      </c>
      <c r="N12" s="415">
        <f t="shared" si="4"/>
        <v>6.6131710016602091E-2</v>
      </c>
      <c r="P12" t="s">
        <v>385</v>
      </c>
    </row>
    <row r="13" spans="1:16" x14ac:dyDescent="0.25">
      <c r="A13" s="427" t="s">
        <v>384</v>
      </c>
      <c r="B13" s="417">
        <f>Model!AG68</f>
        <v>0</v>
      </c>
      <c r="C13" s="417">
        <v>0</v>
      </c>
      <c r="D13" s="417">
        <v>0</v>
      </c>
      <c r="E13" s="417">
        <v>0</v>
      </c>
      <c r="F13" s="417">
        <v>0</v>
      </c>
      <c r="G13" s="417">
        <v>0</v>
      </c>
      <c r="H13" s="417">
        <v>0</v>
      </c>
      <c r="I13" s="417">
        <v>0</v>
      </c>
      <c r="J13" s="417">
        <v>0</v>
      </c>
      <c r="K13" s="417">
        <v>0</v>
      </c>
      <c r="L13" s="417">
        <v>0</v>
      </c>
      <c r="M13" s="417">
        <v>0</v>
      </c>
      <c r="N13" s="417">
        <v>0</v>
      </c>
      <c r="P13" t="s">
        <v>386</v>
      </c>
    </row>
    <row r="14" spans="1:16" x14ac:dyDescent="0.25">
      <c r="A14" s="427" t="s">
        <v>391</v>
      </c>
      <c r="B14">
        <f>Model!AG74</f>
        <v>0</v>
      </c>
      <c r="C14" s="432">
        <f>B14</f>
        <v>0</v>
      </c>
      <c r="D14" s="432">
        <f t="shared" ref="D14:N14" si="5">C14</f>
        <v>0</v>
      </c>
      <c r="E14" s="432">
        <f t="shared" si="5"/>
        <v>0</v>
      </c>
      <c r="F14" s="432">
        <f t="shared" si="5"/>
        <v>0</v>
      </c>
      <c r="G14" s="432">
        <f t="shared" si="5"/>
        <v>0</v>
      </c>
      <c r="H14" s="432">
        <f t="shared" si="5"/>
        <v>0</v>
      </c>
      <c r="I14" s="432">
        <f t="shared" si="5"/>
        <v>0</v>
      </c>
      <c r="J14" s="432">
        <f t="shared" si="5"/>
        <v>0</v>
      </c>
      <c r="K14" s="432">
        <f t="shared" si="5"/>
        <v>0</v>
      </c>
      <c r="L14" s="432">
        <f t="shared" si="5"/>
        <v>0</v>
      </c>
      <c r="M14" s="432">
        <f t="shared" si="5"/>
        <v>0</v>
      </c>
      <c r="N14" s="432">
        <f t="shared" si="5"/>
        <v>0</v>
      </c>
      <c r="P14" t="s">
        <v>393</v>
      </c>
    </row>
    <row r="15" spans="1:16" x14ac:dyDescent="0.25">
      <c r="A15" s="427" t="s">
        <v>392</v>
      </c>
      <c r="B15" s="433">
        <f>Model!AG75</f>
        <v>0</v>
      </c>
      <c r="C15" s="432">
        <f>B15</f>
        <v>0</v>
      </c>
      <c r="D15" s="432">
        <f t="shared" ref="D15:N15" si="6">C15</f>
        <v>0</v>
      </c>
      <c r="E15" s="432">
        <f t="shared" si="6"/>
        <v>0</v>
      </c>
      <c r="F15" s="432">
        <f t="shared" si="6"/>
        <v>0</v>
      </c>
      <c r="G15" s="432">
        <f t="shared" si="6"/>
        <v>0</v>
      </c>
      <c r="H15" s="432">
        <f t="shared" si="6"/>
        <v>0</v>
      </c>
      <c r="I15" s="432">
        <f t="shared" si="6"/>
        <v>0</v>
      </c>
      <c r="J15" s="432">
        <f t="shared" si="6"/>
        <v>0</v>
      </c>
      <c r="K15" s="432">
        <f t="shared" si="6"/>
        <v>0</v>
      </c>
      <c r="L15" s="432">
        <f t="shared" si="6"/>
        <v>0</v>
      </c>
      <c r="M15" s="432">
        <f t="shared" si="6"/>
        <v>0</v>
      </c>
      <c r="N15" s="432">
        <f t="shared" si="6"/>
        <v>0</v>
      </c>
      <c r="P15" t="s">
        <v>394</v>
      </c>
    </row>
    <row r="16" spans="1:16" x14ac:dyDescent="0.25">
      <c r="A16" s="427" t="s">
        <v>395</v>
      </c>
      <c r="B16" s="414">
        <v>0.27</v>
      </c>
      <c r="C16" s="414">
        <f>B16</f>
        <v>0.27</v>
      </c>
      <c r="D16" s="414">
        <f t="shared" ref="D16:N16" si="7">C16</f>
        <v>0.27</v>
      </c>
      <c r="E16" s="414">
        <f t="shared" si="7"/>
        <v>0.27</v>
      </c>
      <c r="F16" s="414">
        <f t="shared" si="7"/>
        <v>0.27</v>
      </c>
      <c r="G16" s="414">
        <f t="shared" si="7"/>
        <v>0.27</v>
      </c>
      <c r="H16" s="414">
        <f t="shared" si="7"/>
        <v>0.27</v>
      </c>
      <c r="I16" s="414">
        <f t="shared" si="7"/>
        <v>0.27</v>
      </c>
      <c r="J16" s="414">
        <f t="shared" si="7"/>
        <v>0.27</v>
      </c>
      <c r="K16" s="414">
        <f t="shared" si="7"/>
        <v>0.27</v>
      </c>
      <c r="L16" s="414">
        <f t="shared" si="7"/>
        <v>0.27</v>
      </c>
      <c r="M16" s="414">
        <f t="shared" si="7"/>
        <v>0.27</v>
      </c>
      <c r="N16" s="414">
        <f t="shared" si="7"/>
        <v>0.27</v>
      </c>
      <c r="P16" t="s">
        <v>396</v>
      </c>
    </row>
    <row r="17" spans="1:16" x14ac:dyDescent="0.25">
      <c r="A17" s="427" t="s">
        <v>397</v>
      </c>
      <c r="P17" t="s">
        <v>398</v>
      </c>
    </row>
    <row r="18" spans="1:16" x14ac:dyDescent="0.25">
      <c r="A18" s="427" t="s">
        <v>399</v>
      </c>
      <c r="B18" s="414">
        <f>Model!AG93</f>
        <v>0.17867247007616982</v>
      </c>
      <c r="C18" s="414">
        <f>B18</f>
        <v>0.17867247007616982</v>
      </c>
      <c r="D18" s="414">
        <f t="shared" ref="D18:N18" si="8">C18</f>
        <v>0.17867247007616982</v>
      </c>
      <c r="E18" s="414">
        <f t="shared" si="8"/>
        <v>0.17867247007616982</v>
      </c>
      <c r="F18" s="414">
        <f t="shared" si="8"/>
        <v>0.17867247007616982</v>
      </c>
      <c r="G18" s="414">
        <f t="shared" si="8"/>
        <v>0.17867247007616982</v>
      </c>
      <c r="H18" s="414">
        <f t="shared" si="8"/>
        <v>0.17867247007616982</v>
      </c>
      <c r="I18" s="414">
        <f t="shared" si="8"/>
        <v>0.17867247007616982</v>
      </c>
      <c r="J18" s="414">
        <f t="shared" si="8"/>
        <v>0.17867247007616982</v>
      </c>
      <c r="K18" s="414">
        <f t="shared" si="8"/>
        <v>0.17867247007616982</v>
      </c>
      <c r="L18" s="414">
        <f t="shared" si="8"/>
        <v>0.17867247007616982</v>
      </c>
      <c r="M18" s="414">
        <f t="shared" si="8"/>
        <v>0.17867247007616982</v>
      </c>
      <c r="N18" s="414">
        <f t="shared" si="8"/>
        <v>0.17867247007616982</v>
      </c>
      <c r="P18" t="s">
        <v>400</v>
      </c>
    </row>
    <row r="19" spans="1:16" x14ac:dyDescent="0.25">
      <c r="A19" s="427" t="s">
        <v>401</v>
      </c>
      <c r="B19" s="414">
        <f>Model!AG95</f>
        <v>0.17023523763802206</v>
      </c>
      <c r="C19" s="414">
        <f>B19</f>
        <v>0.17023523763802206</v>
      </c>
      <c r="D19" s="414">
        <f t="shared" ref="D19:N19" si="9">C19</f>
        <v>0.17023523763802206</v>
      </c>
      <c r="E19" s="414">
        <f t="shared" si="9"/>
        <v>0.17023523763802206</v>
      </c>
      <c r="F19" s="414">
        <f t="shared" si="9"/>
        <v>0.17023523763802206</v>
      </c>
      <c r="G19" s="414">
        <f t="shared" si="9"/>
        <v>0.17023523763802206</v>
      </c>
      <c r="H19" s="414">
        <f t="shared" si="9"/>
        <v>0.17023523763802206</v>
      </c>
      <c r="I19" s="414">
        <f t="shared" si="9"/>
        <v>0.17023523763802206</v>
      </c>
      <c r="J19" s="414">
        <f t="shared" si="9"/>
        <v>0.17023523763802206</v>
      </c>
      <c r="K19" s="414">
        <f t="shared" si="9"/>
        <v>0.17023523763802206</v>
      </c>
      <c r="L19" s="414">
        <f t="shared" si="9"/>
        <v>0.17023523763802206</v>
      </c>
      <c r="M19" s="414">
        <f t="shared" si="9"/>
        <v>0.17023523763802206</v>
      </c>
      <c r="N19" s="414">
        <f t="shared" si="9"/>
        <v>0.17023523763802206</v>
      </c>
      <c r="P19" t="s">
        <v>404</v>
      </c>
    </row>
    <row r="20" spans="1:16" x14ac:dyDescent="0.25">
      <c r="A20" s="427" t="s">
        <v>402</v>
      </c>
      <c r="B20" s="414">
        <f>Model!AG109</f>
        <v>0.89001088139281848</v>
      </c>
      <c r="C20" s="414">
        <f>B20</f>
        <v>0.89001088139281848</v>
      </c>
      <c r="D20" s="414">
        <f t="shared" ref="D20:N20" si="10">C20</f>
        <v>0.89001088139281848</v>
      </c>
      <c r="E20" s="414">
        <f t="shared" si="10"/>
        <v>0.89001088139281848</v>
      </c>
      <c r="F20" s="414">
        <f t="shared" si="10"/>
        <v>0.89001088139281848</v>
      </c>
      <c r="G20" s="414">
        <f t="shared" si="10"/>
        <v>0.89001088139281848</v>
      </c>
      <c r="H20" s="414">
        <f t="shared" si="10"/>
        <v>0.89001088139281848</v>
      </c>
      <c r="I20" s="414">
        <f t="shared" si="10"/>
        <v>0.89001088139281848</v>
      </c>
      <c r="J20" s="414">
        <f t="shared" si="10"/>
        <v>0.89001088139281848</v>
      </c>
      <c r="K20" s="414">
        <f t="shared" si="10"/>
        <v>0.89001088139281848</v>
      </c>
      <c r="L20" s="414">
        <f t="shared" si="10"/>
        <v>0.89001088139281848</v>
      </c>
      <c r="M20" s="414">
        <f t="shared" si="10"/>
        <v>0.89001088139281848</v>
      </c>
      <c r="N20" s="414">
        <f t="shared" si="10"/>
        <v>0.89001088139281848</v>
      </c>
      <c r="P20" t="s">
        <v>403</v>
      </c>
    </row>
    <row r="21" spans="1:16" x14ac:dyDescent="0.25">
      <c r="A21" s="427" t="s">
        <v>415</v>
      </c>
      <c r="B21" s="419">
        <v>0</v>
      </c>
      <c r="C21" s="419">
        <v>0</v>
      </c>
      <c r="D21" s="419">
        <v>0</v>
      </c>
      <c r="E21" s="419">
        <v>0</v>
      </c>
      <c r="F21" s="419">
        <v>0</v>
      </c>
      <c r="G21" s="419">
        <v>0</v>
      </c>
      <c r="H21" s="419">
        <v>0</v>
      </c>
      <c r="I21" s="419">
        <v>0</v>
      </c>
      <c r="J21" s="419">
        <v>0</v>
      </c>
      <c r="K21" s="419">
        <v>0</v>
      </c>
      <c r="L21" s="419">
        <v>0</v>
      </c>
      <c r="M21" s="419">
        <v>0</v>
      </c>
      <c r="N21" s="419">
        <v>0</v>
      </c>
      <c r="P21" t="s">
        <v>417</v>
      </c>
    </row>
    <row r="22" spans="1:16" x14ac:dyDescent="0.25">
      <c r="A22" s="427" t="s">
        <v>416</v>
      </c>
      <c r="B22" s="419">
        <v>0</v>
      </c>
      <c r="C22" s="419">
        <v>0</v>
      </c>
      <c r="D22" s="419">
        <v>0</v>
      </c>
      <c r="E22" s="419">
        <v>0</v>
      </c>
      <c r="F22" s="419">
        <v>0</v>
      </c>
      <c r="G22" s="419">
        <v>0</v>
      </c>
      <c r="H22" s="419">
        <v>0</v>
      </c>
      <c r="I22" s="419">
        <v>0</v>
      </c>
      <c r="J22" s="419">
        <v>0</v>
      </c>
      <c r="K22" s="419">
        <v>0</v>
      </c>
      <c r="L22" s="419">
        <v>0</v>
      </c>
      <c r="M22" s="419">
        <v>0</v>
      </c>
      <c r="N22" s="419">
        <v>0</v>
      </c>
      <c r="P22" t="s">
        <v>418</v>
      </c>
    </row>
    <row r="23" spans="1:16" x14ac:dyDescent="0.25">
      <c r="A23" s="427"/>
      <c r="B23" s="414"/>
      <c r="C23" s="414"/>
      <c r="D23" s="414"/>
      <c r="E23" s="414"/>
      <c r="F23" s="414"/>
      <c r="G23" s="414"/>
      <c r="H23" s="414"/>
      <c r="I23" s="414"/>
      <c r="J23" s="414"/>
      <c r="K23" s="414"/>
      <c r="L23" s="414"/>
      <c r="M23" s="414"/>
      <c r="N23" s="414"/>
    </row>
    <row r="24" spans="1:16" x14ac:dyDescent="0.25">
      <c r="A24" s="427"/>
      <c r="B24" s="414"/>
      <c r="C24" s="414"/>
      <c r="D24" s="414"/>
      <c r="E24" s="414"/>
      <c r="F24" s="414"/>
      <c r="G24" s="414"/>
      <c r="H24" s="414"/>
      <c r="I24" s="414"/>
      <c r="J24" s="414"/>
      <c r="K24" s="414"/>
      <c r="L24" s="414"/>
      <c r="M24" s="414"/>
      <c r="N24" s="414"/>
    </row>
    <row r="25" spans="1:16" x14ac:dyDescent="0.25">
      <c r="A25" s="427" t="s">
        <v>406</v>
      </c>
      <c r="B25" s="419">
        <v>0</v>
      </c>
      <c r="C25" s="419">
        <v>0</v>
      </c>
      <c r="D25" s="419">
        <v>0</v>
      </c>
      <c r="E25" s="419">
        <v>0</v>
      </c>
      <c r="F25" s="419">
        <v>0</v>
      </c>
      <c r="G25" s="419">
        <v>0</v>
      </c>
      <c r="H25" s="419">
        <v>0</v>
      </c>
      <c r="I25" s="419">
        <v>0</v>
      </c>
      <c r="J25" s="419">
        <v>0</v>
      </c>
      <c r="K25" s="419">
        <v>0</v>
      </c>
      <c r="L25" s="419">
        <v>0</v>
      </c>
      <c r="M25" s="419">
        <v>0</v>
      </c>
      <c r="N25" s="419">
        <v>0</v>
      </c>
      <c r="P25" t="s">
        <v>409</v>
      </c>
    </row>
    <row r="26" spans="1:16" x14ac:dyDescent="0.25">
      <c r="A26" s="427" t="s">
        <v>405</v>
      </c>
      <c r="B26" s="419">
        <v>0</v>
      </c>
      <c r="C26" s="419">
        <v>0</v>
      </c>
      <c r="D26" s="419">
        <v>0</v>
      </c>
      <c r="E26" s="419">
        <v>0</v>
      </c>
      <c r="F26" s="419">
        <v>0</v>
      </c>
      <c r="G26" s="419">
        <v>0</v>
      </c>
      <c r="H26" s="419">
        <v>0</v>
      </c>
      <c r="I26" s="419">
        <v>0</v>
      </c>
      <c r="J26" s="419">
        <v>0</v>
      </c>
      <c r="K26" s="419">
        <v>0</v>
      </c>
      <c r="L26" s="419">
        <v>0</v>
      </c>
      <c r="M26" s="419">
        <v>0</v>
      </c>
      <c r="N26" s="419">
        <v>0</v>
      </c>
      <c r="P26" t="s">
        <v>409</v>
      </c>
    </row>
    <row r="27" spans="1:16" x14ac:dyDescent="0.25">
      <c r="A27" s="427" t="s">
        <v>41</v>
      </c>
      <c r="B27" s="419">
        <v>0</v>
      </c>
      <c r="C27" s="419">
        <v>0</v>
      </c>
      <c r="D27" s="419">
        <v>0</v>
      </c>
      <c r="E27" s="419">
        <v>0</v>
      </c>
      <c r="F27" s="419">
        <v>0</v>
      </c>
      <c r="G27" s="419">
        <v>0</v>
      </c>
      <c r="H27" s="419">
        <v>0</v>
      </c>
      <c r="I27" s="419">
        <v>0</v>
      </c>
      <c r="J27" s="419">
        <v>0</v>
      </c>
      <c r="K27" s="419">
        <v>0</v>
      </c>
      <c r="L27" s="419">
        <v>0</v>
      </c>
      <c r="M27" s="419">
        <v>0</v>
      </c>
      <c r="N27" s="419">
        <v>0</v>
      </c>
      <c r="P27" t="s">
        <v>409</v>
      </c>
    </row>
    <row r="28" spans="1:16" x14ac:dyDescent="0.25">
      <c r="A28" s="427" t="s">
        <v>407</v>
      </c>
      <c r="B28" s="419">
        <v>0</v>
      </c>
      <c r="C28" s="419">
        <v>0</v>
      </c>
      <c r="D28" s="419">
        <v>0</v>
      </c>
      <c r="E28" s="419">
        <v>0</v>
      </c>
      <c r="F28" s="419">
        <v>0</v>
      </c>
      <c r="G28" s="419">
        <v>0</v>
      </c>
      <c r="H28" s="419">
        <v>0</v>
      </c>
      <c r="I28" s="419">
        <v>0</v>
      </c>
      <c r="J28" s="419">
        <v>0</v>
      </c>
      <c r="K28" s="419">
        <v>0</v>
      </c>
      <c r="L28" s="419">
        <v>0</v>
      </c>
      <c r="M28" s="419">
        <v>0</v>
      </c>
      <c r="N28" s="419">
        <v>0</v>
      </c>
      <c r="P28" t="s">
        <v>409</v>
      </c>
    </row>
    <row r="29" spans="1:16" x14ac:dyDescent="0.25">
      <c r="A29" s="427" t="s">
        <v>408</v>
      </c>
      <c r="B29" s="419">
        <v>0</v>
      </c>
      <c r="C29" s="419">
        <v>0</v>
      </c>
      <c r="D29" s="419">
        <v>0</v>
      </c>
      <c r="E29" s="419">
        <v>0</v>
      </c>
      <c r="F29" s="419">
        <v>0</v>
      </c>
      <c r="G29" s="419">
        <v>0</v>
      </c>
      <c r="H29" s="419">
        <v>0</v>
      </c>
      <c r="I29" s="419">
        <v>0</v>
      </c>
      <c r="J29" s="419">
        <v>0</v>
      </c>
      <c r="K29" s="419">
        <v>0</v>
      </c>
      <c r="L29" s="419">
        <v>0</v>
      </c>
      <c r="M29" s="419">
        <v>0</v>
      </c>
      <c r="N29" s="419">
        <v>0</v>
      </c>
      <c r="P29" t="s">
        <v>409</v>
      </c>
    </row>
    <row r="35" spans="1:2" x14ac:dyDescent="0.25">
      <c r="A35" s="427"/>
      <c r="B35" t="s">
        <v>414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M198"/>
  <sheetViews>
    <sheetView showGridLines="0" tabSelected="1" workbookViewId="0">
      <pane xSplit="3" topLeftCell="AE1" activePane="topRight" state="frozen"/>
      <selection pane="topRight" activeCell="AI163" sqref="AI163"/>
    </sheetView>
  </sheetViews>
  <sheetFormatPr defaultColWidth="9.140625" defaultRowHeight="12.75" outlineLevelCol="2" x14ac:dyDescent="0.25"/>
  <cols>
    <col min="1" max="1" width="55.28515625" style="1" bestFit="1" customWidth="1"/>
    <col min="2" max="2" width="11.42578125" style="1" customWidth="1" outlineLevel="1"/>
    <col min="3" max="3" width="10" style="1" customWidth="1" outlineLevel="1"/>
    <col min="4" max="6" width="6.42578125" style="1" hidden="1" customWidth="1" outlineLevel="2"/>
    <col min="7" max="7" width="6.140625" style="1" hidden="1" customWidth="1" outlineLevel="2"/>
    <col min="8" max="8" width="7.5703125" style="1" hidden="1" customWidth="1" outlineLevel="2"/>
    <col min="9" max="9" width="9.42578125" style="1" hidden="1" customWidth="1" outlineLevel="2"/>
    <col min="10" max="10" width="7.5703125" style="1" customWidth="1" outlineLevel="1" collapsed="1"/>
    <col min="11" max="14" width="7.5703125" style="1" customWidth="1" outlineLevel="1"/>
    <col min="15" max="15" width="8.140625" style="1" customWidth="1" outlineLevel="1"/>
    <col min="16" max="16" width="9.42578125" style="1" customWidth="1" outlineLevel="1"/>
    <col min="17" max="17" width="8.140625" style="1" customWidth="1" outlineLevel="1"/>
    <col min="18" max="25" width="7.5703125" style="1" customWidth="1" outlineLevel="1"/>
    <col min="26" max="30" width="7.5703125" style="1" customWidth="1"/>
    <col min="31" max="31" width="6.85546875" style="1" customWidth="1"/>
    <col min="32" max="32" width="8.28515625" style="1" customWidth="1"/>
    <col min="33" max="33" width="7.5703125" style="1" customWidth="1"/>
    <col min="34" max="34" width="9.28515625" style="1" bestFit="1" customWidth="1"/>
    <col min="35" max="42" width="7.5703125" style="1" customWidth="1"/>
    <col min="43" max="46" width="9" style="1" bestFit="1" customWidth="1"/>
    <col min="47" max="65" width="9.140625" style="206"/>
    <col min="66" max="16384" width="9.140625" style="1"/>
  </cols>
  <sheetData>
    <row r="1" spans="1:46" s="243" customFormat="1" x14ac:dyDescent="0.25">
      <c r="A1" s="239" t="s">
        <v>0</v>
      </c>
      <c r="B1" s="240" t="s">
        <v>149</v>
      </c>
      <c r="C1" s="240" t="s">
        <v>150</v>
      </c>
      <c r="D1" s="241"/>
      <c r="E1" s="241"/>
      <c r="F1" s="241"/>
      <c r="G1" s="241"/>
      <c r="H1" s="241">
        <v>43709</v>
      </c>
      <c r="I1" s="241">
        <v>43800</v>
      </c>
      <c r="J1" s="241">
        <v>43891</v>
      </c>
      <c r="K1" s="241">
        <v>43983</v>
      </c>
      <c r="L1" s="241">
        <v>44075</v>
      </c>
      <c r="M1" s="241">
        <v>44166</v>
      </c>
      <c r="N1" s="241">
        <v>44256</v>
      </c>
      <c r="O1" s="241">
        <v>44348</v>
      </c>
      <c r="P1" s="241">
        <v>44440</v>
      </c>
      <c r="Q1" s="241">
        <v>44531</v>
      </c>
      <c r="R1" s="241">
        <v>44621</v>
      </c>
      <c r="S1" s="241">
        <v>44713</v>
      </c>
      <c r="T1" s="241">
        <v>44805</v>
      </c>
      <c r="U1" s="241">
        <v>44896</v>
      </c>
      <c r="V1" s="241">
        <v>44986</v>
      </c>
      <c r="W1" s="241">
        <v>45078</v>
      </c>
      <c r="X1" s="241">
        <v>45170</v>
      </c>
      <c r="Y1" s="241">
        <v>45261</v>
      </c>
      <c r="Z1" s="1"/>
      <c r="AA1" s="1"/>
      <c r="AB1" s="1"/>
      <c r="AC1" s="239">
        <v>2018</v>
      </c>
      <c r="AD1" s="239">
        <v>2019</v>
      </c>
      <c r="AE1" s="239">
        <v>2020</v>
      </c>
      <c r="AF1" s="239">
        <v>2021</v>
      </c>
      <c r="AG1" s="239">
        <f t="shared" ref="AG1:AT1" si="0">AF1+1</f>
        <v>2022</v>
      </c>
      <c r="AH1" s="242">
        <f t="shared" si="0"/>
        <v>2023</v>
      </c>
      <c r="AI1" s="242">
        <f t="shared" si="0"/>
        <v>2024</v>
      </c>
      <c r="AJ1" s="242">
        <f t="shared" si="0"/>
        <v>2025</v>
      </c>
      <c r="AK1" s="242">
        <f t="shared" si="0"/>
        <v>2026</v>
      </c>
      <c r="AL1" s="242">
        <f t="shared" si="0"/>
        <v>2027</v>
      </c>
      <c r="AM1" s="242">
        <f t="shared" si="0"/>
        <v>2028</v>
      </c>
      <c r="AN1" s="242">
        <f t="shared" si="0"/>
        <v>2029</v>
      </c>
      <c r="AO1" s="242">
        <f t="shared" si="0"/>
        <v>2030</v>
      </c>
      <c r="AP1" s="242">
        <f t="shared" si="0"/>
        <v>2031</v>
      </c>
      <c r="AQ1" s="242">
        <f t="shared" si="0"/>
        <v>2032</v>
      </c>
      <c r="AR1" s="242">
        <f t="shared" si="0"/>
        <v>2033</v>
      </c>
      <c r="AS1" s="242">
        <f t="shared" si="0"/>
        <v>2034</v>
      </c>
      <c r="AT1" s="242">
        <f t="shared" si="0"/>
        <v>2035</v>
      </c>
    </row>
    <row r="2" spans="1:46" s="243" customFormat="1" hidden="1" x14ac:dyDescent="0.25">
      <c r="A2" s="239" t="s">
        <v>212</v>
      </c>
      <c r="B2" s="244"/>
      <c r="C2" s="244"/>
      <c r="Z2" s="341"/>
      <c r="AA2" s="341"/>
      <c r="AB2" s="341"/>
    </row>
    <row r="3" spans="1:46" hidden="1" x14ac:dyDescent="0.25">
      <c r="A3" s="35"/>
      <c r="B3" s="36"/>
      <c r="C3" s="36"/>
      <c r="D3" s="287"/>
      <c r="E3" s="287"/>
      <c r="F3" s="287"/>
      <c r="G3" s="288"/>
      <c r="H3" s="288"/>
      <c r="I3" s="288"/>
      <c r="J3" s="288"/>
      <c r="K3" s="287"/>
      <c r="L3" s="288"/>
      <c r="M3" s="288"/>
      <c r="N3" s="288"/>
      <c r="O3" s="288"/>
      <c r="S3" s="54"/>
    </row>
    <row r="4" spans="1:46" hidden="1" x14ac:dyDescent="0.25">
      <c r="A4" s="24" t="s">
        <v>214</v>
      </c>
      <c r="B4" s="36"/>
      <c r="C4" s="36"/>
      <c r="D4" s="287"/>
      <c r="E4" s="287"/>
      <c r="F4" s="287"/>
      <c r="G4" s="288"/>
      <c r="H4" s="288"/>
      <c r="I4" s="288"/>
      <c r="J4" s="307"/>
      <c r="K4" s="293"/>
      <c r="L4" s="307">
        <v>92000</v>
      </c>
      <c r="M4" s="324">
        <v>94000</v>
      </c>
      <c r="N4" s="324">
        <v>94000</v>
      </c>
      <c r="O4" s="324">
        <v>94000</v>
      </c>
      <c r="P4" s="293">
        <v>96000</v>
      </c>
      <c r="Q4" s="293">
        <v>100000</v>
      </c>
      <c r="R4" s="293">
        <v>115000</v>
      </c>
      <c r="S4" s="51">
        <v>116000</v>
      </c>
      <c r="T4" s="51">
        <v>118000</v>
      </c>
      <c r="U4" s="51">
        <v>122000</v>
      </c>
      <c r="V4" s="51">
        <v>122000</v>
      </c>
      <c r="W4" s="51">
        <v>124000</v>
      </c>
      <c r="X4" s="51">
        <v>128000</v>
      </c>
      <c r="Y4" s="320">
        <f>X4+2000</f>
        <v>130000</v>
      </c>
      <c r="AE4" s="54">
        <f>M4</f>
        <v>94000</v>
      </c>
      <c r="AF4" s="54">
        <f>Q4</f>
        <v>100000</v>
      </c>
      <c r="AG4" s="54">
        <f>U4</f>
        <v>122000</v>
      </c>
      <c r="AH4" s="320">
        <f>Y4</f>
        <v>130000</v>
      </c>
      <c r="AI4" s="320">
        <f>AH4*(1+AI5)</f>
        <v>137339.67213114756</v>
      </c>
      <c r="AJ4" s="320">
        <f t="shared" ref="AJ4:AT4" si="1">AI4*(1+AJ5)</f>
        <v>144092.28105993016</v>
      </c>
      <c r="AK4" s="320">
        <f t="shared" si="1"/>
        <v>150336.34289702159</v>
      </c>
      <c r="AL4" s="320">
        <f t="shared" si="1"/>
        <v>156149.40073235094</v>
      </c>
      <c r="AM4" s="320">
        <f t="shared" si="1"/>
        <v>161604.2634856356</v>
      </c>
      <c r="AN4" s="320">
        <f t="shared" si="1"/>
        <v>166767.01719421972</v>
      </c>
      <c r="AO4" s="320">
        <f t="shared" si="1"/>
        <v>171696.23537175532</v>
      </c>
      <c r="AP4" s="320">
        <f t="shared" si="1"/>
        <v>176442.95119716885</v>
      </c>
      <c r="AQ4" s="320">
        <f t="shared" si="1"/>
        <v>181051.07786450585</v>
      </c>
      <c r="AR4" s="320">
        <f t="shared" si="1"/>
        <v>185558.06315711048</v>
      </c>
      <c r="AS4" s="320">
        <f t="shared" si="1"/>
        <v>189995.63916107154</v>
      </c>
      <c r="AT4" s="320">
        <f t="shared" si="1"/>
        <v>194390.58136259872</v>
      </c>
    </row>
    <row r="5" spans="1:46" hidden="1" x14ac:dyDescent="0.25">
      <c r="A5" s="38" t="s">
        <v>160</v>
      </c>
      <c r="B5" s="53">
        <v>0.02</v>
      </c>
      <c r="C5" s="53">
        <v>0.2</v>
      </c>
      <c r="K5" s="7"/>
      <c r="L5" s="7"/>
      <c r="M5" s="7"/>
      <c r="N5" s="7"/>
      <c r="O5" s="7"/>
      <c r="P5" s="321"/>
      <c r="Q5" s="321">
        <v>0</v>
      </c>
      <c r="R5" s="321">
        <f t="shared" ref="R5:V5" si="2">R4/Q4-1</f>
        <v>0.14999999999999991</v>
      </c>
      <c r="S5" s="321">
        <f t="shared" si="2"/>
        <v>8.6956521739129933E-3</v>
      </c>
      <c r="T5" s="321">
        <f t="shared" si="2"/>
        <v>1.7241379310344751E-2</v>
      </c>
      <c r="U5" s="321">
        <f t="shared" si="2"/>
        <v>3.3898305084745672E-2</v>
      </c>
      <c r="V5" s="321">
        <f t="shared" si="2"/>
        <v>0</v>
      </c>
      <c r="W5" s="321">
        <v>0</v>
      </c>
      <c r="X5" s="321">
        <v>0</v>
      </c>
      <c r="Y5" s="79">
        <v>0</v>
      </c>
      <c r="AF5" s="7"/>
      <c r="AG5" s="7">
        <f t="shared" ref="AG5:AH5" si="3">AG4/AF4-1</f>
        <v>0.21999999999999997</v>
      </c>
      <c r="AH5" s="7">
        <f t="shared" si="3"/>
        <v>6.5573770491803351E-2</v>
      </c>
      <c r="AI5" s="214">
        <f t="shared" ref="AI5:AT7" si="4">($B5*$C5)+(AH5*(1-$C5))</f>
        <v>5.6459016393442682E-2</v>
      </c>
      <c r="AJ5" s="214">
        <f t="shared" si="4"/>
        <v>4.9167213114754152E-2</v>
      </c>
      <c r="AK5" s="214">
        <f t="shared" ref="AK5" si="5">($B5*$C5)+(AJ5*(1-$C5))</f>
        <v>4.3333770491803328E-2</v>
      </c>
      <c r="AL5" s="214">
        <f t="shared" ref="AL5" si="6">($B5*$C5)+(AK5*(1-$C5))</f>
        <v>3.8667016393442666E-2</v>
      </c>
      <c r="AM5" s="214">
        <f t="shared" ref="AM5" si="7">($B5*$C5)+(AL5*(1-$C5))</f>
        <v>3.4933613114754139E-2</v>
      </c>
      <c r="AN5" s="214">
        <f t="shared" ref="AN5" si="8">($B5*$C5)+(AM5*(1-$C5))</f>
        <v>3.1946890491803312E-2</v>
      </c>
      <c r="AO5" s="214">
        <f t="shared" ref="AO5" si="9">($B5*$C5)+(AN5*(1-$C5))</f>
        <v>2.9557512393442651E-2</v>
      </c>
      <c r="AP5" s="214">
        <f t="shared" ref="AP5" si="10">($B5*$C5)+(AO5*(1-$C5))</f>
        <v>2.7646009914754122E-2</v>
      </c>
      <c r="AQ5" s="214">
        <f t="shared" ref="AQ5:AT5" si="11">($B5*$C5)+(AP5*(1-$C5))</f>
        <v>2.61168079318033E-2</v>
      </c>
      <c r="AR5" s="214">
        <f t="shared" si="11"/>
        <v>2.4893446345442643E-2</v>
      </c>
      <c r="AS5" s="214">
        <f t="shared" si="11"/>
        <v>2.3914757076354116E-2</v>
      </c>
      <c r="AT5" s="214">
        <f t="shared" si="11"/>
        <v>2.3131805661083294E-2</v>
      </c>
    </row>
    <row r="6" spans="1:46" hidden="1" x14ac:dyDescent="0.25">
      <c r="A6" s="24" t="s">
        <v>215</v>
      </c>
      <c r="B6" s="36"/>
      <c r="C6" s="36"/>
      <c r="J6" s="54"/>
      <c r="K6" s="88"/>
      <c r="L6" s="88"/>
      <c r="M6" s="54">
        <f t="shared" ref="M6:O6" si="12">(M8*10^6)/(M4*3)</f>
        <v>52.09574468085107</v>
      </c>
      <c r="N6" s="54">
        <f t="shared" si="12"/>
        <v>43.627659574468076</v>
      </c>
      <c r="O6" s="54">
        <f t="shared" si="12"/>
        <v>41.124113475177303</v>
      </c>
      <c r="P6" s="54">
        <f>(P8*10^6)/(P4*3)</f>
        <v>46.541666666666664</v>
      </c>
      <c r="Q6" s="54">
        <f t="shared" ref="Q6:X6" si="13">(Q8*10^6)/(Q4*3)</f>
        <v>47.08</v>
      </c>
      <c r="R6" s="56">
        <f t="shared" si="13"/>
        <v>43.846376811594205</v>
      </c>
      <c r="S6" s="56">
        <f t="shared" si="13"/>
        <v>46.330459770114949</v>
      </c>
      <c r="T6" s="56">
        <f t="shared" si="13"/>
        <v>48.771186440677965</v>
      </c>
      <c r="U6" s="56">
        <f t="shared" si="13"/>
        <v>52.016393442622949</v>
      </c>
      <c r="V6" s="56">
        <f t="shared" si="13"/>
        <v>48.450819672131146</v>
      </c>
      <c r="W6" s="56">
        <f t="shared" si="13"/>
        <v>45.80913978494624</v>
      </c>
      <c r="X6" s="56">
        <f t="shared" si="13"/>
        <v>47.567708333333336</v>
      </c>
      <c r="Y6" s="204">
        <v>48</v>
      </c>
      <c r="AD6" s="295">
        <f>SUM(D6:I6)</f>
        <v>0</v>
      </c>
      <c r="AE6" s="54">
        <f>(AE8*10^6)/(AE4*12)</f>
        <v>43.377659574468083</v>
      </c>
      <c r="AF6" s="54">
        <f>(AF8*10^6)/(AF4*12)</f>
        <v>42.856666666666676</v>
      </c>
      <c r="AG6" s="54">
        <f>(AG8*10^6)/(AG4*12)</f>
        <v>46.142759562841533</v>
      </c>
      <c r="AH6" s="54">
        <f>(AH8*10^6)/(AH4*12)</f>
        <v>45.999999999999993</v>
      </c>
      <c r="AI6" s="294">
        <f t="shared" ref="AI6:AT6" si="14">AH6*(1+AI7)</f>
        <v>46.919999999999995</v>
      </c>
      <c r="AJ6" s="294">
        <f t="shared" si="14"/>
        <v>47.952239999999996</v>
      </c>
      <c r="AK6" s="294">
        <f t="shared" si="14"/>
        <v>49.083912863999998</v>
      </c>
      <c r="AL6" s="294">
        <f t="shared" si="14"/>
        <v>50.305120616056321</v>
      </c>
      <c r="AM6" s="294">
        <f t="shared" si="14"/>
        <v>51.60822446049464</v>
      </c>
      <c r="AN6" s="294">
        <f t="shared" si="14"/>
        <v>52.98736136439733</v>
      </c>
      <c r="AO6" s="294">
        <f t="shared" si="14"/>
        <v>54.438079016754166</v>
      </c>
      <c r="AP6" s="294">
        <f t="shared" si="14"/>
        <v>55.957056460970655</v>
      </c>
      <c r="AQ6" s="294">
        <f t="shared" si="14"/>
        <v>57.541887792502777</v>
      </c>
      <c r="AR6" s="294">
        <f t="shared" si="14"/>
        <v>59.190913011834461</v>
      </c>
      <c r="AS6" s="294">
        <f t="shared" si="14"/>
        <v>60.90308464328794</v>
      </c>
      <c r="AT6" s="294">
        <f t="shared" si="14"/>
        <v>62.677861831232889</v>
      </c>
    </row>
    <row r="7" spans="1:46" hidden="1" x14ac:dyDescent="0.25">
      <c r="A7" s="38" t="s">
        <v>160</v>
      </c>
      <c r="B7" s="53">
        <v>0.03</v>
      </c>
      <c r="C7" s="53">
        <v>0.2</v>
      </c>
      <c r="K7" s="7"/>
      <c r="L7" s="7"/>
      <c r="M7" s="7"/>
      <c r="N7" s="7"/>
      <c r="O7" s="7"/>
      <c r="P7" s="289">
        <v>0</v>
      </c>
      <c r="Q7" s="289">
        <v>0</v>
      </c>
      <c r="R7" s="289">
        <v>0</v>
      </c>
      <c r="S7" s="289">
        <v>0</v>
      </c>
      <c r="T7" s="289">
        <v>3.5000000000000003E-2</v>
      </c>
      <c r="U7" s="289">
        <v>0.02</v>
      </c>
      <c r="V7" s="289">
        <v>0.01</v>
      </c>
      <c r="W7" s="289">
        <v>0</v>
      </c>
      <c r="X7" s="289">
        <v>0</v>
      </c>
      <c r="Y7" s="289">
        <v>0</v>
      </c>
      <c r="AF7" s="7">
        <f>AF6/AE6-1</f>
        <v>-1.2010627426936149E-2</v>
      </c>
      <c r="AG7" s="7">
        <f t="shared" ref="AG7:AH7" si="15">AG6/AF6-1</f>
        <v>7.6676352870223008E-2</v>
      </c>
      <c r="AH7" s="7">
        <f t="shared" si="15"/>
        <v>-3.0938670377335109E-3</v>
      </c>
      <c r="AI7" s="79">
        <v>0.02</v>
      </c>
      <c r="AJ7" s="214">
        <f t="shared" si="4"/>
        <v>2.1999999999999999E-2</v>
      </c>
      <c r="AK7" s="214">
        <f t="shared" si="4"/>
        <v>2.3600000000000003E-2</v>
      </c>
      <c r="AL7" s="214">
        <f t="shared" si="4"/>
        <v>2.4880000000000006E-2</v>
      </c>
      <c r="AM7" s="214">
        <f t="shared" si="4"/>
        <v>2.5904000000000003E-2</v>
      </c>
      <c r="AN7" s="214">
        <f t="shared" si="4"/>
        <v>2.6723200000000003E-2</v>
      </c>
      <c r="AO7" s="214">
        <f t="shared" si="4"/>
        <v>2.7378560000000003E-2</v>
      </c>
      <c r="AP7" s="214">
        <f t="shared" si="4"/>
        <v>2.7902848000000001E-2</v>
      </c>
      <c r="AQ7" s="214">
        <f t="shared" si="4"/>
        <v>2.8322278400000005E-2</v>
      </c>
      <c r="AR7" s="214">
        <f t="shared" si="4"/>
        <v>2.8657822720000004E-2</v>
      </c>
      <c r="AS7" s="214">
        <f t="shared" si="4"/>
        <v>2.8926258176000003E-2</v>
      </c>
      <c r="AT7" s="214">
        <f t="shared" si="4"/>
        <v>2.9141006540800006E-2</v>
      </c>
    </row>
    <row r="8" spans="1:46" hidden="1" x14ac:dyDescent="0.25">
      <c r="A8" s="24" t="s">
        <v>216</v>
      </c>
      <c r="B8" s="37"/>
      <c r="C8" s="37"/>
      <c r="D8" s="47"/>
      <c r="E8" s="47"/>
      <c r="F8" s="47"/>
      <c r="G8" s="48"/>
      <c r="H8" s="48"/>
      <c r="I8" s="47"/>
      <c r="J8" s="48">
        <f>23.725-10.137</f>
        <v>13.588000000000001</v>
      </c>
      <c r="K8" s="48">
        <f>10.137</f>
        <v>10.137</v>
      </c>
      <c r="L8" s="48">
        <f>34.239-SUM(J8:K8)</f>
        <v>10.513999999999996</v>
      </c>
      <c r="M8" s="48">
        <f>48.93-SUM(J8:L8)</f>
        <v>14.691000000000003</v>
      </c>
      <c r="N8" s="48">
        <f>23.9-O8</f>
        <v>12.302999999999999</v>
      </c>
      <c r="O8" s="48">
        <f>11.597</f>
        <v>11.597</v>
      </c>
      <c r="P8" s="48">
        <v>13.404</v>
      </c>
      <c r="Q8" s="48">
        <f>14.124</f>
        <v>14.124000000000001</v>
      </c>
      <c r="R8" s="48">
        <f>15.127</f>
        <v>15.127000000000001</v>
      </c>
      <c r="S8" s="48">
        <f>16.123</f>
        <v>16.123000000000001</v>
      </c>
      <c r="T8" s="48">
        <f>17.265</f>
        <v>17.265000000000001</v>
      </c>
      <c r="U8" s="48">
        <f>19.038</f>
        <v>19.038</v>
      </c>
      <c r="V8" s="48">
        <f>34.774-17.041</f>
        <v>17.733000000000001</v>
      </c>
      <c r="W8" s="48">
        <v>17.041</v>
      </c>
      <c r="X8" s="48">
        <v>18.265999999999998</v>
      </c>
      <c r="Y8" s="49">
        <f t="shared" ref="Y8" si="16">(Y4*Y6*3)/(10^6)</f>
        <v>18.72</v>
      </c>
      <c r="AC8" s="46">
        <f>39.647</f>
        <v>39.646999999999998</v>
      </c>
      <c r="AD8" s="46">
        <f>46.74</f>
        <v>46.74</v>
      </c>
      <c r="AE8" s="46">
        <f>SUM(J8:M8)</f>
        <v>48.93</v>
      </c>
      <c r="AF8" s="43">
        <f>SUM(N8:Q8)</f>
        <v>51.428000000000004</v>
      </c>
      <c r="AG8" s="52">
        <f>SUM(R8:U8)</f>
        <v>67.552999999999997</v>
      </c>
      <c r="AH8" s="52">
        <f>SUM(V8:Y8)</f>
        <v>71.759999999999991</v>
      </c>
      <c r="AI8" s="52">
        <f>(AI4*AI6*12)/(10^6)</f>
        <v>77.327728996721319</v>
      </c>
      <c r="AJ8" s="52">
        <f t="shared" ref="AJ8:AQ8" si="17">(AJ4*AJ6*12)/(10^6)</f>
        <v>82.914571722398705</v>
      </c>
      <c r="AK8" s="52">
        <f t="shared" si="17"/>
        <v>88.549151460597997</v>
      </c>
      <c r="AL8" s="52">
        <f t="shared" si="17"/>
        <v>94.26137325558993</v>
      </c>
      <c r="AM8" s="52">
        <f t="shared" si="17"/>
        <v>100.08130924487519</v>
      </c>
      <c r="AN8" s="52">
        <f t="shared" si="17"/>
        <v>106.03853044479341</v>
      </c>
      <c r="AO8" s="52">
        <f t="shared" si="17"/>
        <v>112.16175873656206</v>
      </c>
      <c r="AP8" s="52">
        <f t="shared" si="17"/>
        <v>118.47873818736321</v>
      </c>
      <c r="AQ8" s="52">
        <f t="shared" si="17"/>
        <v>125.01624968629295</v>
      </c>
      <c r="AR8" s="52">
        <f t="shared" ref="AR8:AT8" si="18">(AR4*AR6*12)/(10^6)</f>
        <v>131.80021409972414</v>
      </c>
      <c r="AS8" s="52">
        <f t="shared" si="18"/>
        <v>138.85584592418797</v>
      </c>
      <c r="AT8" s="52">
        <f t="shared" si="18"/>
        <v>146.20783199925597</v>
      </c>
    </row>
    <row r="9" spans="1:46" hidden="1" x14ac:dyDescent="0.25">
      <c r="A9" s="38" t="s">
        <v>160</v>
      </c>
      <c r="B9" s="53"/>
      <c r="C9" s="53"/>
      <c r="K9" s="7">
        <f>K8/J8-1</f>
        <v>-0.25397409478952016</v>
      </c>
      <c r="L9" s="7">
        <f t="shared" ref="L9:O9" si="19">L8/K8-1</f>
        <v>3.7190490283120825E-2</v>
      </c>
      <c r="M9" s="7">
        <f t="shared" si="19"/>
        <v>0.39727981738634277</v>
      </c>
      <c r="N9" s="7">
        <f t="shared" si="19"/>
        <v>-0.16254849908107027</v>
      </c>
      <c r="O9" s="7">
        <f t="shared" si="19"/>
        <v>-5.7384377794033936E-2</v>
      </c>
      <c r="P9" s="290">
        <f>P8/O8-1</f>
        <v>0.15581615935155657</v>
      </c>
      <c r="Q9" s="290">
        <f t="shared" ref="Q9:U9" si="20">Q8/P8-1</f>
        <v>5.3715308863026001E-2</v>
      </c>
      <c r="R9" s="290">
        <f t="shared" si="20"/>
        <v>7.1013877088643484E-2</v>
      </c>
      <c r="S9" s="400">
        <f t="shared" si="20"/>
        <v>6.5842533218748001E-2</v>
      </c>
      <c r="T9" s="290">
        <f t="shared" si="20"/>
        <v>7.0830490603485563E-2</v>
      </c>
      <c r="U9" s="290">
        <f t="shared" si="20"/>
        <v>0.10269331016507377</v>
      </c>
      <c r="V9" s="290">
        <f t="shared" ref="V9" si="21">V8/U8-1</f>
        <v>-6.8547116293728338E-2</v>
      </c>
      <c r="W9" s="290">
        <f t="shared" ref="W9" si="22">W8/V8-1</f>
        <v>-3.9023289911464532E-2</v>
      </c>
      <c r="X9" s="290">
        <f t="shared" ref="X9" si="23">X8/W8-1</f>
        <v>7.1885452731647037E-2</v>
      </c>
      <c r="Y9" s="290">
        <f t="shared" ref="Y9" si="24">Y8/X8-1</f>
        <v>2.4854921712471389E-2</v>
      </c>
      <c r="AD9" s="41">
        <f t="shared" ref="AD9" si="25">AD8/AC8-1</f>
        <v>0.17890382626680457</v>
      </c>
      <c r="AE9" s="41">
        <f t="shared" ref="AE9" si="26">AE8/AD8-1</f>
        <v>4.6854942233632846E-2</v>
      </c>
      <c r="AF9" s="41">
        <f t="shared" ref="AF9" si="27">AF8/AE8-1</f>
        <v>5.1052524013897482E-2</v>
      </c>
      <c r="AG9" s="41">
        <f t="shared" ref="AG9" si="28">AG8/AF8-1</f>
        <v>0.31354515050167198</v>
      </c>
      <c r="AH9" s="41">
        <f t="shared" ref="AH9" si="29">AH8/AG8-1</f>
        <v>6.227702692700543E-2</v>
      </c>
      <c r="AI9" s="41">
        <f t="shared" ref="AI9" si="30">AI8/AH8-1</f>
        <v>7.7588196721311675E-2</v>
      </c>
      <c r="AJ9" s="41">
        <f t="shared" ref="AJ9" si="31">AJ8/AI8-1</f>
        <v>7.224889180327887E-2</v>
      </c>
      <c r="AK9" s="41">
        <f t="shared" ref="AK9" si="32">AK8/AJ8-1</f>
        <v>6.7956447475409965E-2</v>
      </c>
      <c r="AL9" s="41">
        <f t="shared" ref="AL9" si="33">AL8/AK8-1</f>
        <v>6.4509051761311609E-2</v>
      </c>
      <c r="AM9" s="41">
        <f t="shared" ref="AM9" si="34">AM8/AL8-1</f>
        <v>6.1742533428878588E-2</v>
      </c>
      <c r="AN9" s="41">
        <f t="shared" ref="AN9" si="35">AN8/AM8-1</f>
        <v>5.9523813635794065E-2</v>
      </c>
      <c r="AO9" s="41">
        <f t="shared" ref="AO9" si="36">AO8/AN8-1</f>
        <v>5.7745314519957125E-2</v>
      </c>
      <c r="AP9" s="41">
        <f t="shared" ref="AP9" si="37">AP8/AO8-1</f>
        <v>5.6320260327212157E-2</v>
      </c>
      <c r="AQ9" s="41">
        <f t="shared" ref="AQ9:AT9" si="38">AQ8/AP8-1</f>
        <v>5.5178773836967121E-2</v>
      </c>
      <c r="AR9" s="41">
        <f t="shared" si="38"/>
        <v>5.4264661037700224E-2</v>
      </c>
      <c r="AS9" s="41">
        <f t="shared" si="38"/>
        <v>5.3532779689760668E-2</v>
      </c>
      <c r="AT9" s="41">
        <f t="shared" si="38"/>
        <v>5.2946896301953483E-2</v>
      </c>
    </row>
    <row r="10" spans="1:46" hidden="1" x14ac:dyDescent="0.25">
      <c r="A10" s="309" t="s">
        <v>224</v>
      </c>
      <c r="B10" s="53"/>
      <c r="C10" s="53"/>
      <c r="J10" s="288">
        <f>-6.989-K10</f>
        <v>-4.0659999999999998</v>
      </c>
      <c r="K10" s="288">
        <f>-2.923</f>
        <v>-2.923</v>
      </c>
      <c r="L10" s="288">
        <f>-3.032</f>
        <v>-3.032</v>
      </c>
      <c r="M10" s="288">
        <f>-14.655-SUM(J10:L10)</f>
        <v>-4.6339999999999986</v>
      </c>
      <c r="N10" s="288">
        <f>-7.452-O10</f>
        <v>-3.84</v>
      </c>
      <c r="O10" s="288">
        <f>-3.612</f>
        <v>-3.6120000000000001</v>
      </c>
      <c r="P10" s="288">
        <f>-3.869</f>
        <v>-3.8690000000000002</v>
      </c>
      <c r="Q10" s="288">
        <f>-3.915</f>
        <v>-3.915</v>
      </c>
      <c r="R10" s="288">
        <v>-4.5179999999999998</v>
      </c>
      <c r="S10" s="55">
        <f>-4.595</f>
        <v>-4.5949999999999998</v>
      </c>
      <c r="T10" s="55">
        <f>-4.846</f>
        <v>-4.8460000000000001</v>
      </c>
      <c r="U10" s="55">
        <f>-5.72</f>
        <v>-5.72</v>
      </c>
      <c r="V10" s="55">
        <f>-9.194+4.091</f>
        <v>-5.1030000000000006</v>
      </c>
      <c r="W10" s="55">
        <v>-4.0910000000000002</v>
      </c>
      <c r="X10" s="55">
        <v>-4.9889999999999999</v>
      </c>
      <c r="Y10" s="328">
        <f t="shared" ref="Y10" si="39">Y11-Y8</f>
        <v>-5.1489761743129332</v>
      </c>
      <c r="AC10" s="329">
        <f>-5.461</f>
        <v>-5.4610000000000003</v>
      </c>
      <c r="AD10" s="329">
        <f>-9.61</f>
        <v>-9.61</v>
      </c>
      <c r="AE10" s="329">
        <f>-14.655</f>
        <v>-14.654999999999999</v>
      </c>
      <c r="AF10" s="332">
        <f>AF11-AF8</f>
        <v>-15.236000000000004</v>
      </c>
      <c r="AG10" s="332">
        <f t="shared" ref="AG10:AQ10" si="40">AG11-AG8</f>
        <v>-19.678999999999988</v>
      </c>
      <c r="AH10" s="332">
        <f t="shared" si="40"/>
        <v>-19.331976174312928</v>
      </c>
      <c r="AI10" s="332">
        <f t="shared" si="40"/>
        <v>-21.455188925148747</v>
      </c>
      <c r="AJ10" s="332">
        <f t="shared" si="40"/>
        <v>-23.606782303862609</v>
      </c>
      <c r="AK10" s="332">
        <f t="shared" si="40"/>
        <v>-25.789134130123564</v>
      </c>
      <c r="AL10" s="332">
        <f t="shared" si="40"/>
        <v>-28.006638110688456</v>
      </c>
      <c r="AM10" s="332">
        <f t="shared" si="40"/>
        <v>-30.265100833991951</v>
      </c>
      <c r="AN10" s="332">
        <f t="shared" si="40"/>
        <v>-32.571284115700465</v>
      </c>
      <c r="AO10" s="332">
        <f t="shared" si="40"/>
        <v>-34.932572400932088</v>
      </c>
      <c r="AP10" s="332">
        <f t="shared" si="40"/>
        <v>-37.35674141176429</v>
      </c>
      <c r="AQ10" s="332">
        <f t="shared" si="40"/>
        <v>-39.851805276689333</v>
      </c>
      <c r="AR10" s="332">
        <f t="shared" ref="AR10:AT10" si="41">AR11-AR8</f>
        <v>-42.425922477082736</v>
      </c>
      <c r="AS10" s="332">
        <f t="shared" si="41"/>
        <v>-45.087344641711525</v>
      </c>
      <c r="AT10" s="332">
        <f t="shared" si="41"/>
        <v>-47.844395762661961</v>
      </c>
    </row>
    <row r="11" spans="1:46" hidden="1" x14ac:dyDescent="0.25">
      <c r="A11" s="24" t="s">
        <v>220</v>
      </c>
      <c r="B11" s="53"/>
      <c r="C11" s="53"/>
      <c r="J11" s="56">
        <f>J8+J10</f>
        <v>9.522000000000002</v>
      </c>
      <c r="K11" s="56">
        <f t="shared" ref="K11:X11" si="42">K8+K10</f>
        <v>7.2140000000000004</v>
      </c>
      <c r="L11" s="56">
        <f t="shared" si="42"/>
        <v>7.4819999999999958</v>
      </c>
      <c r="M11" s="56">
        <f t="shared" si="42"/>
        <v>10.057000000000004</v>
      </c>
      <c r="N11" s="56">
        <f t="shared" si="42"/>
        <v>8.4629999999999992</v>
      </c>
      <c r="O11" s="56">
        <f t="shared" si="42"/>
        <v>7.9849999999999994</v>
      </c>
      <c r="P11" s="56">
        <f t="shared" si="42"/>
        <v>9.5350000000000001</v>
      </c>
      <c r="Q11" s="56">
        <f t="shared" si="42"/>
        <v>10.209</v>
      </c>
      <c r="R11" s="56">
        <f t="shared" si="42"/>
        <v>10.609000000000002</v>
      </c>
      <c r="S11" s="56">
        <f t="shared" si="42"/>
        <v>11.528000000000002</v>
      </c>
      <c r="T11" s="56">
        <f t="shared" si="42"/>
        <v>12.419</v>
      </c>
      <c r="U11" s="56">
        <f t="shared" si="42"/>
        <v>13.318000000000001</v>
      </c>
      <c r="V11" s="56">
        <f t="shared" si="42"/>
        <v>12.629999999999999</v>
      </c>
      <c r="W11" s="56">
        <f t="shared" si="42"/>
        <v>12.95</v>
      </c>
      <c r="X11" s="56">
        <f t="shared" si="42"/>
        <v>13.276999999999997</v>
      </c>
      <c r="Y11" s="56">
        <f t="shared" ref="Y11" si="43">Y12*Y8</f>
        <v>13.571023825687066</v>
      </c>
      <c r="AC11" s="330">
        <f>AC8+AC10</f>
        <v>34.186</v>
      </c>
      <c r="AD11" s="330">
        <f t="shared" ref="AD11:AE11" si="44">AD8+AD10</f>
        <v>37.130000000000003</v>
      </c>
      <c r="AE11" s="330">
        <f t="shared" si="44"/>
        <v>34.274999999999999</v>
      </c>
      <c r="AF11" s="330">
        <f>SUM(N11:Q11)</f>
        <v>36.192</v>
      </c>
      <c r="AG11" s="330">
        <f>SUM(R11:U11)</f>
        <v>47.874000000000009</v>
      </c>
      <c r="AH11" s="330">
        <f>SUM(V11:Y11)</f>
        <v>52.428023825687063</v>
      </c>
      <c r="AI11" s="331">
        <f t="shared" ref="AI11" si="45">AI12*AI8</f>
        <v>55.872540071572573</v>
      </c>
      <c r="AJ11" s="331">
        <f t="shared" ref="AJ11" si="46">AJ12*AJ8</f>
        <v>59.307789418536096</v>
      </c>
      <c r="AK11" s="331">
        <f t="shared" ref="AK11" si="47">AK12*AK8</f>
        <v>62.760017330474433</v>
      </c>
      <c r="AL11" s="331">
        <f t="shared" ref="AL11" si="48">AL12*AL8</f>
        <v>66.254735144901474</v>
      </c>
      <c r="AM11" s="331">
        <f t="shared" ref="AM11" si="49">AM12*AM8</f>
        <v>69.816208410883235</v>
      </c>
      <c r="AN11" s="331">
        <f t="shared" ref="AN11" si="50">AN12*AN8</f>
        <v>73.467246329092944</v>
      </c>
      <c r="AO11" s="331">
        <f t="shared" ref="AO11" si="51">AO12*AO8</f>
        <v>77.229186335629976</v>
      </c>
      <c r="AP11" s="331">
        <f t="shared" ref="AP11" si="52">AP12*AP8</f>
        <v>81.121996775598916</v>
      </c>
      <c r="AQ11" s="331">
        <f t="shared" ref="AQ11:AR11" si="53">AQ12*AQ8</f>
        <v>85.164444409603618</v>
      </c>
      <c r="AR11" s="331">
        <f t="shared" si="53"/>
        <v>89.374291622641408</v>
      </c>
      <c r="AS11" s="331">
        <f t="shared" ref="AS11:AT11" si="54">AS12*AS8</f>
        <v>93.76850128247645</v>
      </c>
      <c r="AT11" s="331">
        <f t="shared" si="54"/>
        <v>98.363436236594012</v>
      </c>
    </row>
    <row r="12" spans="1:46" hidden="1" x14ac:dyDescent="0.25">
      <c r="A12" s="38" t="s">
        <v>221</v>
      </c>
      <c r="B12" s="53">
        <v>0.65</v>
      </c>
      <c r="C12" s="53">
        <v>0.1</v>
      </c>
      <c r="J12" s="7">
        <f>J11/J8</f>
        <v>0.70076538121872245</v>
      </c>
      <c r="K12" s="7">
        <f t="shared" ref="K12:M12" si="55">K11/K8</f>
        <v>0.71165038966163563</v>
      </c>
      <c r="L12" s="7">
        <f t="shared" si="55"/>
        <v>0.71162259844017484</v>
      </c>
      <c r="M12" s="7">
        <f t="shared" si="55"/>
        <v>0.68456878360901252</v>
      </c>
      <c r="N12" s="7">
        <f t="shared" ref="N12" si="56">N11/N8</f>
        <v>0.68788100463301638</v>
      </c>
      <c r="O12" s="7">
        <f t="shared" ref="O12" si="57">O11/O8</f>
        <v>0.68854013969129946</v>
      </c>
      <c r="P12" s="7">
        <f t="shared" ref="P12:X12" si="58">P11/P8</f>
        <v>0.71135481945687851</v>
      </c>
      <c r="Q12" s="7">
        <f t="shared" si="58"/>
        <v>0.7228122344944774</v>
      </c>
      <c r="R12" s="7">
        <f t="shared" si="58"/>
        <v>0.70132874991736638</v>
      </c>
      <c r="S12" s="7">
        <f t="shared" si="58"/>
        <v>0.71500341127581724</v>
      </c>
      <c r="T12" s="7">
        <f t="shared" si="58"/>
        <v>0.71931653634520709</v>
      </c>
      <c r="U12" s="90">
        <f t="shared" si="58"/>
        <v>0.69954827187729807</v>
      </c>
      <c r="V12" s="90">
        <f t="shared" si="58"/>
        <v>0.71223143292167135</v>
      </c>
      <c r="W12" s="90">
        <f t="shared" si="58"/>
        <v>0.75993192887741323</v>
      </c>
      <c r="X12" s="90">
        <f t="shared" si="58"/>
        <v>0.72686959378079485</v>
      </c>
      <c r="Y12" s="214">
        <f t="shared" ref="Y12" si="59">($B12*$C12/4)+(X12*(1-$C12/4))</f>
        <v>0.72494785393627492</v>
      </c>
      <c r="AC12" s="7">
        <f>AC11/AC8</f>
        <v>0.8622594395540647</v>
      </c>
      <c r="AD12" s="7">
        <f t="shared" ref="AD12:AE12" si="60">AD11/AD8</f>
        <v>0.79439452289259738</v>
      </c>
      <c r="AE12" s="7">
        <f t="shared" si="60"/>
        <v>0.70049049662783569</v>
      </c>
      <c r="AF12" s="7">
        <f t="shared" ref="AF12" si="61">AF11/AF8</f>
        <v>0.70374115267947412</v>
      </c>
      <c r="AG12" s="7">
        <f t="shared" ref="AG12" si="62">AG11/AG8</f>
        <v>0.70868799313131925</v>
      </c>
      <c r="AH12" s="7">
        <f t="shared" ref="AH12" si="63">AH11/AH8</f>
        <v>0.73060233870801383</v>
      </c>
      <c r="AI12" s="214">
        <f>($B12*$C12)+(AH12*(1-$C12))</f>
        <v>0.72254210483721248</v>
      </c>
      <c r="AJ12" s="214">
        <f t="shared" ref="AJ12:AT12" si="64">($B12*$C12)+(AI12*(1-$C12))</f>
        <v>0.71528789435349127</v>
      </c>
      <c r="AK12" s="214">
        <f t="shared" si="64"/>
        <v>0.70875910491814209</v>
      </c>
      <c r="AL12" s="214">
        <f t="shared" si="64"/>
        <v>0.70288319442632785</v>
      </c>
      <c r="AM12" s="214">
        <f t="shared" si="64"/>
        <v>0.6975948749836951</v>
      </c>
      <c r="AN12" s="214">
        <f t="shared" si="64"/>
        <v>0.69283538748532569</v>
      </c>
      <c r="AO12" s="214">
        <f t="shared" si="64"/>
        <v>0.6885518487367932</v>
      </c>
      <c r="AP12" s="214">
        <f t="shared" si="64"/>
        <v>0.68469666386311401</v>
      </c>
      <c r="AQ12" s="214">
        <f t="shared" si="64"/>
        <v>0.6812269974768026</v>
      </c>
      <c r="AR12" s="214">
        <f t="shared" si="64"/>
        <v>0.67810429772912229</v>
      </c>
      <c r="AS12" s="214">
        <f t="shared" si="64"/>
        <v>0.67529386795621016</v>
      </c>
      <c r="AT12" s="214">
        <f t="shared" si="64"/>
        <v>0.67276448116058907</v>
      </c>
    </row>
    <row r="13" spans="1:46" hidden="1" x14ac:dyDescent="0.25">
      <c r="A13" s="38"/>
      <c r="B13" s="53"/>
      <c r="C13" s="53"/>
      <c r="K13" s="7"/>
      <c r="L13" s="7"/>
      <c r="M13" s="7"/>
      <c r="N13" s="7"/>
      <c r="O13" s="7"/>
      <c r="P13" s="290"/>
      <c r="Q13" s="290"/>
      <c r="R13" s="290"/>
      <c r="S13" s="290"/>
      <c r="T13" s="290"/>
      <c r="U13" s="290"/>
      <c r="V13" s="290"/>
      <c r="W13" s="290"/>
      <c r="X13" s="290"/>
      <c r="Y13" s="290"/>
      <c r="AE13" s="41"/>
      <c r="AF13" s="41"/>
      <c r="AG13" s="41"/>
      <c r="AH13" s="41"/>
      <c r="AI13" s="41"/>
      <c r="AJ13" s="41"/>
      <c r="AK13" s="41"/>
      <c r="AL13" s="41"/>
      <c r="AM13" s="41"/>
      <c r="AN13" s="41"/>
      <c r="AO13" s="41"/>
      <c r="AP13" s="41"/>
      <c r="AQ13" s="41"/>
      <c r="AR13" s="41"/>
      <c r="AS13" s="41"/>
      <c r="AT13" s="41"/>
    </row>
    <row r="14" spans="1:46" hidden="1" x14ac:dyDescent="0.25">
      <c r="A14" s="239" t="s">
        <v>213</v>
      </c>
      <c r="B14" s="245"/>
      <c r="C14" s="245"/>
      <c r="D14" s="241"/>
      <c r="E14" s="241"/>
      <c r="F14" s="241"/>
      <c r="G14" s="241"/>
      <c r="H14" s="241">
        <f t="shared" ref="H14:Y14" si="65">H1</f>
        <v>43709</v>
      </c>
      <c r="I14" s="241">
        <f t="shared" si="65"/>
        <v>43800</v>
      </c>
      <c r="J14" s="241">
        <f t="shared" si="65"/>
        <v>43891</v>
      </c>
      <c r="K14" s="241">
        <f t="shared" si="65"/>
        <v>43983</v>
      </c>
      <c r="L14" s="241">
        <f t="shared" si="65"/>
        <v>44075</v>
      </c>
      <c r="M14" s="241">
        <f t="shared" si="65"/>
        <v>44166</v>
      </c>
      <c r="N14" s="241">
        <f t="shared" si="65"/>
        <v>44256</v>
      </c>
      <c r="O14" s="241">
        <f t="shared" si="65"/>
        <v>44348</v>
      </c>
      <c r="P14" s="241">
        <f t="shared" si="65"/>
        <v>44440</v>
      </c>
      <c r="Q14" s="241">
        <f t="shared" si="65"/>
        <v>44531</v>
      </c>
      <c r="R14" s="241">
        <f t="shared" si="65"/>
        <v>44621</v>
      </c>
      <c r="S14" s="241">
        <f t="shared" si="65"/>
        <v>44713</v>
      </c>
      <c r="T14" s="241">
        <f t="shared" si="65"/>
        <v>44805</v>
      </c>
      <c r="U14" s="241">
        <f t="shared" si="65"/>
        <v>44896</v>
      </c>
      <c r="V14" s="241">
        <f t="shared" si="65"/>
        <v>44986</v>
      </c>
      <c r="W14" s="241">
        <f t="shared" si="65"/>
        <v>45078</v>
      </c>
      <c r="X14" s="241">
        <f t="shared" si="65"/>
        <v>45170</v>
      </c>
      <c r="Y14" s="241">
        <f t="shared" si="65"/>
        <v>45261</v>
      </c>
      <c r="Z14" s="341"/>
      <c r="AA14" s="341"/>
      <c r="AB14" s="341"/>
      <c r="AC14" s="239">
        <f t="shared" ref="AC14:AQ14" si="66">AC1</f>
        <v>2018</v>
      </c>
      <c r="AD14" s="239">
        <f t="shared" si="66"/>
        <v>2019</v>
      </c>
      <c r="AE14" s="239">
        <f t="shared" si="66"/>
        <v>2020</v>
      </c>
      <c r="AF14" s="239">
        <f t="shared" si="66"/>
        <v>2021</v>
      </c>
      <c r="AG14" s="239">
        <f t="shared" si="66"/>
        <v>2022</v>
      </c>
      <c r="AH14" s="242">
        <f t="shared" si="66"/>
        <v>2023</v>
      </c>
      <c r="AI14" s="242">
        <f t="shared" si="66"/>
        <v>2024</v>
      </c>
      <c r="AJ14" s="242">
        <f t="shared" si="66"/>
        <v>2025</v>
      </c>
      <c r="AK14" s="242">
        <f t="shared" si="66"/>
        <v>2026</v>
      </c>
      <c r="AL14" s="242">
        <f t="shared" si="66"/>
        <v>2027</v>
      </c>
      <c r="AM14" s="242">
        <f t="shared" si="66"/>
        <v>2028</v>
      </c>
      <c r="AN14" s="242">
        <f t="shared" si="66"/>
        <v>2029</v>
      </c>
      <c r="AO14" s="242">
        <f t="shared" si="66"/>
        <v>2030</v>
      </c>
      <c r="AP14" s="242">
        <f t="shared" si="66"/>
        <v>2031</v>
      </c>
      <c r="AQ14" s="242">
        <f t="shared" si="66"/>
        <v>2032</v>
      </c>
      <c r="AR14" s="242">
        <f t="shared" ref="AR14:AT14" si="67">AR1</f>
        <v>2033</v>
      </c>
      <c r="AS14" s="242">
        <f t="shared" si="67"/>
        <v>2034</v>
      </c>
      <c r="AT14" s="242">
        <f t="shared" si="67"/>
        <v>2035</v>
      </c>
    </row>
    <row r="15" spans="1:46" hidden="1" x14ac:dyDescent="0.25">
      <c r="A15" s="38"/>
      <c r="B15" s="39"/>
      <c r="C15" s="39"/>
      <c r="D15" s="40"/>
      <c r="E15" s="40"/>
      <c r="F15" s="40"/>
      <c r="G15" s="40"/>
      <c r="H15" s="40"/>
      <c r="I15" s="68"/>
      <c r="J15" s="68"/>
      <c r="K15" s="68"/>
      <c r="L15" s="40"/>
      <c r="M15" s="40"/>
      <c r="N15" s="40"/>
      <c r="O15" s="40"/>
      <c r="P15" s="40"/>
      <c r="Q15" s="40"/>
      <c r="R15" s="40"/>
      <c r="S15" s="40"/>
      <c r="T15" s="40"/>
      <c r="U15" s="40"/>
      <c r="V15" s="40"/>
      <c r="W15" s="40"/>
      <c r="X15" s="40"/>
      <c r="Y15" s="40"/>
      <c r="Z15" s="40"/>
      <c r="AA15" s="40"/>
      <c r="AB15" s="40"/>
      <c r="AC15" s="40"/>
      <c r="AD15" s="40"/>
      <c r="AE15" s="68"/>
      <c r="AF15" s="68"/>
      <c r="AG15" s="215"/>
      <c r="AH15" s="68"/>
      <c r="AI15" s="68"/>
      <c r="AJ15" s="68"/>
      <c r="AK15" s="68"/>
      <c r="AL15" s="68"/>
      <c r="AM15" s="68"/>
      <c r="AN15" s="68"/>
      <c r="AO15" s="68"/>
      <c r="AP15" s="68"/>
      <c r="AQ15" s="68"/>
      <c r="AR15" s="68"/>
      <c r="AS15" s="68"/>
      <c r="AT15" s="68"/>
    </row>
    <row r="16" spans="1:46" hidden="1" x14ac:dyDescent="0.25">
      <c r="A16" s="24" t="s">
        <v>230</v>
      </c>
      <c r="B16" s="39"/>
      <c r="C16" s="39"/>
      <c r="D16" s="40"/>
      <c r="E16" s="40"/>
      <c r="F16" s="40"/>
      <c r="G16" s="40"/>
      <c r="H16" s="40"/>
      <c r="I16" s="68"/>
      <c r="J16" s="68"/>
      <c r="K16" s="68"/>
      <c r="L16" s="40"/>
      <c r="M16" s="40"/>
      <c r="N16" s="40"/>
      <c r="O16" s="40"/>
      <c r="P16" s="40"/>
      <c r="Q16" s="362">
        <f>ROUNDUP(0.25%*P4,0)</f>
        <v>240</v>
      </c>
      <c r="R16" s="362">
        <f t="shared" ref="R16:Y16" si="68">ROUNDUP(0.25%*Q4,0)</f>
        <v>250</v>
      </c>
      <c r="S16" s="362">
        <f t="shared" si="68"/>
        <v>288</v>
      </c>
      <c r="T16" s="362">
        <f t="shared" si="68"/>
        <v>290</v>
      </c>
      <c r="U16" s="362">
        <f t="shared" si="68"/>
        <v>295</v>
      </c>
      <c r="V16" s="362">
        <f t="shared" si="68"/>
        <v>305</v>
      </c>
      <c r="W16" s="362">
        <f t="shared" si="68"/>
        <v>305</v>
      </c>
      <c r="X16" s="362">
        <f t="shared" si="68"/>
        <v>310</v>
      </c>
      <c r="Y16" s="362">
        <f t="shared" si="68"/>
        <v>320</v>
      </c>
      <c r="Z16" s="40"/>
      <c r="AA16" s="40"/>
      <c r="AB16" s="40"/>
      <c r="AC16" s="40"/>
      <c r="AD16" s="40"/>
      <c r="AE16" s="68"/>
      <c r="AF16" s="332">
        <f>SUM(N16:Q16)</f>
        <v>240</v>
      </c>
      <c r="AG16" s="332">
        <f>SUM(R16:U16)</f>
        <v>1123</v>
      </c>
      <c r="AH16" s="332">
        <f>SUM(V16:Y16)</f>
        <v>1240</v>
      </c>
      <c r="AI16" s="363">
        <f>ROUNDUP(1%*AH4,0)</f>
        <v>1300</v>
      </c>
      <c r="AJ16" s="363">
        <f t="shared" ref="AJ16:AT16" si="69">ROUNDUP(1%*AI4,0)</f>
        <v>1374</v>
      </c>
      <c r="AK16" s="363">
        <f t="shared" si="69"/>
        <v>1441</v>
      </c>
      <c r="AL16" s="363">
        <f t="shared" si="69"/>
        <v>1504</v>
      </c>
      <c r="AM16" s="363">
        <f t="shared" si="69"/>
        <v>1562</v>
      </c>
      <c r="AN16" s="363">
        <f t="shared" si="69"/>
        <v>1617</v>
      </c>
      <c r="AO16" s="363">
        <f t="shared" si="69"/>
        <v>1668</v>
      </c>
      <c r="AP16" s="363">
        <f t="shared" si="69"/>
        <v>1717</v>
      </c>
      <c r="AQ16" s="363">
        <f t="shared" si="69"/>
        <v>1765</v>
      </c>
      <c r="AR16" s="363">
        <f t="shared" si="69"/>
        <v>1811</v>
      </c>
      <c r="AS16" s="363">
        <f t="shared" si="69"/>
        <v>1856</v>
      </c>
      <c r="AT16" s="363">
        <f t="shared" si="69"/>
        <v>1900</v>
      </c>
    </row>
    <row r="17" spans="1:46" hidden="1" x14ac:dyDescent="0.25">
      <c r="A17" s="38" t="s">
        <v>210</v>
      </c>
      <c r="B17" s="39"/>
      <c r="C17" s="39"/>
      <c r="D17" s="40"/>
      <c r="E17" s="40"/>
      <c r="F17" s="40"/>
      <c r="G17" s="40"/>
      <c r="H17" s="40"/>
      <c r="I17" s="68"/>
      <c r="J17" s="68"/>
      <c r="K17" s="68"/>
      <c r="L17" s="40"/>
      <c r="M17" s="40"/>
      <c r="N17" s="40"/>
      <c r="O17" s="40"/>
      <c r="P17" s="40"/>
      <c r="Q17" s="40"/>
      <c r="R17" s="40"/>
      <c r="S17" s="40"/>
      <c r="T17" s="40"/>
      <c r="U17" s="40"/>
      <c r="V17" s="40"/>
      <c r="W17" s="40"/>
      <c r="X17" s="40"/>
      <c r="Y17" s="40"/>
      <c r="Z17" s="40"/>
      <c r="AA17" s="40"/>
      <c r="AB17" s="40"/>
      <c r="AC17" s="40"/>
      <c r="AD17" s="40"/>
      <c r="AE17" s="68"/>
      <c r="AF17" s="68"/>
      <c r="AG17" s="215"/>
      <c r="AH17" s="68"/>
      <c r="AI17" s="68"/>
      <c r="AJ17" s="68"/>
      <c r="AK17" s="68"/>
      <c r="AL17" s="68"/>
      <c r="AM17" s="68"/>
      <c r="AN17" s="68"/>
      <c r="AO17" s="68"/>
      <c r="AP17" s="68"/>
      <c r="AQ17" s="68"/>
      <c r="AR17" s="68"/>
      <c r="AS17" s="68"/>
      <c r="AT17" s="68"/>
    </row>
    <row r="18" spans="1:46" hidden="1" x14ac:dyDescent="0.25">
      <c r="A18" s="24" t="s">
        <v>209</v>
      </c>
      <c r="B18" s="53"/>
      <c r="C18" s="53"/>
      <c r="D18" s="287"/>
      <c r="E18" s="287"/>
      <c r="F18" s="287"/>
      <c r="G18" s="288"/>
      <c r="H18" s="288"/>
      <c r="I18" s="288"/>
      <c r="J18" s="288"/>
      <c r="K18" s="287"/>
      <c r="L18" s="288"/>
      <c r="M18" s="288"/>
      <c r="N18" s="288"/>
      <c r="O18" s="307">
        <f>(O4-N4)</f>
        <v>0</v>
      </c>
      <c r="P18" s="25">
        <f>O18*(1+P19)</f>
        <v>0</v>
      </c>
      <c r="Q18" s="297">
        <f>(Q4-P4)+Q16</f>
        <v>4240</v>
      </c>
      <c r="R18" s="297">
        <f t="shared" ref="R18:Y18" si="70">(R4-Q4)+R16</f>
        <v>15250</v>
      </c>
      <c r="S18" s="297">
        <f t="shared" si="70"/>
        <v>1288</v>
      </c>
      <c r="T18" s="297">
        <f t="shared" si="70"/>
        <v>2290</v>
      </c>
      <c r="U18" s="297">
        <f t="shared" si="70"/>
        <v>4295</v>
      </c>
      <c r="V18" s="297">
        <f t="shared" si="70"/>
        <v>305</v>
      </c>
      <c r="W18" s="297">
        <f t="shared" si="70"/>
        <v>2305</v>
      </c>
      <c r="X18" s="297">
        <f t="shared" si="70"/>
        <v>4310</v>
      </c>
      <c r="Y18" s="297">
        <f t="shared" si="70"/>
        <v>2320</v>
      </c>
      <c r="Z18" s="40"/>
      <c r="AA18" s="40"/>
      <c r="AB18" s="40"/>
      <c r="AC18" s="40"/>
      <c r="AE18" s="56"/>
      <c r="AF18" s="332">
        <f>SUM(N18:Q18)</f>
        <v>4240</v>
      </c>
      <c r="AG18" s="332">
        <f>SUM(R18:U18)</f>
        <v>23123</v>
      </c>
      <c r="AH18" s="332">
        <f>SUM(V18:Y18)</f>
        <v>9240</v>
      </c>
      <c r="AI18" s="297">
        <f t="shared" ref="AI18:AT18" si="71">(AI4-AH4)+AI16</f>
        <v>8639.6721311475558</v>
      </c>
      <c r="AJ18" s="297">
        <f t="shared" si="71"/>
        <v>8126.6089287826035</v>
      </c>
      <c r="AK18" s="297">
        <f t="shared" si="71"/>
        <v>7685.0618370914308</v>
      </c>
      <c r="AL18" s="297">
        <f t="shared" si="71"/>
        <v>7317.0578353293531</v>
      </c>
      <c r="AM18" s="297">
        <f t="shared" si="71"/>
        <v>7016.8627532846585</v>
      </c>
      <c r="AN18" s="297">
        <f t="shared" si="71"/>
        <v>6779.7537085841177</v>
      </c>
      <c r="AO18" s="297">
        <f t="shared" si="71"/>
        <v>6597.2181775356003</v>
      </c>
      <c r="AP18" s="297">
        <f t="shared" si="71"/>
        <v>6463.7158254135284</v>
      </c>
      <c r="AQ18" s="297">
        <f t="shared" si="71"/>
        <v>6373.1266673369973</v>
      </c>
      <c r="AR18" s="297">
        <f t="shared" si="71"/>
        <v>6317.9852926046296</v>
      </c>
      <c r="AS18" s="297">
        <f t="shared" si="71"/>
        <v>6293.5760039610614</v>
      </c>
      <c r="AT18" s="297">
        <f t="shared" si="71"/>
        <v>6294.9422015271848</v>
      </c>
    </row>
    <row r="19" spans="1:46" hidden="1" x14ac:dyDescent="0.25">
      <c r="A19" s="38" t="s">
        <v>160</v>
      </c>
      <c r="B19" s="53">
        <v>0.03</v>
      </c>
      <c r="C19" s="53">
        <v>0.2</v>
      </c>
      <c r="D19" s="40"/>
      <c r="E19" s="40"/>
      <c r="F19" s="40"/>
      <c r="G19" s="40"/>
      <c r="H19" s="40"/>
      <c r="I19" s="68"/>
      <c r="K19" s="7"/>
      <c r="L19" s="7"/>
      <c r="M19" s="7"/>
      <c r="N19" s="7"/>
      <c r="O19" s="7"/>
      <c r="P19" s="291">
        <v>0</v>
      </c>
      <c r="Q19" s="292">
        <f t="shared" ref="Q19" si="72">($B19*$C19/4)+(P19*(1-$C19/4))</f>
        <v>1.5E-3</v>
      </c>
      <c r="R19" s="292">
        <f t="shared" ref="R19" si="73">($B19*$C19/4)+(Q19*(1-$C19/4))</f>
        <v>2.9250000000000001E-3</v>
      </c>
      <c r="S19" s="292">
        <f t="shared" ref="S19" si="74">($B19*$C19/4)+(R19*(1-$C19/4))</f>
        <v>4.2787499999999996E-3</v>
      </c>
      <c r="T19" s="292">
        <f t="shared" ref="T19" si="75">($B19*$C19/4)+(S19*(1-$C19/4))</f>
        <v>5.5648124999999986E-3</v>
      </c>
      <c r="U19" s="292">
        <f t="shared" ref="U19" si="76">($B19*$C19/4)+(T19*(1-$C19/4))</f>
        <v>6.7865718749999977E-3</v>
      </c>
      <c r="V19" s="292">
        <f t="shared" ref="V19" si="77">($B19*$C19/4)+(U19*(1-$C19/4))</f>
        <v>7.9472432812499969E-3</v>
      </c>
      <c r="W19" s="292">
        <f t="shared" ref="W19" si="78">($B19*$C19/4)+(V19*(1-$C19/4))</f>
        <v>9.0498811171874968E-3</v>
      </c>
      <c r="X19" s="292">
        <f t="shared" ref="X19" si="79">($B19*$C19/4)+(W19*(1-$C19/4))</f>
        <v>1.0097387061328121E-2</v>
      </c>
      <c r="Y19" s="292">
        <f t="shared" ref="Y19" si="80">($B19*$C19/4)+(X19*(1-$C19/4))</f>
        <v>1.1092517708261715E-2</v>
      </c>
      <c r="Z19" s="40"/>
      <c r="AA19" s="40"/>
      <c r="AB19" s="40"/>
      <c r="AC19" s="40"/>
      <c r="AF19" s="90"/>
      <c r="AG19" s="90"/>
      <c r="AH19" s="214"/>
      <c r="AI19" s="214"/>
      <c r="AJ19" s="214"/>
      <c r="AK19" s="214"/>
      <c r="AL19" s="214"/>
      <c r="AM19" s="214"/>
      <c r="AN19" s="214"/>
      <c r="AO19" s="214"/>
      <c r="AP19" s="214"/>
      <c r="AQ19" s="214"/>
      <c r="AR19" s="214"/>
      <c r="AS19" s="214"/>
      <c r="AT19" s="214"/>
    </row>
    <row r="20" spans="1:46" hidden="1" x14ac:dyDescent="0.25">
      <c r="A20" s="24" t="s">
        <v>217</v>
      </c>
      <c r="B20" s="53"/>
      <c r="C20" s="53"/>
      <c r="D20" s="54"/>
      <c r="E20" s="54"/>
      <c r="F20" s="54"/>
      <c r="G20" s="54"/>
      <c r="H20" s="54"/>
      <c r="I20" s="54"/>
      <c r="J20" s="54"/>
      <c r="K20" s="54"/>
      <c r="L20" s="54"/>
      <c r="M20" s="54"/>
      <c r="N20" s="54"/>
      <c r="O20" s="54"/>
      <c r="P20" s="297">
        <f>SUM(M22:P22)*10^6/(Q4-L4)</f>
        <v>472.125</v>
      </c>
      <c r="Q20" s="297">
        <f>P20</f>
        <v>472.125</v>
      </c>
      <c r="R20" s="297">
        <f t="shared" ref="R20:Y20" si="81">Q20</f>
        <v>472.125</v>
      </c>
      <c r="S20" s="297">
        <f t="shared" si="81"/>
        <v>472.125</v>
      </c>
      <c r="T20" s="297">
        <f t="shared" si="81"/>
        <v>472.125</v>
      </c>
      <c r="U20" s="297">
        <f t="shared" si="81"/>
        <v>472.125</v>
      </c>
      <c r="V20" s="297">
        <f t="shared" si="81"/>
        <v>472.125</v>
      </c>
      <c r="W20" s="297">
        <f t="shared" si="81"/>
        <v>472.125</v>
      </c>
      <c r="X20" s="297">
        <f t="shared" si="81"/>
        <v>472.125</v>
      </c>
      <c r="Y20" s="297">
        <f t="shared" si="81"/>
        <v>472.125</v>
      </c>
      <c r="Z20" s="40"/>
      <c r="AA20" s="40"/>
      <c r="AB20" s="40"/>
      <c r="AC20" s="40"/>
      <c r="AD20" s="295"/>
      <c r="AE20" s="296"/>
      <c r="AF20" s="295"/>
      <c r="AG20" s="295">
        <f>AG22*10^6/(AG18)</f>
        <v>231.45785581455692</v>
      </c>
      <c r="AH20" s="295">
        <f>AH22*10^6/(AH18)</f>
        <v>710.71428571428567</v>
      </c>
      <c r="AI20" s="296">
        <f>AH20</f>
        <v>710.71428571428567</v>
      </c>
      <c r="AJ20" s="296">
        <f t="shared" ref="AJ20:AT20" si="82">AI20</f>
        <v>710.71428571428567</v>
      </c>
      <c r="AK20" s="296">
        <f t="shared" si="82"/>
        <v>710.71428571428567</v>
      </c>
      <c r="AL20" s="296">
        <f t="shared" si="82"/>
        <v>710.71428571428567</v>
      </c>
      <c r="AM20" s="296">
        <f t="shared" si="82"/>
        <v>710.71428571428567</v>
      </c>
      <c r="AN20" s="296">
        <f t="shared" si="82"/>
        <v>710.71428571428567</v>
      </c>
      <c r="AO20" s="296">
        <f t="shared" si="82"/>
        <v>710.71428571428567</v>
      </c>
      <c r="AP20" s="296">
        <f t="shared" si="82"/>
        <v>710.71428571428567</v>
      </c>
      <c r="AQ20" s="296">
        <f t="shared" si="82"/>
        <v>710.71428571428567</v>
      </c>
      <c r="AR20" s="296">
        <f t="shared" si="82"/>
        <v>710.71428571428567</v>
      </c>
      <c r="AS20" s="296">
        <f t="shared" si="82"/>
        <v>710.71428571428567</v>
      </c>
      <c r="AT20" s="296">
        <f t="shared" si="82"/>
        <v>710.71428571428567</v>
      </c>
    </row>
    <row r="21" spans="1:46" hidden="1" x14ac:dyDescent="0.25">
      <c r="A21" s="38" t="s">
        <v>160</v>
      </c>
      <c r="B21" s="53">
        <v>0</v>
      </c>
      <c r="C21" s="53">
        <v>0.14000000000000001</v>
      </c>
      <c r="D21" s="40"/>
      <c r="E21" s="40"/>
      <c r="F21" s="40"/>
      <c r="G21" s="40"/>
      <c r="H21" s="40"/>
      <c r="I21" s="68"/>
      <c r="K21" s="7"/>
      <c r="L21" s="7"/>
      <c r="M21" s="7"/>
      <c r="N21" s="7"/>
      <c r="O21" s="7"/>
      <c r="P21" s="291">
        <v>0</v>
      </c>
      <c r="Q21" s="292">
        <f t="shared" ref="Q21" si="83">($B21*$C21/4)+(P21*(1-$C21/4))</f>
        <v>0</v>
      </c>
      <c r="R21" s="291"/>
      <c r="S21" s="292"/>
      <c r="T21" s="292"/>
      <c r="U21" s="292"/>
      <c r="V21" s="292"/>
      <c r="W21" s="292"/>
      <c r="X21" s="292"/>
      <c r="Y21" s="292"/>
      <c r="Z21" s="40"/>
      <c r="AA21" s="40"/>
      <c r="AB21" s="40"/>
      <c r="AC21" s="40"/>
      <c r="AF21" s="7"/>
      <c r="AG21" s="7"/>
      <c r="AH21" s="214"/>
      <c r="AI21" s="214"/>
      <c r="AJ21" s="214"/>
      <c r="AK21" s="214"/>
      <c r="AL21" s="214"/>
      <c r="AM21" s="214"/>
      <c r="AN21" s="214"/>
      <c r="AO21" s="214"/>
      <c r="AP21" s="214"/>
      <c r="AQ21" s="214"/>
      <c r="AR21" s="214"/>
      <c r="AS21" s="214"/>
      <c r="AT21" s="214"/>
    </row>
    <row r="22" spans="1:46" hidden="1" x14ac:dyDescent="0.25">
      <c r="A22" s="24" t="s">
        <v>218</v>
      </c>
      <c r="B22" s="37"/>
      <c r="C22" s="37"/>
      <c r="D22" s="47"/>
      <c r="E22" s="47"/>
      <c r="F22" s="47"/>
      <c r="G22" s="47"/>
      <c r="H22" s="48"/>
      <c r="I22" s="59"/>
      <c r="J22" s="48">
        <f>0.983-K22</f>
        <v>0.51</v>
      </c>
      <c r="K22" s="48">
        <f>0.473</f>
        <v>0.47299999999999998</v>
      </c>
      <c r="L22" s="48">
        <f>0.511</f>
        <v>0.51100000000000001</v>
      </c>
      <c r="M22" s="48">
        <f>2.595-SUM(J22:L22)</f>
        <v>1.1010000000000002</v>
      </c>
      <c r="N22" s="48">
        <f>1.511-O22</f>
        <v>0.68299999999999994</v>
      </c>
      <c r="O22" s="48">
        <f>0.828</f>
        <v>0.82799999999999996</v>
      </c>
      <c r="P22" s="48">
        <f>1.165</f>
        <v>1.165</v>
      </c>
      <c r="Q22" s="48">
        <f>1.063</f>
        <v>1.0629999999999999</v>
      </c>
      <c r="R22" s="48">
        <v>1.2050000000000001</v>
      </c>
      <c r="S22" s="48">
        <f>0.722</f>
        <v>0.72199999999999998</v>
      </c>
      <c r="T22" s="48">
        <v>1.1419999999999999</v>
      </c>
      <c r="U22" s="48">
        <f>2.283</f>
        <v>2.2829999999999999</v>
      </c>
      <c r="V22" s="48">
        <f>3.817-2.392</f>
        <v>1.4250000000000003</v>
      </c>
      <c r="W22" s="48">
        <v>2.3919999999999999</v>
      </c>
      <c r="X22" s="48">
        <v>1.375</v>
      </c>
      <c r="Y22" s="49">
        <f>X22</f>
        <v>1.375</v>
      </c>
      <c r="AC22" s="48">
        <f>1.817</f>
        <v>1.8169999999999999</v>
      </c>
      <c r="AD22" s="48">
        <f>2.592</f>
        <v>2.5920000000000001</v>
      </c>
      <c r="AE22" s="27">
        <f>SUM(J22:M22)</f>
        <v>2.5950000000000002</v>
      </c>
      <c r="AF22" s="27">
        <f>SUM(N22:Q22)</f>
        <v>3.7389999999999999</v>
      </c>
      <c r="AG22" s="27">
        <f>SUM(R22:U22)</f>
        <v>5.3520000000000003</v>
      </c>
      <c r="AH22" s="27">
        <f>SUM(V22:Y22)</f>
        <v>6.5670000000000002</v>
      </c>
      <c r="AI22" s="49">
        <f t="shared" ref="AI22:AT22" si="84">AI18*AI20/10^6</f>
        <v>6.1403384074941556</v>
      </c>
      <c r="AJ22" s="49">
        <f t="shared" si="84"/>
        <v>5.7756970600990645</v>
      </c>
      <c r="AK22" s="49">
        <f t="shared" si="84"/>
        <v>5.4618832342185515</v>
      </c>
      <c r="AL22" s="49">
        <f t="shared" si="84"/>
        <v>5.2003375329662189</v>
      </c>
      <c r="AM22" s="49">
        <f t="shared" si="84"/>
        <v>4.9869845996558819</v>
      </c>
      <c r="AN22" s="49">
        <f t="shared" si="84"/>
        <v>4.8184678143151398</v>
      </c>
      <c r="AO22" s="49">
        <f t="shared" si="84"/>
        <v>4.6887372047485156</v>
      </c>
      <c r="AP22" s="49">
        <f t="shared" si="84"/>
        <v>4.5938551759189004</v>
      </c>
      <c r="AQ22" s="49">
        <f t="shared" si="84"/>
        <v>4.52947216714308</v>
      </c>
      <c r="AR22" s="49">
        <f t="shared" si="84"/>
        <v>4.4902824043868614</v>
      </c>
      <c r="AS22" s="49">
        <f t="shared" si="84"/>
        <v>4.4729343742437537</v>
      </c>
      <c r="AT22" s="49">
        <f t="shared" si="84"/>
        <v>4.4739053503711057</v>
      </c>
    </row>
    <row r="23" spans="1:46" hidden="1" x14ac:dyDescent="0.25">
      <c r="A23" s="38" t="s">
        <v>160</v>
      </c>
      <c r="B23" s="325">
        <v>3.4000000000000002E-2</v>
      </c>
      <c r="C23" s="325">
        <v>0.4</v>
      </c>
      <c r="D23" s="40"/>
      <c r="E23" s="40"/>
      <c r="F23" s="40"/>
      <c r="G23" s="40"/>
      <c r="H23" s="40"/>
      <c r="I23" s="40"/>
      <c r="J23" s="40"/>
      <c r="K23" s="40"/>
      <c r="L23" s="40"/>
      <c r="M23" s="40"/>
      <c r="N23" s="40"/>
      <c r="O23" s="40"/>
      <c r="P23" s="290">
        <f>P22/O22-1</f>
        <v>0.40700483091787443</v>
      </c>
      <c r="Q23" s="290">
        <f t="shared" ref="Q23" si="85">Q22/P22-1</f>
        <v>-8.7553648068669609E-2</v>
      </c>
      <c r="R23" s="290">
        <f t="shared" ref="R23" si="86">R22/Q22-1</f>
        <v>0.13358419567262469</v>
      </c>
      <c r="S23" s="290">
        <f t="shared" ref="S23" si="87">S22/R22-1</f>
        <v>-0.40082987551867222</v>
      </c>
      <c r="T23" s="290">
        <f t="shared" ref="T23" si="88">T22/S22-1</f>
        <v>0.5817174515235457</v>
      </c>
      <c r="U23" s="290">
        <f t="shared" ref="U23" si="89">U22/T22-1</f>
        <v>0.99912434325744326</v>
      </c>
      <c r="V23" s="290">
        <f t="shared" ref="V23" si="90">V22/U22-1</f>
        <v>-0.37582128777923773</v>
      </c>
      <c r="W23" s="290">
        <f t="shared" ref="W23" si="91">W22/V22-1</f>
        <v>0.67859649122806975</v>
      </c>
      <c r="X23" s="290">
        <f t="shared" ref="X23" si="92">X22/W22-1</f>
        <v>-0.42516722408026753</v>
      </c>
      <c r="Y23" s="290">
        <f t="shared" ref="Y23" si="93">Y22/X22-1</f>
        <v>0</v>
      </c>
      <c r="Z23" s="40"/>
      <c r="AA23" s="40"/>
      <c r="AB23" s="40"/>
      <c r="AC23" s="40"/>
      <c r="AE23" s="68">
        <f>AE22/AD22-1</f>
        <v>1.1574074074074403E-3</v>
      </c>
      <c r="AF23" s="68">
        <f t="shared" ref="AF23" si="94">AF22/AE22-1</f>
        <v>0.44084778420038528</v>
      </c>
      <c r="AG23" s="68">
        <f t="shared" ref="AG23" si="95">AG22/AF22-1</f>
        <v>0.4313987697245254</v>
      </c>
      <c r="AH23" s="68">
        <f t="shared" ref="AH23" si="96">AH22/AG22-1</f>
        <v>0.22701793721973096</v>
      </c>
      <c r="AI23" s="68">
        <f t="shared" ref="AI23" si="97">AI22/AH22-1</f>
        <v>-6.4970548577104381E-2</v>
      </c>
      <c r="AJ23" s="68">
        <f t="shared" ref="AJ23" si="98">AJ22/AI22-1</f>
        <v>-5.9384568601309362E-2</v>
      </c>
      <c r="AK23" s="68">
        <f t="shared" ref="AK23" si="99">AK22/AJ22-1</f>
        <v>-5.4333498210712983E-2</v>
      </c>
      <c r="AL23" s="68">
        <f t="shared" ref="AL23" si="100">AL22/AK22-1</f>
        <v>-4.7885626630345346E-2</v>
      </c>
      <c r="AM23" s="68">
        <f t="shared" ref="AM23" si="101">AM22/AL22-1</f>
        <v>-4.1026747198203983E-2</v>
      </c>
      <c r="AN23" s="68">
        <f t="shared" ref="AN23" si="102">AN22/AM22-1</f>
        <v>-3.3791318576033014E-2</v>
      </c>
      <c r="AO23" s="68">
        <f t="shared" ref="AO23" si="103">AO22/AN22-1</f>
        <v>-2.6923622729451258E-2</v>
      </c>
      <c r="AP23" s="68">
        <f t="shared" ref="AP23" si="104">AP22/AO22-1</f>
        <v>-2.0236158412444971E-2</v>
      </c>
      <c r="AQ23" s="68">
        <f t="shared" ref="AQ23:AT23" si="105">AQ22/AP22-1</f>
        <v>-1.4015027968952487E-2</v>
      </c>
      <c r="AR23" s="68">
        <f t="shared" si="105"/>
        <v>-8.652169901937401E-3</v>
      </c>
      <c r="AS23" s="68">
        <f t="shared" si="105"/>
        <v>-3.8634608206733478E-3</v>
      </c>
      <c r="AT23" s="68">
        <f t="shared" si="105"/>
        <v>2.1707810714666209E-4</v>
      </c>
    </row>
    <row r="24" spans="1:46" hidden="1" x14ac:dyDescent="0.25">
      <c r="A24" s="309" t="s">
        <v>225</v>
      </c>
      <c r="B24" s="325"/>
      <c r="C24" s="325"/>
      <c r="D24" s="40"/>
      <c r="E24" s="40"/>
      <c r="F24" s="40"/>
      <c r="G24" s="40"/>
      <c r="H24" s="40"/>
      <c r="I24" s="40"/>
      <c r="J24" s="288">
        <f>-0.824-K24</f>
        <v>-0.57899999999999996</v>
      </c>
      <c r="K24" s="288">
        <f>-0.245</f>
        <v>-0.245</v>
      </c>
      <c r="L24" s="288">
        <f>-0.351</f>
        <v>-0.35099999999999998</v>
      </c>
      <c r="M24" s="288">
        <f>-1.748-SUM(J24:L24)</f>
        <v>-0.57300000000000018</v>
      </c>
      <c r="N24" s="288">
        <f>-0.657-O24</f>
        <v>-0.41200000000000003</v>
      </c>
      <c r="O24" s="288">
        <f>-0.245</f>
        <v>-0.245</v>
      </c>
      <c r="P24" s="288">
        <v>-0.40200000000000002</v>
      </c>
      <c r="Q24" s="288">
        <f>-0.783</f>
        <v>-0.78300000000000003</v>
      </c>
      <c r="R24" s="288">
        <v>-0.9</v>
      </c>
      <c r="S24" s="55">
        <f>-0.426</f>
        <v>-0.42599999999999999</v>
      </c>
      <c r="T24" s="55">
        <f>-0.834</f>
        <v>-0.83399999999999996</v>
      </c>
      <c r="U24" s="55">
        <f>-1.136</f>
        <v>-1.1359999999999999</v>
      </c>
      <c r="V24" s="55">
        <f>-2.082+1.248</f>
        <v>-0.83399999999999985</v>
      </c>
      <c r="W24" s="55">
        <f>-1.248</f>
        <v>-1.248</v>
      </c>
      <c r="X24" s="55">
        <v>-1.08</v>
      </c>
      <c r="Y24" s="328">
        <f t="shared" ref="Y24" si="106">Y25-Y22</f>
        <v>-1.0575468750000001</v>
      </c>
      <c r="Z24" s="40"/>
      <c r="AA24" s="40"/>
      <c r="AB24" s="40"/>
      <c r="AC24" s="288">
        <f>-0.431</f>
        <v>-0.43099999999999999</v>
      </c>
      <c r="AD24" s="288">
        <f>-1.633</f>
        <v>-1.633</v>
      </c>
      <c r="AE24" s="288">
        <v>-1.748</v>
      </c>
      <c r="AF24" s="334">
        <f>SUM(N24:Q24)</f>
        <v>-1.8420000000000001</v>
      </c>
      <c r="AG24" s="334">
        <f>SUM(R24:U24)</f>
        <v>-3.2960000000000003</v>
      </c>
      <c r="AH24" s="334">
        <f>SUM(V24:Y24)</f>
        <v>-4.2195468749999998</v>
      </c>
      <c r="AI24" s="334">
        <f>AI25-AI22</f>
        <v>-3.6759582762102201</v>
      </c>
      <c r="AJ24" s="334">
        <f t="shared" ref="AJ24:AQ24" si="107">AJ25-AJ22</f>
        <v>-3.2422377134691049</v>
      </c>
      <c r="AK24" s="334">
        <f t="shared" si="107"/>
        <v>-2.892913126792255</v>
      </c>
      <c r="AL24" s="334">
        <f t="shared" si="107"/>
        <v>-2.6142442640700843</v>
      </c>
      <c r="AM24" s="334">
        <f t="shared" si="107"/>
        <v>-2.3927584681856007</v>
      </c>
      <c r="AN24" s="334">
        <f t="shared" si="107"/>
        <v>-2.2180879640864393</v>
      </c>
      <c r="AO24" s="334">
        <f t="shared" si="107"/>
        <v>-2.0807723537258407</v>
      </c>
      <c r="AP24" s="334">
        <f t="shared" si="107"/>
        <v>-1.9740430842780095</v>
      </c>
      <c r="AQ24" s="334">
        <f t="shared" si="107"/>
        <v>-1.8922175817289575</v>
      </c>
      <c r="AR24" s="334">
        <f t="shared" ref="AR24:AT24" si="108">AR25-AR22</f>
        <v>-1.830208750892655</v>
      </c>
      <c r="AS24" s="334">
        <f t="shared" si="108"/>
        <v>-1.7844961940742357</v>
      </c>
      <c r="AT24" s="334">
        <f t="shared" si="108"/>
        <v>-1.7520310646552004</v>
      </c>
    </row>
    <row r="25" spans="1:46" hidden="1" x14ac:dyDescent="0.25">
      <c r="A25" s="24" t="s">
        <v>222</v>
      </c>
      <c r="B25" s="325"/>
      <c r="C25" s="325"/>
      <c r="D25" s="40"/>
      <c r="E25" s="40"/>
      <c r="F25" s="40"/>
      <c r="G25" s="40"/>
      <c r="H25" s="40"/>
      <c r="I25" s="40"/>
      <c r="J25" s="327">
        <f t="shared" ref="J25:X25" si="109">J22+J24</f>
        <v>-6.899999999999995E-2</v>
      </c>
      <c r="K25" s="327">
        <f t="shared" si="109"/>
        <v>0.22799999999999998</v>
      </c>
      <c r="L25" s="327">
        <f t="shared" si="109"/>
        <v>0.16000000000000003</v>
      </c>
      <c r="M25" s="327">
        <f t="shared" si="109"/>
        <v>0.52800000000000002</v>
      </c>
      <c r="N25" s="327">
        <f t="shared" si="109"/>
        <v>0.27099999999999991</v>
      </c>
      <c r="O25" s="327">
        <f t="shared" si="109"/>
        <v>0.58299999999999996</v>
      </c>
      <c r="P25" s="327">
        <f t="shared" si="109"/>
        <v>0.76300000000000001</v>
      </c>
      <c r="Q25" s="327">
        <f t="shared" si="109"/>
        <v>0.27999999999999992</v>
      </c>
      <c r="R25" s="327">
        <f t="shared" si="109"/>
        <v>0.30500000000000005</v>
      </c>
      <c r="S25" s="327">
        <f t="shared" si="109"/>
        <v>0.29599999999999999</v>
      </c>
      <c r="T25" s="327">
        <f t="shared" si="109"/>
        <v>0.30799999999999994</v>
      </c>
      <c r="U25" s="327">
        <f t="shared" si="109"/>
        <v>1.147</v>
      </c>
      <c r="V25" s="327">
        <f t="shared" si="109"/>
        <v>0.59100000000000041</v>
      </c>
      <c r="W25" s="327">
        <f t="shared" si="109"/>
        <v>1.1439999999999999</v>
      </c>
      <c r="X25" s="327">
        <f t="shared" si="109"/>
        <v>0.29499999999999993</v>
      </c>
      <c r="Y25" s="56">
        <f t="shared" ref="Y25" si="110">Y26*Y22</f>
        <v>0.31745312499999989</v>
      </c>
      <c r="Z25" s="40"/>
      <c r="AA25" s="40"/>
      <c r="AB25" s="40"/>
      <c r="AC25" s="330">
        <f>AC22+AC24</f>
        <v>1.3859999999999999</v>
      </c>
      <c r="AD25" s="330">
        <f t="shared" ref="AD25" si="111">AD22+AD24</f>
        <v>0.95900000000000007</v>
      </c>
      <c r="AE25" s="330">
        <f t="shared" ref="AE25" si="112">AE22+AE24</f>
        <v>0.8470000000000002</v>
      </c>
      <c r="AF25" s="335">
        <f>SUM(N25:Q25)</f>
        <v>1.8969999999999998</v>
      </c>
      <c r="AG25" s="335">
        <f>SUM(R25:U25)</f>
        <v>2.056</v>
      </c>
      <c r="AH25" s="335">
        <f>SUM(V25:Y25)</f>
        <v>2.3474531250000004</v>
      </c>
      <c r="AI25" s="335">
        <f t="shared" ref="AI25" si="113">AI26*AI22</f>
        <v>2.4643801312839355</v>
      </c>
      <c r="AJ25" s="335">
        <f t="shared" ref="AJ25" si="114">AJ26*AJ22</f>
        <v>2.5334593466299595</v>
      </c>
      <c r="AK25" s="335">
        <f t="shared" ref="AK25" si="115">AK26*AK22</f>
        <v>2.5689701074262965</v>
      </c>
      <c r="AL25" s="335">
        <f t="shared" ref="AL25" si="116">AL26*AL22</f>
        <v>2.5860932688961347</v>
      </c>
      <c r="AM25" s="335">
        <f t="shared" ref="AM25" si="117">AM26*AM22</f>
        <v>2.5942261314702812</v>
      </c>
      <c r="AN25" s="335">
        <f t="shared" ref="AN25" si="118">AN26*AN22</f>
        <v>2.6003798502287006</v>
      </c>
      <c r="AO25" s="335">
        <f t="shared" ref="AO25" si="119">AO26*AO22</f>
        <v>2.6079648510226749</v>
      </c>
      <c r="AP25" s="335">
        <f t="shared" ref="AP25" si="120">AP26*AP22</f>
        <v>2.6198120916408909</v>
      </c>
      <c r="AQ25" s="335">
        <f t="shared" ref="AQ25:AR25" si="121">AQ26*AQ22</f>
        <v>2.6372545854141225</v>
      </c>
      <c r="AR25" s="335">
        <f t="shared" si="121"/>
        <v>2.6600736534942064</v>
      </c>
      <c r="AS25" s="335">
        <f t="shared" ref="AS25:AT25" si="122">AS26*AS22</f>
        <v>2.6884381801695181</v>
      </c>
      <c r="AT25" s="335">
        <f t="shared" si="122"/>
        <v>2.7218742857159053</v>
      </c>
    </row>
    <row r="26" spans="1:46" hidden="1" x14ac:dyDescent="0.25">
      <c r="A26" s="38" t="s">
        <v>223</v>
      </c>
      <c r="B26" s="53">
        <v>0.65</v>
      </c>
      <c r="C26" s="53">
        <v>0.15</v>
      </c>
      <c r="D26" s="40"/>
      <c r="E26" s="40"/>
      <c r="F26" s="40"/>
      <c r="G26" s="40"/>
      <c r="H26" s="40"/>
      <c r="I26" s="40"/>
      <c r="J26" s="68"/>
      <c r="K26" s="68">
        <f>K25/K22</f>
        <v>0.48202959830866804</v>
      </c>
      <c r="L26" s="68">
        <f>L25/L22</f>
        <v>0.31311154598825836</v>
      </c>
      <c r="M26" s="68">
        <f>M25/M22</f>
        <v>0.4795640326975476</v>
      </c>
      <c r="N26" s="68">
        <f t="shared" ref="N26:O26" si="123">N25/N22</f>
        <v>0.3967789165446558</v>
      </c>
      <c r="O26" s="68">
        <f t="shared" si="123"/>
        <v>0.70410628019323673</v>
      </c>
      <c r="P26" s="68">
        <f>P25/P22</f>
        <v>0.65493562231759661</v>
      </c>
      <c r="Q26" s="68">
        <f>Q25/Q22</f>
        <v>0.26340545625587952</v>
      </c>
      <c r="R26" s="68">
        <f>R25/R22</f>
        <v>0.25311203319502079</v>
      </c>
      <c r="S26" s="68">
        <f t="shared" ref="S26:X26" si="124">S25/S22</f>
        <v>0.40997229916897504</v>
      </c>
      <c r="T26" s="68">
        <f t="shared" si="124"/>
        <v>0.26970227670753061</v>
      </c>
      <c r="U26" s="68">
        <f t="shared" si="124"/>
        <v>0.50240911081909767</v>
      </c>
      <c r="V26" s="68">
        <f t="shared" si="124"/>
        <v>0.41473684210526335</v>
      </c>
      <c r="W26" s="68">
        <f t="shared" si="124"/>
        <v>0.47826086956521735</v>
      </c>
      <c r="X26" s="68">
        <f t="shared" si="124"/>
        <v>0.21454545454545448</v>
      </c>
      <c r="Y26" s="214">
        <f t="shared" ref="Y26" si="125">($B26*$C26/4)+(X26*(1-$C26/4))</f>
        <v>0.23087499999999994</v>
      </c>
      <c r="Z26" s="40"/>
      <c r="AA26" s="40"/>
      <c r="AB26" s="40"/>
      <c r="AC26" s="7">
        <f>AC25/AC22</f>
        <v>0.7627958172812328</v>
      </c>
      <c r="AD26" s="7">
        <f t="shared" ref="AD26" si="126">AD25/AD22</f>
        <v>0.36998456790123457</v>
      </c>
      <c r="AE26" s="7">
        <f t="shared" ref="AE26" si="127">AE25/AE22</f>
        <v>0.32639691714836228</v>
      </c>
      <c r="AF26" s="7">
        <f t="shared" ref="AF26" si="128">AF25/AF22</f>
        <v>0.50735490772933933</v>
      </c>
      <c r="AG26" s="7">
        <f t="shared" ref="AG26" si="129">AG25/AG22</f>
        <v>0.38415545590433481</v>
      </c>
      <c r="AH26" s="7">
        <f t="shared" ref="AH26" si="130">AH25/AH22</f>
        <v>0.35746202603928739</v>
      </c>
      <c r="AI26" s="214">
        <f>($B26*$C26)+(AH26*(1-$C26))</f>
        <v>0.40134272213339428</v>
      </c>
      <c r="AJ26" s="214">
        <f t="shared" ref="AJ26:AT26" si="131">($B26*$C26)+(AI26*(1-$C26))</f>
        <v>0.43864131381338511</v>
      </c>
      <c r="AK26" s="214">
        <f t="shared" si="131"/>
        <v>0.47034511674137736</v>
      </c>
      <c r="AL26" s="214">
        <f t="shared" si="131"/>
        <v>0.49729334923017077</v>
      </c>
      <c r="AM26" s="214">
        <f t="shared" si="131"/>
        <v>0.52019934684564517</v>
      </c>
      <c r="AN26" s="214">
        <f t="shared" si="131"/>
        <v>0.53966944481879842</v>
      </c>
      <c r="AO26" s="214">
        <f t="shared" si="131"/>
        <v>0.55621902809597867</v>
      </c>
      <c r="AP26" s="214">
        <f t="shared" si="131"/>
        <v>0.57028617388158187</v>
      </c>
      <c r="AQ26" s="214">
        <f t="shared" si="131"/>
        <v>0.58224324779934455</v>
      </c>
      <c r="AR26" s="214">
        <f t="shared" si="131"/>
        <v>0.59240676062944286</v>
      </c>
      <c r="AS26" s="214">
        <f t="shared" si="131"/>
        <v>0.6010457465350264</v>
      </c>
      <c r="AT26" s="214">
        <f t="shared" si="131"/>
        <v>0.60838888455477247</v>
      </c>
    </row>
    <row r="27" spans="1:46" hidden="1" x14ac:dyDescent="0.25">
      <c r="A27" s="24"/>
      <c r="B27" s="53"/>
      <c r="C27" s="53"/>
      <c r="D27" s="326"/>
      <c r="E27" s="326"/>
      <c r="F27" s="326"/>
      <c r="G27" s="69"/>
      <c r="H27" s="69"/>
      <c r="I27" s="69"/>
      <c r="J27" s="69"/>
      <c r="K27" s="69"/>
      <c r="L27" s="69"/>
      <c r="M27" s="69"/>
      <c r="N27" s="69"/>
      <c r="O27" s="69"/>
      <c r="P27" s="69"/>
      <c r="Q27" s="69"/>
      <c r="R27" s="69"/>
      <c r="S27" s="69"/>
      <c r="T27" s="69"/>
      <c r="U27" s="69"/>
      <c r="V27" s="69"/>
      <c r="W27" s="69"/>
      <c r="X27" s="69"/>
      <c r="Y27" s="69"/>
      <c r="AC27" s="308"/>
    </row>
    <row r="28" spans="1:46" hidden="1" x14ac:dyDescent="0.25">
      <c r="A28" s="239" t="s">
        <v>229</v>
      </c>
      <c r="B28" s="245"/>
      <c r="C28" s="245"/>
      <c r="D28" s="241"/>
      <c r="E28" s="241"/>
      <c r="F28" s="241"/>
      <c r="G28" s="241"/>
      <c r="H28" s="241"/>
      <c r="I28" s="241"/>
      <c r="J28" s="241"/>
      <c r="K28" s="241"/>
      <c r="L28" s="241"/>
      <c r="M28" s="241"/>
      <c r="N28" s="241"/>
      <c r="O28" s="241"/>
      <c r="P28" s="241"/>
      <c r="Q28" s="241"/>
      <c r="R28" s="241"/>
      <c r="S28" s="241"/>
      <c r="T28" s="241"/>
      <c r="U28" s="241"/>
      <c r="V28" s="241"/>
      <c r="W28" s="241"/>
      <c r="X28" s="241"/>
      <c r="Y28" s="241"/>
      <c r="Z28" s="341"/>
      <c r="AA28" s="341"/>
      <c r="AB28" s="341"/>
      <c r="AC28" s="239"/>
      <c r="AD28" s="239"/>
      <c r="AE28" s="239"/>
      <c r="AF28" s="239"/>
      <c r="AG28" s="242"/>
      <c r="AH28" s="242"/>
      <c r="AI28" s="242"/>
      <c r="AJ28" s="242"/>
      <c r="AK28" s="242"/>
      <c r="AL28" s="242"/>
      <c r="AM28" s="242"/>
      <c r="AN28" s="242"/>
      <c r="AO28" s="242"/>
      <c r="AP28" s="242"/>
      <c r="AQ28" s="242"/>
      <c r="AR28" s="242"/>
      <c r="AS28" s="242"/>
      <c r="AT28" s="242"/>
    </row>
    <row r="29" spans="1:46" hidden="1" x14ac:dyDescent="0.25">
      <c r="A29" s="24" t="s">
        <v>158</v>
      </c>
      <c r="B29" s="37"/>
      <c r="C29" s="37"/>
      <c r="D29" s="49"/>
      <c r="E29" s="49"/>
      <c r="F29" s="49"/>
      <c r="G29" s="49"/>
      <c r="H29" s="49"/>
      <c r="I29" s="49"/>
      <c r="J29" s="49">
        <f t="shared" ref="J29:Y29" si="132">J8+J22</f>
        <v>14.098000000000001</v>
      </c>
      <c r="K29" s="49">
        <f t="shared" si="132"/>
        <v>10.610000000000001</v>
      </c>
      <c r="L29" s="49">
        <f t="shared" si="132"/>
        <v>11.024999999999995</v>
      </c>
      <c r="M29" s="49">
        <f t="shared" si="132"/>
        <v>15.792000000000003</v>
      </c>
      <c r="N29" s="49">
        <f t="shared" si="132"/>
        <v>12.985999999999999</v>
      </c>
      <c r="O29" s="49">
        <f t="shared" si="132"/>
        <v>12.424999999999999</v>
      </c>
      <c r="P29" s="49">
        <f t="shared" si="132"/>
        <v>14.568999999999999</v>
      </c>
      <c r="Q29" s="49">
        <f t="shared" si="132"/>
        <v>15.187000000000001</v>
      </c>
      <c r="R29" s="49">
        <f t="shared" si="132"/>
        <v>16.332000000000001</v>
      </c>
      <c r="S29" s="49">
        <f t="shared" si="132"/>
        <v>16.845000000000002</v>
      </c>
      <c r="T29" s="49">
        <f t="shared" si="132"/>
        <v>18.407</v>
      </c>
      <c r="U29" s="49">
        <f t="shared" si="132"/>
        <v>21.321000000000002</v>
      </c>
      <c r="V29" s="407">
        <v>19.158000000000001</v>
      </c>
      <c r="W29" s="407">
        <v>19.433</v>
      </c>
      <c r="X29" s="49">
        <f t="shared" si="132"/>
        <v>19.640999999999998</v>
      </c>
      <c r="Y29" s="49">
        <f t="shared" si="132"/>
        <v>20.094999999999999</v>
      </c>
      <c r="Z29" s="49"/>
      <c r="AC29" s="52">
        <f t="shared" ref="AC29:AQ29" si="133">AC8+AC22</f>
        <v>41.463999999999999</v>
      </c>
      <c r="AD29" s="52">
        <f t="shared" si="133"/>
        <v>49.332000000000001</v>
      </c>
      <c r="AE29" s="52">
        <f t="shared" si="133"/>
        <v>51.524999999999999</v>
      </c>
      <c r="AF29" s="52">
        <f t="shared" si="133"/>
        <v>55.167000000000002</v>
      </c>
      <c r="AG29" s="52">
        <f t="shared" si="133"/>
        <v>72.905000000000001</v>
      </c>
      <c r="AH29" s="52">
        <f t="shared" si="133"/>
        <v>78.326999999999998</v>
      </c>
      <c r="AI29" s="52">
        <f t="shared" si="133"/>
        <v>83.468067404215475</v>
      </c>
      <c r="AJ29" s="52">
        <f t="shared" si="133"/>
        <v>88.690268782497768</v>
      </c>
      <c r="AK29" s="52">
        <f t="shared" si="133"/>
        <v>94.011034694816544</v>
      </c>
      <c r="AL29" s="52">
        <f t="shared" si="133"/>
        <v>99.461710788556147</v>
      </c>
      <c r="AM29" s="52">
        <f t="shared" si="133"/>
        <v>105.06829384453107</v>
      </c>
      <c r="AN29" s="52">
        <f t="shared" si="133"/>
        <v>110.85699825910855</v>
      </c>
      <c r="AO29" s="52">
        <f t="shared" si="133"/>
        <v>116.85049594131058</v>
      </c>
      <c r="AP29" s="52">
        <f t="shared" si="133"/>
        <v>123.07259336328211</v>
      </c>
      <c r="AQ29" s="52">
        <f t="shared" si="133"/>
        <v>129.54572185343602</v>
      </c>
      <c r="AR29" s="52">
        <f t="shared" ref="AR29:AT29" si="134">AR8+AR22</f>
        <v>136.29049650411102</v>
      </c>
      <c r="AS29" s="52">
        <f t="shared" si="134"/>
        <v>143.32878029843172</v>
      </c>
      <c r="AT29" s="52">
        <f t="shared" si="134"/>
        <v>150.68173734962707</v>
      </c>
    </row>
    <row r="30" spans="1:46" hidden="1" x14ac:dyDescent="0.25">
      <c r="A30" s="24" t="s">
        <v>226</v>
      </c>
      <c r="B30" s="37"/>
      <c r="C30" s="37"/>
      <c r="D30" s="49"/>
      <c r="E30" s="49"/>
      <c r="F30" s="49"/>
      <c r="G30" s="49"/>
      <c r="H30" s="49"/>
      <c r="I30" s="49"/>
      <c r="J30" s="49">
        <f t="shared" ref="J30:Y30" si="135">J11+J25</f>
        <v>9.453000000000003</v>
      </c>
      <c r="K30" s="49">
        <f t="shared" si="135"/>
        <v>7.4420000000000002</v>
      </c>
      <c r="L30" s="49">
        <f t="shared" si="135"/>
        <v>7.6419999999999959</v>
      </c>
      <c r="M30" s="49">
        <f t="shared" si="135"/>
        <v>10.585000000000004</v>
      </c>
      <c r="N30" s="49">
        <f t="shared" si="135"/>
        <v>8.7339999999999982</v>
      </c>
      <c r="O30" s="49">
        <f t="shared" si="135"/>
        <v>8.5679999999999996</v>
      </c>
      <c r="P30" s="49">
        <f t="shared" si="135"/>
        <v>10.298</v>
      </c>
      <c r="Q30" s="49">
        <f t="shared" si="135"/>
        <v>10.488999999999999</v>
      </c>
      <c r="R30" s="49">
        <f t="shared" si="135"/>
        <v>10.914000000000001</v>
      </c>
      <c r="S30" s="49">
        <f t="shared" si="135"/>
        <v>11.824000000000002</v>
      </c>
      <c r="T30" s="49">
        <f t="shared" si="135"/>
        <v>12.727</v>
      </c>
      <c r="U30" s="49">
        <f t="shared" si="135"/>
        <v>14.465000000000002</v>
      </c>
      <c r="V30" s="407">
        <v>13.221</v>
      </c>
      <c r="W30" s="407">
        <v>14.093999999999999</v>
      </c>
      <c r="X30" s="49">
        <f t="shared" si="135"/>
        <v>13.571999999999997</v>
      </c>
      <c r="Y30" s="49">
        <f t="shared" si="135"/>
        <v>13.888476950687066</v>
      </c>
      <c r="AC30" s="52">
        <f t="shared" ref="AC30:AQ30" si="136">AC11+AC25</f>
        <v>35.572000000000003</v>
      </c>
      <c r="AD30" s="52">
        <f t="shared" si="136"/>
        <v>38.089000000000006</v>
      </c>
      <c r="AE30" s="52">
        <f t="shared" si="136"/>
        <v>35.122</v>
      </c>
      <c r="AF30" s="52">
        <f t="shared" si="136"/>
        <v>38.088999999999999</v>
      </c>
      <c r="AG30" s="52">
        <f t="shared" si="136"/>
        <v>49.930000000000007</v>
      </c>
      <c r="AH30" s="52">
        <f t="shared" si="136"/>
        <v>54.775476950687064</v>
      </c>
      <c r="AI30" s="52">
        <f t="shared" si="136"/>
        <v>58.336920202856511</v>
      </c>
      <c r="AJ30" s="52">
        <f t="shared" si="136"/>
        <v>61.841248765166057</v>
      </c>
      <c r="AK30" s="52">
        <f t="shared" si="136"/>
        <v>65.328987437900736</v>
      </c>
      <c r="AL30" s="52">
        <f t="shared" si="136"/>
        <v>68.84082841379761</v>
      </c>
      <c r="AM30" s="52">
        <f t="shared" si="136"/>
        <v>72.410434542353514</v>
      </c>
      <c r="AN30" s="52">
        <f t="shared" si="136"/>
        <v>76.06762617932165</v>
      </c>
      <c r="AO30" s="52">
        <f t="shared" si="136"/>
        <v>79.837151186652648</v>
      </c>
      <c r="AP30" s="52">
        <f t="shared" si="136"/>
        <v>83.741808867239811</v>
      </c>
      <c r="AQ30" s="52">
        <f t="shared" si="136"/>
        <v>87.801698995017745</v>
      </c>
      <c r="AR30" s="52">
        <f t="shared" ref="AR30:AT30" si="137">AR11+AR25</f>
        <v>92.034365276135617</v>
      </c>
      <c r="AS30" s="52">
        <f t="shared" si="137"/>
        <v>96.456939462645963</v>
      </c>
      <c r="AT30" s="52">
        <f t="shared" si="137"/>
        <v>101.08531052230991</v>
      </c>
    </row>
    <row r="31" spans="1:46" hidden="1" x14ac:dyDescent="0.25">
      <c r="A31" s="24" t="s">
        <v>227</v>
      </c>
      <c r="B31" s="53">
        <v>0.35699999999999998</v>
      </c>
      <c r="C31" s="53">
        <v>9.5000000000000001E-2</v>
      </c>
      <c r="D31" s="7"/>
      <c r="E31" s="7"/>
      <c r="F31" s="7"/>
      <c r="G31" s="7"/>
      <c r="H31" s="7"/>
      <c r="I31" s="7"/>
      <c r="J31" s="7">
        <f t="shared" ref="J31:O31" si="138">J30/J29</f>
        <v>0.67052064122570598</v>
      </c>
      <c r="K31" s="7">
        <f t="shared" si="138"/>
        <v>0.70141376060320448</v>
      </c>
      <c r="L31" s="7">
        <f t="shared" si="138"/>
        <v>0.69315192743764165</v>
      </c>
      <c r="M31" s="7">
        <f t="shared" si="138"/>
        <v>0.670276089159068</v>
      </c>
      <c r="N31" s="7">
        <f t="shared" si="138"/>
        <v>0.67257046049591862</v>
      </c>
      <c r="O31" s="7">
        <f t="shared" si="138"/>
        <v>0.68957746478873239</v>
      </c>
      <c r="P31" s="292">
        <f t="shared" ref="P31" si="139">($B31*$C31/4)+(O31*(1-$C31/4))</f>
        <v>0.68167874999999989</v>
      </c>
      <c r="Q31" s="292">
        <f t="shared" ref="Q31" si="140">($B31*$C31/4)+(P31*(1-$C31/4))</f>
        <v>0.67396762968749979</v>
      </c>
      <c r="R31" s="292">
        <f t="shared" ref="R31" si="141">($B31*$C31/4)+(Q31*(1-$C31/4))</f>
        <v>0.66643964848242165</v>
      </c>
      <c r="S31" s="292">
        <f t="shared" ref="S31" si="142">($B31*$C31/4)+(R31*(1-$C31/4))</f>
        <v>0.65909045683096412</v>
      </c>
      <c r="T31" s="292">
        <f t="shared" ref="T31" si="143">($B31*$C31/4)+(S31*(1-$C31/4))</f>
        <v>0.65191580848122865</v>
      </c>
      <c r="U31" s="292">
        <f t="shared" ref="U31" si="144">($B31*$C31/4)+(T31*(1-$C31/4))</f>
        <v>0.64491155802979938</v>
      </c>
      <c r="V31" s="292">
        <f t="shared" ref="V31" si="145">($B31*$C31/4)+(U31*(1-$C31/4))</f>
        <v>0.63807365852659159</v>
      </c>
      <c r="W31" s="292">
        <f t="shared" ref="W31" si="146">($B31*$C31/4)+(V31*(1-$C31/4))</f>
        <v>0.63139815913658504</v>
      </c>
      <c r="X31" s="412">
        <f>X30/X29</f>
        <v>0.69100351305941643</v>
      </c>
      <c r="Y31" s="292">
        <f t="shared" ref="Y31" si="147">($B31*$C31/4)+(X31*(1-$C31/4))</f>
        <v>0.6830709296242552</v>
      </c>
      <c r="AC31" s="7">
        <f>AC30/AC29</f>
        <v>0.85790082963534642</v>
      </c>
      <c r="AD31" s="7">
        <f t="shared" ref="AD31:AQ31" si="148">AD30/AD29</f>
        <v>0.77209519176193964</v>
      </c>
      <c r="AE31" s="7">
        <f>AE30/AE29</f>
        <v>0.6816496846191169</v>
      </c>
      <c r="AF31" s="7">
        <f t="shared" si="148"/>
        <v>0.69043087352946508</v>
      </c>
      <c r="AG31" s="7">
        <f t="shared" si="148"/>
        <v>0.68486386393251497</v>
      </c>
      <c r="AH31" s="7">
        <f t="shared" si="148"/>
        <v>0.69931794848120143</v>
      </c>
      <c r="AI31" s="7">
        <f t="shared" si="148"/>
        <v>0.69891303365567392</v>
      </c>
      <c r="AJ31" s="7">
        <f t="shared" si="148"/>
        <v>0.69727208648813876</v>
      </c>
      <c r="AK31" s="7">
        <f t="shared" si="148"/>
        <v>0.69490765259604959</v>
      </c>
      <c r="AL31" s="7">
        <f t="shared" si="148"/>
        <v>0.69213396660897064</v>
      </c>
      <c r="AM31" s="7">
        <f t="shared" si="148"/>
        <v>0.68917493463345658</v>
      </c>
      <c r="AN31" s="7">
        <f t="shared" si="148"/>
        <v>0.68617793530298443</v>
      </c>
      <c r="AO31" s="7">
        <f t="shared" si="148"/>
        <v>0.68324186853902369</v>
      </c>
      <c r="AP31" s="7">
        <f t="shared" si="148"/>
        <v>0.68042613370511473</v>
      </c>
      <c r="AQ31" s="7">
        <f t="shared" si="148"/>
        <v>0.67776610249124125</v>
      </c>
      <c r="AR31" s="7">
        <f t="shared" ref="AR31:AT31" si="149">AR30/AR29</f>
        <v>0.67528087164433748</v>
      </c>
      <c r="AS31" s="7">
        <f t="shared" si="149"/>
        <v>0.6729767689490439</v>
      </c>
      <c r="AT31" s="7">
        <f t="shared" si="149"/>
        <v>0.67085309938895588</v>
      </c>
    </row>
    <row r="32" spans="1:46" hidden="1" x14ac:dyDescent="0.25">
      <c r="B32" s="37"/>
      <c r="C32" s="37"/>
    </row>
    <row r="33" spans="1:65" s="205" customFormat="1" hidden="1" x14ac:dyDescent="0.25">
      <c r="A33" s="239" t="s">
        <v>52</v>
      </c>
      <c r="B33" s="246"/>
      <c r="C33" s="246"/>
      <c r="D33" s="241"/>
      <c r="E33" s="241"/>
      <c r="F33" s="241"/>
      <c r="G33" s="241"/>
      <c r="H33" s="241"/>
      <c r="I33" s="241"/>
      <c r="J33" s="241">
        <f t="shared" ref="J33:Y33" si="150">J14</f>
        <v>43891</v>
      </c>
      <c r="K33" s="241">
        <f t="shared" si="150"/>
        <v>43983</v>
      </c>
      <c r="L33" s="241">
        <f t="shared" si="150"/>
        <v>44075</v>
      </c>
      <c r="M33" s="241">
        <f t="shared" si="150"/>
        <v>44166</v>
      </c>
      <c r="N33" s="241">
        <f t="shared" si="150"/>
        <v>44256</v>
      </c>
      <c r="O33" s="241">
        <f t="shared" si="150"/>
        <v>44348</v>
      </c>
      <c r="P33" s="241">
        <f t="shared" si="150"/>
        <v>44440</v>
      </c>
      <c r="Q33" s="241">
        <f t="shared" si="150"/>
        <v>44531</v>
      </c>
      <c r="R33" s="241">
        <f t="shared" si="150"/>
        <v>44621</v>
      </c>
      <c r="S33" s="241">
        <f t="shared" si="150"/>
        <v>44713</v>
      </c>
      <c r="T33" s="241">
        <f t="shared" si="150"/>
        <v>44805</v>
      </c>
      <c r="U33" s="241">
        <f t="shared" si="150"/>
        <v>44896</v>
      </c>
      <c r="V33" s="241">
        <f t="shared" si="150"/>
        <v>44986</v>
      </c>
      <c r="W33" s="241">
        <f t="shared" si="150"/>
        <v>45078</v>
      </c>
      <c r="X33" s="241">
        <f t="shared" si="150"/>
        <v>45170</v>
      </c>
      <c r="Y33" s="241">
        <f t="shared" si="150"/>
        <v>45261</v>
      </c>
      <c r="Z33" s="341"/>
      <c r="AA33" s="341"/>
      <c r="AB33" s="341"/>
      <c r="AC33" s="239">
        <v>2018</v>
      </c>
      <c r="AD33" s="239">
        <f t="shared" ref="AD33:AQ33" si="151">AD14</f>
        <v>2019</v>
      </c>
      <c r="AE33" s="239">
        <f t="shared" si="151"/>
        <v>2020</v>
      </c>
      <c r="AF33" s="239">
        <f t="shared" si="151"/>
        <v>2021</v>
      </c>
      <c r="AG33" s="239">
        <f t="shared" si="151"/>
        <v>2022</v>
      </c>
      <c r="AH33" s="242">
        <f t="shared" si="151"/>
        <v>2023</v>
      </c>
      <c r="AI33" s="242">
        <f t="shared" si="151"/>
        <v>2024</v>
      </c>
      <c r="AJ33" s="242">
        <f t="shared" si="151"/>
        <v>2025</v>
      </c>
      <c r="AK33" s="242">
        <f t="shared" si="151"/>
        <v>2026</v>
      </c>
      <c r="AL33" s="242">
        <f t="shared" si="151"/>
        <v>2027</v>
      </c>
      <c r="AM33" s="242">
        <f t="shared" si="151"/>
        <v>2028</v>
      </c>
      <c r="AN33" s="242">
        <f t="shared" si="151"/>
        <v>2029</v>
      </c>
      <c r="AO33" s="242">
        <f t="shared" si="151"/>
        <v>2030</v>
      </c>
      <c r="AP33" s="242">
        <f t="shared" si="151"/>
        <v>2031</v>
      </c>
      <c r="AQ33" s="242">
        <f t="shared" si="151"/>
        <v>2032</v>
      </c>
      <c r="AR33" s="242">
        <f t="shared" ref="AR33:AT33" si="152">AR14</f>
        <v>2033</v>
      </c>
      <c r="AS33" s="242">
        <f t="shared" si="152"/>
        <v>2034</v>
      </c>
      <c r="AT33" s="242">
        <f t="shared" si="152"/>
        <v>2035</v>
      </c>
      <c r="AU33" s="206"/>
      <c r="AV33" s="206"/>
      <c r="AW33" s="206"/>
      <c r="AX33" s="206"/>
      <c r="AY33" s="206"/>
      <c r="AZ33" s="206"/>
      <c r="BA33" s="206"/>
      <c r="BB33" s="206"/>
      <c r="BC33" s="206"/>
      <c r="BD33" s="206"/>
      <c r="BE33" s="206"/>
      <c r="BF33" s="206"/>
      <c r="BG33" s="206"/>
      <c r="BH33" s="206"/>
      <c r="BI33" s="206"/>
      <c r="BJ33" s="206"/>
      <c r="BK33" s="206"/>
      <c r="BL33" s="206"/>
      <c r="BM33" s="206"/>
    </row>
    <row r="34" spans="1:65" hidden="1" x14ac:dyDescent="0.25">
      <c r="A34" s="1" t="str">
        <f>A2</f>
        <v>Software and Payments</v>
      </c>
      <c r="B34" s="37"/>
      <c r="C34" s="37"/>
      <c r="D34" s="7"/>
      <c r="E34" s="7"/>
      <c r="F34" s="7"/>
      <c r="G34" s="7"/>
      <c r="H34" s="7"/>
      <c r="I34" s="7"/>
      <c r="J34" s="7">
        <f t="shared" ref="J34:Y34" si="153">J8/J29</f>
        <v>0.96382465597957157</v>
      </c>
      <c r="K34" s="7">
        <f t="shared" si="153"/>
        <v>0.95541941564561728</v>
      </c>
      <c r="L34" s="7">
        <f t="shared" si="153"/>
        <v>0.95365079365079375</v>
      </c>
      <c r="M34" s="7">
        <f t="shared" si="153"/>
        <v>0.93028115501519748</v>
      </c>
      <c r="N34" s="7">
        <f t="shared" si="153"/>
        <v>0.94740489758201141</v>
      </c>
      <c r="O34" s="7">
        <f t="shared" si="153"/>
        <v>0.93336016096579477</v>
      </c>
      <c r="P34" s="7">
        <f t="shared" si="153"/>
        <v>0.92003569222321369</v>
      </c>
      <c r="Q34" s="7">
        <f t="shared" si="153"/>
        <v>0.93000592612102451</v>
      </c>
      <c r="R34" s="7">
        <f t="shared" si="153"/>
        <v>0.92621846681361741</v>
      </c>
      <c r="S34" s="7">
        <f t="shared" si="153"/>
        <v>0.95713861680023737</v>
      </c>
      <c r="T34" s="7">
        <f t="shared" si="153"/>
        <v>0.93795838539685994</v>
      </c>
      <c r="U34" s="7">
        <f t="shared" si="153"/>
        <v>0.89292247080343323</v>
      </c>
      <c r="V34" s="7">
        <f t="shared" si="153"/>
        <v>0.92561854055746939</v>
      </c>
      <c r="W34" s="7">
        <f t="shared" si="153"/>
        <v>0.87691041012710336</v>
      </c>
      <c r="X34" s="7">
        <f t="shared" si="153"/>
        <v>0.9299933811924036</v>
      </c>
      <c r="Y34" s="7">
        <f t="shared" si="153"/>
        <v>0.9315750186613585</v>
      </c>
      <c r="AC34" s="7">
        <f t="shared" ref="AC34:AQ34" si="154">AC8/AC29</f>
        <v>0.95617885394559132</v>
      </c>
      <c r="AD34" s="7">
        <f t="shared" si="154"/>
        <v>0.94745803940647044</v>
      </c>
      <c r="AE34" s="7">
        <f t="shared" si="154"/>
        <v>0.94963609898107715</v>
      </c>
      <c r="AF34" s="7">
        <f t="shared" si="154"/>
        <v>0.93222397447749561</v>
      </c>
      <c r="AG34" s="7">
        <f t="shared" si="154"/>
        <v>0.92658939716068855</v>
      </c>
      <c r="AH34" s="7">
        <f t="shared" si="154"/>
        <v>0.9161591788272242</v>
      </c>
      <c r="AI34" s="7">
        <f t="shared" si="154"/>
        <v>0.92643487984742723</v>
      </c>
      <c r="AJ34" s="7">
        <f t="shared" si="154"/>
        <v>0.93487789427875945</v>
      </c>
      <c r="AK34" s="7">
        <f t="shared" si="154"/>
        <v>0.94190167939381586</v>
      </c>
      <c r="AL34" s="7">
        <f t="shared" si="154"/>
        <v>0.94771518113114384</v>
      </c>
      <c r="AM34" s="7">
        <f t="shared" si="154"/>
        <v>0.95253578013710682</v>
      </c>
      <c r="AN34" s="7">
        <f t="shared" si="154"/>
        <v>0.9565343831243488</v>
      </c>
      <c r="AO34" s="7">
        <f t="shared" si="154"/>
        <v>0.95987404959664446</v>
      </c>
      <c r="AP34" s="7">
        <f t="shared" si="154"/>
        <v>0.96267361359357317</v>
      </c>
      <c r="AQ34" s="7">
        <f t="shared" si="154"/>
        <v>0.96503572559294881</v>
      </c>
      <c r="AR34" s="7">
        <f t="shared" ref="AR34:AT34" si="155">AR8/AR29</f>
        <v>0.96705359126598067</v>
      </c>
      <c r="AS34" s="7">
        <f t="shared" si="155"/>
        <v>0.96879248979213783</v>
      </c>
      <c r="AT34" s="7">
        <f t="shared" si="155"/>
        <v>0.97030890784070079</v>
      </c>
    </row>
    <row r="35" spans="1:65" hidden="1" x14ac:dyDescent="0.25">
      <c r="A35" s="1" t="str">
        <f>A14</f>
        <v>Hardware and other</v>
      </c>
      <c r="B35" s="37"/>
      <c r="C35" s="37"/>
      <c r="D35" s="7"/>
      <c r="E35" s="7"/>
      <c r="F35" s="7"/>
      <c r="G35" s="7"/>
      <c r="H35" s="7"/>
      <c r="I35" s="7"/>
      <c r="J35" s="7">
        <f>1-J34</f>
        <v>3.6175344020428435E-2</v>
      </c>
      <c r="K35" s="7">
        <f t="shared" ref="K35:Y35" si="156">1-K34</f>
        <v>4.4580584354382724E-2</v>
      </c>
      <c r="L35" s="7">
        <f t="shared" si="156"/>
        <v>4.6349206349206251E-2</v>
      </c>
      <c r="M35" s="7">
        <f t="shared" si="156"/>
        <v>6.9718844984802519E-2</v>
      </c>
      <c r="N35" s="7">
        <f t="shared" si="156"/>
        <v>5.2595102417988593E-2</v>
      </c>
      <c r="O35" s="7">
        <f t="shared" si="156"/>
        <v>6.6639839034205228E-2</v>
      </c>
      <c r="P35" s="7">
        <f t="shared" si="156"/>
        <v>7.9964307776786314E-2</v>
      </c>
      <c r="Q35" s="7">
        <f t="shared" si="156"/>
        <v>6.9994073878975493E-2</v>
      </c>
      <c r="R35" s="7">
        <f t="shared" si="156"/>
        <v>7.3781533186382586E-2</v>
      </c>
      <c r="S35" s="7">
        <f t="shared" si="156"/>
        <v>4.2861383199762626E-2</v>
      </c>
      <c r="T35" s="7">
        <f t="shared" si="156"/>
        <v>6.2041614603140061E-2</v>
      </c>
      <c r="U35" s="7">
        <f t="shared" si="156"/>
        <v>0.10707752919656677</v>
      </c>
      <c r="V35" s="7">
        <f t="shared" si="156"/>
        <v>7.4381459442530606E-2</v>
      </c>
      <c r="W35" s="7">
        <f t="shared" si="156"/>
        <v>0.12308958987289664</v>
      </c>
      <c r="X35" s="7">
        <f t="shared" si="156"/>
        <v>7.0006618807596399E-2</v>
      </c>
      <c r="Y35" s="7">
        <f t="shared" si="156"/>
        <v>6.84249813386415E-2</v>
      </c>
      <c r="AC35" s="7">
        <f t="shared" ref="AC35" si="157">1-AC34</f>
        <v>4.3821146054408677E-2</v>
      </c>
      <c r="AD35" s="7">
        <f t="shared" ref="AD35" si="158">1-AD34</f>
        <v>5.2541960593529557E-2</v>
      </c>
      <c r="AE35" s="7">
        <f t="shared" ref="AE35" si="159">1-AE34</f>
        <v>5.0363901018922852E-2</v>
      </c>
      <c r="AF35" s="7">
        <f t="shared" ref="AF35" si="160">1-AF34</f>
        <v>6.7776025522504391E-2</v>
      </c>
      <c r="AG35" s="7">
        <f t="shared" ref="AG35" si="161">1-AG34</f>
        <v>7.3410602839311445E-2</v>
      </c>
      <c r="AH35" s="7">
        <f t="shared" ref="AH35" si="162">1-AH34</f>
        <v>8.3840821172775803E-2</v>
      </c>
      <c r="AI35" s="7">
        <f t="shared" ref="AI35" si="163">1-AI34</f>
        <v>7.3565120152572772E-2</v>
      </c>
      <c r="AJ35" s="7">
        <f t="shared" ref="AJ35" si="164">1-AJ34</f>
        <v>6.5122105721240553E-2</v>
      </c>
      <c r="AK35" s="7">
        <f t="shared" ref="AK35" si="165">1-AK34</f>
        <v>5.809832060618414E-2</v>
      </c>
      <c r="AL35" s="7">
        <f t="shared" ref="AL35" si="166">1-AL34</f>
        <v>5.2284818868856164E-2</v>
      </c>
      <c r="AM35" s="7">
        <f t="shared" ref="AM35" si="167">1-AM34</f>
        <v>4.7464219862893176E-2</v>
      </c>
      <c r="AN35" s="7">
        <f t="shared" ref="AN35" si="168">1-AN34</f>
        <v>4.3465616875651203E-2</v>
      </c>
      <c r="AO35" s="7">
        <f t="shared" ref="AO35" si="169">1-AO34</f>
        <v>4.0125950403355537E-2</v>
      </c>
      <c r="AP35" s="7">
        <f t="shared" ref="AP35" si="170">1-AP34</f>
        <v>3.7326386406426826E-2</v>
      </c>
      <c r="AQ35" s="7">
        <f t="shared" ref="AQ35:AR35" si="171">1-AQ34</f>
        <v>3.4964274407051188E-2</v>
      </c>
      <c r="AR35" s="7">
        <f t="shared" si="171"/>
        <v>3.2946408734019328E-2</v>
      </c>
      <c r="AS35" s="7">
        <f t="shared" ref="AS35:AT35" si="172">1-AS34</f>
        <v>3.1207510207862166E-2</v>
      </c>
      <c r="AT35" s="7">
        <f t="shared" si="172"/>
        <v>2.9691092159299215E-2</v>
      </c>
    </row>
    <row r="36" spans="1:65" hidden="1" x14ac:dyDescent="0.25">
      <c r="B36" s="37"/>
      <c r="C36" s="37"/>
      <c r="D36" s="7"/>
      <c r="E36" s="7"/>
      <c r="F36" s="7"/>
      <c r="G36" s="7"/>
      <c r="H36" s="7"/>
      <c r="I36" s="7"/>
      <c r="J36" s="7"/>
      <c r="K36" s="7"/>
      <c r="L36" s="7"/>
      <c r="M36" s="7"/>
      <c r="N36" s="7"/>
      <c r="O36" s="7"/>
      <c r="P36" s="7"/>
      <c r="Q36" s="7"/>
      <c r="R36" s="7"/>
      <c r="S36" s="7"/>
      <c r="T36" s="7"/>
      <c r="U36" s="7"/>
      <c r="V36" s="7"/>
      <c r="W36" s="7"/>
      <c r="X36" s="7"/>
      <c r="Y36" s="7"/>
      <c r="AC36" s="7"/>
      <c r="AD36" s="7"/>
      <c r="AE36" s="7"/>
      <c r="AF36" s="7"/>
      <c r="AG36" s="7"/>
      <c r="AH36" s="7"/>
      <c r="AI36" s="7"/>
      <c r="AJ36" s="7"/>
      <c r="AK36" s="7"/>
      <c r="AL36" s="7"/>
      <c r="AM36" s="7"/>
      <c r="AN36" s="7"/>
      <c r="AO36" s="7"/>
      <c r="AP36" s="7"/>
      <c r="AQ36" s="7"/>
      <c r="AR36" s="7"/>
      <c r="AS36" s="7"/>
      <c r="AT36" s="7"/>
    </row>
    <row r="37" spans="1:65" hidden="1" x14ac:dyDescent="0.25">
      <c r="A37" s="239" t="s">
        <v>236</v>
      </c>
      <c r="B37" s="246"/>
      <c r="C37" s="246"/>
      <c r="D37" s="241"/>
      <c r="E37" s="241"/>
      <c r="F37" s="241"/>
      <c r="G37" s="241"/>
      <c r="H37" s="241"/>
      <c r="I37" s="241"/>
      <c r="J37" s="241">
        <f>J33</f>
        <v>43891</v>
      </c>
      <c r="K37" s="241">
        <f t="shared" ref="K37:AQ37" si="173">K33</f>
        <v>43983</v>
      </c>
      <c r="L37" s="241">
        <f t="shared" si="173"/>
        <v>44075</v>
      </c>
      <c r="M37" s="241">
        <f t="shared" si="173"/>
        <v>44166</v>
      </c>
      <c r="N37" s="241">
        <f t="shared" si="173"/>
        <v>44256</v>
      </c>
      <c r="O37" s="241">
        <f t="shared" si="173"/>
        <v>44348</v>
      </c>
      <c r="P37" s="241">
        <f t="shared" si="173"/>
        <v>44440</v>
      </c>
      <c r="Q37" s="241">
        <f t="shared" si="173"/>
        <v>44531</v>
      </c>
      <c r="R37" s="241">
        <f t="shared" si="173"/>
        <v>44621</v>
      </c>
      <c r="S37" s="241">
        <f t="shared" si="173"/>
        <v>44713</v>
      </c>
      <c r="T37" s="241">
        <f t="shared" si="173"/>
        <v>44805</v>
      </c>
      <c r="U37" s="241">
        <f t="shared" si="173"/>
        <v>44896</v>
      </c>
      <c r="V37" s="241">
        <f t="shared" si="173"/>
        <v>44986</v>
      </c>
      <c r="W37" s="241">
        <f t="shared" si="173"/>
        <v>45078</v>
      </c>
      <c r="X37" s="241">
        <f t="shared" si="173"/>
        <v>45170</v>
      </c>
      <c r="Y37" s="241">
        <f t="shared" si="173"/>
        <v>45261</v>
      </c>
      <c r="Z37" s="342">
        <f t="shared" si="173"/>
        <v>0</v>
      </c>
      <c r="AA37" s="342">
        <f t="shared" si="173"/>
        <v>0</v>
      </c>
      <c r="AB37" s="342">
        <f t="shared" si="173"/>
        <v>0</v>
      </c>
      <c r="AC37" s="239">
        <f t="shared" si="173"/>
        <v>2018</v>
      </c>
      <c r="AD37" s="239">
        <f t="shared" si="173"/>
        <v>2019</v>
      </c>
      <c r="AE37" s="239">
        <f t="shared" si="173"/>
        <v>2020</v>
      </c>
      <c r="AF37" s="239">
        <f t="shared" si="173"/>
        <v>2021</v>
      </c>
      <c r="AG37" s="239">
        <f t="shared" si="173"/>
        <v>2022</v>
      </c>
      <c r="AH37" s="239">
        <f t="shared" si="173"/>
        <v>2023</v>
      </c>
      <c r="AI37" s="239">
        <f t="shared" si="173"/>
        <v>2024</v>
      </c>
      <c r="AJ37" s="239">
        <f t="shared" si="173"/>
        <v>2025</v>
      </c>
      <c r="AK37" s="239">
        <f t="shared" si="173"/>
        <v>2026</v>
      </c>
      <c r="AL37" s="239">
        <f t="shared" si="173"/>
        <v>2027</v>
      </c>
      <c r="AM37" s="239">
        <f t="shared" si="173"/>
        <v>2028</v>
      </c>
      <c r="AN37" s="239">
        <f t="shared" si="173"/>
        <v>2029</v>
      </c>
      <c r="AO37" s="239">
        <f t="shared" si="173"/>
        <v>2030</v>
      </c>
      <c r="AP37" s="239">
        <f t="shared" si="173"/>
        <v>2031</v>
      </c>
      <c r="AQ37" s="239">
        <f t="shared" si="173"/>
        <v>2032</v>
      </c>
      <c r="AR37" s="239">
        <f t="shared" ref="AR37:AT37" si="174">AR33</f>
        <v>2033</v>
      </c>
      <c r="AS37" s="239">
        <f t="shared" si="174"/>
        <v>2034</v>
      </c>
      <c r="AT37" s="239">
        <f t="shared" si="174"/>
        <v>2035</v>
      </c>
    </row>
    <row r="38" spans="1:65" hidden="1" x14ac:dyDescent="0.25">
      <c r="A38" s="1" t="s">
        <v>237</v>
      </c>
      <c r="B38" s="37"/>
      <c r="C38" s="37"/>
      <c r="D38" s="7"/>
      <c r="E38" s="7"/>
      <c r="F38" s="7"/>
      <c r="G38" s="7"/>
      <c r="H38" s="7"/>
      <c r="I38" s="7"/>
      <c r="J38" s="55">
        <f>2.2-K38</f>
        <v>1.2000000000000002</v>
      </c>
      <c r="K38" s="55">
        <v>1</v>
      </c>
      <c r="L38" s="346"/>
      <c r="M38" s="346"/>
      <c r="N38" s="55">
        <f>2.5-O38</f>
        <v>1.1000000000000001</v>
      </c>
      <c r="O38" s="55">
        <v>1.4</v>
      </c>
      <c r="P38" s="346"/>
      <c r="Q38" s="346"/>
      <c r="R38" s="346"/>
      <c r="S38" s="346"/>
      <c r="T38" s="346"/>
      <c r="U38" s="346"/>
      <c r="V38" s="346"/>
      <c r="W38" s="346"/>
      <c r="X38" s="346"/>
      <c r="Y38" s="346"/>
      <c r="Z38" s="347"/>
      <c r="AA38" s="347"/>
      <c r="AB38" s="347"/>
      <c r="AC38" s="346"/>
      <c r="AD38" s="346"/>
      <c r="AE38" s="346"/>
      <c r="AF38" s="346"/>
      <c r="AG38" s="346"/>
      <c r="AH38" s="346"/>
      <c r="AI38" s="346"/>
      <c r="AJ38" s="346"/>
      <c r="AK38" s="346"/>
      <c r="AL38" s="346"/>
      <c r="AM38" s="346"/>
      <c r="AN38" s="346"/>
      <c r="AO38" s="346"/>
      <c r="AP38" s="346"/>
      <c r="AQ38" s="346"/>
      <c r="AR38" s="346"/>
      <c r="AS38" s="346"/>
      <c r="AT38" s="346"/>
    </row>
    <row r="39" spans="1:65" hidden="1" x14ac:dyDescent="0.25">
      <c r="B39" s="37"/>
      <c r="C39" s="37"/>
      <c r="D39" s="7"/>
      <c r="E39" s="7"/>
      <c r="F39" s="7"/>
      <c r="G39" s="7"/>
      <c r="H39" s="7"/>
      <c r="I39" s="7"/>
      <c r="J39" s="7"/>
      <c r="K39" s="7"/>
      <c r="L39" s="7"/>
      <c r="M39" s="7"/>
      <c r="N39" s="7"/>
      <c r="O39" s="7"/>
      <c r="P39" s="7"/>
      <c r="Q39" s="7"/>
      <c r="R39" s="7"/>
      <c r="S39" s="7"/>
      <c r="T39" s="7"/>
      <c r="U39" s="7"/>
      <c r="V39" s="7"/>
      <c r="W39" s="7"/>
      <c r="X39" s="7"/>
      <c r="Y39" s="7"/>
      <c r="AD39" s="7"/>
      <c r="AE39" s="7"/>
      <c r="AF39" s="7"/>
      <c r="AG39" s="7"/>
      <c r="AH39" s="7"/>
      <c r="AI39" s="7"/>
      <c r="AJ39" s="7"/>
      <c r="AK39" s="7"/>
      <c r="AL39" s="7"/>
      <c r="AM39" s="7"/>
      <c r="AN39" s="7"/>
      <c r="AO39" s="7"/>
      <c r="AP39" s="7"/>
      <c r="AQ39" s="7"/>
      <c r="AR39" s="7"/>
      <c r="AS39" s="7"/>
      <c r="AT39" s="7"/>
    </row>
    <row r="40" spans="1:65" hidden="1" x14ac:dyDescent="0.25">
      <c r="B40" s="37"/>
      <c r="C40" s="37"/>
      <c r="D40" s="7"/>
      <c r="E40" s="7"/>
      <c r="F40" s="7"/>
      <c r="G40" s="7"/>
      <c r="H40" s="7"/>
      <c r="I40" s="7"/>
      <c r="J40" s="7"/>
      <c r="K40" s="7"/>
      <c r="L40" s="7"/>
      <c r="M40" s="7"/>
      <c r="N40" s="7"/>
      <c r="O40" s="7"/>
      <c r="P40" s="7"/>
      <c r="Q40" s="7"/>
      <c r="R40" s="7">
        <f>14.8/Q43-1</f>
        <v>-2.5482320405609937E-2</v>
      </c>
      <c r="S40" s="7"/>
      <c r="T40" s="7"/>
      <c r="U40" s="7"/>
      <c r="V40" s="7"/>
      <c r="W40" s="7"/>
      <c r="X40" s="7"/>
      <c r="Y40" s="7"/>
      <c r="AD40" s="7"/>
      <c r="AE40" s="7"/>
      <c r="AF40" s="7"/>
      <c r="AG40" s="7"/>
      <c r="AH40" s="7"/>
      <c r="AI40" s="7"/>
      <c r="AJ40" s="7"/>
      <c r="AK40" s="7"/>
      <c r="AL40" s="7"/>
      <c r="AM40" s="7"/>
      <c r="AN40" s="7"/>
      <c r="AO40" s="7"/>
      <c r="AP40" s="7"/>
      <c r="AQ40" s="7"/>
      <c r="AR40" s="7"/>
      <c r="AS40" s="7"/>
      <c r="AT40" s="7"/>
    </row>
    <row r="41" spans="1:65" x14ac:dyDescent="0.25">
      <c r="B41" s="37"/>
      <c r="C41" s="37"/>
      <c r="N41" s="7">
        <f>N43/M43-1</f>
        <v>-0.18172652804032752</v>
      </c>
    </row>
    <row r="42" spans="1:65" s="205" customFormat="1" x14ac:dyDescent="0.25">
      <c r="A42" s="239" t="s">
        <v>211</v>
      </c>
      <c r="B42" s="245"/>
      <c r="C42" s="245"/>
      <c r="D42" s="241">
        <v>43344</v>
      </c>
      <c r="E42" s="241">
        <v>43435</v>
      </c>
      <c r="F42" s="241">
        <v>43525</v>
      </c>
      <c r="G42" s="241">
        <v>43617</v>
      </c>
      <c r="H42" s="241">
        <f t="shared" ref="H42:Y42" si="175">H1</f>
        <v>43709</v>
      </c>
      <c r="I42" s="241">
        <f t="shared" si="175"/>
        <v>43800</v>
      </c>
      <c r="J42" s="241">
        <f t="shared" si="175"/>
        <v>43891</v>
      </c>
      <c r="K42" s="241">
        <f t="shared" si="175"/>
        <v>43983</v>
      </c>
      <c r="L42" s="241">
        <f t="shared" si="175"/>
        <v>44075</v>
      </c>
      <c r="M42" s="241">
        <f t="shared" si="175"/>
        <v>44166</v>
      </c>
      <c r="N42" s="241">
        <f t="shared" si="175"/>
        <v>44256</v>
      </c>
      <c r="O42" s="241">
        <f t="shared" si="175"/>
        <v>44348</v>
      </c>
      <c r="P42" s="241">
        <f t="shared" si="175"/>
        <v>44440</v>
      </c>
      <c r="Q42" s="241">
        <f t="shared" si="175"/>
        <v>44531</v>
      </c>
      <c r="R42" s="241">
        <f t="shared" si="175"/>
        <v>44621</v>
      </c>
      <c r="S42" s="241">
        <f t="shared" si="175"/>
        <v>44713</v>
      </c>
      <c r="T42" s="241">
        <f t="shared" si="175"/>
        <v>44805</v>
      </c>
      <c r="U42" s="241">
        <f t="shared" si="175"/>
        <v>44896</v>
      </c>
      <c r="V42" s="241">
        <f t="shared" si="175"/>
        <v>44986</v>
      </c>
      <c r="W42" s="241">
        <f t="shared" si="175"/>
        <v>45078</v>
      </c>
      <c r="X42" s="241">
        <f t="shared" si="175"/>
        <v>45170</v>
      </c>
      <c r="Y42" s="241">
        <f t="shared" si="175"/>
        <v>45261</v>
      </c>
      <c r="Z42" s="341"/>
      <c r="AA42" s="341"/>
      <c r="AB42" s="35">
        <v>2017</v>
      </c>
      <c r="AC42" s="239">
        <f t="shared" ref="AC42:AQ42" si="176">AC1</f>
        <v>2018</v>
      </c>
      <c r="AD42" s="239">
        <f t="shared" si="176"/>
        <v>2019</v>
      </c>
      <c r="AE42" s="239">
        <f t="shared" si="176"/>
        <v>2020</v>
      </c>
      <c r="AF42" s="239">
        <f t="shared" si="176"/>
        <v>2021</v>
      </c>
      <c r="AG42" s="239">
        <f t="shared" si="176"/>
        <v>2022</v>
      </c>
      <c r="AH42" s="242">
        <f t="shared" si="176"/>
        <v>2023</v>
      </c>
      <c r="AI42" s="242">
        <f t="shared" si="176"/>
        <v>2024</v>
      </c>
      <c r="AJ42" s="242">
        <f t="shared" si="176"/>
        <v>2025</v>
      </c>
      <c r="AK42" s="242">
        <f t="shared" si="176"/>
        <v>2026</v>
      </c>
      <c r="AL42" s="242">
        <f t="shared" si="176"/>
        <v>2027</v>
      </c>
      <c r="AM42" s="242">
        <f t="shared" si="176"/>
        <v>2028</v>
      </c>
      <c r="AN42" s="242">
        <f t="shared" si="176"/>
        <v>2029</v>
      </c>
      <c r="AO42" s="242">
        <f t="shared" si="176"/>
        <v>2030</v>
      </c>
      <c r="AP42" s="242">
        <f t="shared" si="176"/>
        <v>2031</v>
      </c>
      <c r="AQ42" s="242">
        <f t="shared" si="176"/>
        <v>2032</v>
      </c>
      <c r="AR42" s="242">
        <f t="shared" ref="AR42:AT42" si="177">AR1</f>
        <v>2033</v>
      </c>
      <c r="AS42" s="242">
        <f t="shared" si="177"/>
        <v>2034</v>
      </c>
      <c r="AT42" s="242">
        <f t="shared" si="177"/>
        <v>2035</v>
      </c>
      <c r="AU42" s="206"/>
      <c r="AV42" s="206"/>
      <c r="AW42" s="206"/>
      <c r="AX42" s="206"/>
      <c r="AY42" s="206"/>
      <c r="AZ42" s="206"/>
      <c r="BA42" s="206"/>
      <c r="BB42" s="206"/>
      <c r="BC42" s="206"/>
      <c r="BD42" s="206"/>
      <c r="BE42" s="206"/>
      <c r="BF42" s="206"/>
      <c r="BG42" s="206"/>
      <c r="BH42" s="206"/>
      <c r="BI42" s="206"/>
      <c r="BJ42" s="206"/>
      <c r="BK42" s="206"/>
      <c r="BL42" s="206"/>
      <c r="BM42" s="206"/>
    </row>
    <row r="43" spans="1:65" x14ac:dyDescent="0.25">
      <c r="A43" s="24" t="s">
        <v>158</v>
      </c>
      <c r="B43" s="36"/>
      <c r="C43" s="36"/>
      <c r="D43" s="60"/>
      <c r="E43" s="60"/>
      <c r="F43" s="60"/>
      <c r="G43" s="60"/>
      <c r="H43" s="60"/>
      <c r="I43" s="60"/>
      <c r="J43" s="60">
        <v>14.097999999999999</v>
      </c>
      <c r="K43" s="201">
        <v>10.61</v>
      </c>
      <c r="L43" s="48">
        <v>10.946999999999999</v>
      </c>
      <c r="M43" s="201">
        <v>15.869999999999997</v>
      </c>
      <c r="N43" s="48">
        <v>12.986000000000001</v>
      </c>
      <c r="O43" s="48">
        <v>12.425000000000001</v>
      </c>
      <c r="P43" s="48">
        <v>14.569000000000001</v>
      </c>
      <c r="Q43" s="48">
        <v>15.186999999999999</v>
      </c>
      <c r="R43" s="48">
        <v>16.332000000000001</v>
      </c>
      <c r="S43" s="48">
        <v>16.844999999999999</v>
      </c>
      <c r="T43" s="48">
        <v>18.407</v>
      </c>
      <c r="U43" s="48">
        <v>21.321000000000002</v>
      </c>
      <c r="V43" s="48">
        <v>19.158000000000001</v>
      </c>
      <c r="W43" s="48">
        <v>19.433</v>
      </c>
      <c r="X43" s="48">
        <v>19.640999999999998</v>
      </c>
      <c r="Y43" s="49">
        <v>20.094999999999999</v>
      </c>
      <c r="AB43" s="46"/>
      <c r="AC43" s="52">
        <v>41.463999999999999</v>
      </c>
      <c r="AD43" s="52">
        <v>49.332000000000001</v>
      </c>
      <c r="AE43" s="52">
        <v>51.524999999999999</v>
      </c>
      <c r="AF43" s="49">
        <v>55.167000000000002</v>
      </c>
      <c r="AG43" s="49">
        <v>72.905000000000001</v>
      </c>
      <c r="AH43" s="49">
        <f>AG43*(1+AH44)</f>
        <v>75.092150000000004</v>
      </c>
      <c r="AI43" s="49">
        <f t="shared" ref="AI43:AT43" si="178">AH43*(1+AI44)</f>
        <v>77.344914500000002</v>
      </c>
      <c r="AJ43" s="49">
        <f t="shared" si="178"/>
        <v>79.665261935000004</v>
      </c>
      <c r="AK43" s="49">
        <f t="shared" si="178"/>
        <v>82.05521979305</v>
      </c>
      <c r="AL43" s="49">
        <f t="shared" si="178"/>
        <v>84.516876386841503</v>
      </c>
      <c r="AM43" s="49">
        <f t="shared" si="178"/>
        <v>87.052382678446747</v>
      </c>
      <c r="AN43" s="49">
        <f t="shared" si="178"/>
        <v>89.663954158800152</v>
      </c>
      <c r="AO43" s="49">
        <f t="shared" si="178"/>
        <v>92.353872783564157</v>
      </c>
      <c r="AP43" s="49">
        <f t="shared" si="178"/>
        <v>95.124488967071088</v>
      </c>
      <c r="AQ43" s="49">
        <f t="shared" si="178"/>
        <v>97.978223636083229</v>
      </c>
      <c r="AR43" s="49">
        <f t="shared" si="178"/>
        <v>100.91757034516573</v>
      </c>
      <c r="AS43" s="49">
        <f t="shared" si="178"/>
        <v>103.94509745552071</v>
      </c>
      <c r="AT43" s="49">
        <f t="shared" si="178"/>
        <v>107.06345037918634</v>
      </c>
    </row>
    <row r="44" spans="1:65" x14ac:dyDescent="0.25">
      <c r="A44" s="40" t="s">
        <v>160</v>
      </c>
      <c r="B44" s="36"/>
      <c r="C44" s="36"/>
      <c r="D44" s="60"/>
      <c r="E44" s="60"/>
      <c r="F44" s="60"/>
      <c r="G44" s="60"/>
      <c r="H44" s="60"/>
      <c r="I44" s="60"/>
      <c r="J44" s="60"/>
      <c r="K44" s="201"/>
      <c r="L44" s="48"/>
      <c r="M44" s="201"/>
      <c r="N44" s="48"/>
      <c r="O44" s="48"/>
      <c r="P44" s="48"/>
      <c r="Q44" s="48"/>
      <c r="R44" s="48"/>
      <c r="S44" s="48"/>
      <c r="T44" s="48"/>
      <c r="U44" s="48"/>
      <c r="V44" s="48"/>
      <c r="W44" s="48"/>
      <c r="X44" s="48"/>
      <c r="Y44" s="49"/>
      <c r="AB44" s="46"/>
      <c r="AC44" s="52"/>
      <c r="AD44" s="52"/>
      <c r="AE44" s="52"/>
      <c r="AF44" s="49"/>
      <c r="AG44" s="49"/>
      <c r="AH44" s="424">
        <f>Inputs!B2</f>
        <v>0.03</v>
      </c>
      <c r="AI44" s="424">
        <f>Inputs!C2</f>
        <v>0.03</v>
      </c>
      <c r="AJ44" s="424">
        <f>Inputs!D2</f>
        <v>0.03</v>
      </c>
      <c r="AK44" s="424">
        <f>Inputs!E2</f>
        <v>0.03</v>
      </c>
      <c r="AL44" s="424">
        <f>Inputs!F2</f>
        <v>0.03</v>
      </c>
      <c r="AM44" s="424">
        <f>Inputs!G2</f>
        <v>0.03</v>
      </c>
      <c r="AN44" s="424">
        <f>Inputs!H2</f>
        <v>0.03</v>
      </c>
      <c r="AO44" s="424">
        <f>Inputs!I2</f>
        <v>0.03</v>
      </c>
      <c r="AP44" s="424">
        <f>Inputs!J2</f>
        <v>0.03</v>
      </c>
      <c r="AQ44" s="424">
        <f>Inputs!K2</f>
        <v>0.03</v>
      </c>
      <c r="AR44" s="424">
        <f>Inputs!L2</f>
        <v>0.03</v>
      </c>
      <c r="AS44" s="424">
        <f>Inputs!M2</f>
        <v>0.03</v>
      </c>
      <c r="AT44" s="424">
        <f>Inputs!N2</f>
        <v>0.03</v>
      </c>
    </row>
    <row r="45" spans="1:65" x14ac:dyDescent="0.25">
      <c r="A45" s="61" t="s">
        <v>2</v>
      </c>
      <c r="B45" s="50"/>
      <c r="C45" s="50"/>
      <c r="D45" s="64"/>
      <c r="E45" s="64"/>
      <c r="F45" s="64"/>
      <c r="G45" s="64"/>
      <c r="H45" s="64"/>
      <c r="I45" s="64"/>
      <c r="J45" s="64">
        <v>-4.6449999999999996</v>
      </c>
      <c r="K45" s="184">
        <v>-3.1680000000000001</v>
      </c>
      <c r="L45" s="210">
        <v>-3.383</v>
      </c>
      <c r="M45" s="184">
        <v>-5.206999999999999</v>
      </c>
      <c r="N45" s="210">
        <v>-4.2519999999999998</v>
      </c>
      <c r="O45" s="210">
        <v>-3.8570000000000002</v>
      </c>
      <c r="P45" s="210">
        <v>-4.2709999999999999</v>
      </c>
      <c r="Q45" s="210">
        <v>-4.6980000000000004</v>
      </c>
      <c r="R45" s="210">
        <v>-5.4180000000000001</v>
      </c>
      <c r="S45" s="115">
        <v>-5.0209999999999999</v>
      </c>
      <c r="T45" s="210">
        <v>-5.68</v>
      </c>
      <c r="U45" s="210">
        <v>-6.8559999999999999</v>
      </c>
      <c r="V45" s="210">
        <v>-5.9370000000000003</v>
      </c>
      <c r="W45" s="210">
        <v>-5.3390000000000004</v>
      </c>
      <c r="X45" s="210">
        <v>-6.0690000000000008</v>
      </c>
      <c r="Y45" s="115">
        <f t="shared" ref="Y45" si="179">Y46-Y43</f>
        <v>-6.2065230493129331</v>
      </c>
      <c r="AB45" s="26"/>
      <c r="AC45" s="65">
        <f>AC46-AC43</f>
        <v>-5.8919999999999959</v>
      </c>
      <c r="AD45" s="65">
        <f t="shared" ref="AD45:AG45" si="180">AD46-AD43</f>
        <v>-11.242999999999995</v>
      </c>
      <c r="AE45" s="65">
        <f t="shared" si="180"/>
        <v>-16.402999999999999</v>
      </c>
      <c r="AF45" s="65">
        <f t="shared" si="180"/>
        <v>-17.078000000000003</v>
      </c>
      <c r="AG45" s="65">
        <f t="shared" si="180"/>
        <v>-22.974999999999994</v>
      </c>
      <c r="AH45" s="65">
        <f>AH46-AH43</f>
        <v>-20.316673049312946</v>
      </c>
      <c r="AI45" s="65">
        <f t="shared" ref="AI45:AT45" si="181">AI46-AI43</f>
        <v>-19.00799429714349</v>
      </c>
      <c r="AJ45" s="65">
        <f t="shared" si="181"/>
        <v>-17.824013169833947</v>
      </c>
      <c r="AK45" s="65">
        <f t="shared" si="181"/>
        <v>-16.726232355149264</v>
      </c>
      <c r="AL45" s="65">
        <f t="shared" si="181"/>
        <v>-15.676047973043893</v>
      </c>
      <c r="AM45" s="65">
        <f t="shared" si="181"/>
        <v>-14.641948136093234</v>
      </c>
      <c r="AN45" s="65">
        <f t="shared" si="181"/>
        <v>-13.596327979478502</v>
      </c>
      <c r="AO45" s="65">
        <f t="shared" si="181"/>
        <v>-12.516721596911509</v>
      </c>
      <c r="AP45" s="65">
        <f t="shared" si="181"/>
        <v>-11.382680099831276</v>
      </c>
      <c r="AQ45" s="65">
        <f t="shared" si="181"/>
        <v>-10.176524641065484</v>
      </c>
      <c r="AR45" s="65">
        <f t="shared" si="181"/>
        <v>-8.8832050690301116</v>
      </c>
      <c r="AS45" s="65">
        <f t="shared" si="181"/>
        <v>-7.488157992874747</v>
      </c>
      <c r="AT45" s="65">
        <f t="shared" si="181"/>
        <v>-5.9781398568764246</v>
      </c>
    </row>
    <row r="46" spans="1:65" x14ac:dyDescent="0.25">
      <c r="A46" s="24" t="s">
        <v>63</v>
      </c>
      <c r="B46" s="36"/>
      <c r="C46" s="36"/>
      <c r="D46" s="27"/>
      <c r="E46" s="27"/>
      <c r="F46" s="27"/>
      <c r="G46" s="27"/>
      <c r="H46" s="27"/>
      <c r="I46" s="27"/>
      <c r="J46" s="27">
        <f t="shared" ref="J46:Y46" si="182">J30</f>
        <v>9.453000000000003</v>
      </c>
      <c r="K46" s="27">
        <f t="shared" si="182"/>
        <v>7.4420000000000002</v>
      </c>
      <c r="L46" s="27">
        <f t="shared" si="182"/>
        <v>7.6419999999999959</v>
      </c>
      <c r="M46" s="27">
        <f t="shared" si="182"/>
        <v>10.585000000000004</v>
      </c>
      <c r="N46" s="27">
        <f t="shared" si="182"/>
        <v>8.7339999999999982</v>
      </c>
      <c r="O46" s="27">
        <f t="shared" si="182"/>
        <v>8.5679999999999996</v>
      </c>
      <c r="P46" s="27">
        <f t="shared" si="182"/>
        <v>10.298</v>
      </c>
      <c r="Q46" s="27">
        <f t="shared" si="182"/>
        <v>10.488999999999999</v>
      </c>
      <c r="R46" s="27">
        <f t="shared" ref="R46:W46" si="183">R43+R45</f>
        <v>10.914000000000001</v>
      </c>
      <c r="S46" s="27">
        <f t="shared" si="183"/>
        <v>11.823999999999998</v>
      </c>
      <c r="T46" s="27">
        <f t="shared" si="183"/>
        <v>12.727</v>
      </c>
      <c r="U46" s="27">
        <f t="shared" si="183"/>
        <v>14.465000000000002</v>
      </c>
      <c r="V46" s="27">
        <f t="shared" si="183"/>
        <v>13.221</v>
      </c>
      <c r="W46" s="27">
        <f t="shared" si="183"/>
        <v>14.093999999999999</v>
      </c>
      <c r="X46" s="27">
        <f t="shared" si="182"/>
        <v>13.571999999999997</v>
      </c>
      <c r="Y46" s="27">
        <f t="shared" si="182"/>
        <v>13.888476950687066</v>
      </c>
      <c r="AB46" s="46"/>
      <c r="AC46" s="43">
        <f t="shared" ref="AC46:AQ46" si="184">AC30</f>
        <v>35.572000000000003</v>
      </c>
      <c r="AD46" s="43">
        <f t="shared" si="184"/>
        <v>38.089000000000006</v>
      </c>
      <c r="AE46" s="43">
        <f t="shared" si="184"/>
        <v>35.122</v>
      </c>
      <c r="AF46" s="27">
        <f t="shared" si="184"/>
        <v>38.088999999999999</v>
      </c>
      <c r="AG46" s="43">
        <f t="shared" si="184"/>
        <v>49.930000000000007</v>
      </c>
      <c r="AH46" s="43">
        <f>SUM(V46:Y46)</f>
        <v>54.775476950687057</v>
      </c>
      <c r="AI46" s="43">
        <f t="shared" si="184"/>
        <v>58.336920202856511</v>
      </c>
      <c r="AJ46" s="43">
        <f t="shared" si="184"/>
        <v>61.841248765166057</v>
      </c>
      <c r="AK46" s="43">
        <f t="shared" si="184"/>
        <v>65.328987437900736</v>
      </c>
      <c r="AL46" s="43">
        <f t="shared" si="184"/>
        <v>68.84082841379761</v>
      </c>
      <c r="AM46" s="43">
        <f t="shared" si="184"/>
        <v>72.410434542353514</v>
      </c>
      <c r="AN46" s="43">
        <f t="shared" si="184"/>
        <v>76.06762617932165</v>
      </c>
      <c r="AO46" s="43">
        <f t="shared" si="184"/>
        <v>79.837151186652648</v>
      </c>
      <c r="AP46" s="43">
        <f t="shared" si="184"/>
        <v>83.741808867239811</v>
      </c>
      <c r="AQ46" s="43">
        <f t="shared" si="184"/>
        <v>87.801698995017745</v>
      </c>
      <c r="AR46" s="43">
        <f t="shared" ref="AR46:AT46" si="185">AR30</f>
        <v>92.034365276135617</v>
      </c>
      <c r="AS46" s="43">
        <f t="shared" si="185"/>
        <v>96.456939462645963</v>
      </c>
      <c r="AT46" s="43">
        <f t="shared" si="185"/>
        <v>101.08531052230991</v>
      </c>
    </row>
    <row r="47" spans="1:65" x14ac:dyDescent="0.25">
      <c r="A47" s="38" t="s">
        <v>228</v>
      </c>
      <c r="B47" s="66"/>
      <c r="C47" s="66"/>
      <c r="D47" s="67"/>
      <c r="E47" s="67"/>
      <c r="F47" s="67"/>
      <c r="G47" s="67"/>
      <c r="H47" s="67"/>
      <c r="I47" s="67"/>
      <c r="J47" s="41">
        <f t="shared" ref="J47" si="186">J46/J43</f>
        <v>0.67052064122570598</v>
      </c>
      <c r="K47" s="41">
        <f t="shared" ref="K47:Q47" si="187">K46/K43</f>
        <v>0.70141376060320459</v>
      </c>
      <c r="L47" s="41">
        <f t="shared" si="187"/>
        <v>0.69809080113273014</v>
      </c>
      <c r="M47" s="41">
        <f t="shared" si="187"/>
        <v>0.66698172652804066</v>
      </c>
      <c r="N47" s="41">
        <f t="shared" si="187"/>
        <v>0.67257046049591851</v>
      </c>
      <c r="O47" s="41">
        <f t="shared" si="187"/>
        <v>0.68957746478873228</v>
      </c>
      <c r="P47" s="333">
        <f t="shared" si="187"/>
        <v>0.70684329741231378</v>
      </c>
      <c r="Q47" s="333">
        <f t="shared" si="187"/>
        <v>0.69065648251794298</v>
      </c>
      <c r="R47" s="333">
        <f t="shared" ref="R47:U47" si="188">R46/R43</f>
        <v>0.6682586333578252</v>
      </c>
      <c r="S47" s="399">
        <f t="shared" si="188"/>
        <v>0.70192935589195604</v>
      </c>
      <c r="T47" s="399">
        <f t="shared" si="188"/>
        <v>0.6914217417286902</v>
      </c>
      <c r="U47" s="399">
        <f t="shared" si="188"/>
        <v>0.6784390976033019</v>
      </c>
      <c r="V47" s="399">
        <f t="shared" ref="V47:W47" si="189">V46/V43</f>
        <v>0.69010335108048848</v>
      </c>
      <c r="W47" s="399">
        <f t="shared" si="189"/>
        <v>0.7252611537076108</v>
      </c>
      <c r="X47" s="399">
        <f t="shared" ref="X47:Y47" si="190">X46/X43</f>
        <v>0.69100351305941643</v>
      </c>
      <c r="Y47" s="399">
        <f t="shared" si="190"/>
        <v>0.691140928125756</v>
      </c>
      <c r="Z47" s="40"/>
      <c r="AA47" s="40"/>
      <c r="AB47" s="343"/>
      <c r="AC47" s="333">
        <f>AC46/AC43</f>
        <v>0.85790082963534642</v>
      </c>
      <c r="AD47" s="333">
        <f t="shared" ref="AD47:AG47" si="191">AD46/AD43</f>
        <v>0.77209519176193964</v>
      </c>
      <c r="AE47" s="333">
        <f t="shared" si="191"/>
        <v>0.6816496846191169</v>
      </c>
      <c r="AF47" s="333">
        <f t="shared" si="191"/>
        <v>0.69043087352946508</v>
      </c>
      <c r="AG47" s="399">
        <f t="shared" si="191"/>
        <v>0.68486386393251497</v>
      </c>
      <c r="AH47" s="425">
        <f>Inputs!B3</f>
        <v>0.7</v>
      </c>
      <c r="AI47" s="425">
        <f>Inputs!C3</f>
        <v>0.7</v>
      </c>
      <c r="AJ47" s="425">
        <f>Inputs!D3</f>
        <v>0.7</v>
      </c>
      <c r="AK47" s="425">
        <f>Inputs!E3</f>
        <v>0.7</v>
      </c>
      <c r="AL47" s="425">
        <f>Inputs!F3</f>
        <v>0.7</v>
      </c>
      <c r="AM47" s="425">
        <f>Inputs!G3</f>
        <v>0.7</v>
      </c>
      <c r="AN47" s="425">
        <f>Inputs!H3</f>
        <v>0.7</v>
      </c>
      <c r="AO47" s="425">
        <f>Inputs!I3</f>
        <v>0.7</v>
      </c>
      <c r="AP47" s="425">
        <f>Inputs!J3</f>
        <v>0.7</v>
      </c>
      <c r="AQ47" s="425">
        <f>Inputs!K3</f>
        <v>0.7</v>
      </c>
      <c r="AR47" s="425">
        <f>Inputs!L3</f>
        <v>0.7</v>
      </c>
      <c r="AS47" s="425">
        <f>Inputs!M3</f>
        <v>0.7</v>
      </c>
      <c r="AT47" s="425">
        <f>Inputs!N3</f>
        <v>0.7</v>
      </c>
    </row>
    <row r="48" spans="1:65" x14ac:dyDescent="0.25">
      <c r="A48" s="24"/>
      <c r="B48" s="37"/>
      <c r="C48" s="37"/>
      <c r="D48" s="58"/>
      <c r="E48" s="58"/>
      <c r="F48" s="58"/>
      <c r="G48" s="58"/>
      <c r="H48" s="58"/>
      <c r="I48" s="33"/>
      <c r="J48" s="58"/>
      <c r="K48" s="58"/>
      <c r="L48" s="33"/>
      <c r="M48" s="33"/>
      <c r="N48" s="33"/>
      <c r="O48" s="33"/>
      <c r="P48" s="33"/>
      <c r="Q48" s="33"/>
      <c r="R48" s="33"/>
      <c r="S48" s="33"/>
      <c r="T48" s="33"/>
      <c r="U48" s="33"/>
      <c r="V48" s="33"/>
      <c r="W48" s="33"/>
      <c r="X48" s="33"/>
      <c r="Y48" s="33"/>
      <c r="AB48" s="344"/>
      <c r="AC48" s="33"/>
      <c r="AD48" s="33"/>
      <c r="AE48" s="33"/>
      <c r="AF48" s="58"/>
      <c r="AG48" s="33"/>
      <c r="AH48" s="33"/>
      <c r="AI48" s="33"/>
      <c r="AJ48" s="33"/>
      <c r="AK48" s="33"/>
      <c r="AL48" s="33"/>
      <c r="AM48" s="33"/>
      <c r="AN48" s="33"/>
      <c r="AO48" s="33"/>
      <c r="AP48" s="33"/>
      <c r="AQ48" s="33"/>
      <c r="AR48" s="33"/>
      <c r="AS48" s="33"/>
      <c r="AT48" s="33"/>
    </row>
    <row r="49" spans="1:65" x14ac:dyDescent="0.25">
      <c r="A49" s="1" t="s">
        <v>219</v>
      </c>
      <c r="B49" s="37"/>
      <c r="C49" s="37"/>
      <c r="D49" s="70"/>
      <c r="E49" s="70"/>
      <c r="F49" s="70"/>
      <c r="G49" s="70"/>
      <c r="H49" s="70"/>
      <c r="I49" s="70"/>
      <c r="J49" s="70">
        <v>-7.8999999999999986</v>
      </c>
      <c r="K49" s="70">
        <v>-4.6180000000000003</v>
      </c>
      <c r="L49" s="70">
        <v>-5.8490000000000002</v>
      </c>
      <c r="M49" s="70">
        <v>-7.7520000000000024</v>
      </c>
      <c r="N49" s="70">
        <v>-8.6270000000000007</v>
      </c>
      <c r="O49" s="70">
        <v>-5.4909999999999997</v>
      </c>
      <c r="P49" s="70">
        <v>-7.633</v>
      </c>
      <c r="Q49" s="70">
        <v>-7.7990000000000004</v>
      </c>
      <c r="R49" s="70">
        <v>-9.6580000000000013</v>
      </c>
      <c r="S49" s="70">
        <v>-10.821</v>
      </c>
      <c r="T49" s="70">
        <v>-11.700000000000001</v>
      </c>
      <c r="U49" s="70">
        <v>-11.87</v>
      </c>
      <c r="V49" s="70">
        <v>-12.250999999999999</v>
      </c>
      <c r="W49" s="70">
        <v>-12.4</v>
      </c>
      <c r="X49" s="70">
        <v>-12.235999999999999</v>
      </c>
      <c r="Y49" s="70">
        <v>-12.6</v>
      </c>
      <c r="Z49" s="71"/>
      <c r="AC49" s="70">
        <v>-26.561999999999998</v>
      </c>
      <c r="AD49" s="70">
        <v>-31.914999999999999</v>
      </c>
      <c r="AE49" s="70">
        <v>-26.119</v>
      </c>
      <c r="AF49" s="323">
        <v>-29.55</v>
      </c>
      <c r="AG49" s="56">
        <v>-44.048999999999999</v>
      </c>
      <c r="AH49" s="56">
        <f>-AH43*AH50</f>
        <v>-45.055289999999999</v>
      </c>
      <c r="AI49" s="56">
        <f t="shared" ref="AI49:AT49" si="192">-AI43*AI50</f>
        <v>-46.020224127500001</v>
      </c>
      <c r="AJ49" s="56">
        <f t="shared" si="192"/>
        <v>-47.002504541649998</v>
      </c>
      <c r="AK49" s="56">
        <f t="shared" si="192"/>
        <v>-48.002303578934246</v>
      </c>
      <c r="AL49" s="56">
        <f t="shared" si="192"/>
        <v>-49.01978830436807</v>
      </c>
      <c r="AM49" s="56">
        <f t="shared" si="192"/>
        <v>-50.055120040106878</v>
      </c>
      <c r="AN49" s="56">
        <f t="shared" si="192"/>
        <v>-51.10845387051608</v>
      </c>
      <c r="AO49" s="56">
        <f t="shared" si="192"/>
        <v>-52.179938122713743</v>
      </c>
      <c r="AP49" s="56">
        <f t="shared" si="192"/>
        <v>-53.269713821559805</v>
      </c>
      <c r="AQ49" s="56">
        <f t="shared" si="192"/>
        <v>-54.377914118026183</v>
      </c>
      <c r="AR49" s="56">
        <f t="shared" si="192"/>
        <v>-55.504663689841145</v>
      </c>
      <c r="AS49" s="56">
        <f t="shared" si="192"/>
        <v>-56.650078113258779</v>
      </c>
      <c r="AT49" s="56">
        <f t="shared" si="192"/>
        <v>-57.814263204760614</v>
      </c>
      <c r="AU49" s="408"/>
    </row>
    <row r="50" spans="1:65" x14ac:dyDescent="0.25">
      <c r="A50" s="38" t="s">
        <v>13</v>
      </c>
      <c r="B50" s="39">
        <v>0.3</v>
      </c>
      <c r="C50" s="39">
        <v>0.14000000000000001</v>
      </c>
      <c r="D50" s="41"/>
      <c r="E50" s="41"/>
      <c r="F50" s="41"/>
      <c r="G50" s="41"/>
      <c r="H50" s="41"/>
      <c r="I50" s="72"/>
      <c r="J50" s="92">
        <v>0.56036317208114617</v>
      </c>
      <c r="K50" s="92">
        <v>0.43524976437323287</v>
      </c>
      <c r="L50" s="92">
        <v>0.53430163515118301</v>
      </c>
      <c r="M50" s="92">
        <v>0.48846880907372425</v>
      </c>
      <c r="N50" s="92">
        <v>0.66433081780378866</v>
      </c>
      <c r="O50" s="92">
        <v>0.44193158953722328</v>
      </c>
      <c r="P50" s="92">
        <v>0.52392065344224037</v>
      </c>
      <c r="Q50" s="92">
        <v>0.51353130967274652</v>
      </c>
      <c r="R50" s="92">
        <v>0.59135439627724717</v>
      </c>
      <c r="S50" s="92">
        <v>0.64238646482635797</v>
      </c>
      <c r="T50" s="92">
        <v>0.63562775031238117</v>
      </c>
      <c r="U50" s="92">
        <v>0.55672810843769049</v>
      </c>
      <c r="V50" s="92">
        <v>0.63947176114416948</v>
      </c>
      <c r="W50" s="92">
        <v>0.63808984716718986</v>
      </c>
      <c r="X50" s="92">
        <v>0.62298253653072655</v>
      </c>
      <c r="Y50" s="292">
        <v>0.61167814775215101</v>
      </c>
      <c r="Z50" s="40"/>
      <c r="AA50" s="40"/>
      <c r="AB50" s="40"/>
      <c r="AC50" s="92">
        <f>-AC49/AC43</f>
        <v>0.64060389735674317</v>
      </c>
      <c r="AD50" s="92">
        <f>-AD49/AD43</f>
        <v>0.6469431606259628</v>
      </c>
      <c r="AE50" s="92">
        <f>-AE49/AE43</f>
        <v>0.50691897137311981</v>
      </c>
      <c r="AF50" s="92">
        <f>-AF49/AF43</f>
        <v>0.53564631029419763</v>
      </c>
      <c r="AG50" s="41">
        <f>-AG49/AG43</f>
        <v>0.60419724298744937</v>
      </c>
      <c r="AH50" s="425">
        <f>Inputs!B4</f>
        <v>0.6</v>
      </c>
      <c r="AI50" s="425">
        <f>Inputs!C4</f>
        <v>0.59499999999999997</v>
      </c>
      <c r="AJ50" s="425">
        <f>Inputs!D4</f>
        <v>0.59</v>
      </c>
      <c r="AK50" s="425">
        <f>Inputs!E4</f>
        <v>0.58499999999999996</v>
      </c>
      <c r="AL50" s="425">
        <f>Inputs!F4</f>
        <v>0.57999999999999996</v>
      </c>
      <c r="AM50" s="425">
        <f>Inputs!G4</f>
        <v>0.57499999999999996</v>
      </c>
      <c r="AN50" s="425">
        <f>Inputs!H4</f>
        <v>0.56999999999999995</v>
      </c>
      <c r="AO50" s="425">
        <f>Inputs!I4</f>
        <v>0.56499999999999995</v>
      </c>
      <c r="AP50" s="425">
        <f>Inputs!J4</f>
        <v>0.55999999999999994</v>
      </c>
      <c r="AQ50" s="425">
        <f>Inputs!K4</f>
        <v>0.55499999999999994</v>
      </c>
      <c r="AR50" s="425">
        <f>Inputs!L4</f>
        <v>0.54999999999999993</v>
      </c>
      <c r="AS50" s="425">
        <f>Inputs!M4</f>
        <v>0.54499999999999993</v>
      </c>
      <c r="AT50" s="425">
        <f>Inputs!N4</f>
        <v>0.53999999999999992</v>
      </c>
    </row>
    <row r="51" spans="1:65" x14ac:dyDescent="0.25">
      <c r="A51" s="1" t="s">
        <v>365</v>
      </c>
      <c r="B51" s="37"/>
      <c r="C51" s="37"/>
      <c r="D51" s="70"/>
      <c r="E51" s="70"/>
      <c r="F51" s="70"/>
      <c r="G51" s="70"/>
      <c r="H51" s="74"/>
      <c r="I51" s="74"/>
      <c r="J51" s="74">
        <v>0</v>
      </c>
      <c r="K51" s="74">
        <v>0</v>
      </c>
      <c r="L51" s="74">
        <v>0</v>
      </c>
      <c r="M51" s="74">
        <v>0</v>
      </c>
      <c r="N51" s="74">
        <v>0</v>
      </c>
      <c r="O51" s="74">
        <v>0</v>
      </c>
      <c r="P51" s="74">
        <v>0</v>
      </c>
      <c r="Q51" s="74">
        <f>-15.099-Q53-Q49+2.419+0.241+0.57-0.017+0.188</f>
        <v>-0.30500000000000033</v>
      </c>
      <c r="R51" s="74"/>
      <c r="S51" s="74">
        <v>0</v>
      </c>
      <c r="T51" s="74">
        <f>0.275</f>
        <v>0.27500000000000002</v>
      </c>
      <c r="U51" s="74">
        <v>0</v>
      </c>
      <c r="V51" s="74">
        <v>0</v>
      </c>
      <c r="W51" s="74">
        <v>0</v>
      </c>
      <c r="X51" s="74">
        <f>-0.014</f>
        <v>-1.4E-2</v>
      </c>
      <c r="Y51" s="74">
        <v>0</v>
      </c>
      <c r="AC51" s="74">
        <v>0</v>
      </c>
      <c r="AD51" s="74">
        <v>0</v>
      </c>
      <c r="AE51" s="74">
        <v>0</v>
      </c>
      <c r="AF51" s="204">
        <v>-0.30500000000000033</v>
      </c>
      <c r="AG51" s="54">
        <v>0.27500000000000002</v>
      </c>
      <c r="AH51" s="54">
        <f>-AH43*AH52</f>
        <v>0</v>
      </c>
      <c r="AI51" s="54">
        <f t="shared" ref="AI51:AT51" si="193">-AI43*AI52</f>
        <v>0</v>
      </c>
      <c r="AJ51" s="54">
        <f t="shared" si="193"/>
        <v>0</v>
      </c>
      <c r="AK51" s="54">
        <f t="shared" si="193"/>
        <v>0</v>
      </c>
      <c r="AL51" s="54">
        <f t="shared" si="193"/>
        <v>0</v>
      </c>
      <c r="AM51" s="54">
        <f t="shared" si="193"/>
        <v>0</v>
      </c>
      <c r="AN51" s="54">
        <f t="shared" si="193"/>
        <v>0</v>
      </c>
      <c r="AO51" s="54">
        <f t="shared" si="193"/>
        <v>0</v>
      </c>
      <c r="AP51" s="54">
        <f t="shared" si="193"/>
        <v>0</v>
      </c>
      <c r="AQ51" s="54">
        <f t="shared" si="193"/>
        <v>0</v>
      </c>
      <c r="AR51" s="54">
        <f t="shared" si="193"/>
        <v>0</v>
      </c>
      <c r="AS51" s="54">
        <f t="shared" si="193"/>
        <v>0</v>
      </c>
      <c r="AT51" s="54">
        <f t="shared" si="193"/>
        <v>0</v>
      </c>
    </row>
    <row r="52" spans="1:65" s="40" customFormat="1" x14ac:dyDescent="0.25">
      <c r="A52" s="38" t="s">
        <v>13</v>
      </c>
      <c r="B52" s="66"/>
      <c r="C52" s="66"/>
      <c r="D52" s="41"/>
      <c r="E52" s="41"/>
      <c r="F52" s="41"/>
      <c r="G52" s="41"/>
      <c r="H52" s="73"/>
      <c r="I52" s="73"/>
      <c r="J52" s="73"/>
      <c r="K52" s="73">
        <v>0</v>
      </c>
      <c r="L52" s="73">
        <v>0</v>
      </c>
      <c r="M52" s="73">
        <v>0</v>
      </c>
      <c r="N52" s="73">
        <v>0</v>
      </c>
      <c r="O52" s="73">
        <v>0</v>
      </c>
      <c r="P52" s="73">
        <v>0</v>
      </c>
      <c r="Q52" s="73">
        <v>0</v>
      </c>
      <c r="R52" s="73">
        <v>0</v>
      </c>
      <c r="S52" s="73">
        <v>0</v>
      </c>
      <c r="T52" s="73">
        <v>0</v>
      </c>
      <c r="U52" s="73">
        <v>0</v>
      </c>
      <c r="V52" s="73">
        <v>0</v>
      </c>
      <c r="W52" s="73">
        <v>0</v>
      </c>
      <c r="X52" s="73">
        <v>0</v>
      </c>
      <c r="Y52" s="73">
        <v>0</v>
      </c>
      <c r="AC52" s="73">
        <v>0</v>
      </c>
      <c r="AD52" s="73">
        <v>0</v>
      </c>
      <c r="AE52" s="73">
        <f>SUM(J52:M52)</f>
        <v>0</v>
      </c>
      <c r="AF52" s="73"/>
      <c r="AG52" s="73">
        <v>0</v>
      </c>
      <c r="AH52" s="426">
        <f>Inputs!B5</f>
        <v>0</v>
      </c>
      <c r="AI52" s="426">
        <f>Inputs!C5</f>
        <v>0</v>
      </c>
      <c r="AJ52" s="426">
        <f>Inputs!D5</f>
        <v>0</v>
      </c>
      <c r="AK52" s="426">
        <f>Inputs!E5</f>
        <v>0</v>
      </c>
      <c r="AL52" s="426">
        <f>Inputs!F5</f>
        <v>0</v>
      </c>
      <c r="AM52" s="426">
        <f>Inputs!G5</f>
        <v>0</v>
      </c>
      <c r="AN52" s="426">
        <f>Inputs!H5</f>
        <v>0</v>
      </c>
      <c r="AO52" s="426">
        <f>Inputs!I5</f>
        <v>0</v>
      </c>
      <c r="AP52" s="426">
        <f>Inputs!J5</f>
        <v>0</v>
      </c>
      <c r="AQ52" s="426">
        <f>Inputs!K5</f>
        <v>0</v>
      </c>
      <c r="AR52" s="426">
        <f>Inputs!L5</f>
        <v>0</v>
      </c>
      <c r="AS52" s="426">
        <f>Inputs!M5</f>
        <v>0</v>
      </c>
      <c r="AT52" s="426">
        <f>Inputs!N5</f>
        <v>0</v>
      </c>
      <c r="AU52" s="207"/>
      <c r="AV52" s="207"/>
      <c r="AW52" s="207"/>
      <c r="AX52" s="207"/>
      <c r="AY52" s="207"/>
      <c r="AZ52" s="207"/>
      <c r="BA52" s="207"/>
      <c r="BB52" s="207"/>
      <c r="BC52" s="207"/>
      <c r="BD52" s="207"/>
      <c r="BE52" s="207"/>
      <c r="BF52" s="207"/>
      <c r="BG52" s="207"/>
      <c r="BH52" s="207"/>
      <c r="BI52" s="207"/>
      <c r="BJ52" s="207"/>
      <c r="BK52" s="207"/>
      <c r="BL52" s="207"/>
      <c r="BM52" s="207"/>
    </row>
    <row r="53" spans="1:65" x14ac:dyDescent="0.25">
      <c r="A53" s="28" t="s">
        <v>366</v>
      </c>
      <c r="B53" s="50"/>
      <c r="C53" s="50"/>
      <c r="D53" s="75"/>
      <c r="E53" s="75"/>
      <c r="F53" s="75"/>
      <c r="G53" s="76"/>
      <c r="H53" s="76"/>
      <c r="I53" s="76"/>
      <c r="J53" s="76">
        <v>0</v>
      </c>
      <c r="K53" s="76">
        <v>0</v>
      </c>
      <c r="L53" s="76">
        <v>0</v>
      </c>
      <c r="M53" s="76">
        <v>0</v>
      </c>
      <c r="N53" s="76">
        <v>0</v>
      </c>
      <c r="O53" s="76">
        <v>0</v>
      </c>
      <c r="P53" s="76">
        <v>0</v>
      </c>
      <c r="Q53" s="75">
        <f>-3.594</f>
        <v>-3.5939999999999999</v>
      </c>
      <c r="R53" s="76">
        <f>-2.989</f>
        <v>-2.9889999999999999</v>
      </c>
      <c r="S53" s="76">
        <f>-2.685</f>
        <v>-2.6850000000000001</v>
      </c>
      <c r="T53" s="76">
        <f>-2.67</f>
        <v>-2.67</v>
      </c>
      <c r="U53" s="76">
        <f>-2.154</f>
        <v>-2.1539999999999999</v>
      </c>
      <c r="V53" s="76">
        <f>-1.037</f>
        <v>-1.0369999999999999</v>
      </c>
      <c r="W53" s="76">
        <f>-0.849</f>
        <v>-0.84899999999999998</v>
      </c>
      <c r="X53" s="76">
        <f>-0.732</f>
        <v>-0.73199999999999998</v>
      </c>
      <c r="Y53" s="76"/>
      <c r="AC53" s="76">
        <v>0</v>
      </c>
      <c r="AD53" s="76">
        <v>0</v>
      </c>
      <c r="AE53" s="76">
        <f>SUM(J53:M53)</f>
        <v>0</v>
      </c>
      <c r="AF53" s="314"/>
      <c r="AG53" s="298"/>
      <c r="AH53" s="430">
        <f>Inputs!B6</f>
        <v>0</v>
      </c>
      <c r="AI53" s="430">
        <f>Inputs!C6</f>
        <v>0</v>
      </c>
      <c r="AJ53" s="430">
        <f>Inputs!D6</f>
        <v>0</v>
      </c>
      <c r="AK53" s="430">
        <f>Inputs!E6</f>
        <v>0</v>
      </c>
      <c r="AL53" s="430">
        <f>Inputs!F6</f>
        <v>0</v>
      </c>
      <c r="AM53" s="430">
        <f>Inputs!G6</f>
        <v>0</v>
      </c>
      <c r="AN53" s="430">
        <f>Inputs!H6</f>
        <v>0</v>
      </c>
      <c r="AO53" s="430">
        <f>Inputs!I6</f>
        <v>0</v>
      </c>
      <c r="AP53" s="430">
        <f>Inputs!J6</f>
        <v>0</v>
      </c>
      <c r="AQ53" s="430">
        <f>Inputs!K6</f>
        <v>0</v>
      </c>
      <c r="AR53" s="430">
        <f>Inputs!L6</f>
        <v>0</v>
      </c>
      <c r="AS53" s="430">
        <f>Inputs!M6</f>
        <v>0</v>
      </c>
      <c r="AT53" s="430">
        <f>Inputs!N6</f>
        <v>0</v>
      </c>
    </row>
    <row r="54" spans="1:65" x14ac:dyDescent="0.25">
      <c r="A54" s="24" t="s">
        <v>58</v>
      </c>
      <c r="B54" s="36"/>
      <c r="C54" s="36"/>
      <c r="D54" s="77"/>
      <c r="E54" s="77"/>
      <c r="F54" s="77"/>
      <c r="G54" s="77"/>
      <c r="H54" s="77"/>
      <c r="I54" s="77"/>
      <c r="J54" s="77">
        <f t="shared" ref="J54:Q54" si="194">J46+J49+J51+J53</f>
        <v>1.5530000000000044</v>
      </c>
      <c r="K54" s="77">
        <f t="shared" si="194"/>
        <v>2.8239999999999998</v>
      </c>
      <c r="L54" s="77">
        <f t="shared" si="194"/>
        <v>1.7929999999999957</v>
      </c>
      <c r="M54" s="77">
        <f t="shared" si="194"/>
        <v>2.833000000000002</v>
      </c>
      <c r="N54" s="77">
        <f t="shared" si="194"/>
        <v>0.10699999999999754</v>
      </c>
      <c r="O54" s="77">
        <f t="shared" si="194"/>
        <v>3.077</v>
      </c>
      <c r="P54" s="77">
        <f t="shared" si="194"/>
        <v>2.665</v>
      </c>
      <c r="Q54" s="77">
        <f t="shared" si="194"/>
        <v>-1.2090000000000014</v>
      </c>
      <c r="R54" s="77">
        <f t="shared" ref="R54:Y54" si="195">R46+R49+R51+R53</f>
        <v>-1.7329999999999997</v>
      </c>
      <c r="S54" s="77">
        <f t="shared" si="195"/>
        <v>-1.6820000000000017</v>
      </c>
      <c r="T54" s="77">
        <f t="shared" si="195"/>
        <v>-1.3680000000000008</v>
      </c>
      <c r="U54" s="77">
        <f t="shared" si="195"/>
        <v>0.4410000000000025</v>
      </c>
      <c r="V54" s="77">
        <f t="shared" si="195"/>
        <v>-6.6999999999999282E-2</v>
      </c>
      <c r="W54" s="77">
        <f t="shared" si="195"/>
        <v>0.84499999999999909</v>
      </c>
      <c r="X54" s="77">
        <f t="shared" si="195"/>
        <v>0.58999999999999853</v>
      </c>
      <c r="Y54" s="77">
        <f t="shared" si="195"/>
        <v>1.2884769506870661</v>
      </c>
      <c r="AC54" s="105">
        <f>AC46+AC49+AC51+AC53</f>
        <v>9.0100000000000051</v>
      </c>
      <c r="AD54" s="105">
        <f>AD46+AD49+AD51+AD53</f>
        <v>6.1740000000000066</v>
      </c>
      <c r="AE54" s="77">
        <f>AE46+AE49+AE51+AE53</f>
        <v>9.0030000000000001</v>
      </c>
      <c r="AF54" s="77">
        <f>SUM(N54:Q54)</f>
        <v>4.6399999999999961</v>
      </c>
      <c r="AG54" s="105">
        <f t="shared" ref="AG54" si="196">AG46+AG49+AG51+AG53</f>
        <v>6.1560000000000077</v>
      </c>
      <c r="AH54" s="77">
        <f>AH46+AH49+AH51+AH64</f>
        <v>9.720186950687058</v>
      </c>
      <c r="AI54" s="77">
        <f t="shared" ref="AI54:AT54" si="197">AI46+AI49+AI51</f>
        <v>12.316696075356511</v>
      </c>
      <c r="AJ54" s="77">
        <f t="shared" si="197"/>
        <v>14.838744223516059</v>
      </c>
      <c r="AK54" s="77">
        <f t="shared" si="197"/>
        <v>17.32668385896649</v>
      </c>
      <c r="AL54" s="77">
        <f t="shared" si="197"/>
        <v>19.821040109429539</v>
      </c>
      <c r="AM54" s="77">
        <f t="shared" si="197"/>
        <v>22.355314502246635</v>
      </c>
      <c r="AN54" s="77">
        <f t="shared" si="197"/>
        <v>24.95917230880557</v>
      </c>
      <c r="AO54" s="77">
        <f t="shared" si="197"/>
        <v>27.657213063938904</v>
      </c>
      <c r="AP54" s="77">
        <f t="shared" si="197"/>
        <v>30.472095045680007</v>
      </c>
      <c r="AQ54" s="77">
        <f t="shared" si="197"/>
        <v>33.423784876991562</v>
      </c>
      <c r="AR54" s="77">
        <f t="shared" si="197"/>
        <v>36.529701586294472</v>
      </c>
      <c r="AS54" s="77">
        <f t="shared" si="197"/>
        <v>39.806861349387184</v>
      </c>
      <c r="AT54" s="77">
        <f t="shared" si="197"/>
        <v>43.271047317549296</v>
      </c>
    </row>
    <row r="55" spans="1:65" x14ac:dyDescent="0.25">
      <c r="A55" s="38" t="s">
        <v>59</v>
      </c>
      <c r="B55" s="36"/>
      <c r="C55" s="36"/>
      <c r="D55" s="67"/>
      <c r="E55" s="67"/>
      <c r="F55" s="67"/>
      <c r="G55" s="67"/>
      <c r="H55" s="67"/>
      <c r="I55" s="67"/>
      <c r="J55" s="67">
        <f>J54/J43</f>
        <v>0.11015746914455983</v>
      </c>
      <c r="K55" s="67">
        <f t="shared" ref="K55:P55" si="198">K54/K43</f>
        <v>0.26616399622997172</v>
      </c>
      <c r="L55" s="67">
        <f t="shared" si="198"/>
        <v>0.16378916598154708</v>
      </c>
      <c r="M55" s="67">
        <f t="shared" si="198"/>
        <v>0.17851291745431647</v>
      </c>
      <c r="N55" s="67">
        <f t="shared" si="198"/>
        <v>8.2396426921297963E-3</v>
      </c>
      <c r="O55" s="67">
        <f t="shared" si="198"/>
        <v>0.24764587525150902</v>
      </c>
      <c r="P55" s="67">
        <f t="shared" si="198"/>
        <v>0.18292264397007343</v>
      </c>
      <c r="Q55" s="67"/>
      <c r="R55" s="67"/>
      <c r="S55" s="67"/>
      <c r="T55" s="67"/>
      <c r="U55" s="67"/>
      <c r="V55" s="67"/>
      <c r="W55" s="67"/>
      <c r="X55" s="67"/>
      <c r="Y55" s="67"/>
      <c r="Z55" s="40"/>
      <c r="AA55" s="40"/>
      <c r="AB55" s="40"/>
      <c r="AC55" s="67"/>
      <c r="AD55" s="67"/>
      <c r="AE55" s="67"/>
      <c r="AF55" s="67">
        <f t="shared" ref="AF55:AT55" si="199">AF54/AF43</f>
        <v>8.4108253122337551E-2</v>
      </c>
      <c r="AG55" s="67">
        <f t="shared" si="199"/>
        <v>8.4438653041629619E-2</v>
      </c>
      <c r="AH55" s="67">
        <f t="shared" si="199"/>
        <v>0.12944344982381059</v>
      </c>
      <c r="AI55" s="67">
        <f t="shared" si="199"/>
        <v>0.15924377387936101</v>
      </c>
      <c r="AJ55" s="67">
        <f t="shared" si="199"/>
        <v>0.18626367205850897</v>
      </c>
      <c r="AK55" s="67">
        <f t="shared" si="199"/>
        <v>0.21115882575984574</v>
      </c>
      <c r="AL55" s="67">
        <f t="shared" si="199"/>
        <v>0.23452168320450958</v>
      </c>
      <c r="AM55" s="67">
        <f t="shared" si="199"/>
        <v>0.25680301692398794</v>
      </c>
      <c r="AN55" s="67">
        <f t="shared" si="199"/>
        <v>0.27836350228991019</v>
      </c>
      <c r="AO55" s="67">
        <f t="shared" si="199"/>
        <v>0.29946998680558795</v>
      </c>
      <c r="AP55" s="67">
        <f t="shared" si="199"/>
        <v>0.32033911957443917</v>
      </c>
      <c r="AQ55" s="67">
        <f t="shared" si="199"/>
        <v>0.34113483217593582</v>
      </c>
      <c r="AR55" s="67">
        <f t="shared" si="199"/>
        <v>0.36197563478146461</v>
      </c>
      <c r="AS55" s="67">
        <f t="shared" si="199"/>
        <v>0.38296045050533523</v>
      </c>
      <c r="AT55" s="67">
        <f t="shared" si="199"/>
        <v>0.40416264527526757</v>
      </c>
    </row>
    <row r="56" spans="1:65" x14ac:dyDescent="0.25">
      <c r="A56" s="24" t="s">
        <v>306</v>
      </c>
      <c r="B56" s="36"/>
      <c r="C56" s="36"/>
      <c r="D56" s="27"/>
      <c r="E56" s="27"/>
      <c r="F56" s="27"/>
      <c r="Q56" s="397">
        <v>2.4</v>
      </c>
      <c r="R56" s="1">
        <v>1.2</v>
      </c>
      <c r="S56" s="70">
        <v>1</v>
      </c>
      <c r="T56" s="70">
        <v>1.0269999999999999</v>
      </c>
      <c r="U56" s="70">
        <v>2.97</v>
      </c>
      <c r="V56" s="70">
        <v>0.97</v>
      </c>
      <c r="W56" s="70">
        <f>1.694</f>
        <v>1.694</v>
      </c>
      <c r="X56" s="70">
        <f>1.336</f>
        <v>1.3360000000000001</v>
      </c>
      <c r="Y56" s="71">
        <f t="shared" ref="Y56" si="200">Y54</f>
        <v>1.2884769506870661</v>
      </c>
      <c r="AF56" s="33"/>
      <c r="AG56" s="104">
        <f>SUM(R56:U56)</f>
        <v>6.197000000000001</v>
      </c>
      <c r="AH56" s="104">
        <f>SUM(V56:Y56)</f>
        <v>5.2884769506870661</v>
      </c>
      <c r="AI56" s="33"/>
      <c r="AJ56" s="33"/>
      <c r="AK56" s="33"/>
      <c r="AL56" s="33"/>
      <c r="AM56" s="33"/>
      <c r="AN56" s="33"/>
      <c r="AO56" s="33"/>
      <c r="AP56" s="33"/>
      <c r="AQ56" s="33"/>
      <c r="AR56" s="33"/>
      <c r="AS56" s="33"/>
      <c r="AT56" s="33"/>
    </row>
    <row r="57" spans="1:65" x14ac:dyDescent="0.25">
      <c r="B57" s="37"/>
      <c r="C57" s="37"/>
      <c r="D57" s="55"/>
      <c r="E57" s="55"/>
      <c r="F57" s="55"/>
      <c r="G57" s="51"/>
      <c r="H57" s="51"/>
      <c r="I57" s="51"/>
      <c r="J57" s="51"/>
      <c r="K57" s="51"/>
      <c r="AF57" s="42"/>
      <c r="AG57" s="42"/>
      <c r="AH57" s="42"/>
      <c r="AI57" s="42"/>
      <c r="AJ57" s="42"/>
      <c r="AK57" s="42"/>
      <c r="AL57" s="42"/>
      <c r="AM57" s="42"/>
      <c r="AN57" s="42"/>
      <c r="AO57" s="42"/>
      <c r="AP57" s="42"/>
      <c r="AQ57" s="42"/>
      <c r="AR57" s="42"/>
      <c r="AS57" s="42"/>
      <c r="AT57" s="42"/>
    </row>
    <row r="58" spans="1:65" x14ac:dyDescent="0.25">
      <c r="A58" s="1" t="s">
        <v>367</v>
      </c>
      <c r="B58" s="37"/>
      <c r="C58" s="37"/>
      <c r="D58" s="55"/>
      <c r="E58" s="55"/>
      <c r="F58" s="55"/>
      <c r="G58" s="51"/>
      <c r="H58" s="51"/>
      <c r="I58" s="51"/>
      <c r="J58" s="51"/>
      <c r="K58" s="51"/>
      <c r="AF58" s="57">
        <v>-1.0629999999999999</v>
      </c>
      <c r="AG58" s="57">
        <v>-1.079</v>
      </c>
      <c r="AH58" s="416">
        <f>-AH59*AG99</f>
        <v>-1.3596367713004482</v>
      </c>
      <c r="AI58" s="416">
        <f>-AI59*AH99</f>
        <v>-1.4321578444279104</v>
      </c>
      <c r="AJ58" s="416">
        <f>-AJ59*AI99</f>
        <v>-1.4897948608515699</v>
      </c>
      <c r="AK58" s="416">
        <f>-AK59*AJ99</f>
        <v>-1.5412729004251404</v>
      </c>
      <c r="AL58" s="416">
        <f>-AL59*AK99</f>
        <v>-1.5906479742331943</v>
      </c>
      <c r="AM58" s="416">
        <f>-AM59*AL99</f>
        <v>-1.6398178523969305</v>
      </c>
      <c r="AN58" s="416">
        <f>-AN59*AM99</f>
        <v>-1.6896830443381929</v>
      </c>
      <c r="AO58" s="416">
        <f>-AO59*AN99</f>
        <v>-1.7406836348764907</v>
      </c>
      <c r="AP58" s="416">
        <f>-AP59*AO99</f>
        <v>-1.7930475281107103</v>
      </c>
      <c r="AQ58" s="416">
        <f>-AQ59*AP99</f>
        <v>-1.8469052521734615</v>
      </c>
      <c r="AR58" s="416">
        <f>-AR59*AQ99</f>
        <v>-1.9023430648196971</v>
      </c>
      <c r="AS58" s="416">
        <f>-AS59*AR99</f>
        <v>-1.9594275311116702</v>
      </c>
      <c r="AT58" s="416">
        <f>-AT59*AS99</f>
        <v>-2.0182169110033517</v>
      </c>
    </row>
    <row r="59" spans="1:65" x14ac:dyDescent="0.25">
      <c r="A59" s="1" t="s">
        <v>368</v>
      </c>
      <c r="B59" s="37"/>
      <c r="C59" s="37"/>
      <c r="D59" s="55"/>
      <c r="E59" s="55"/>
      <c r="F59" s="55"/>
      <c r="G59" s="51"/>
      <c r="H59" s="51"/>
      <c r="I59" s="51"/>
      <c r="J59" s="51"/>
      <c r="K59" s="51"/>
      <c r="AF59" s="42"/>
      <c r="AG59" s="216">
        <f>-AG58/AF99</f>
        <v>0.53761833582461382</v>
      </c>
      <c r="AH59" s="429">
        <f>Inputs!B9</f>
        <v>0.53761833582461382</v>
      </c>
      <c r="AI59" s="429">
        <f>Inputs!C9</f>
        <v>0.53761833582461382</v>
      </c>
      <c r="AJ59" s="429">
        <f>Inputs!D9</f>
        <v>0.53761833582461382</v>
      </c>
      <c r="AK59" s="429">
        <f>Inputs!E9</f>
        <v>0.53761833582461382</v>
      </c>
      <c r="AL59" s="429">
        <f>Inputs!F9</f>
        <v>0.53761833582461382</v>
      </c>
      <c r="AM59" s="429">
        <f>Inputs!G9</f>
        <v>0.53761833582461382</v>
      </c>
      <c r="AN59" s="429">
        <f>Inputs!H9</f>
        <v>0.53761833582461382</v>
      </c>
      <c r="AO59" s="429">
        <f>Inputs!I9</f>
        <v>0.53761833582461382</v>
      </c>
      <c r="AP59" s="429">
        <f>Inputs!J9</f>
        <v>0.53761833582461382</v>
      </c>
      <c r="AQ59" s="429">
        <f>Inputs!K9</f>
        <v>0.53761833582461382</v>
      </c>
      <c r="AR59" s="429">
        <f>Inputs!L9</f>
        <v>0.53761833582461382</v>
      </c>
      <c r="AS59" s="429">
        <f>Inputs!M9</f>
        <v>0.53761833582461382</v>
      </c>
      <c r="AT59" s="429">
        <f>Inputs!N9</f>
        <v>0.53761833582461382</v>
      </c>
    </row>
    <row r="60" spans="1:65" x14ac:dyDescent="0.25">
      <c r="A60" s="1" t="s">
        <v>369</v>
      </c>
      <c r="B60" s="37"/>
      <c r="C60" s="37"/>
      <c r="D60" s="55"/>
      <c r="E60" s="55"/>
      <c r="F60" s="55"/>
      <c r="G60" s="51"/>
      <c r="H60" s="51"/>
      <c r="I60" s="51"/>
      <c r="J60" s="51"/>
      <c r="K60" s="51"/>
      <c r="AF60" s="57">
        <f>-2.181</f>
        <v>-2.181</v>
      </c>
      <c r="AG60" s="57">
        <v>-2.3959999999999999</v>
      </c>
      <c r="AH60" s="416">
        <f>-AH61*AG100</f>
        <v>-1.9333271061613075</v>
      </c>
      <c r="AI60" s="416">
        <f>-AI61*AH100</f>
        <v>-1.1012358997013665</v>
      </c>
      <c r="AJ60" s="416">
        <f>-AJ61*AI100</f>
        <v>-0.62727124806054124</v>
      </c>
      <c r="AK60" s="416">
        <f>-AK61*AJ100</f>
        <v>-0.35729784939823533</v>
      </c>
      <c r="AL60" s="416">
        <f>-AL61*AK100</f>
        <v>-0.20351921689272576</v>
      </c>
      <c r="AM60" s="416">
        <f>-AM61*AL100</f>
        <v>-0.11592589128198913</v>
      </c>
      <c r="AN60" s="416">
        <f>-AN61*AM100</f>
        <v>-6.6032153988716993E-2</v>
      </c>
      <c r="AO60" s="416">
        <f>-AO61*AN100</f>
        <v>-3.761235140977575E-2</v>
      </c>
      <c r="AP60" s="416">
        <f>-AP61*AO100</f>
        <v>-2.142424399504202E-2</v>
      </c>
      <c r="AQ60" s="416">
        <f>-AQ61*AP100</f>
        <v>-1.2203391002025912E-2</v>
      </c>
      <c r="AR60" s="416">
        <f>-AR61*AQ100</f>
        <v>-6.9511321838376435E-3</v>
      </c>
      <c r="AS60" s="416">
        <f>-AS61*AR100</f>
        <v>-3.9594108415572432E-3</v>
      </c>
      <c r="AT60" s="416">
        <f>-AT61*AS100</f>
        <v>-2.2553065885715855E-3</v>
      </c>
    </row>
    <row r="61" spans="1:65" x14ac:dyDescent="0.25">
      <c r="A61" s="1" t="s">
        <v>370</v>
      </c>
      <c r="B61" s="37"/>
      <c r="C61" s="37"/>
      <c r="D61" s="55"/>
      <c r="E61" s="55"/>
      <c r="F61" s="55"/>
      <c r="G61" s="51"/>
      <c r="H61" s="51"/>
      <c r="I61" s="51"/>
      <c r="J61" s="51"/>
      <c r="K61" s="51"/>
      <c r="AF61" s="42"/>
      <c r="AG61" s="216">
        <f>-AG60/AF100</f>
        <v>0.43039338961738816</v>
      </c>
      <c r="AH61" s="429">
        <f>Inputs!B10</f>
        <v>0.43039338961738816</v>
      </c>
      <c r="AI61" s="429">
        <f>Inputs!C10</f>
        <v>0.43039338961738816</v>
      </c>
      <c r="AJ61" s="429">
        <f>Inputs!D10</f>
        <v>0.43039338961738816</v>
      </c>
      <c r="AK61" s="429">
        <f>Inputs!E10</f>
        <v>0.43039338961738816</v>
      </c>
      <c r="AL61" s="429">
        <f>Inputs!F10</f>
        <v>0.43039338961738816</v>
      </c>
      <c r="AM61" s="429">
        <f>Inputs!G10</f>
        <v>0.43039338961738816</v>
      </c>
      <c r="AN61" s="429">
        <f>Inputs!H10</f>
        <v>0.43039338961738816</v>
      </c>
      <c r="AO61" s="429">
        <f>Inputs!I10</f>
        <v>0.43039338961738816</v>
      </c>
      <c r="AP61" s="429">
        <f>Inputs!J10</f>
        <v>0.43039338961738816</v>
      </c>
      <c r="AQ61" s="429">
        <f>Inputs!K10</f>
        <v>0.43039338961738816</v>
      </c>
      <c r="AR61" s="429">
        <f>Inputs!L10</f>
        <v>0.43039338961738816</v>
      </c>
      <c r="AS61" s="429">
        <f>Inputs!M10</f>
        <v>0.43039338961738816</v>
      </c>
      <c r="AT61" s="429">
        <f>Inputs!N10</f>
        <v>0.43039338961738816</v>
      </c>
    </row>
    <row r="62" spans="1:65" x14ac:dyDescent="0.25">
      <c r="A62" s="1" t="s">
        <v>371</v>
      </c>
      <c r="B62" s="37"/>
      <c r="C62" s="37"/>
      <c r="D62" s="55"/>
      <c r="E62" s="55"/>
      <c r="F62" s="55"/>
      <c r="G62" s="51"/>
      <c r="H62" s="51"/>
      <c r="I62" s="51"/>
      <c r="J62" s="51"/>
      <c r="K62" s="51"/>
      <c r="AF62" s="57">
        <f>-1.175</f>
        <v>-1.175</v>
      </c>
      <c r="AG62" s="57">
        <v>-1.7310000000000001</v>
      </c>
      <c r="AH62" s="416">
        <f>-AH63*AG101</f>
        <v>-2.3381999999999996</v>
      </c>
      <c r="AI62" s="416">
        <f>-AI63*AH101</f>
        <v>-1.6367399999999999</v>
      </c>
      <c r="AJ62" s="416">
        <f>-AJ63*AI101</f>
        <v>-1.145718</v>
      </c>
      <c r="AK62" s="416">
        <f>-AK63*AJ101</f>
        <v>-0.80200260000000012</v>
      </c>
      <c r="AL62" s="416">
        <f>-AL63*AK101</f>
        <v>-0.56140182000000005</v>
      </c>
      <c r="AM62" s="416">
        <f>-AM63*AL101</f>
        <v>-0.39298127400000005</v>
      </c>
      <c r="AN62" s="416">
        <f>-AN63*AM101</f>
        <v>-0.27508689180000001</v>
      </c>
      <c r="AO62" s="416">
        <f>-AO63*AN101</f>
        <v>-0.19256082426000001</v>
      </c>
      <c r="AP62" s="416">
        <f>-AP63*AO101</f>
        <v>-0.13479257698200003</v>
      </c>
      <c r="AQ62" s="416">
        <f>-AQ63*AP101</f>
        <v>-9.4354803887400016E-2</v>
      </c>
      <c r="AR62" s="416">
        <f>-AR63*AQ101</f>
        <v>-6.6048362721180018E-2</v>
      </c>
      <c r="AS62" s="416">
        <f>-AS63*AR101</f>
        <v>-4.6233853904826004E-2</v>
      </c>
      <c r="AT62" s="416">
        <f>-AT63*AS101</f>
        <v>-3.2363697733378202E-2</v>
      </c>
    </row>
    <row r="63" spans="1:65" x14ac:dyDescent="0.25">
      <c r="A63" s="1" t="s">
        <v>372</v>
      </c>
      <c r="B63" s="37"/>
      <c r="C63" s="37"/>
      <c r="D63" s="55"/>
      <c r="E63" s="55"/>
      <c r="F63" s="55"/>
      <c r="G63" s="51"/>
      <c r="H63" s="51"/>
      <c r="I63" s="51"/>
      <c r="J63" s="51"/>
      <c r="K63" s="51"/>
      <c r="AF63" s="42"/>
      <c r="AG63" s="216">
        <f>-AG62/AF101</f>
        <v>0.65543354789852337</v>
      </c>
      <c r="AH63" s="429">
        <f>Inputs!B11</f>
        <v>0.3</v>
      </c>
      <c r="AI63" s="429">
        <f>Inputs!C11</f>
        <v>0.3</v>
      </c>
      <c r="AJ63" s="429">
        <f>Inputs!D11</f>
        <v>0.3</v>
      </c>
      <c r="AK63" s="429">
        <f>Inputs!E11</f>
        <v>0.3</v>
      </c>
      <c r="AL63" s="429">
        <f>Inputs!F11</f>
        <v>0.3</v>
      </c>
      <c r="AM63" s="429">
        <f>Inputs!G11</f>
        <v>0.3</v>
      </c>
      <c r="AN63" s="429">
        <f>Inputs!H11</f>
        <v>0.3</v>
      </c>
      <c r="AO63" s="429">
        <f>Inputs!I11</f>
        <v>0.3</v>
      </c>
      <c r="AP63" s="429">
        <f>Inputs!J11</f>
        <v>0.3</v>
      </c>
      <c r="AQ63" s="429">
        <f>Inputs!K11</f>
        <v>0.3</v>
      </c>
      <c r="AR63" s="429">
        <f>Inputs!L11</f>
        <v>0.3</v>
      </c>
      <c r="AS63" s="429">
        <f>Inputs!M11</f>
        <v>0.3</v>
      </c>
      <c r="AT63" s="429">
        <f>Inputs!N11</f>
        <v>0.3</v>
      </c>
    </row>
    <row r="64" spans="1:65" x14ac:dyDescent="0.25">
      <c r="A64" s="28" t="s">
        <v>1</v>
      </c>
      <c r="B64" s="50"/>
      <c r="C64" s="50"/>
      <c r="D64" s="62"/>
      <c r="E64" s="62"/>
      <c r="F64" s="62"/>
      <c r="G64" s="62"/>
      <c r="H64" s="63"/>
      <c r="I64" s="63"/>
      <c r="J64" s="63">
        <f>-0.132-K64</f>
        <v>0.11699999999999999</v>
      </c>
      <c r="K64" s="63">
        <f>-0.249</f>
        <v>-0.249</v>
      </c>
      <c r="L64" s="63">
        <f>0.709</f>
        <v>0.70899999999999996</v>
      </c>
      <c r="M64" s="63">
        <f>-0.042-SUM(J64:L64)</f>
        <v>-0.61899999999999999</v>
      </c>
      <c r="N64" s="63">
        <f>-0.281+0.232</f>
        <v>-4.9000000000000016E-2</v>
      </c>
      <c r="O64" s="63">
        <f>-0.232</f>
        <v>-0.23200000000000001</v>
      </c>
      <c r="P64" s="63">
        <f>-0.189</f>
        <v>-0.189</v>
      </c>
      <c r="Q64" s="63">
        <f>-2.419+0.017</f>
        <v>-2.4020000000000001</v>
      </c>
      <c r="R64" s="63">
        <v>1.4E-2</v>
      </c>
      <c r="S64" s="63">
        <f>-0.131</f>
        <v>-0.13100000000000001</v>
      </c>
      <c r="T64" s="63">
        <v>0</v>
      </c>
      <c r="U64" s="63">
        <f>0.316</f>
        <v>0.316</v>
      </c>
      <c r="V64" s="63">
        <v>0</v>
      </c>
      <c r="W64" s="63">
        <v>0</v>
      </c>
      <c r="X64" s="63">
        <v>0</v>
      </c>
      <c r="Y64" s="63">
        <v>0</v>
      </c>
      <c r="AC64" s="63">
        <f>0.758</f>
        <v>0.75800000000000001</v>
      </c>
      <c r="AD64" s="63">
        <v>-0.67900000000000005</v>
      </c>
      <c r="AE64" s="63">
        <f>SUM(J64:M64)</f>
        <v>-4.2000000000000037E-2</v>
      </c>
      <c r="AF64" s="65">
        <f t="shared" ref="AF64" si="201">SUM(N64:Q64)</f>
        <v>-2.8720000000000003</v>
      </c>
      <c r="AG64" s="32">
        <f>SUM(R64:U64)</f>
        <v>0.19900000000000001</v>
      </c>
      <c r="AH64" s="32">
        <f>SUM(V64:Y64)</f>
        <v>0</v>
      </c>
      <c r="AI64" s="63">
        <v>0</v>
      </c>
      <c r="AJ64" s="63">
        <v>0</v>
      </c>
      <c r="AK64" s="63">
        <v>0</v>
      </c>
      <c r="AL64" s="63">
        <v>0</v>
      </c>
      <c r="AM64" s="63">
        <v>0</v>
      </c>
      <c r="AN64" s="63">
        <v>0</v>
      </c>
      <c r="AO64" s="63">
        <v>0</v>
      </c>
      <c r="AP64" s="63">
        <v>0</v>
      </c>
      <c r="AQ64" s="63">
        <v>0</v>
      </c>
      <c r="AR64" s="63">
        <v>0</v>
      </c>
      <c r="AS64" s="63">
        <v>0</v>
      </c>
      <c r="AT64" s="63">
        <v>0</v>
      </c>
    </row>
    <row r="65" spans="1:65" x14ac:dyDescent="0.25">
      <c r="A65" s="24" t="s">
        <v>5</v>
      </c>
      <c r="B65" s="36"/>
      <c r="C65" s="36"/>
      <c r="D65" s="77"/>
      <c r="E65" s="77"/>
      <c r="F65" s="77"/>
      <c r="G65" s="77"/>
      <c r="H65" s="77"/>
      <c r="I65" s="77"/>
      <c r="J65" s="77">
        <v>1.6700000000000044</v>
      </c>
      <c r="K65" s="77">
        <v>2.5749999999999997</v>
      </c>
      <c r="L65" s="77">
        <v>2.5019999999999958</v>
      </c>
      <c r="M65" s="77">
        <v>2.2140000000000022</v>
      </c>
      <c r="N65" s="77">
        <v>5.7999999999997526E-2</v>
      </c>
      <c r="O65" s="77">
        <v>2.8449999999999998</v>
      </c>
      <c r="P65" s="77">
        <v>2.476</v>
      </c>
      <c r="Q65" s="77">
        <v>-3.6110000000000015</v>
      </c>
      <c r="R65" s="77">
        <v>-1.7189999999999996</v>
      </c>
      <c r="S65" s="77">
        <v>-1.8130000000000017</v>
      </c>
      <c r="T65" s="77">
        <v>-1.3680000000000008</v>
      </c>
      <c r="U65" s="77">
        <v>0.75700000000000256</v>
      </c>
      <c r="V65" s="77">
        <v>-6.6999999999999282E-2</v>
      </c>
      <c r="W65" s="77">
        <v>0.84499999999999909</v>
      </c>
      <c r="X65" s="77">
        <v>0.58999999999999853</v>
      </c>
      <c r="Y65" s="77">
        <v>1.2884769506870661</v>
      </c>
      <c r="AC65" s="77">
        <v>9.7680000000000042</v>
      </c>
      <c r="AD65" s="77">
        <v>5.4950000000000063</v>
      </c>
      <c r="AE65" s="77">
        <v>8.9610000000000021</v>
      </c>
      <c r="AF65" s="106">
        <v>1.7679999999999962</v>
      </c>
      <c r="AG65" s="27">
        <v>-4.1429999999999998</v>
      </c>
      <c r="AH65" s="27">
        <f>AH54+AH58+AH60+AH62</f>
        <v>4.0890230732253032</v>
      </c>
      <c r="AI65" s="27">
        <f>AI54+AI58+AI60+AI62</f>
        <v>8.1465623312272335</v>
      </c>
      <c r="AJ65" s="27">
        <f>AJ54+AJ58+AJ60+AJ62</f>
        <v>11.575960114603948</v>
      </c>
      <c r="AK65" s="27">
        <f>AK54+AK58+AK60+AK62</f>
        <v>14.626110509143114</v>
      </c>
      <c r="AL65" s="27">
        <f>AL54+AL58+AL60+AL62</f>
        <v>17.46547109830362</v>
      </c>
      <c r="AM65" s="27">
        <f>AM54+AM58+AM60+AM62</f>
        <v>20.206589484567715</v>
      </c>
      <c r="AN65" s="27">
        <f>AN54+AN58+AN60+AN62</f>
        <v>22.928370218678658</v>
      </c>
      <c r="AO65" s="27">
        <f>AO54+AO58+AO60+AO62</f>
        <v>25.686356253392638</v>
      </c>
      <c r="AP65" s="27">
        <f>AP54+AP58+AP60+AP62</f>
        <v>28.522830696592251</v>
      </c>
      <c r="AQ65" s="27">
        <f>AQ54+AQ58+AQ60+AQ62</f>
        <v>31.470321429928678</v>
      </c>
      <c r="AR65" s="27">
        <f>AR54+AR58+AR60+AR62</f>
        <v>34.554359026569756</v>
      </c>
      <c r="AS65" s="27">
        <f>AS54+AS58+AS60+AS62</f>
        <v>37.797240553529129</v>
      </c>
      <c r="AT65" s="27">
        <f>AT54+AT58+AT60+AT62</f>
        <v>41.218211402223993</v>
      </c>
    </row>
    <row r="66" spans="1:65" x14ac:dyDescent="0.25">
      <c r="A66" s="24"/>
      <c r="B66" s="36"/>
      <c r="C66" s="36"/>
      <c r="D66" s="27"/>
      <c r="E66" s="27"/>
      <c r="F66" s="27"/>
      <c r="G66" s="27"/>
      <c r="H66" s="80"/>
      <c r="I66" s="27"/>
      <c r="J66" s="27"/>
      <c r="K66" s="27"/>
      <c r="L66" s="27"/>
      <c r="M66" s="27"/>
      <c r="N66" s="27"/>
      <c r="O66" s="27"/>
      <c r="P66" s="27"/>
      <c r="Q66" s="27"/>
      <c r="R66" s="27"/>
      <c r="S66" s="27"/>
      <c r="T66" s="27"/>
      <c r="U66" s="27"/>
      <c r="V66" s="27"/>
      <c r="W66" s="27"/>
      <c r="X66" s="27"/>
      <c r="Y66" s="27"/>
      <c r="AC66" s="58"/>
      <c r="AD66" s="58"/>
      <c r="AE66" s="58"/>
      <c r="AF66" s="58"/>
      <c r="AG66" s="58"/>
      <c r="AH66" s="58"/>
      <c r="AI66" s="58"/>
      <c r="AJ66" s="58"/>
      <c r="AK66" s="58"/>
      <c r="AL66" s="58"/>
      <c r="AM66" s="58"/>
      <c r="AN66" s="58"/>
      <c r="AO66" s="58"/>
      <c r="AP66" s="58"/>
      <c r="AQ66" s="58"/>
      <c r="AR66" s="58"/>
      <c r="AS66" s="58"/>
      <c r="AT66" s="58"/>
    </row>
    <row r="67" spans="1:65" x14ac:dyDescent="0.25">
      <c r="A67" s="1" t="s">
        <v>381</v>
      </c>
      <c r="B67" s="36"/>
      <c r="C67" s="36"/>
      <c r="D67" s="27"/>
      <c r="E67" s="27"/>
      <c r="F67" s="27"/>
      <c r="G67" s="27"/>
      <c r="H67" s="80"/>
      <c r="I67" s="27"/>
      <c r="J67" s="27"/>
      <c r="K67" s="27"/>
      <c r="L67" s="27"/>
      <c r="M67" s="27"/>
      <c r="N67" s="27"/>
      <c r="O67" s="27"/>
      <c r="P67" s="27"/>
      <c r="Q67" s="27"/>
      <c r="R67" s="27"/>
      <c r="S67" s="27"/>
      <c r="T67" s="27"/>
      <c r="U67" s="27"/>
      <c r="V67" s="27"/>
      <c r="W67" s="27"/>
      <c r="X67" s="27"/>
      <c r="Y67" s="27"/>
      <c r="AC67" s="104">
        <v>0</v>
      </c>
      <c r="AD67" s="104">
        <v>0</v>
      </c>
      <c r="AE67" s="104">
        <v>0</v>
      </c>
      <c r="AF67" s="104">
        <v>0</v>
      </c>
      <c r="AG67" s="104">
        <v>0</v>
      </c>
      <c r="AH67" s="104">
        <f>AH68*AG91</f>
        <v>0</v>
      </c>
      <c r="AI67" s="104">
        <f t="shared" ref="AI67:AT67" si="202">AI68*AH91</f>
        <v>0</v>
      </c>
      <c r="AJ67" s="104">
        <f t="shared" si="202"/>
        <v>0</v>
      </c>
      <c r="AK67" s="104">
        <f t="shared" si="202"/>
        <v>0</v>
      </c>
      <c r="AL67" s="104">
        <f t="shared" si="202"/>
        <v>0</v>
      </c>
      <c r="AM67" s="104">
        <f t="shared" si="202"/>
        <v>0</v>
      </c>
      <c r="AN67" s="104">
        <f t="shared" si="202"/>
        <v>0</v>
      </c>
      <c r="AO67" s="104">
        <f t="shared" si="202"/>
        <v>0</v>
      </c>
      <c r="AP67" s="104">
        <f t="shared" si="202"/>
        <v>0</v>
      </c>
      <c r="AQ67" s="104">
        <f t="shared" si="202"/>
        <v>0</v>
      </c>
      <c r="AR67" s="104">
        <f t="shared" si="202"/>
        <v>0</v>
      </c>
      <c r="AS67" s="104">
        <f t="shared" si="202"/>
        <v>0</v>
      </c>
      <c r="AT67" s="104">
        <f t="shared" si="202"/>
        <v>0</v>
      </c>
    </row>
    <row r="68" spans="1:65" x14ac:dyDescent="0.25">
      <c r="A68" s="1" t="s">
        <v>382</v>
      </c>
      <c r="B68" s="36"/>
      <c r="C68" s="36"/>
      <c r="D68" s="27"/>
      <c r="E68" s="27"/>
      <c r="F68" s="27"/>
      <c r="G68" s="27"/>
      <c r="H68" s="80"/>
      <c r="I68" s="27"/>
      <c r="J68" s="27"/>
      <c r="K68" s="27"/>
      <c r="L68" s="27"/>
      <c r="M68" s="27"/>
      <c r="N68" s="27"/>
      <c r="O68" s="27"/>
      <c r="P68" s="27"/>
      <c r="Q68" s="27"/>
      <c r="R68" s="27"/>
      <c r="S68" s="27"/>
      <c r="T68" s="27"/>
      <c r="U68" s="27"/>
      <c r="V68" s="27"/>
      <c r="W68" s="27"/>
      <c r="X68" s="27"/>
      <c r="Y68" s="27"/>
      <c r="AC68" s="58"/>
      <c r="AD68" s="58"/>
      <c r="AE68" s="58"/>
      <c r="AF68" s="58"/>
      <c r="AG68" s="58"/>
      <c r="AH68" s="431">
        <f>Inputs!B13</f>
        <v>0</v>
      </c>
      <c r="AI68" s="431">
        <f>Inputs!C13</f>
        <v>0</v>
      </c>
      <c r="AJ68" s="431">
        <f>Inputs!D13</f>
        <v>0</v>
      </c>
      <c r="AK68" s="431">
        <f>Inputs!E13</f>
        <v>0</v>
      </c>
      <c r="AL68" s="431">
        <f>Inputs!F13</f>
        <v>0</v>
      </c>
      <c r="AM68" s="431">
        <f>Inputs!G13</f>
        <v>0</v>
      </c>
      <c r="AN68" s="431">
        <f>Inputs!H13</f>
        <v>0</v>
      </c>
      <c r="AO68" s="431">
        <f>Inputs!I13</f>
        <v>0</v>
      </c>
      <c r="AP68" s="431">
        <f>Inputs!J13</f>
        <v>0</v>
      </c>
      <c r="AQ68" s="431">
        <f>Inputs!K13</f>
        <v>0</v>
      </c>
      <c r="AR68" s="431">
        <f>Inputs!L13</f>
        <v>0</v>
      </c>
      <c r="AS68" s="431">
        <f>Inputs!M13</f>
        <v>0</v>
      </c>
      <c r="AT68" s="431">
        <f>Inputs!N13</f>
        <v>0</v>
      </c>
    </row>
    <row r="69" spans="1:65" x14ac:dyDescent="0.25">
      <c r="A69" s="1" t="s">
        <v>387</v>
      </c>
      <c r="B69" s="36"/>
      <c r="C69" s="36"/>
      <c r="D69" s="27"/>
      <c r="E69" s="27"/>
      <c r="F69" s="27"/>
      <c r="G69" s="27"/>
      <c r="H69" s="80"/>
      <c r="I69" s="27"/>
      <c r="J69" s="27"/>
      <c r="K69" s="27"/>
      <c r="L69" s="27"/>
      <c r="M69" s="27"/>
      <c r="N69" s="27"/>
      <c r="O69" s="27"/>
      <c r="P69" s="27"/>
      <c r="Q69" s="27"/>
      <c r="R69" s="27"/>
      <c r="S69" s="27"/>
      <c r="T69" s="27"/>
      <c r="U69" s="27"/>
      <c r="V69" s="27"/>
      <c r="W69" s="27"/>
      <c r="X69" s="27"/>
      <c r="Y69" s="27"/>
      <c r="AC69" s="34">
        <v>-0.44800000000000001</v>
      </c>
      <c r="AD69" s="34">
        <v>-0.57399999999999995</v>
      </c>
      <c r="AE69" s="34">
        <v>-0.60699999999999998</v>
      </c>
      <c r="AF69" s="34">
        <v>-0.55700000000000005</v>
      </c>
      <c r="AG69" s="34">
        <v>-0.71699999999999997</v>
      </c>
      <c r="AH69" s="34">
        <f>-AH70*AG157</f>
        <v>-0.81011344770337557</v>
      </c>
      <c r="AI69" s="34">
        <f>-AI70*AH157</f>
        <v>-0.81011344770337557</v>
      </c>
      <c r="AJ69" s="34">
        <f>-AJ70*AI157</f>
        <v>-0.81011344770337557</v>
      </c>
      <c r="AK69" s="34">
        <f>-AK70*AJ157</f>
        <v>-0.81011344770337557</v>
      </c>
      <c r="AL69" s="34">
        <f>-AL70*AK157</f>
        <v>-0.81011344770337557</v>
      </c>
      <c r="AM69" s="34">
        <f>-AM70*AL157</f>
        <v>-0.81011344770337557</v>
      </c>
      <c r="AN69" s="34">
        <f>-AN70*AM157</f>
        <v>-0.81011344770337557</v>
      </c>
      <c r="AO69" s="34">
        <f>-AO70*AN157</f>
        <v>-0.81011344770337557</v>
      </c>
      <c r="AP69" s="34">
        <f>-AP70*AO157</f>
        <v>-0.81011344770337557</v>
      </c>
      <c r="AQ69" s="34">
        <f>-AQ70*AP157</f>
        <v>-0.81011344770337557</v>
      </c>
      <c r="AR69" s="34">
        <f>-AR70*AQ157</f>
        <v>-0.81011344770337557</v>
      </c>
      <c r="AS69" s="34">
        <f>-AS70*AR157</f>
        <v>-0.81011344770337557</v>
      </c>
      <c r="AT69" s="34">
        <f>-AT70*AS157</f>
        <v>-0.81011344770337557</v>
      </c>
    </row>
    <row r="70" spans="1:65" x14ac:dyDescent="0.25">
      <c r="A70" s="1" t="s">
        <v>388</v>
      </c>
      <c r="B70" s="36"/>
      <c r="C70" s="36"/>
      <c r="D70" s="27"/>
      <c r="E70" s="27"/>
      <c r="F70" s="27"/>
      <c r="G70" s="27"/>
      <c r="H70" s="80"/>
      <c r="I70" s="27"/>
      <c r="J70" s="27"/>
      <c r="K70" s="27"/>
      <c r="L70" s="27"/>
      <c r="M70" s="27"/>
      <c r="N70" s="27"/>
      <c r="O70" s="27"/>
      <c r="P70" s="27"/>
      <c r="Q70" s="27"/>
      <c r="R70" s="27"/>
      <c r="S70" s="27"/>
      <c r="T70" s="27"/>
      <c r="U70" s="27"/>
      <c r="V70" s="27"/>
      <c r="W70" s="27"/>
      <c r="X70" s="27"/>
      <c r="Y70" s="27"/>
      <c r="AC70" s="58"/>
      <c r="AD70" s="58"/>
      <c r="AE70" s="58"/>
      <c r="AF70" s="90">
        <f>-AF69/AE157</f>
        <v>4.1936455353109477E-2</v>
      </c>
      <c r="AG70" s="90">
        <f>-AG69/AF157</f>
        <v>6.6131710016602091E-2</v>
      </c>
      <c r="AH70" s="436">
        <f>Inputs!B12</f>
        <v>6.6131710016602091E-2</v>
      </c>
      <c r="AI70" s="436">
        <f>Inputs!C12</f>
        <v>6.6131710016602091E-2</v>
      </c>
      <c r="AJ70" s="436">
        <f>Inputs!D12</f>
        <v>6.6131710016602091E-2</v>
      </c>
      <c r="AK70" s="436">
        <f>Inputs!E12</f>
        <v>6.6131710016602091E-2</v>
      </c>
      <c r="AL70" s="436">
        <f>Inputs!F12</f>
        <v>6.6131710016602091E-2</v>
      </c>
      <c r="AM70" s="436">
        <f>Inputs!G12</f>
        <v>6.6131710016602091E-2</v>
      </c>
      <c r="AN70" s="436">
        <f>Inputs!H12</f>
        <v>6.6131710016602091E-2</v>
      </c>
      <c r="AO70" s="436">
        <f>Inputs!I12</f>
        <v>6.6131710016602091E-2</v>
      </c>
      <c r="AP70" s="436">
        <f>Inputs!J12</f>
        <v>6.6131710016602091E-2</v>
      </c>
      <c r="AQ70" s="436">
        <f>Inputs!K12</f>
        <v>6.6131710016602091E-2</v>
      </c>
      <c r="AR70" s="436">
        <f>Inputs!L12</f>
        <v>6.6131710016602091E-2</v>
      </c>
      <c r="AS70" s="436">
        <f>Inputs!M12</f>
        <v>6.6131710016602091E-2</v>
      </c>
      <c r="AT70" s="436">
        <f>Inputs!N12</f>
        <v>6.6131710016602091E-2</v>
      </c>
    </row>
    <row r="71" spans="1:65" x14ac:dyDescent="0.25">
      <c r="A71" s="24"/>
      <c r="B71" s="36"/>
      <c r="C71" s="36"/>
      <c r="D71" s="27"/>
      <c r="E71" s="27"/>
      <c r="F71" s="27"/>
      <c r="G71" s="27"/>
      <c r="H71" s="80"/>
      <c r="I71" s="27"/>
      <c r="J71" s="27"/>
      <c r="K71" s="27"/>
      <c r="L71" s="27"/>
      <c r="M71" s="27"/>
      <c r="N71" s="27"/>
      <c r="O71" s="27"/>
      <c r="P71" s="27"/>
      <c r="Q71" s="27"/>
      <c r="R71" s="27"/>
      <c r="S71" s="27"/>
      <c r="T71" s="27"/>
      <c r="U71" s="27"/>
      <c r="V71" s="27"/>
      <c r="W71" s="27"/>
      <c r="X71" s="27"/>
      <c r="Y71" s="27"/>
      <c r="AC71" s="58"/>
      <c r="AD71" s="58"/>
      <c r="AE71" s="58"/>
      <c r="AF71" s="58"/>
      <c r="AG71" s="58"/>
      <c r="AH71" s="58"/>
      <c r="AI71" s="58"/>
      <c r="AJ71" s="58"/>
      <c r="AK71" s="58"/>
      <c r="AL71" s="58"/>
      <c r="AM71" s="58"/>
      <c r="AN71" s="58"/>
      <c r="AO71" s="58"/>
      <c r="AP71" s="58"/>
      <c r="AQ71" s="58"/>
      <c r="AR71" s="58"/>
      <c r="AS71" s="58"/>
      <c r="AT71" s="58"/>
    </row>
    <row r="72" spans="1:65" x14ac:dyDescent="0.25">
      <c r="A72" s="1" t="s">
        <v>6</v>
      </c>
      <c r="B72" s="37"/>
      <c r="C72" s="37"/>
      <c r="D72" s="70"/>
      <c r="E72" s="70"/>
      <c r="F72" s="70"/>
      <c r="G72" s="70"/>
      <c r="H72" s="70"/>
      <c r="I72" s="70"/>
      <c r="J72" s="70">
        <v>-0.16999999999999998</v>
      </c>
      <c r="K72" s="204">
        <v>-0.121</v>
      </c>
      <c r="L72" s="204">
        <v>-0.17899999999999999</v>
      </c>
      <c r="M72" s="186">
        <v>-0.13700000000000001</v>
      </c>
      <c r="N72" s="204">
        <v>-0.13</v>
      </c>
      <c r="O72" s="204">
        <v>-0.127</v>
      </c>
      <c r="P72" s="204">
        <v>-0.13900000000000001</v>
      </c>
      <c r="Q72" s="204">
        <v>-0.161</v>
      </c>
      <c r="R72" s="204">
        <v>-0.13100000000000001</v>
      </c>
      <c r="S72" s="204">
        <v>-0.153</v>
      </c>
      <c r="T72" s="204">
        <v>-0.21</v>
      </c>
      <c r="U72" s="204">
        <v>-0.223</v>
      </c>
      <c r="V72" s="56">
        <v>0</v>
      </c>
      <c r="W72" s="56">
        <v>0</v>
      </c>
      <c r="X72" s="74">
        <v>-6.7000000000000004E-2</v>
      </c>
      <c r="Y72" s="56">
        <v>0</v>
      </c>
      <c r="AC72" s="204">
        <v>-0.44800000000000001</v>
      </c>
      <c r="AD72" s="204">
        <v>-0.57399999999999995</v>
      </c>
      <c r="AE72" s="204">
        <v>-0.60699999999999998</v>
      </c>
      <c r="AF72" s="323">
        <v>-0.55700000000000005</v>
      </c>
      <c r="AG72" s="56">
        <v>-0.71699999999999997</v>
      </c>
      <c r="AH72" s="56">
        <f>AH67+AH69</f>
        <v>-0.81011344770337557</v>
      </c>
      <c r="AI72" s="56">
        <f t="shared" ref="AI72:AT72" si="203">AI67+AI69</f>
        <v>-0.81011344770337557</v>
      </c>
      <c r="AJ72" s="56">
        <f t="shared" si="203"/>
        <v>-0.81011344770337557</v>
      </c>
      <c r="AK72" s="56">
        <f t="shared" si="203"/>
        <v>-0.81011344770337557</v>
      </c>
      <c r="AL72" s="56">
        <f t="shared" si="203"/>
        <v>-0.81011344770337557</v>
      </c>
      <c r="AM72" s="56">
        <f t="shared" si="203"/>
        <v>-0.81011344770337557</v>
      </c>
      <c r="AN72" s="56">
        <f t="shared" si="203"/>
        <v>-0.81011344770337557</v>
      </c>
      <c r="AO72" s="56">
        <f t="shared" si="203"/>
        <v>-0.81011344770337557</v>
      </c>
      <c r="AP72" s="56">
        <f t="shared" si="203"/>
        <v>-0.81011344770337557</v>
      </c>
      <c r="AQ72" s="56">
        <f t="shared" si="203"/>
        <v>-0.81011344770337557</v>
      </c>
      <c r="AR72" s="56">
        <f t="shared" si="203"/>
        <v>-0.81011344770337557</v>
      </c>
      <c r="AS72" s="56">
        <f t="shared" si="203"/>
        <v>-0.81011344770337557</v>
      </c>
      <c r="AT72" s="56">
        <f t="shared" si="203"/>
        <v>-0.81011344770337557</v>
      </c>
    </row>
    <row r="73" spans="1:65" s="40" customFormat="1" x14ac:dyDescent="0.25">
      <c r="A73" s="38"/>
      <c r="B73" s="39">
        <v>0.08</v>
      </c>
      <c r="C73" s="39">
        <v>0.1</v>
      </c>
      <c r="D73" s="41"/>
      <c r="E73" s="41"/>
      <c r="F73" s="41"/>
      <c r="G73" s="41"/>
      <c r="H73" s="41"/>
      <c r="I73" s="41"/>
      <c r="J73" s="41"/>
      <c r="K73" s="41"/>
      <c r="L73" s="41"/>
      <c r="M73" s="41"/>
      <c r="N73" s="41"/>
      <c r="O73" s="41"/>
      <c r="P73" s="41"/>
      <c r="Q73" s="73"/>
      <c r="R73" s="73"/>
      <c r="S73" s="73"/>
      <c r="T73" s="73"/>
      <c r="U73" s="73"/>
      <c r="V73" s="73"/>
      <c r="W73" s="73"/>
      <c r="X73" s="73"/>
      <c r="Y73" s="73"/>
      <c r="AC73" s="41"/>
      <c r="AD73" s="41"/>
      <c r="AE73" s="41"/>
      <c r="AF73" s="41"/>
      <c r="AG73" s="41"/>
      <c r="AH73" s="41"/>
      <c r="AI73" s="41"/>
      <c r="AJ73" s="41"/>
      <c r="AK73" s="41"/>
      <c r="AL73" s="41"/>
      <c r="AM73" s="41"/>
      <c r="AN73" s="41"/>
      <c r="AO73" s="41"/>
      <c r="AP73" s="41"/>
      <c r="AQ73" s="41"/>
      <c r="AR73" s="41"/>
      <c r="AS73" s="41"/>
      <c r="AT73" s="41"/>
      <c r="AU73" s="207"/>
      <c r="AV73" s="207"/>
      <c r="AW73" s="207"/>
      <c r="AX73" s="207"/>
      <c r="AY73" s="207"/>
      <c r="AZ73" s="207"/>
      <c r="BA73" s="207"/>
      <c r="BB73" s="207"/>
      <c r="BC73" s="207"/>
      <c r="BD73" s="207"/>
      <c r="BE73" s="207"/>
      <c r="BF73" s="207"/>
      <c r="BG73" s="207"/>
      <c r="BH73" s="207"/>
      <c r="BI73" s="207"/>
      <c r="BJ73" s="207"/>
      <c r="BK73" s="207"/>
      <c r="BL73" s="207"/>
      <c r="BM73" s="207"/>
    </row>
    <row r="74" spans="1:65" x14ac:dyDescent="0.25">
      <c r="A74" s="1" t="s">
        <v>111</v>
      </c>
      <c r="B74" s="37"/>
      <c r="C74" s="37"/>
      <c r="D74" s="74"/>
      <c r="E74" s="74"/>
      <c r="F74" s="74"/>
      <c r="G74" s="71"/>
      <c r="H74" s="213"/>
      <c r="I74" s="213"/>
      <c r="J74" s="213">
        <v>0</v>
      </c>
      <c r="K74" s="213"/>
      <c r="L74" s="213"/>
      <c r="M74" s="71"/>
      <c r="N74" s="71"/>
      <c r="O74" s="71"/>
      <c r="P74" s="71"/>
      <c r="Q74" s="71"/>
      <c r="R74" s="71"/>
      <c r="S74" s="71"/>
      <c r="T74" s="71"/>
      <c r="U74" s="71"/>
      <c r="V74" s="71"/>
      <c r="W74" s="71"/>
      <c r="X74" s="71"/>
      <c r="Y74" s="71"/>
      <c r="AC74" s="71"/>
      <c r="AD74" s="71"/>
      <c r="AE74" s="71">
        <f>SUM(J74:M74)</f>
        <v>0</v>
      </c>
      <c r="AF74" s="1">
        <f t="shared" ref="AF74:AF76" si="204">SUM(N74:Q74)</f>
        <v>0</v>
      </c>
      <c r="AG74" s="1">
        <f t="shared" ref="AG74:AG76" si="205">SUM(R74:U74)</f>
        <v>0</v>
      </c>
      <c r="AH74" s="437">
        <f t="shared" ref="AH74:AH76" si="206">SUM(V74:Y74)</f>
        <v>0</v>
      </c>
      <c r="AI74" s="437"/>
      <c r="AJ74" s="437"/>
      <c r="AK74" s="437"/>
      <c r="AL74" s="437"/>
      <c r="AM74" s="437"/>
      <c r="AN74" s="437"/>
      <c r="AO74" s="437"/>
      <c r="AP74" s="437"/>
      <c r="AQ74" s="437"/>
      <c r="AR74" s="437"/>
      <c r="AS74" s="437"/>
      <c r="AT74" s="437"/>
    </row>
    <row r="75" spans="1:65" x14ac:dyDescent="0.25">
      <c r="A75" s="1" t="s">
        <v>159</v>
      </c>
      <c r="B75" s="37"/>
      <c r="C75" s="37"/>
      <c r="D75" s="74"/>
      <c r="E75" s="74"/>
      <c r="F75" s="74"/>
      <c r="G75" s="71"/>
      <c r="H75" s="70"/>
      <c r="I75" s="70"/>
      <c r="J75" s="70">
        <v>0</v>
      </c>
      <c r="K75" s="70">
        <v>0</v>
      </c>
      <c r="L75" s="70">
        <v>0</v>
      </c>
      <c r="M75" s="70">
        <v>0</v>
      </c>
      <c r="N75" s="70">
        <v>0</v>
      </c>
      <c r="O75" s="70">
        <v>0</v>
      </c>
      <c r="P75" s="70">
        <v>0</v>
      </c>
      <c r="Q75" s="70">
        <v>0</v>
      </c>
      <c r="R75" s="70">
        <v>0</v>
      </c>
      <c r="S75" s="70">
        <v>0</v>
      </c>
      <c r="T75" s="70">
        <v>0</v>
      </c>
      <c r="U75" s="70">
        <v>0</v>
      </c>
      <c r="V75" s="70">
        <v>0</v>
      </c>
      <c r="W75" s="70">
        <v>0</v>
      </c>
      <c r="X75" s="70">
        <v>0</v>
      </c>
      <c r="Y75" s="70">
        <v>0</v>
      </c>
      <c r="AC75" s="70">
        <v>0</v>
      </c>
      <c r="AD75" s="70">
        <v>0</v>
      </c>
      <c r="AE75" s="70">
        <f>SUM(J75:M75)</f>
        <v>0</v>
      </c>
      <c r="AF75" s="54">
        <f t="shared" si="204"/>
        <v>0</v>
      </c>
      <c r="AG75" s="26">
        <f t="shared" si="205"/>
        <v>0</v>
      </c>
      <c r="AH75" s="438">
        <f t="shared" si="206"/>
        <v>0</v>
      </c>
      <c r="AI75" s="439">
        <v>0</v>
      </c>
      <c r="AJ75" s="439">
        <v>0</v>
      </c>
      <c r="AK75" s="439">
        <v>0</v>
      </c>
      <c r="AL75" s="439">
        <v>0</v>
      </c>
      <c r="AM75" s="439">
        <v>0</v>
      </c>
      <c r="AN75" s="439">
        <v>0</v>
      </c>
      <c r="AO75" s="439">
        <v>0</v>
      </c>
      <c r="AP75" s="439">
        <v>0</v>
      </c>
      <c r="AQ75" s="439">
        <v>0</v>
      </c>
      <c r="AR75" s="439">
        <v>0</v>
      </c>
      <c r="AS75" s="439">
        <v>0</v>
      </c>
      <c r="AT75" s="439">
        <v>0</v>
      </c>
    </row>
    <row r="76" spans="1:65" x14ac:dyDescent="0.25">
      <c r="A76" s="28" t="s">
        <v>1</v>
      </c>
      <c r="B76" s="50"/>
      <c r="C76" s="50"/>
      <c r="D76" s="81"/>
      <c r="E76" s="81"/>
      <c r="F76" s="81"/>
      <c r="G76" s="82"/>
      <c r="H76" s="64"/>
      <c r="I76" s="64"/>
      <c r="J76" s="64">
        <v>0</v>
      </c>
      <c r="K76" s="64">
        <v>0</v>
      </c>
      <c r="L76" s="64">
        <v>0</v>
      </c>
      <c r="M76" s="64">
        <v>0</v>
      </c>
      <c r="N76" s="64">
        <v>0</v>
      </c>
      <c r="O76" s="64">
        <v>0</v>
      </c>
      <c r="P76" s="64">
        <v>0</v>
      </c>
      <c r="Q76" s="64">
        <f>-4.732-Q75-Q72-Q65</f>
        <v>-0.95999999999999908</v>
      </c>
      <c r="R76" s="64">
        <v>0</v>
      </c>
      <c r="S76" s="64">
        <v>0</v>
      </c>
      <c r="T76" s="64">
        <v>0</v>
      </c>
      <c r="U76" s="64">
        <f>-0.449-U75-U74-U72-U65</f>
        <v>-0.98300000000000254</v>
      </c>
      <c r="V76" s="64">
        <v>0</v>
      </c>
      <c r="W76" s="64">
        <v>0</v>
      </c>
      <c r="X76" s="64">
        <v>0</v>
      </c>
      <c r="Y76" s="64">
        <v>0</v>
      </c>
      <c r="AC76" s="64">
        <v>0</v>
      </c>
      <c r="AD76" s="64">
        <v>0</v>
      </c>
      <c r="AE76" s="64">
        <f>SUM(J76:M76)</f>
        <v>0</v>
      </c>
      <c r="AF76" s="65">
        <f t="shared" si="204"/>
        <v>-0.95999999999999908</v>
      </c>
      <c r="AG76" s="32">
        <f t="shared" si="205"/>
        <v>-0.98300000000000254</v>
      </c>
      <c r="AH76" s="32">
        <f t="shared" si="206"/>
        <v>0</v>
      </c>
      <c r="AI76" s="63">
        <v>0</v>
      </c>
      <c r="AJ76" s="63">
        <v>0</v>
      </c>
      <c r="AK76" s="63">
        <v>0</v>
      </c>
      <c r="AL76" s="63">
        <v>0</v>
      </c>
      <c r="AM76" s="63">
        <v>0</v>
      </c>
      <c r="AN76" s="63">
        <v>0</v>
      </c>
      <c r="AO76" s="63">
        <v>0</v>
      </c>
      <c r="AP76" s="63">
        <v>0</v>
      </c>
      <c r="AQ76" s="63">
        <v>0</v>
      </c>
      <c r="AR76" s="63">
        <v>0</v>
      </c>
      <c r="AS76" s="63">
        <v>0</v>
      </c>
      <c r="AT76" s="63">
        <v>0</v>
      </c>
    </row>
    <row r="77" spans="1:65" x14ac:dyDescent="0.25">
      <c r="A77" s="200" t="s">
        <v>155</v>
      </c>
      <c r="B77" s="36"/>
      <c r="C77" s="36"/>
      <c r="D77" s="77"/>
      <c r="E77" s="77"/>
      <c r="F77" s="77"/>
      <c r="G77" s="77"/>
      <c r="H77" s="77"/>
      <c r="I77" s="77"/>
      <c r="J77" s="77">
        <f t="shared" ref="J77:Q77" si="207">J65+J72+J74+J75+J76</f>
        <v>1.5000000000000044</v>
      </c>
      <c r="K77" s="77">
        <f t="shared" si="207"/>
        <v>2.4539999999999997</v>
      </c>
      <c r="L77" s="77">
        <f>L65+L72+L74+L75+L76</f>
        <v>2.322999999999996</v>
      </c>
      <c r="M77" s="77">
        <f t="shared" si="207"/>
        <v>2.0770000000000022</v>
      </c>
      <c r="N77" s="77">
        <f t="shared" si="207"/>
        <v>-7.2000000000002479E-2</v>
      </c>
      <c r="O77" s="77">
        <f t="shared" si="207"/>
        <v>2.718</v>
      </c>
      <c r="P77" s="77">
        <f t="shared" si="207"/>
        <v>2.3369999999999997</v>
      </c>
      <c r="Q77" s="77">
        <f t="shared" si="207"/>
        <v>-4.7320000000000011</v>
      </c>
      <c r="R77" s="77">
        <f t="shared" ref="R77:U77" si="208">R65+R72+R74+R75+R76</f>
        <v>-1.8499999999999996</v>
      </c>
      <c r="S77" s="77">
        <f t="shared" si="208"/>
        <v>-1.9660000000000017</v>
      </c>
      <c r="T77" s="77">
        <f t="shared" si="208"/>
        <v>-1.5780000000000007</v>
      </c>
      <c r="U77" s="77">
        <f t="shared" si="208"/>
        <v>-0.44899999999999995</v>
      </c>
      <c r="V77" s="77">
        <f t="shared" ref="V77:W77" si="209">V65+V72+V74+V75+V76</f>
        <v>-6.6999999999999282E-2</v>
      </c>
      <c r="W77" s="77">
        <f t="shared" si="209"/>
        <v>0.84499999999999909</v>
      </c>
      <c r="X77" s="77">
        <f t="shared" ref="X77:Y77" si="210">X65+X72+X74+X75+X76</f>
        <v>0.52299999999999858</v>
      </c>
      <c r="Y77" s="77">
        <f t="shared" si="210"/>
        <v>1.2884769506870661</v>
      </c>
      <c r="AC77" s="77">
        <f t="shared" ref="AC77:AD77" si="211">AC65+AC72+AC74+AC75+AC76</f>
        <v>9.3200000000000038</v>
      </c>
      <c r="AD77" s="77">
        <f t="shared" si="211"/>
        <v>4.9210000000000065</v>
      </c>
      <c r="AE77" s="77">
        <f>SUM(J77:M77)</f>
        <v>8.3540000000000028</v>
      </c>
      <c r="AF77" s="27">
        <f t="shared" ref="AF77:AF79" si="212">SUM(N77:Q77)</f>
        <v>0.25099999999999589</v>
      </c>
      <c r="AG77" s="43">
        <f>SUM(R77:U77)</f>
        <v>-5.8430000000000017</v>
      </c>
      <c r="AH77" s="43">
        <f>SUM(V77:Y77)</f>
        <v>2.5894769506870645</v>
      </c>
      <c r="AI77" s="43">
        <f t="shared" ref="AI77:AN77" si="213">AI65+AI72+AI74+AI75+AI76</f>
        <v>7.3364488835238575</v>
      </c>
      <c r="AJ77" s="43">
        <f t="shared" si="213"/>
        <v>10.765846666900572</v>
      </c>
      <c r="AK77" s="43">
        <f t="shared" si="213"/>
        <v>13.815997061439738</v>
      </c>
      <c r="AL77" s="43">
        <f t="shared" si="213"/>
        <v>16.655357650600244</v>
      </c>
      <c r="AM77" s="43">
        <f t="shared" si="213"/>
        <v>19.396476036864339</v>
      </c>
      <c r="AN77" s="43">
        <f t="shared" si="213"/>
        <v>22.118256770975282</v>
      </c>
      <c r="AO77" s="43">
        <f t="shared" ref="AO77:AP77" si="214">AO65+AO72+AO74+AO75+AO76</f>
        <v>24.876242805689262</v>
      </c>
      <c r="AP77" s="43">
        <f t="shared" si="214"/>
        <v>27.712717248888875</v>
      </c>
      <c r="AQ77" s="43">
        <f t="shared" ref="AQ77:AR77" si="215">AQ65+AQ72+AQ74+AQ75+AQ76</f>
        <v>30.660207982225302</v>
      </c>
      <c r="AR77" s="43">
        <f t="shared" si="215"/>
        <v>33.744245578866384</v>
      </c>
      <c r="AS77" s="43">
        <f t="shared" ref="AS77:AT77" si="216">AS65+AS72+AS74+AS75+AS76</f>
        <v>36.987127105825756</v>
      </c>
      <c r="AT77" s="43">
        <f t="shared" si="216"/>
        <v>40.40809795452062</v>
      </c>
    </row>
    <row r="78" spans="1:65" x14ac:dyDescent="0.25">
      <c r="A78" s="24"/>
      <c r="B78" s="36"/>
      <c r="C78" s="36"/>
      <c r="D78" s="27"/>
      <c r="E78" s="27"/>
      <c r="F78" s="27"/>
      <c r="G78" s="27"/>
      <c r="H78" s="27"/>
      <c r="I78" s="27"/>
      <c r="J78" s="27"/>
      <c r="K78" s="27"/>
      <c r="L78" s="27"/>
      <c r="M78" s="27"/>
      <c r="N78" s="27"/>
      <c r="O78" s="27"/>
      <c r="P78" s="27"/>
      <c r="Q78" s="27"/>
      <c r="R78" s="27"/>
      <c r="S78" s="27"/>
      <c r="T78" s="27"/>
      <c r="U78" s="27"/>
      <c r="V78" s="27"/>
      <c r="W78" s="27"/>
      <c r="X78" s="27"/>
      <c r="Y78" s="27"/>
      <c r="AC78" s="27"/>
      <c r="AD78" s="27"/>
      <c r="AE78" s="27"/>
      <c r="AF78" s="54">
        <f t="shared" si="212"/>
        <v>0</v>
      </c>
      <c r="AG78" s="43"/>
      <c r="AH78" s="43"/>
      <c r="AI78" s="43"/>
      <c r="AJ78" s="43"/>
      <c r="AK78" s="43"/>
      <c r="AL78" s="43"/>
      <c r="AM78" s="43"/>
      <c r="AN78" s="43"/>
      <c r="AO78" s="43"/>
      <c r="AP78" s="43"/>
      <c r="AQ78" s="43"/>
      <c r="AR78" s="43"/>
      <c r="AS78" s="43"/>
      <c r="AT78" s="43"/>
    </row>
    <row r="79" spans="1:65" x14ac:dyDescent="0.25">
      <c r="A79" s="1" t="s">
        <v>7</v>
      </c>
      <c r="B79" s="37"/>
      <c r="C79" s="37"/>
      <c r="D79" s="57"/>
      <c r="E79" s="57"/>
      <c r="F79" s="57"/>
      <c r="G79" s="57"/>
      <c r="H79" s="57"/>
      <c r="I79" s="57"/>
      <c r="J79" s="42">
        <f>-0.092-K79</f>
        <v>-4.5999999999999999E-2</v>
      </c>
      <c r="K79" s="42">
        <f>-0.046</f>
        <v>-4.5999999999999999E-2</v>
      </c>
      <c r="L79" s="42">
        <f>-0.067+0.021</f>
        <v>-4.5999999999999999E-2</v>
      </c>
      <c r="M79" s="187">
        <f>-0.183-SUM(J79:L79)</f>
        <v>-4.4999999999999984E-2</v>
      </c>
      <c r="N79" s="42">
        <f>-0.033+0.016</f>
        <v>-1.7000000000000001E-2</v>
      </c>
      <c r="O79" s="42">
        <f>-0.016</f>
        <v>-1.6E-2</v>
      </c>
      <c r="P79" s="42">
        <f>-0.276-0.212</f>
        <v>-0.48799999999999999</v>
      </c>
      <c r="Q79" s="83">
        <v>-0.34799999999999998</v>
      </c>
      <c r="R79" s="83">
        <v>0.52700000000000002</v>
      </c>
      <c r="S79" s="42">
        <f>-0.53</f>
        <v>-0.53</v>
      </c>
      <c r="T79" s="42">
        <f>0.273</f>
        <v>0.27300000000000002</v>
      </c>
      <c r="U79" s="83">
        <f>1.284-1.037</f>
        <v>0.24700000000000011</v>
      </c>
      <c r="V79" s="83">
        <f t="shared" ref="V79:W79" si="217">IF(V77&lt;0,0,-V77*V80)</f>
        <v>0</v>
      </c>
      <c r="W79" s="83">
        <f t="shared" si="217"/>
        <v>-0.22814999999999977</v>
      </c>
      <c r="X79" s="70">
        <f>-0.081</f>
        <v>-8.1000000000000003E-2</v>
      </c>
      <c r="Y79" s="83">
        <f t="shared" ref="Y79" si="218">IF(Y77&lt;0,0,-Y77*Y80)</f>
        <v>-0.34788877668550788</v>
      </c>
      <c r="AC79" s="42">
        <v>1.2999999999999999E-2</v>
      </c>
      <c r="AD79" s="42">
        <v>-0.127</v>
      </c>
      <c r="AE79" s="42">
        <v>-0.183</v>
      </c>
      <c r="AF79" s="322">
        <v>-0.86899999999999999</v>
      </c>
      <c r="AG79" s="83">
        <v>0</v>
      </c>
      <c r="AH79" s="83">
        <f t="shared" ref="AG79:AN79" si="219">IF(AH77&lt;0,0,-AH77*AH80)</f>
        <v>-0.69915877668550741</v>
      </c>
      <c r="AI79" s="83">
        <f t="shared" si="219"/>
        <v>-1.9808411985514416</v>
      </c>
      <c r="AJ79" s="83">
        <f t="shared" si="219"/>
        <v>-2.9067786000631548</v>
      </c>
      <c r="AK79" s="83">
        <f t="shared" si="219"/>
        <v>-3.7303192065887294</v>
      </c>
      <c r="AL79" s="83">
        <f t="shared" si="219"/>
        <v>-4.496946565662066</v>
      </c>
      <c r="AM79" s="83">
        <f t="shared" si="219"/>
        <v>-5.2370485299533716</v>
      </c>
      <c r="AN79" s="83">
        <f t="shared" si="219"/>
        <v>-5.971929328163327</v>
      </c>
      <c r="AO79" s="83">
        <f t="shared" ref="AO79:AP79" si="220">IF(AO77&lt;0,0,-AO77*AO80)</f>
        <v>-6.7165855575361011</v>
      </c>
      <c r="AP79" s="83">
        <f t="shared" si="220"/>
        <v>-7.482433657199997</v>
      </c>
      <c r="AQ79" s="83">
        <f t="shared" ref="AQ79:AR79" si="221">IF(AQ77&lt;0,0,-AQ77*AQ80)</f>
        <v>-8.2782561552008325</v>
      </c>
      <c r="AR79" s="83">
        <f t="shared" si="221"/>
        <v>-9.1109463062939238</v>
      </c>
      <c r="AS79" s="83">
        <f t="shared" ref="AS79:AT79" si="222">IF(AS77&lt;0,0,-AS77*AS80)</f>
        <v>-9.986524318572954</v>
      </c>
      <c r="AT79" s="83">
        <f t="shared" si="222"/>
        <v>-10.910186447720568</v>
      </c>
    </row>
    <row r="80" spans="1:65" s="40" customFormat="1" x14ac:dyDescent="0.25">
      <c r="A80" s="38" t="s">
        <v>14</v>
      </c>
      <c r="B80" s="66"/>
      <c r="C80" s="66"/>
      <c r="H80" s="73"/>
      <c r="I80" s="73"/>
      <c r="J80" s="41"/>
      <c r="K80" s="41">
        <f>-K79/K77</f>
        <v>1.8744906275468626E-2</v>
      </c>
      <c r="L80" s="41">
        <f t="shared" ref="L80:M80" si="223">-L79/L77</f>
        <v>1.9801980198019837E-2</v>
      </c>
      <c r="M80" s="41">
        <f t="shared" si="223"/>
        <v>2.1665864227250812E-2</v>
      </c>
      <c r="N80" s="73"/>
      <c r="O80" s="41">
        <f>-O79/O77</f>
        <v>5.8866813833701251E-3</v>
      </c>
      <c r="P80" s="41">
        <f>-P79/P77</f>
        <v>0.20881471972614465</v>
      </c>
      <c r="Q80" s="41"/>
      <c r="R80" s="73"/>
      <c r="S80" s="73"/>
      <c r="T80" s="73"/>
      <c r="U80" s="73"/>
      <c r="V80" s="73">
        <v>0.27</v>
      </c>
      <c r="W80" s="73">
        <v>0.27</v>
      </c>
      <c r="X80" s="73">
        <v>0.27</v>
      </c>
      <c r="Y80" s="73">
        <v>0.27</v>
      </c>
      <c r="AC80" s="41">
        <f>-AC79/AC77</f>
        <v>-1.3948497854077246E-3</v>
      </c>
      <c r="AD80" s="41"/>
      <c r="AE80" s="41"/>
      <c r="AF80" s="73"/>
      <c r="AG80" s="73">
        <v>0.27</v>
      </c>
      <c r="AH80" s="73">
        <v>0.27</v>
      </c>
      <c r="AI80" s="73">
        <v>0.27</v>
      </c>
      <c r="AJ80" s="73">
        <v>0.27</v>
      </c>
      <c r="AK80" s="73">
        <v>0.27</v>
      </c>
      <c r="AL80" s="73">
        <v>0.27</v>
      </c>
      <c r="AM80" s="73">
        <v>0.27</v>
      </c>
      <c r="AN80" s="73">
        <v>0.27</v>
      </c>
      <c r="AO80" s="73">
        <v>0.27</v>
      </c>
      <c r="AP80" s="73">
        <v>0.27</v>
      </c>
      <c r="AQ80" s="73">
        <v>0.27</v>
      </c>
      <c r="AR80" s="73">
        <v>0.27</v>
      </c>
      <c r="AS80" s="73">
        <v>0.27</v>
      </c>
      <c r="AT80" s="73">
        <v>0.27</v>
      </c>
      <c r="AU80" s="207"/>
      <c r="AV80" s="207"/>
      <c r="AW80" s="207"/>
      <c r="AX80" s="207"/>
      <c r="AY80" s="207"/>
      <c r="AZ80" s="207"/>
      <c r="BA80" s="207"/>
      <c r="BB80" s="207"/>
      <c r="BC80" s="207"/>
      <c r="BD80" s="207"/>
      <c r="BE80" s="207"/>
      <c r="BF80" s="207"/>
      <c r="BG80" s="207"/>
      <c r="BH80" s="207"/>
      <c r="BI80" s="207"/>
      <c r="BJ80" s="207"/>
      <c r="BK80" s="207"/>
      <c r="BL80" s="207"/>
      <c r="BM80" s="207"/>
    </row>
    <row r="81" spans="1:65" x14ac:dyDescent="0.25">
      <c r="A81" s="28" t="s">
        <v>49</v>
      </c>
      <c r="B81" s="50"/>
      <c r="C81" s="50"/>
      <c r="D81" s="62"/>
      <c r="E81" s="62"/>
      <c r="F81" s="62"/>
      <c r="G81" s="84"/>
      <c r="H81" s="84"/>
      <c r="I81" s="84"/>
      <c r="J81" s="84">
        <v>0</v>
      </c>
      <c r="K81" s="188">
        <v>0</v>
      </c>
      <c r="L81" s="188">
        <v>0</v>
      </c>
      <c r="M81" s="188">
        <v>0</v>
      </c>
      <c r="N81" s="62">
        <v>0</v>
      </c>
      <c r="O81" s="62">
        <v>0</v>
      </c>
      <c r="P81" s="85">
        <f t="shared" ref="P81:Q81" si="224">O81</f>
        <v>0</v>
      </c>
      <c r="Q81" s="85">
        <f t="shared" si="224"/>
        <v>0</v>
      </c>
      <c r="R81" s="85">
        <f t="shared" ref="R81" si="225">Q81</f>
        <v>0</v>
      </c>
      <c r="S81" s="85">
        <f t="shared" ref="S81" si="226">R81</f>
        <v>0</v>
      </c>
      <c r="T81" s="85">
        <f t="shared" ref="T81" si="227">S81</f>
        <v>0</v>
      </c>
      <c r="U81" s="85">
        <f t="shared" ref="U81" si="228">T81</f>
        <v>0</v>
      </c>
      <c r="V81" s="85">
        <f t="shared" ref="V81" si="229">U81</f>
        <v>0</v>
      </c>
      <c r="W81" s="85">
        <f t="shared" ref="W81" si="230">V81</f>
        <v>0</v>
      </c>
      <c r="X81" s="85">
        <f t="shared" ref="X81" si="231">W81</f>
        <v>0</v>
      </c>
      <c r="Y81" s="85">
        <f t="shared" ref="Y81" si="232">X81</f>
        <v>0</v>
      </c>
      <c r="AC81" s="85">
        <f t="shared" ref="AC81" si="233">AB81</f>
        <v>0</v>
      </c>
      <c r="AD81" s="85">
        <v>0</v>
      </c>
      <c r="AE81" s="85">
        <f>SUM(J81:M81)</f>
        <v>0</v>
      </c>
      <c r="AF81" s="65">
        <f>SUM(N81:Q81)</f>
        <v>0</v>
      </c>
      <c r="AG81" s="65">
        <f t="shared" ref="AG81:AT81" si="234">AF81</f>
        <v>0</v>
      </c>
      <c r="AH81" s="65">
        <f t="shared" si="234"/>
        <v>0</v>
      </c>
      <c r="AI81" s="65">
        <f t="shared" si="234"/>
        <v>0</v>
      </c>
      <c r="AJ81" s="65">
        <f t="shared" si="234"/>
        <v>0</v>
      </c>
      <c r="AK81" s="65">
        <f t="shared" si="234"/>
        <v>0</v>
      </c>
      <c r="AL81" s="65">
        <f t="shared" si="234"/>
        <v>0</v>
      </c>
      <c r="AM81" s="65">
        <f t="shared" si="234"/>
        <v>0</v>
      </c>
      <c r="AN81" s="65">
        <f t="shared" si="234"/>
        <v>0</v>
      </c>
      <c r="AO81" s="65">
        <f t="shared" si="234"/>
        <v>0</v>
      </c>
      <c r="AP81" s="65">
        <f t="shared" si="234"/>
        <v>0</v>
      </c>
      <c r="AQ81" s="65">
        <f t="shared" si="234"/>
        <v>0</v>
      </c>
      <c r="AR81" s="65">
        <f t="shared" si="234"/>
        <v>0</v>
      </c>
      <c r="AS81" s="65">
        <f t="shared" si="234"/>
        <v>0</v>
      </c>
      <c r="AT81" s="65">
        <f t="shared" si="234"/>
        <v>0</v>
      </c>
    </row>
    <row r="82" spans="1:65" s="77" customFormat="1" x14ac:dyDescent="0.25">
      <c r="A82" s="77" t="s">
        <v>57</v>
      </c>
      <c r="B82" s="86"/>
      <c r="C82" s="86"/>
      <c r="J82" s="77">
        <f t="shared" ref="J82:Q82" si="235">J77+J79+J81</f>
        <v>1.4540000000000044</v>
      </c>
      <c r="K82" s="77">
        <f t="shared" si="235"/>
        <v>2.4079999999999999</v>
      </c>
      <c r="L82" s="77">
        <f>L77+L79+L81</f>
        <v>2.2769999999999961</v>
      </c>
      <c r="M82" s="77">
        <f t="shared" si="235"/>
        <v>2.0320000000000022</v>
      </c>
      <c r="N82" s="77">
        <f>N77+N79+N81</f>
        <v>-8.900000000000248E-2</v>
      </c>
      <c r="O82" s="77">
        <f t="shared" si="235"/>
        <v>2.702</v>
      </c>
      <c r="P82" s="77">
        <f t="shared" si="235"/>
        <v>1.8489999999999998</v>
      </c>
      <c r="Q82" s="77">
        <f t="shared" si="235"/>
        <v>-5.080000000000001</v>
      </c>
      <c r="R82" s="77">
        <f t="shared" ref="R82:U82" si="236">R77+R79+R81</f>
        <v>-1.3229999999999995</v>
      </c>
      <c r="S82" s="77">
        <f t="shared" si="236"/>
        <v>-2.4960000000000018</v>
      </c>
      <c r="T82" s="77">
        <f t="shared" si="236"/>
        <v>-1.3050000000000006</v>
      </c>
      <c r="U82" s="77">
        <f t="shared" si="236"/>
        <v>-0.20199999999999985</v>
      </c>
      <c r="V82" s="60">
        <f>-1.234</f>
        <v>-1.234</v>
      </c>
      <c r="W82" s="60">
        <f>-0.978</f>
        <v>-0.97799999999999998</v>
      </c>
      <c r="X82" s="77">
        <f t="shared" ref="X82:Y82" si="237">X77+X79+X81</f>
        <v>0.44199999999999856</v>
      </c>
      <c r="Y82" s="77">
        <f t="shared" si="237"/>
        <v>0.94058817400155825</v>
      </c>
      <c r="AC82" s="77">
        <f t="shared" ref="AC82:AD82" si="238">AC77+AC79+AC81</f>
        <v>9.3330000000000037</v>
      </c>
      <c r="AD82" s="77">
        <f t="shared" si="238"/>
        <v>4.7940000000000067</v>
      </c>
      <c r="AE82" s="77">
        <f>SUM(J82:M82)</f>
        <v>8.1710000000000029</v>
      </c>
      <c r="AF82" s="77">
        <f>SUM(N82:Q82)</f>
        <v>-0.61800000000000388</v>
      </c>
      <c r="AG82" s="77">
        <f>SUM(R82:U82)</f>
        <v>-5.3260000000000023</v>
      </c>
      <c r="AH82" s="77">
        <f>SUM(V82:Y82)</f>
        <v>-0.82941182599844288</v>
      </c>
      <c r="AI82" s="77">
        <f t="shared" ref="AI82:AN82" si="239">AI77+AI79+AI81</f>
        <v>5.3556076849724157</v>
      </c>
      <c r="AJ82" s="77">
        <f t="shared" si="239"/>
        <v>7.8590680668374171</v>
      </c>
      <c r="AK82" s="77">
        <f t="shared" si="239"/>
        <v>10.085677854851008</v>
      </c>
      <c r="AL82" s="77">
        <f t="shared" si="239"/>
        <v>12.158411084938178</v>
      </c>
      <c r="AM82" s="77">
        <f t="shared" si="239"/>
        <v>14.159427506910967</v>
      </c>
      <c r="AN82" s="77">
        <f t="shared" si="239"/>
        <v>16.146327442811955</v>
      </c>
      <c r="AO82" s="77">
        <f t="shared" ref="AO82:AP82" si="240">AO77+AO79+AO81</f>
        <v>18.15965724815316</v>
      </c>
      <c r="AP82" s="77">
        <f t="shared" si="240"/>
        <v>20.230283591688877</v>
      </c>
      <c r="AQ82" s="77">
        <f t="shared" ref="AQ82:AR82" si="241">AQ77+AQ79+AQ81</f>
        <v>22.381951827024469</v>
      </c>
      <c r="AR82" s="77">
        <f t="shared" si="241"/>
        <v>24.633299272572458</v>
      </c>
      <c r="AS82" s="77">
        <f t="shared" ref="AS82:AT82" si="242">AS77+AS79+AS81</f>
        <v>27.000602787252802</v>
      </c>
      <c r="AT82" s="77">
        <f t="shared" si="242"/>
        <v>29.497911506800051</v>
      </c>
      <c r="AU82" s="208"/>
      <c r="AV82" s="208"/>
      <c r="AW82" s="208"/>
      <c r="AX82" s="208"/>
      <c r="AY82" s="208"/>
      <c r="AZ82" s="208"/>
      <c r="BA82" s="208"/>
      <c r="BB82" s="208"/>
      <c r="BC82" s="208"/>
      <c r="BD82" s="208"/>
      <c r="BE82" s="208"/>
      <c r="BF82" s="208"/>
      <c r="BG82" s="208"/>
      <c r="BH82" s="208"/>
      <c r="BI82" s="208"/>
      <c r="BJ82" s="208"/>
      <c r="BK82" s="208"/>
      <c r="BL82" s="208"/>
      <c r="BM82" s="208"/>
    </row>
    <row r="83" spans="1:65" x14ac:dyDescent="0.25">
      <c r="A83" s="24"/>
      <c r="B83" s="36"/>
      <c r="C83" s="36"/>
      <c r="D83" s="27"/>
      <c r="E83" s="27"/>
      <c r="F83" s="27"/>
      <c r="G83" s="27"/>
      <c r="H83" s="27"/>
      <c r="I83" s="27"/>
      <c r="J83" s="27"/>
      <c r="K83" s="27"/>
      <c r="L83" s="27"/>
      <c r="M83" s="27"/>
      <c r="N83" s="27"/>
      <c r="O83" s="27"/>
      <c r="P83" s="27"/>
      <c r="Q83" s="27"/>
      <c r="R83" s="27"/>
      <c r="S83" s="27"/>
      <c r="T83" s="27"/>
      <c r="U83" s="27"/>
      <c r="V83" s="27"/>
      <c r="W83" s="27"/>
      <c r="X83" s="27"/>
      <c r="Y83" s="27"/>
      <c r="AC83" s="43"/>
      <c r="AD83" s="43"/>
      <c r="AE83" s="54"/>
      <c r="AF83" s="54"/>
      <c r="AG83" s="43"/>
      <c r="AH83" s="43"/>
      <c r="AI83" s="43"/>
      <c r="AJ83" s="43"/>
      <c r="AK83" s="43"/>
      <c r="AL83" s="43"/>
      <c r="AM83" s="43"/>
      <c r="AN83" s="43"/>
      <c r="AO83" s="43"/>
      <c r="AP83" s="43"/>
      <c r="AQ83" s="43"/>
      <c r="AR83" s="43"/>
      <c r="AS83" s="43"/>
      <c r="AT83" s="43"/>
    </row>
    <row r="84" spans="1:65" x14ac:dyDescent="0.25">
      <c r="A84" s="1" t="s">
        <v>9</v>
      </c>
      <c r="B84" s="37"/>
      <c r="C84" s="37"/>
      <c r="D84" s="51"/>
      <c r="E84" s="51"/>
      <c r="F84" s="51"/>
      <c r="G84" s="51"/>
      <c r="H84" s="51"/>
      <c r="I84" s="51"/>
      <c r="J84" s="57"/>
      <c r="K84" s="57"/>
      <c r="L84" s="57"/>
      <c r="M84" s="57"/>
      <c r="N84" s="57"/>
      <c r="O84" s="57"/>
      <c r="P84" s="57">
        <v>146.16671199999999</v>
      </c>
      <c r="Q84" s="57">
        <f t="shared" ref="Q84:T84" si="243">P84</f>
        <v>146.16671199999999</v>
      </c>
      <c r="R84" s="57">
        <f t="shared" si="243"/>
        <v>146.16671199999999</v>
      </c>
      <c r="S84" s="57">
        <f t="shared" si="243"/>
        <v>146.16671199999999</v>
      </c>
      <c r="T84" s="57">
        <f t="shared" si="243"/>
        <v>146.16671199999999</v>
      </c>
      <c r="U84" s="57">
        <v>124.55500000000001</v>
      </c>
      <c r="V84" s="57">
        <f t="shared" ref="V84" si="244">U84</f>
        <v>124.55500000000001</v>
      </c>
      <c r="W84" s="57">
        <v>124.462531</v>
      </c>
      <c r="X84" s="57">
        <v>124.13491399999999</v>
      </c>
      <c r="Y84" s="57">
        <f t="shared" ref="Y84" si="245">X84</f>
        <v>124.13491399999999</v>
      </c>
      <c r="AD84" s="42"/>
      <c r="AE84" s="78">
        <f>Q84</f>
        <v>146.16671199999999</v>
      </c>
      <c r="AF84" s="78">
        <f>Q84</f>
        <v>146.16671199999999</v>
      </c>
      <c r="AG84" s="54">
        <f>U84</f>
        <v>124.55500000000001</v>
      </c>
      <c r="AH84" s="54">
        <f t="shared" ref="AH84:AT85" si="246">AG84</f>
        <v>124.55500000000001</v>
      </c>
      <c r="AI84" s="54">
        <f t="shared" si="246"/>
        <v>124.55500000000001</v>
      </c>
      <c r="AJ84" s="54">
        <f t="shared" si="246"/>
        <v>124.55500000000001</v>
      </c>
      <c r="AK84" s="54">
        <f t="shared" si="246"/>
        <v>124.55500000000001</v>
      </c>
      <c r="AL84" s="54">
        <f t="shared" si="246"/>
        <v>124.55500000000001</v>
      </c>
      <c r="AM84" s="54">
        <f t="shared" si="246"/>
        <v>124.55500000000001</v>
      </c>
      <c r="AN84" s="54">
        <f t="shared" si="246"/>
        <v>124.55500000000001</v>
      </c>
      <c r="AO84" s="54">
        <f t="shared" si="246"/>
        <v>124.55500000000001</v>
      </c>
      <c r="AP84" s="54">
        <f t="shared" si="246"/>
        <v>124.55500000000001</v>
      </c>
      <c r="AQ84" s="54">
        <f t="shared" si="246"/>
        <v>124.55500000000001</v>
      </c>
      <c r="AR84" s="54">
        <f t="shared" si="246"/>
        <v>124.55500000000001</v>
      </c>
      <c r="AS84" s="54">
        <f t="shared" si="246"/>
        <v>124.55500000000001</v>
      </c>
      <c r="AT84" s="54">
        <f t="shared" si="246"/>
        <v>124.55500000000001</v>
      </c>
    </row>
    <row r="85" spans="1:65" x14ac:dyDescent="0.25">
      <c r="A85" s="1" t="s">
        <v>10</v>
      </c>
      <c r="B85" s="37"/>
      <c r="C85" s="37"/>
      <c r="G85" s="51"/>
      <c r="L85" s="185"/>
      <c r="O85" s="25"/>
      <c r="P85" s="25">
        <v>146.16671199999999</v>
      </c>
      <c r="Q85" s="25">
        <v>146.16671199999999</v>
      </c>
      <c r="R85" s="25">
        <v>146.16671199999999</v>
      </c>
      <c r="S85" s="25">
        <v>146.16671199999999</v>
      </c>
      <c r="T85" s="25">
        <v>146.16671199999999</v>
      </c>
      <c r="U85" s="25">
        <v>146.16671199999999</v>
      </c>
      <c r="V85" s="25">
        <v>146.16671199999999</v>
      </c>
      <c r="W85" s="25">
        <v>146.16671199999999</v>
      </c>
      <c r="X85" s="25">
        <v>146.16671199999999</v>
      </c>
      <c r="Y85" s="25">
        <v>146.16671199999999</v>
      </c>
      <c r="AD85" s="25"/>
      <c r="AE85" s="25">
        <f>AE84</f>
        <v>146.16671199999999</v>
      </c>
      <c r="AF85" s="25">
        <f>AF84</f>
        <v>146.16671199999999</v>
      </c>
      <c r="AG85" s="25">
        <f>AF85</f>
        <v>146.16671199999999</v>
      </c>
      <c r="AH85" s="25">
        <f t="shared" si="246"/>
        <v>146.16671199999999</v>
      </c>
      <c r="AI85" s="25">
        <f t="shared" si="246"/>
        <v>146.16671199999999</v>
      </c>
      <c r="AJ85" s="25">
        <f t="shared" si="246"/>
        <v>146.16671199999999</v>
      </c>
      <c r="AK85" s="25">
        <f t="shared" si="246"/>
        <v>146.16671199999999</v>
      </c>
      <c r="AL85" s="25">
        <f t="shared" si="246"/>
        <v>146.16671199999999</v>
      </c>
      <c r="AM85" s="25">
        <f t="shared" si="246"/>
        <v>146.16671199999999</v>
      </c>
      <c r="AN85" s="25">
        <f t="shared" si="246"/>
        <v>146.16671199999999</v>
      </c>
      <c r="AO85" s="25">
        <f t="shared" si="246"/>
        <v>146.16671199999999</v>
      </c>
      <c r="AP85" s="25">
        <f t="shared" si="246"/>
        <v>146.16671199999999</v>
      </c>
      <c r="AQ85" s="25">
        <f t="shared" si="246"/>
        <v>146.16671199999999</v>
      </c>
      <c r="AR85" s="25">
        <f t="shared" si="246"/>
        <v>146.16671199999999</v>
      </c>
      <c r="AS85" s="25">
        <f t="shared" si="246"/>
        <v>146.16671199999999</v>
      </c>
      <c r="AT85" s="25">
        <f t="shared" si="246"/>
        <v>146.16671199999999</v>
      </c>
    </row>
    <row r="86" spans="1:65" x14ac:dyDescent="0.25">
      <c r="A86" s="1" t="s">
        <v>11</v>
      </c>
      <c r="B86" s="37"/>
      <c r="C86" s="37"/>
      <c r="D86" s="87"/>
      <c r="E86" s="87"/>
      <c r="F86" s="87"/>
      <c r="G86" s="88"/>
      <c r="H86" s="88"/>
      <c r="I86" s="88"/>
      <c r="J86" s="88"/>
      <c r="K86" s="88"/>
      <c r="L86" s="88"/>
      <c r="AC86" s="89"/>
      <c r="AD86" s="89"/>
      <c r="AE86" s="88"/>
      <c r="AF86" s="88"/>
      <c r="AG86" s="88"/>
      <c r="AH86" s="88"/>
      <c r="AI86" s="88"/>
      <c r="AJ86" s="88"/>
      <c r="AK86" s="88"/>
      <c r="AL86" s="88"/>
      <c r="AM86" s="88"/>
      <c r="AN86" s="88"/>
      <c r="AO86" s="88"/>
      <c r="AP86" s="88"/>
      <c r="AQ86" s="88"/>
      <c r="AR86" s="88"/>
      <c r="AS86" s="88"/>
      <c r="AT86" s="88"/>
    </row>
    <row r="87" spans="1:65" x14ac:dyDescent="0.25">
      <c r="A87" s="1" t="s">
        <v>12</v>
      </c>
      <c r="B87" s="37"/>
      <c r="C87" s="37"/>
      <c r="D87" s="87"/>
      <c r="E87" s="87"/>
      <c r="F87" s="87"/>
      <c r="G87" s="88"/>
      <c r="L87" s="88"/>
      <c r="AC87" s="89"/>
      <c r="AD87" s="89"/>
      <c r="AE87" s="88">
        <f>AE82/AE85</f>
        <v>5.5901921088571817E-2</v>
      </c>
      <c r="AF87" s="88">
        <f>AF82/AF85</f>
        <v>-4.2280488597157741E-3</v>
      </c>
      <c r="AG87" s="88">
        <f t="shared" ref="AG87:AQ87" si="247">AG82/AG85</f>
        <v>-3.6437845027259032E-2</v>
      </c>
      <c r="AH87" s="88">
        <f t="shared" si="247"/>
        <v>-5.6744235034748743E-3</v>
      </c>
      <c r="AI87" s="88">
        <f t="shared" si="247"/>
        <v>3.6640406093094685E-2</v>
      </c>
      <c r="AJ87" s="88">
        <f t="shared" si="247"/>
        <v>5.3767837829159199E-2</v>
      </c>
      <c r="AK87" s="88">
        <f t="shared" si="247"/>
        <v>6.9001195394276973E-2</v>
      </c>
      <c r="AL87" s="88">
        <f t="shared" si="247"/>
        <v>8.3181806025288296E-2</v>
      </c>
      <c r="AM87" s="88">
        <f t="shared" si="247"/>
        <v>9.687176589777137E-2</v>
      </c>
      <c r="AN87" s="88">
        <f t="shared" si="247"/>
        <v>0.11046514778831419</v>
      </c>
      <c r="AO87" s="88">
        <f t="shared" si="247"/>
        <v>0.1242393497101663</v>
      </c>
      <c r="AP87" s="88">
        <f t="shared" si="247"/>
        <v>0.13840554607049571</v>
      </c>
      <c r="AQ87" s="88">
        <f t="shared" si="247"/>
        <v>0.15312619077744918</v>
      </c>
      <c r="AR87" s="88">
        <f t="shared" ref="AR87:AT87" si="248">AR82/AR85</f>
        <v>0.16852879110103031</v>
      </c>
      <c r="AS87" s="88">
        <f t="shared" si="248"/>
        <v>0.18472470522052109</v>
      </c>
      <c r="AT87" s="88">
        <f t="shared" si="248"/>
        <v>0.20181005034032681</v>
      </c>
    </row>
    <row r="88" spans="1:65" x14ac:dyDescent="0.25">
      <c r="B88" s="37"/>
      <c r="C88" s="37"/>
      <c r="AH88" s="90"/>
      <c r="AI88" s="90"/>
      <c r="AJ88" s="90"/>
      <c r="AK88" s="90"/>
      <c r="AL88" s="90"/>
      <c r="AM88" s="90"/>
      <c r="AN88" s="90"/>
      <c r="AO88" s="90"/>
      <c r="AP88" s="90"/>
      <c r="AQ88" s="90"/>
      <c r="AR88" s="90"/>
      <c r="AS88" s="90"/>
      <c r="AT88" s="90"/>
    </row>
    <row r="89" spans="1:65" x14ac:dyDescent="0.25">
      <c r="B89" s="37"/>
      <c r="C89" s="37"/>
    </row>
    <row r="90" spans="1:65" s="205" customFormat="1" x14ac:dyDescent="0.25">
      <c r="A90" s="239" t="s">
        <v>50</v>
      </c>
      <c r="B90" s="245"/>
      <c r="C90" s="245"/>
      <c r="D90" s="241"/>
      <c r="E90" s="241"/>
      <c r="F90" s="241"/>
      <c r="G90" s="241"/>
      <c r="H90" s="241">
        <v>43709</v>
      </c>
      <c r="I90" s="241">
        <v>43800</v>
      </c>
      <c r="J90" s="241">
        <f>J42</f>
        <v>43891</v>
      </c>
      <c r="K90" s="241">
        <f>K42</f>
        <v>43983</v>
      </c>
      <c r="L90" s="241">
        <f>L42</f>
        <v>44075</v>
      </c>
      <c r="M90" s="241">
        <f>M42</f>
        <v>44166</v>
      </c>
      <c r="N90" s="241">
        <f>N42</f>
        <v>44256</v>
      </c>
      <c r="O90" s="241">
        <f>O42</f>
        <v>44348</v>
      </c>
      <c r="P90" s="241">
        <f>P42</f>
        <v>44440</v>
      </c>
      <c r="Q90" s="241">
        <f>Q42</f>
        <v>44531</v>
      </c>
      <c r="R90" s="241">
        <f>R42</f>
        <v>44621</v>
      </c>
      <c r="S90" s="241">
        <f>S42</f>
        <v>44713</v>
      </c>
      <c r="T90" s="241">
        <f>T42</f>
        <v>44805</v>
      </c>
      <c r="U90" s="241">
        <f>U42</f>
        <v>44896</v>
      </c>
      <c r="V90" s="241">
        <f>V42</f>
        <v>44986</v>
      </c>
      <c r="W90" s="241">
        <f>W42</f>
        <v>45078</v>
      </c>
      <c r="X90" s="241">
        <f>X42</f>
        <v>45170</v>
      </c>
      <c r="Y90" s="241">
        <f>Y42</f>
        <v>45261</v>
      </c>
      <c r="Z90" s="341"/>
      <c r="AA90" s="341"/>
      <c r="AB90" s="341"/>
      <c r="AC90" s="239">
        <f>AC42</f>
        <v>2018</v>
      </c>
      <c r="AD90" s="239">
        <f>AD42</f>
        <v>2019</v>
      </c>
      <c r="AE90" s="239">
        <f>AE42</f>
        <v>2020</v>
      </c>
      <c r="AF90" s="239">
        <f>AF42</f>
        <v>2021</v>
      </c>
      <c r="AG90" s="239">
        <f>AG42</f>
        <v>2022</v>
      </c>
      <c r="AH90" s="242">
        <f>AH42</f>
        <v>2023</v>
      </c>
      <c r="AI90" s="242">
        <f>AI42</f>
        <v>2024</v>
      </c>
      <c r="AJ90" s="242">
        <f>AJ42</f>
        <v>2025</v>
      </c>
      <c r="AK90" s="242">
        <f>AK42</f>
        <v>2026</v>
      </c>
      <c r="AL90" s="242">
        <f>AL42</f>
        <v>2027</v>
      </c>
      <c r="AM90" s="242">
        <f>AM42</f>
        <v>2028</v>
      </c>
      <c r="AN90" s="242">
        <f>AN42</f>
        <v>2029</v>
      </c>
      <c r="AO90" s="242">
        <f>AO42</f>
        <v>2030</v>
      </c>
      <c r="AP90" s="242">
        <f>AP42</f>
        <v>2031</v>
      </c>
      <c r="AQ90" s="242">
        <f>AQ42</f>
        <v>2032</v>
      </c>
      <c r="AR90" s="242">
        <f>AR42</f>
        <v>2033</v>
      </c>
      <c r="AS90" s="242">
        <f>AS42</f>
        <v>2034</v>
      </c>
      <c r="AT90" s="242">
        <f>AT42</f>
        <v>2035</v>
      </c>
      <c r="AU90" s="206"/>
      <c r="AV90" s="206"/>
      <c r="AW90" s="206"/>
      <c r="AX90" s="206"/>
      <c r="AY90" s="206"/>
      <c r="AZ90" s="206"/>
      <c r="BA90" s="206"/>
      <c r="BB90" s="206"/>
      <c r="BC90" s="206"/>
      <c r="BD90" s="206"/>
      <c r="BE90" s="206"/>
      <c r="BF90" s="206"/>
      <c r="BG90" s="206"/>
      <c r="BH90" s="206"/>
      <c r="BI90" s="206"/>
      <c r="BJ90" s="206"/>
      <c r="BK90" s="206"/>
      <c r="BL90" s="206"/>
      <c r="BM90" s="206"/>
    </row>
    <row r="91" spans="1:65" x14ac:dyDescent="0.25">
      <c r="A91" s="6" t="s">
        <v>15</v>
      </c>
      <c r="B91" s="37"/>
      <c r="C91" s="37"/>
      <c r="D91" s="51"/>
      <c r="E91" s="51"/>
      <c r="F91" s="51"/>
      <c r="G91" s="51"/>
      <c r="H91" s="51"/>
      <c r="I91" s="51"/>
      <c r="J91" s="78"/>
      <c r="K91" s="78"/>
      <c r="L91" s="185"/>
      <c r="M91" s="185">
        <f>15.065</f>
        <v>15.065</v>
      </c>
      <c r="N91" s="313">
        <f>0.338855</f>
        <v>0.33885500000000002</v>
      </c>
      <c r="O91" s="313">
        <f>0.250533</f>
        <v>0.25053300000000001</v>
      </c>
      <c r="P91" s="78">
        <v>17.047999999999998</v>
      </c>
      <c r="Q91" s="78">
        <f>36.817</f>
        <v>36.817</v>
      </c>
      <c r="R91" s="78">
        <f>28.833</f>
        <v>28.832999999999998</v>
      </c>
      <c r="S91" s="78">
        <f>28.45</f>
        <v>28.45</v>
      </c>
      <c r="T91" s="78">
        <f>28.228</f>
        <v>28.228000000000002</v>
      </c>
      <c r="U91" s="78">
        <f>24.431</f>
        <v>24.431000000000001</v>
      </c>
      <c r="V91" s="204">
        <v>26.672999999999998</v>
      </c>
      <c r="W91" s="204">
        <v>21.905000000000001</v>
      </c>
      <c r="X91" s="204">
        <v>23.4</v>
      </c>
      <c r="Y91" s="54">
        <f>X91+Y153</f>
        <v>25.70819356413897</v>
      </c>
      <c r="AC91" s="51"/>
      <c r="AD91" s="54">
        <f t="shared" ref="AD91:AD97" si="249">I91</f>
        <v>0</v>
      </c>
      <c r="AE91" s="54">
        <f t="shared" ref="AE91:AE97" si="250">M91</f>
        <v>15.065</v>
      </c>
      <c r="AF91" s="54">
        <f t="shared" ref="AF91:AF97" si="251">Q91</f>
        <v>36.817</v>
      </c>
      <c r="AG91" s="54">
        <f>U91</f>
        <v>24.431000000000001</v>
      </c>
      <c r="AH91" s="54">
        <f>AG91+AH153</f>
        <v>25.474921981601355</v>
      </c>
      <c r="AI91" s="54">
        <f>AH91+AI153</f>
        <v>32.146884146210972</v>
      </c>
      <c r="AJ91" s="54">
        <f>AI91+AJ153</f>
        <v>40.44597329383123</v>
      </c>
      <c r="AK91" s="54">
        <f>AJ91+AK153</f>
        <v>50.411362510593918</v>
      </c>
      <c r="AL91" s="54">
        <f>AK91+AL153</f>
        <v>62.077138739665024</v>
      </c>
      <c r="AM91" s="54">
        <f>AL91+AM153</f>
        <v>75.485493930747921</v>
      </c>
      <c r="AN91" s="54">
        <f>AM91+AN153</f>
        <v>90.689705212341664</v>
      </c>
      <c r="AO91" s="54">
        <f>AN91+AO153</f>
        <v>107.7562514576115</v>
      </c>
      <c r="AP91" s="54">
        <f>AO91+AP153</f>
        <v>126.76422972734863</v>
      </c>
      <c r="AQ91" s="54">
        <f>AP91+AQ153</f>
        <v>147.80583142763317</v>
      </c>
      <c r="AR91" s="54">
        <f>AQ91+AR153</f>
        <v>170.98558163829159</v>
      </c>
      <c r="AS91" s="54">
        <f>AR91+AS153</f>
        <v>196.41928380663751</v>
      </c>
      <c r="AT91" s="54">
        <f>AS91+AT153</f>
        <v>224.23420135762484</v>
      </c>
    </row>
    <row r="92" spans="1:65" x14ac:dyDescent="0.25">
      <c r="A92" s="6" t="s">
        <v>16</v>
      </c>
      <c r="B92" s="37"/>
      <c r="C92" s="37"/>
      <c r="D92" s="51"/>
      <c r="E92" s="51"/>
      <c r="F92" s="51"/>
      <c r="G92" s="51"/>
      <c r="H92" s="51"/>
      <c r="I92" s="51"/>
      <c r="J92" s="78"/>
      <c r="K92" s="78"/>
      <c r="L92" s="185"/>
      <c r="M92" s="185">
        <f>2.075</f>
        <v>2.0750000000000002</v>
      </c>
      <c r="N92" s="78">
        <v>0</v>
      </c>
      <c r="O92" s="78">
        <v>0</v>
      </c>
      <c r="P92" s="78">
        <f>1.473</f>
        <v>1.4730000000000001</v>
      </c>
      <c r="Q92" s="54">
        <f>2.3</f>
        <v>2.2999999999999998</v>
      </c>
      <c r="R92" s="78">
        <f>3.362</f>
        <v>3.3620000000000001</v>
      </c>
      <c r="S92" s="78">
        <f>3.126</f>
        <v>3.1259999999999999</v>
      </c>
      <c r="T92" s="78">
        <f>3.813</f>
        <v>3.8130000000000002</v>
      </c>
      <c r="U92" s="78">
        <f>4.105</f>
        <v>4.1050000000000004</v>
      </c>
      <c r="V92" s="54">
        <f>-V93*V45*4</f>
        <v>1.1874</v>
      </c>
      <c r="W92" s="54">
        <f>-W93*W45*4</f>
        <v>1.0678000000000001</v>
      </c>
      <c r="X92" s="204">
        <v>3.5270000000000001</v>
      </c>
      <c r="Y92" s="54">
        <f>-Y93*Y45*4</f>
        <v>1.2413046098625866</v>
      </c>
      <c r="AC92" s="51"/>
      <c r="AD92" s="54">
        <f t="shared" si="249"/>
        <v>0</v>
      </c>
      <c r="AE92" s="54">
        <f t="shared" si="250"/>
        <v>2.0750000000000002</v>
      </c>
      <c r="AF92" s="54">
        <f t="shared" si="251"/>
        <v>2.2999999999999998</v>
      </c>
      <c r="AG92" s="54">
        <f>U92</f>
        <v>4.1050000000000004</v>
      </c>
      <c r="AH92" s="54">
        <f>-AH93*AH45</f>
        <v>3.6300301574506935</v>
      </c>
      <c r="AI92" s="54">
        <f>-AI93*AI45</f>
        <v>3.3962052922643768</v>
      </c>
      <c r="AJ92" s="54">
        <f>-AJ93*AJ45</f>
        <v>3.1846604597244128</v>
      </c>
      <c r="AK92" s="54">
        <f>-AK93*AK45</f>
        <v>2.9885172499624706</v>
      </c>
      <c r="AL92" s="54">
        <f>-AL93*AL45</f>
        <v>2.8008782123762876</v>
      </c>
      <c r="AM92" s="54">
        <f>-AM93*AM45</f>
        <v>2.6161130402029489</v>
      </c>
      <c r="AN92" s="54">
        <f>-AN93*AN45</f>
        <v>2.4292895040591631</v>
      </c>
      <c r="AO92" s="54">
        <f>-AO93*AO45</f>
        <v>2.2363935649759203</v>
      </c>
      <c r="AP92" s="54">
        <f>-AP93*AP45</f>
        <v>2.0337715695237173</v>
      </c>
      <c r="AQ92" s="54">
        <f>-AQ93*AQ45</f>
        <v>1.8182647944101775</v>
      </c>
      <c r="AR92" s="54">
        <f>-AR93*AR45</f>
        <v>1.5871841918767626</v>
      </c>
      <c r="AS92" s="54">
        <f>-AS93*AS45</f>
        <v>1.3379276849075452</v>
      </c>
      <c r="AT92" s="54">
        <f>-AT93*AT45</f>
        <v>1.0681290146889111</v>
      </c>
    </row>
    <row r="93" spans="1:65" x14ac:dyDescent="0.25">
      <c r="A93" s="91" t="s">
        <v>54</v>
      </c>
      <c r="B93" s="39">
        <v>0.1</v>
      </c>
      <c r="C93" s="39">
        <v>0.3</v>
      </c>
      <c r="D93" s="92"/>
      <c r="E93" s="92"/>
      <c r="F93" s="92"/>
      <c r="G93" s="92"/>
      <c r="H93" s="92"/>
      <c r="I93" s="92"/>
      <c r="J93" s="92"/>
      <c r="K93" s="92"/>
      <c r="L93" s="92"/>
      <c r="M93" s="92"/>
      <c r="N93" s="92">
        <f>-N92/(N45*4)</f>
        <v>0</v>
      </c>
      <c r="O93" s="92">
        <f>-O92/(O45*4)</f>
        <v>0</v>
      </c>
      <c r="P93" s="92">
        <f>-P92/(P45*4)</f>
        <v>8.6221025520955286E-2</v>
      </c>
      <c r="Q93" s="92">
        <f>-Q92/(Q45*4)</f>
        <v>0.12239250744997869</v>
      </c>
      <c r="R93" s="92">
        <f>-R92/(R45*4)</f>
        <v>0.15513104466592839</v>
      </c>
      <c r="S93" s="92">
        <f>-S92/(S45*4)</f>
        <v>0.155646285600478</v>
      </c>
      <c r="T93" s="92">
        <f>-T92/(T45*4)</f>
        <v>0.16782570422535212</v>
      </c>
      <c r="U93" s="92">
        <f>-U92/(U45*4)</f>
        <v>0.14968640606767797</v>
      </c>
      <c r="V93" s="73">
        <v>0.05</v>
      </c>
      <c r="W93" s="73">
        <v>0.05</v>
      </c>
      <c r="X93" s="92">
        <f>-X92/(X45*4)</f>
        <v>0.14528752677541604</v>
      </c>
      <c r="Y93" s="73">
        <v>0.05</v>
      </c>
      <c r="Z93" s="40"/>
      <c r="AA93" s="40"/>
      <c r="AB93" s="40"/>
      <c r="AC93" s="92"/>
      <c r="AD93" s="41">
        <f t="shared" si="249"/>
        <v>0</v>
      </c>
      <c r="AE93" s="41">
        <f t="shared" si="250"/>
        <v>0</v>
      </c>
      <c r="AF93" s="41">
        <f t="shared" si="251"/>
        <v>0.12239250744997869</v>
      </c>
      <c r="AG93" s="41">
        <f>-AG92/AG45</f>
        <v>0.17867247007616982</v>
      </c>
      <c r="AH93" s="41">
        <f>Inputs!B18</f>
        <v>0.17867247007616982</v>
      </c>
      <c r="AI93" s="41">
        <f>Inputs!C18</f>
        <v>0.17867247007616982</v>
      </c>
      <c r="AJ93" s="41">
        <f>Inputs!D18</f>
        <v>0.17867247007616982</v>
      </c>
      <c r="AK93" s="41">
        <f>Inputs!E18</f>
        <v>0.17867247007616982</v>
      </c>
      <c r="AL93" s="41">
        <f>Inputs!F18</f>
        <v>0.17867247007616982</v>
      </c>
      <c r="AM93" s="41">
        <f>Inputs!G18</f>
        <v>0.17867247007616982</v>
      </c>
      <c r="AN93" s="41">
        <f>Inputs!H18</f>
        <v>0.17867247007616982</v>
      </c>
      <c r="AO93" s="41">
        <f>Inputs!I18</f>
        <v>0.17867247007616982</v>
      </c>
      <c r="AP93" s="41">
        <f>Inputs!J18</f>
        <v>0.17867247007616982</v>
      </c>
      <c r="AQ93" s="41">
        <f>Inputs!K18</f>
        <v>0.17867247007616982</v>
      </c>
      <c r="AR93" s="41">
        <f>Inputs!L18</f>
        <v>0.17867247007616982</v>
      </c>
      <c r="AS93" s="41">
        <f>Inputs!M18</f>
        <v>0.17867247007616982</v>
      </c>
      <c r="AT93" s="41">
        <f>Inputs!N18</f>
        <v>0.17867247007616982</v>
      </c>
    </row>
    <row r="94" spans="1:65" x14ac:dyDescent="0.25">
      <c r="A94" s="6" t="s">
        <v>17</v>
      </c>
      <c r="B94" s="37"/>
      <c r="C94" s="37"/>
      <c r="D94" s="51"/>
      <c r="E94" s="51"/>
      <c r="F94" s="51"/>
      <c r="G94" s="51"/>
      <c r="H94" s="51"/>
      <c r="I94" s="51"/>
      <c r="J94" s="51"/>
      <c r="K94" s="51"/>
      <c r="L94" s="185"/>
      <c r="M94" s="185">
        <f>9.195</f>
        <v>9.1950000000000003</v>
      </c>
      <c r="N94" s="313">
        <f>0.833235</f>
        <v>0.83323499999999995</v>
      </c>
      <c r="O94" s="313">
        <f>0.903145</f>
        <v>0.90314499999999998</v>
      </c>
      <c r="P94" s="78">
        <f>8.637</f>
        <v>8.6370000000000005</v>
      </c>
      <c r="Q94" s="78">
        <f>8.425</f>
        <v>8.4250000000000007</v>
      </c>
      <c r="R94" s="78">
        <f>8.416</f>
        <v>8.4160000000000004</v>
      </c>
      <c r="S94" s="78">
        <f>8.451</f>
        <v>8.4510000000000005</v>
      </c>
      <c r="T94" s="78">
        <f>9.403</f>
        <v>9.4030000000000005</v>
      </c>
      <c r="U94" s="78">
        <f>12.411</f>
        <v>12.411</v>
      </c>
      <c r="V94" s="54">
        <f t="shared" ref="V94:Y94" si="252">U94</f>
        <v>12.411</v>
      </c>
      <c r="W94" s="54">
        <f t="shared" si="252"/>
        <v>12.411</v>
      </c>
      <c r="X94" s="204">
        <f>9.166</f>
        <v>9.1660000000000004</v>
      </c>
      <c r="Y94" s="54">
        <f t="shared" si="252"/>
        <v>9.1660000000000004</v>
      </c>
      <c r="AC94" s="51"/>
      <c r="AD94" s="54">
        <f t="shared" si="249"/>
        <v>0</v>
      </c>
      <c r="AE94" s="54">
        <f t="shared" si="250"/>
        <v>9.1950000000000003</v>
      </c>
      <c r="AF94" s="54">
        <f t="shared" si="251"/>
        <v>8.4250000000000007</v>
      </c>
      <c r="AG94" s="54">
        <f>U94</f>
        <v>12.411</v>
      </c>
      <c r="AH94" s="54">
        <f>AH95*AH43</f>
        <v>12.783329999999999</v>
      </c>
      <c r="AI94" s="54">
        <f t="shared" ref="AI94:AT94" si="253">AI95*AI43</f>
        <v>13.166829899999998</v>
      </c>
      <c r="AJ94" s="54">
        <f t="shared" si="253"/>
        <v>13.561834796999999</v>
      </c>
      <c r="AK94" s="54">
        <f t="shared" si="253"/>
        <v>13.968689840909999</v>
      </c>
      <c r="AL94" s="54">
        <f t="shared" si="253"/>
        <v>14.387750536137299</v>
      </c>
      <c r="AM94" s="54">
        <f t="shared" si="253"/>
        <v>14.819383052221418</v>
      </c>
      <c r="AN94" s="54">
        <f t="shared" si="253"/>
        <v>15.263964543788061</v>
      </c>
      <c r="AO94" s="54">
        <f t="shared" si="253"/>
        <v>15.721883480101702</v>
      </c>
      <c r="AP94" s="54">
        <f t="shared" si="253"/>
        <v>16.193539984504753</v>
      </c>
      <c r="AQ94" s="54">
        <f t="shared" si="253"/>
        <v>16.679346184039897</v>
      </c>
      <c r="AR94" s="54">
        <f t="shared" si="253"/>
        <v>17.179726569561097</v>
      </c>
      <c r="AS94" s="54">
        <f t="shared" si="253"/>
        <v>17.695118366647929</v>
      </c>
      <c r="AT94" s="54">
        <f t="shared" si="253"/>
        <v>18.225971917647371</v>
      </c>
    </row>
    <row r="95" spans="1:65" x14ac:dyDescent="0.25">
      <c r="A95" s="93" t="s">
        <v>55</v>
      </c>
      <c r="B95" s="94">
        <v>0.05</v>
      </c>
      <c r="C95" s="94">
        <v>0.05</v>
      </c>
      <c r="D95" s="92"/>
      <c r="E95" s="92"/>
      <c r="F95" s="92"/>
      <c r="G95" s="92"/>
      <c r="H95" s="92"/>
      <c r="I95" s="92"/>
      <c r="J95" s="92"/>
      <c r="K95" s="92"/>
      <c r="L95" s="92"/>
      <c r="M95" s="92"/>
      <c r="N95" s="92">
        <f>N94/(N43)</f>
        <v>6.416409979978438E-2</v>
      </c>
      <c r="O95" s="92">
        <f>O94/(O43)</f>
        <v>7.2687726358148894E-2</v>
      </c>
      <c r="P95" s="92">
        <f>P94/(P43)</f>
        <v>0.59283409980094726</v>
      </c>
      <c r="Q95" s="92">
        <f>Q94/(Q43)</f>
        <v>0.55475077368802272</v>
      </c>
      <c r="R95" s="92">
        <f>R94/(R43)</f>
        <v>0.5153073720303698</v>
      </c>
      <c r="S95" s="92">
        <f>S94/(S43)</f>
        <v>0.50169189670525383</v>
      </c>
      <c r="T95" s="92">
        <f>T94/(T43)</f>
        <v>0.51083826805019827</v>
      </c>
      <c r="U95" s="92">
        <f>U94/(U43)</f>
        <v>0.58210215280709154</v>
      </c>
      <c r="V95" s="73">
        <v>0.1</v>
      </c>
      <c r="W95" s="73">
        <v>0.08</v>
      </c>
      <c r="X95" s="73">
        <v>0.08</v>
      </c>
      <c r="Y95" s="73">
        <v>0.08</v>
      </c>
      <c r="Z95" s="343"/>
      <c r="AA95" s="343"/>
      <c r="AB95" s="343"/>
      <c r="AC95" s="92"/>
      <c r="AD95" s="41">
        <f t="shared" si="249"/>
        <v>0</v>
      </c>
      <c r="AE95" s="41">
        <f t="shared" si="250"/>
        <v>0</v>
      </c>
      <c r="AF95" s="41">
        <f t="shared" si="251"/>
        <v>0.55475077368802272</v>
      </c>
      <c r="AG95" s="41">
        <f>AG94/AG43</f>
        <v>0.17023523763802206</v>
      </c>
      <c r="AH95" s="41">
        <f>Inputs!B19</f>
        <v>0.17023523763802206</v>
      </c>
      <c r="AI95" s="41">
        <f>Inputs!C19</f>
        <v>0.17023523763802206</v>
      </c>
      <c r="AJ95" s="41">
        <f>Inputs!D19</f>
        <v>0.17023523763802206</v>
      </c>
      <c r="AK95" s="41">
        <f>Inputs!E19</f>
        <v>0.17023523763802206</v>
      </c>
      <c r="AL95" s="41">
        <f>Inputs!F19</f>
        <v>0.17023523763802206</v>
      </c>
      <c r="AM95" s="41">
        <f>Inputs!G19</f>
        <v>0.17023523763802206</v>
      </c>
      <c r="AN95" s="41">
        <f>Inputs!H19</f>
        <v>0.17023523763802206</v>
      </c>
      <c r="AO95" s="41">
        <f>Inputs!I19</f>
        <v>0.17023523763802206</v>
      </c>
      <c r="AP95" s="41">
        <f>Inputs!J19</f>
        <v>0.17023523763802206</v>
      </c>
      <c r="AQ95" s="41">
        <f>Inputs!K19</f>
        <v>0.17023523763802206</v>
      </c>
      <c r="AR95" s="41">
        <f>Inputs!L19</f>
        <v>0.17023523763802206</v>
      </c>
      <c r="AS95" s="41">
        <f>Inputs!M19</f>
        <v>0.17023523763802206</v>
      </c>
      <c r="AT95" s="41">
        <f>Inputs!N19</f>
        <v>0.17023523763802206</v>
      </c>
    </row>
    <row r="96" spans="1:65" x14ac:dyDescent="0.25">
      <c r="A96" s="61" t="s">
        <v>18</v>
      </c>
      <c r="B96" s="50"/>
      <c r="C96" s="50"/>
      <c r="D96" s="76"/>
      <c r="E96" s="76"/>
      <c r="F96" s="76"/>
      <c r="G96" s="76"/>
      <c r="H96" s="76"/>
      <c r="I96" s="76"/>
      <c r="J96" s="95"/>
      <c r="K96" s="95"/>
      <c r="L96" s="95"/>
      <c r="M96" s="95">
        <f>0.523+1.375</f>
        <v>1.8980000000000001</v>
      </c>
      <c r="N96" s="314">
        <f>0.007386+0.12</f>
        <v>0.127386</v>
      </c>
      <c r="O96" s="314">
        <f>1.54406-O94-O92-O91</f>
        <v>0.39038200000000001</v>
      </c>
      <c r="P96" s="95">
        <f>1.264+0.489</f>
        <v>1.7530000000000001</v>
      </c>
      <c r="Q96" s="95">
        <f>52.366-Q94-Q92-Q91</f>
        <v>4.8240000000000052</v>
      </c>
      <c r="R96" s="95">
        <f>43.74-R94-R92-R91</f>
        <v>3.1289999999999978</v>
      </c>
      <c r="S96" s="95">
        <f>44.242-S94-S92-S91</f>
        <v>4.2149999999999999</v>
      </c>
      <c r="T96" s="95">
        <f>45.335-T94-T92-T91</f>
        <v>3.8909999999999982</v>
      </c>
      <c r="U96" s="95">
        <f>51.044-U94-U92-U91</f>
        <v>10.096999999999991</v>
      </c>
      <c r="V96" s="95">
        <f>47.826-V94-V92-V91</f>
        <v>7.5546000000000042</v>
      </c>
      <c r="W96" s="95">
        <f>45.788-W94-W92-W91</f>
        <v>10.404199999999996</v>
      </c>
      <c r="X96" s="95">
        <f>43.323-X94-X92-X91</f>
        <v>7.2299999999999969</v>
      </c>
      <c r="Y96" s="65">
        <f t="shared" ref="Y96" si="254">X96</f>
        <v>7.2299999999999969</v>
      </c>
      <c r="AC96" s="76"/>
      <c r="AD96" s="65">
        <f t="shared" si="249"/>
        <v>0</v>
      </c>
      <c r="AE96" s="65">
        <f t="shared" si="250"/>
        <v>1.8980000000000001</v>
      </c>
      <c r="AF96" s="65">
        <f t="shared" si="251"/>
        <v>4.8240000000000052</v>
      </c>
      <c r="AG96" s="65">
        <f>U96</f>
        <v>10.096999999999991</v>
      </c>
      <c r="AH96" s="65">
        <f>AG96</f>
        <v>10.096999999999991</v>
      </c>
      <c r="AI96" s="65">
        <f t="shared" ref="AI96:AT96" si="255">AH96</f>
        <v>10.096999999999991</v>
      </c>
      <c r="AJ96" s="65">
        <f t="shared" si="255"/>
        <v>10.096999999999991</v>
      </c>
      <c r="AK96" s="65">
        <f t="shared" si="255"/>
        <v>10.096999999999991</v>
      </c>
      <c r="AL96" s="65">
        <f t="shared" si="255"/>
        <v>10.096999999999991</v>
      </c>
      <c r="AM96" s="65">
        <f t="shared" si="255"/>
        <v>10.096999999999991</v>
      </c>
      <c r="AN96" s="65">
        <f t="shared" si="255"/>
        <v>10.096999999999991</v>
      </c>
      <c r="AO96" s="65">
        <f t="shared" si="255"/>
        <v>10.096999999999991</v>
      </c>
      <c r="AP96" s="65">
        <f t="shared" si="255"/>
        <v>10.096999999999991</v>
      </c>
      <c r="AQ96" s="65">
        <f t="shared" si="255"/>
        <v>10.096999999999991</v>
      </c>
      <c r="AR96" s="65">
        <f t="shared" si="255"/>
        <v>10.096999999999991</v>
      </c>
      <c r="AS96" s="65">
        <f t="shared" si="255"/>
        <v>10.096999999999991</v>
      </c>
      <c r="AT96" s="65">
        <f t="shared" si="255"/>
        <v>10.096999999999991</v>
      </c>
    </row>
    <row r="97" spans="1:65" x14ac:dyDescent="0.25">
      <c r="A97" s="24" t="s">
        <v>19</v>
      </c>
      <c r="B97" s="36"/>
      <c r="C97" s="36"/>
      <c r="D97" s="43"/>
      <c r="E97" s="43"/>
      <c r="F97" s="43"/>
      <c r="G97" s="43"/>
      <c r="H97" s="43"/>
      <c r="I97" s="43"/>
      <c r="J97" s="43"/>
      <c r="K97" s="43"/>
      <c r="L97" s="27"/>
      <c r="M97" s="43">
        <f t="shared" ref="M97:Q97" si="256">M91+M92+M94+M96</f>
        <v>28.233000000000001</v>
      </c>
      <c r="N97" s="80">
        <f t="shared" si="256"/>
        <v>1.2994759999999999</v>
      </c>
      <c r="O97" s="80">
        <f t="shared" si="256"/>
        <v>1.54406</v>
      </c>
      <c r="P97" s="43">
        <f t="shared" si="256"/>
        <v>28.910999999999998</v>
      </c>
      <c r="Q97" s="43">
        <f t="shared" si="256"/>
        <v>52.366000000000007</v>
      </c>
      <c r="R97" s="43">
        <f t="shared" ref="R97:U97" si="257">R91+R92+R94+R96</f>
        <v>43.74</v>
      </c>
      <c r="S97" s="43">
        <f t="shared" si="257"/>
        <v>44.242000000000004</v>
      </c>
      <c r="T97" s="43">
        <f t="shared" si="257"/>
        <v>45.335000000000001</v>
      </c>
      <c r="U97" s="43">
        <f t="shared" si="257"/>
        <v>51.043999999999997</v>
      </c>
      <c r="V97" s="43">
        <f t="shared" ref="V97:W97" si="258">V91+V92+V94+V96</f>
        <v>47.826000000000008</v>
      </c>
      <c r="W97" s="43">
        <f t="shared" si="258"/>
        <v>45.787999999999997</v>
      </c>
      <c r="X97" s="43">
        <f t="shared" ref="X97:Y97" si="259">X91+X92+X94+X96</f>
        <v>43.323</v>
      </c>
      <c r="Y97" s="43">
        <f t="shared" si="259"/>
        <v>43.345498174001555</v>
      </c>
      <c r="AC97" s="43"/>
      <c r="AD97" s="52">
        <f t="shared" si="249"/>
        <v>0</v>
      </c>
      <c r="AE97" s="52">
        <f t="shared" si="250"/>
        <v>28.233000000000001</v>
      </c>
      <c r="AF97" s="52">
        <f t="shared" si="251"/>
        <v>52.366000000000007</v>
      </c>
      <c r="AG97" s="43">
        <f>U97</f>
        <v>51.043999999999997</v>
      </c>
      <c r="AH97" s="43">
        <f t="shared" ref="AH97:AO97" si="260">AH91+AH92+AH94+AH96</f>
        <v>51.985282139052046</v>
      </c>
      <c r="AI97" s="43">
        <f t="shared" si="260"/>
        <v>58.806919338475339</v>
      </c>
      <c r="AJ97" s="43">
        <f t="shared" si="260"/>
        <v>67.28946855055564</v>
      </c>
      <c r="AK97" s="43">
        <f t="shared" si="260"/>
        <v>77.465569601466385</v>
      </c>
      <c r="AL97" s="43">
        <f t="shared" si="260"/>
        <v>89.362767488178605</v>
      </c>
      <c r="AM97" s="43">
        <f t="shared" si="260"/>
        <v>103.01799002317229</v>
      </c>
      <c r="AN97" s="43">
        <f t="shared" si="260"/>
        <v>118.47995926018889</v>
      </c>
      <c r="AO97" s="43">
        <f t="shared" si="260"/>
        <v>135.8115285026891</v>
      </c>
      <c r="AP97" s="43">
        <f t="shared" ref="AP97:AQ97" si="261">AP91+AP92+AP94+AP96</f>
        <v>155.08854128137708</v>
      </c>
      <c r="AQ97" s="43">
        <f t="shared" si="261"/>
        <v>176.40044240608322</v>
      </c>
      <c r="AR97" s="43">
        <f t="shared" ref="AR97:AT97" si="262">AR91+AR92+AR94+AR96</f>
        <v>199.84949239972943</v>
      </c>
      <c r="AS97" s="43">
        <f t="shared" si="262"/>
        <v>225.54932985819298</v>
      </c>
      <c r="AT97" s="43">
        <f t="shared" si="262"/>
        <v>253.6253022899611</v>
      </c>
    </row>
    <row r="98" spans="1:65" x14ac:dyDescent="0.25">
      <c r="A98" s="24"/>
      <c r="B98" s="36"/>
      <c r="C98" s="36"/>
      <c r="D98" s="43"/>
      <c r="E98" s="43"/>
      <c r="F98" s="43"/>
      <c r="G98" s="43"/>
      <c r="H98" s="43"/>
      <c r="I98" s="43"/>
      <c r="J98" s="43"/>
      <c r="K98" s="43"/>
      <c r="L98" s="43"/>
      <c r="M98" s="43"/>
      <c r="N98" s="43"/>
      <c r="O98" s="43"/>
      <c r="P98" s="43"/>
      <c r="Q98" s="43"/>
      <c r="R98" s="43"/>
      <c r="S98" s="43"/>
      <c r="T98" s="43"/>
      <c r="U98" s="43"/>
      <c r="V98" s="43"/>
      <c r="W98" s="43"/>
      <c r="X98" s="43"/>
      <c r="Y98" s="43"/>
      <c r="AC98" s="43"/>
      <c r="AD98" s="52"/>
      <c r="AE98" s="52"/>
      <c r="AF98" s="52"/>
      <c r="AG98" s="43"/>
      <c r="AH98" s="43"/>
      <c r="AI98" s="43"/>
      <c r="AJ98" s="43"/>
      <c r="AK98" s="43"/>
      <c r="AL98" s="43"/>
      <c r="AM98" s="43"/>
      <c r="AN98" s="43"/>
      <c r="AO98" s="43"/>
      <c r="AP98" s="43"/>
      <c r="AQ98" s="43"/>
      <c r="AR98" s="43"/>
      <c r="AS98" s="43"/>
      <c r="AT98" s="43"/>
    </row>
    <row r="99" spans="1:65" x14ac:dyDescent="0.25">
      <c r="A99" s="1" t="s">
        <v>373</v>
      </c>
      <c r="B99" s="36"/>
      <c r="C99" s="36"/>
      <c r="D99" s="43"/>
      <c r="E99" s="43"/>
      <c r="F99" s="43"/>
      <c r="G99" s="43"/>
      <c r="H99" s="43"/>
      <c r="I99" s="43"/>
      <c r="J99" s="43"/>
      <c r="K99" s="43"/>
      <c r="L99" s="43"/>
      <c r="M99" s="43"/>
      <c r="N99" s="43"/>
      <c r="O99" s="43"/>
      <c r="P99" s="43"/>
      <c r="Q99" s="43"/>
      <c r="R99" s="43"/>
      <c r="S99" s="43"/>
      <c r="T99" s="43"/>
      <c r="U99" s="43"/>
      <c r="V99" s="43"/>
      <c r="W99" s="43"/>
      <c r="X99" s="43"/>
      <c r="Y99" s="43"/>
      <c r="AC99" s="43"/>
      <c r="AD99" s="52"/>
      <c r="AE99" s="52"/>
      <c r="AF99" s="25">
        <v>2.0070000000000001</v>
      </c>
      <c r="AG99" s="25">
        <v>2.5289999999999999</v>
      </c>
      <c r="AH99" s="25">
        <f>AG99-AH133+AH58</f>
        <v>2.6638932286995516</v>
      </c>
      <c r="AI99" s="25">
        <f>AH99-AI133+AI58</f>
        <v>2.7711012842716412</v>
      </c>
      <c r="AJ99" s="25">
        <f>AI99-AJ133+AJ58</f>
        <v>2.8668533004200714</v>
      </c>
      <c r="AK99" s="25">
        <f>AJ99-AK133+AK58</f>
        <v>2.9586936833049315</v>
      </c>
      <c r="AL99" s="25">
        <f>AK99-AL133+AL58</f>
        <v>3.0501523908810375</v>
      </c>
      <c r="AM99" s="25">
        <f>AL99-AM133+AM58</f>
        <v>3.1429044207476862</v>
      </c>
      <c r="AN99" s="25">
        <f>AM99-AN133+AN58</f>
        <v>3.2377683551409797</v>
      </c>
      <c r="AO99" s="25">
        <f>AN99-AO133+AO58</f>
        <v>3.3351681083579203</v>
      </c>
      <c r="AP99" s="25">
        <f>AO99-AP133+AP58</f>
        <v>3.4353464699834451</v>
      </c>
      <c r="AQ99" s="25">
        <f>AP99-AQ133+AQ58</f>
        <v>3.5384638842383058</v>
      </c>
      <c r="AR99" s="25">
        <f>AQ99-AR133+AR58</f>
        <v>3.6446441658397797</v>
      </c>
      <c r="AS99" s="25">
        <f>AR99-AS133+AS58</f>
        <v>3.753995681541916</v>
      </c>
      <c r="AT99" s="25">
        <f>AS99-AT133+AT58</f>
        <v>3.8666211887567847</v>
      </c>
    </row>
    <row r="100" spans="1:65" x14ac:dyDescent="0.25">
      <c r="A100" s="1" t="s">
        <v>374</v>
      </c>
      <c r="B100" s="36"/>
      <c r="C100" s="36"/>
      <c r="D100" s="43"/>
      <c r="E100" s="43"/>
      <c r="F100" s="43"/>
      <c r="G100" s="43"/>
      <c r="H100" s="43"/>
      <c r="I100" s="43"/>
      <c r="J100" s="43"/>
      <c r="K100" s="43"/>
      <c r="L100" s="43"/>
      <c r="M100" s="43"/>
      <c r="N100" s="43"/>
      <c r="O100" s="43"/>
      <c r="P100" s="43"/>
      <c r="Q100" s="43"/>
      <c r="R100" s="43"/>
      <c r="S100" s="43"/>
      <c r="T100" s="43"/>
      <c r="U100" s="43"/>
      <c r="V100" s="43"/>
      <c r="W100" s="43"/>
      <c r="X100" s="43"/>
      <c r="Y100" s="43"/>
      <c r="AC100" s="43"/>
      <c r="AD100" s="52"/>
      <c r="AE100" s="52"/>
      <c r="AF100" s="25">
        <v>5.5670000000000002</v>
      </c>
      <c r="AG100" s="25">
        <v>4.492</v>
      </c>
      <c r="AH100" s="25">
        <f>AG100+AH60</f>
        <v>2.5586728938386925</v>
      </c>
      <c r="AI100" s="25">
        <f>AH100+AI60</f>
        <v>1.457436994137326</v>
      </c>
      <c r="AJ100" s="25">
        <f>AI100+AJ60</f>
        <v>0.83016574607678473</v>
      </c>
      <c r="AK100" s="25">
        <f>AJ100+AK60</f>
        <v>0.47286789667854939</v>
      </c>
      <c r="AL100" s="25">
        <f>AK100+AL60</f>
        <v>0.26934867978582366</v>
      </c>
      <c r="AM100" s="25">
        <f>AL100+AM60</f>
        <v>0.15342278850383453</v>
      </c>
      <c r="AN100" s="25">
        <f>AM100+AN60</f>
        <v>8.7390634515117541E-2</v>
      </c>
      <c r="AO100" s="25">
        <f>AN100+AO60</f>
        <v>4.977828310534179E-2</v>
      </c>
      <c r="AP100" s="25">
        <f>AO100+AP60</f>
        <v>2.835403911029977E-2</v>
      </c>
      <c r="AQ100" s="25">
        <f>AP100+AQ60</f>
        <v>1.6150648108273859E-2</v>
      </c>
      <c r="AR100" s="25">
        <f>AQ100+AR60</f>
        <v>9.1995159244362152E-3</v>
      </c>
      <c r="AS100" s="25">
        <f>AR100+AS60</f>
        <v>5.240105082878972E-3</v>
      </c>
      <c r="AT100" s="25">
        <f>AS100+AT60</f>
        <v>2.9847984943073866E-3</v>
      </c>
    </row>
    <row r="101" spans="1:65" x14ac:dyDescent="0.25">
      <c r="A101" s="1" t="s">
        <v>80</v>
      </c>
      <c r="B101" s="36"/>
      <c r="C101" s="36"/>
      <c r="D101" s="43"/>
      <c r="E101" s="43"/>
      <c r="F101" s="43"/>
      <c r="G101" s="43"/>
      <c r="H101" s="43"/>
      <c r="I101" s="43"/>
      <c r="J101" s="43"/>
      <c r="K101" s="43"/>
      <c r="L101" s="43"/>
      <c r="M101" s="43"/>
      <c r="N101" s="43"/>
      <c r="O101" s="43"/>
      <c r="P101" s="43"/>
      <c r="Q101" s="43"/>
      <c r="R101" s="43"/>
      <c r="S101" s="43"/>
      <c r="T101" s="43"/>
      <c r="U101" s="43"/>
      <c r="V101" s="43"/>
      <c r="W101" s="43"/>
      <c r="X101" s="43"/>
      <c r="Y101" s="43"/>
      <c r="AC101" s="43"/>
      <c r="AD101" s="52"/>
      <c r="AE101" s="52"/>
      <c r="AF101" s="25">
        <v>2.641</v>
      </c>
      <c r="AG101" s="25">
        <v>7.7939999999999996</v>
      </c>
      <c r="AH101" s="25">
        <f>AG101-AH135+AH62</f>
        <v>5.4558</v>
      </c>
      <c r="AI101" s="25">
        <f>AH101-AI135+AI62</f>
        <v>3.8190600000000003</v>
      </c>
      <c r="AJ101" s="25">
        <f>AI101-AJ135+AJ62</f>
        <v>2.6733420000000003</v>
      </c>
      <c r="AK101" s="25">
        <f>AJ101-AK135+AK62</f>
        <v>1.8713394000000001</v>
      </c>
      <c r="AL101" s="25">
        <f>AK101-AL135+AL62</f>
        <v>1.3099375800000002</v>
      </c>
      <c r="AM101" s="25">
        <f>AL101-AM135+AM62</f>
        <v>0.91695630600000011</v>
      </c>
      <c r="AN101" s="25">
        <f>AM101-AN135+AN62</f>
        <v>0.6418694142000001</v>
      </c>
      <c r="AO101" s="25">
        <f>AN101-AO135+AO62</f>
        <v>0.44930858994000011</v>
      </c>
      <c r="AP101" s="25">
        <f>AO101-AP135+AP62</f>
        <v>0.31451601295800008</v>
      </c>
      <c r="AQ101" s="25">
        <f>AP101-AQ135+AQ62</f>
        <v>0.22016120907060005</v>
      </c>
      <c r="AR101" s="25">
        <f>AQ101-AR135+AR62</f>
        <v>0.15411284634942002</v>
      </c>
      <c r="AS101" s="25">
        <f>AR101-AS135+AS62</f>
        <v>0.10787899244459401</v>
      </c>
      <c r="AT101" s="25">
        <f>AS101-AT135+AT62</f>
        <v>7.5515294711215805E-2</v>
      </c>
    </row>
    <row r="102" spans="1:65" x14ac:dyDescent="0.25">
      <c r="A102" s="1" t="s">
        <v>375</v>
      </c>
      <c r="B102" s="36"/>
      <c r="C102" s="36"/>
      <c r="D102" s="43"/>
      <c r="E102" s="43"/>
      <c r="F102" s="43"/>
      <c r="G102" s="43"/>
      <c r="H102" s="43"/>
      <c r="I102" s="43"/>
      <c r="J102" s="43"/>
      <c r="K102" s="43"/>
      <c r="L102" s="43"/>
      <c r="M102" s="43"/>
      <c r="N102" s="43"/>
      <c r="O102" s="43"/>
      <c r="P102" s="43"/>
      <c r="Q102" s="43"/>
      <c r="R102" s="43"/>
      <c r="S102" s="43"/>
      <c r="T102" s="43"/>
      <c r="U102" s="43"/>
      <c r="V102" s="43"/>
      <c r="W102" s="43"/>
      <c r="X102" s="43"/>
      <c r="Y102" s="43"/>
      <c r="AC102" s="43"/>
      <c r="AD102" s="52"/>
      <c r="AE102" s="52"/>
      <c r="AF102" s="25">
        <v>2.476</v>
      </c>
      <c r="AG102" s="25">
        <v>11.585000000000001</v>
      </c>
      <c r="AH102" s="25">
        <f>AG102</f>
        <v>11.585000000000001</v>
      </c>
      <c r="AI102" s="25">
        <f t="shared" ref="AI102:AT102" si="263">AH102</f>
        <v>11.585000000000001</v>
      </c>
      <c r="AJ102" s="25">
        <f t="shared" si="263"/>
        <v>11.585000000000001</v>
      </c>
      <c r="AK102" s="25">
        <f t="shared" si="263"/>
        <v>11.585000000000001</v>
      </c>
      <c r="AL102" s="25">
        <f t="shared" si="263"/>
        <v>11.585000000000001</v>
      </c>
      <c r="AM102" s="25">
        <f t="shared" si="263"/>
        <v>11.585000000000001</v>
      </c>
      <c r="AN102" s="25">
        <f t="shared" si="263"/>
        <v>11.585000000000001</v>
      </c>
      <c r="AO102" s="25">
        <f t="shared" si="263"/>
        <v>11.585000000000001</v>
      </c>
      <c r="AP102" s="25">
        <f t="shared" si="263"/>
        <v>11.585000000000001</v>
      </c>
      <c r="AQ102" s="25">
        <f t="shared" si="263"/>
        <v>11.585000000000001</v>
      </c>
      <c r="AR102" s="25">
        <f t="shared" si="263"/>
        <v>11.585000000000001</v>
      </c>
      <c r="AS102" s="25">
        <f t="shared" si="263"/>
        <v>11.585000000000001</v>
      </c>
      <c r="AT102" s="25">
        <f t="shared" si="263"/>
        <v>11.585000000000001</v>
      </c>
    </row>
    <row r="103" spans="1:65" x14ac:dyDescent="0.25">
      <c r="A103" s="428" t="s">
        <v>410</v>
      </c>
      <c r="B103" s="50"/>
      <c r="C103" s="50"/>
      <c r="D103" s="98"/>
      <c r="E103" s="98"/>
      <c r="F103" s="98"/>
      <c r="G103" s="98"/>
      <c r="H103" s="98"/>
      <c r="I103" s="98"/>
      <c r="J103" s="98"/>
      <c r="K103" s="98"/>
      <c r="L103" s="98"/>
      <c r="M103" s="98">
        <v>4.8889999999999993</v>
      </c>
      <c r="N103" s="98">
        <v>0</v>
      </c>
      <c r="O103" s="315">
        <v>0.12000000000000011</v>
      </c>
      <c r="P103" s="98">
        <v>5.4459999999999997</v>
      </c>
      <c r="Q103" s="99">
        <v>5.4350000000000023</v>
      </c>
      <c r="R103" s="98">
        <v>16.114999999999995</v>
      </c>
      <c r="S103" s="98">
        <v>9.9329999999999998</v>
      </c>
      <c r="T103" s="98">
        <v>15.922999999999996</v>
      </c>
      <c r="U103" s="99">
        <v>4.6089999999999947</v>
      </c>
      <c r="V103" s="98">
        <v>6.3569999999999851</v>
      </c>
      <c r="W103" s="98">
        <v>5.4794500000000141</v>
      </c>
      <c r="X103" s="98">
        <v>7.6739999999999924</v>
      </c>
      <c r="Y103" s="99">
        <v>7.6739999999999924</v>
      </c>
      <c r="AC103" s="63"/>
      <c r="AD103" s="65">
        <f>I103</f>
        <v>0</v>
      </c>
      <c r="AE103" s="65">
        <f>M103</f>
        <v>4.8889999999999993</v>
      </c>
      <c r="AF103" s="65">
        <f>Q103</f>
        <v>5.4350000000000023</v>
      </c>
      <c r="AG103" s="32">
        <f>U103</f>
        <v>4.6089999999999947</v>
      </c>
      <c r="AH103" s="32">
        <f>AG103</f>
        <v>4.6089999999999947</v>
      </c>
      <c r="AI103" s="32">
        <f t="shared" ref="AI103:AT103" si="264">AH103</f>
        <v>4.6089999999999947</v>
      </c>
      <c r="AJ103" s="32">
        <f t="shared" si="264"/>
        <v>4.6089999999999947</v>
      </c>
      <c r="AK103" s="32">
        <f t="shared" si="264"/>
        <v>4.6089999999999947</v>
      </c>
      <c r="AL103" s="32">
        <f t="shared" si="264"/>
        <v>4.6089999999999947</v>
      </c>
      <c r="AM103" s="32">
        <f t="shared" si="264"/>
        <v>4.6089999999999947</v>
      </c>
      <c r="AN103" s="32">
        <f t="shared" si="264"/>
        <v>4.6089999999999947</v>
      </c>
      <c r="AO103" s="32">
        <f t="shared" si="264"/>
        <v>4.6089999999999947</v>
      </c>
      <c r="AP103" s="32">
        <f t="shared" si="264"/>
        <v>4.6089999999999947</v>
      </c>
      <c r="AQ103" s="32">
        <f t="shared" si="264"/>
        <v>4.6089999999999947</v>
      </c>
      <c r="AR103" s="32">
        <f t="shared" si="264"/>
        <v>4.6089999999999947</v>
      </c>
      <c r="AS103" s="32">
        <f t="shared" si="264"/>
        <v>4.6089999999999947</v>
      </c>
      <c r="AT103" s="32">
        <f t="shared" si="264"/>
        <v>4.6089999999999947</v>
      </c>
    </row>
    <row r="104" spans="1:65" x14ac:dyDescent="0.25">
      <c r="A104" s="100"/>
      <c r="B104" s="101"/>
      <c r="C104" s="101"/>
      <c r="D104" s="102"/>
      <c r="E104" s="102"/>
      <c r="F104" s="102"/>
      <c r="G104" s="102"/>
      <c r="H104" s="102"/>
      <c r="I104" s="102"/>
      <c r="J104" s="102"/>
      <c r="K104" s="102"/>
      <c r="L104" s="102"/>
      <c r="M104" s="103">
        <f>M99+M100+M101+M102+M103</f>
        <v>4.8889999999999993</v>
      </c>
      <c r="N104" s="103">
        <f>N99+N100+N101+N102+N103</f>
        <v>0</v>
      </c>
      <c r="O104" s="103">
        <f>O99+O100+O101+O102+O103</f>
        <v>0.12000000000000011</v>
      </c>
      <c r="P104" s="103">
        <f>P99+P100+P101+P102+P103</f>
        <v>5.4459999999999997</v>
      </c>
      <c r="Q104" s="103">
        <f>Q99+Q100+Q101+Q102+Q103</f>
        <v>5.4350000000000023</v>
      </c>
      <c r="R104" s="103">
        <f>R99+R100+R101+R102+R103</f>
        <v>16.114999999999995</v>
      </c>
      <c r="S104" s="103">
        <f>S99+S100+S101+S102+S103</f>
        <v>9.9329999999999998</v>
      </c>
      <c r="T104" s="103">
        <f>T99+T100+T101+T102+T103</f>
        <v>15.922999999999996</v>
      </c>
      <c r="U104" s="103">
        <f>U99+U100+U101+U102+U103</f>
        <v>4.6089999999999947</v>
      </c>
      <c r="V104" s="103">
        <f>V99+V100+V101+V102+V103</f>
        <v>6.3569999999999851</v>
      </c>
      <c r="W104" s="103">
        <f>W99+W100+W101+W102+W103</f>
        <v>5.4794500000000141</v>
      </c>
      <c r="X104" s="103">
        <f>X99+X100+X101+X102+X103</f>
        <v>7.6739999999999924</v>
      </c>
      <c r="Y104" s="103">
        <f>Y99+Y100+Y101+Y102+Y103</f>
        <v>7.6739999999999924</v>
      </c>
      <c r="Z104" s="24"/>
      <c r="AA104" s="24"/>
      <c r="AB104" s="24"/>
      <c r="AC104" s="103"/>
      <c r="AD104" s="103">
        <f>AD99+AD100+AD101+AD102+AD103</f>
        <v>0</v>
      </c>
      <c r="AE104" s="103">
        <f>AE99+AE100+AE101+AE102+AE103</f>
        <v>4.8889999999999993</v>
      </c>
      <c r="AF104" s="103">
        <f>AF99+AF100+AF101+AF102+AF103</f>
        <v>18.126000000000001</v>
      </c>
      <c r="AG104" s="103">
        <f>AG99+AG100+AG101+AG102+AG103</f>
        <v>31.008999999999993</v>
      </c>
      <c r="AH104" s="103">
        <f>AH99+AH100+AH101+AH102+AH103</f>
        <v>26.872366122538239</v>
      </c>
      <c r="AI104" s="103">
        <f>AI99+AI100+AI101+AI102+AI103</f>
        <v>24.241598278408965</v>
      </c>
      <c r="AJ104" s="103">
        <f>AJ99+AJ100+AJ101+AJ102+AJ103</f>
        <v>22.564361046496852</v>
      </c>
      <c r="AK104" s="103">
        <f>AK99+AK100+AK101+AK102+AK103</f>
        <v>21.496900979983476</v>
      </c>
      <c r="AL104" s="103">
        <f>AL99+AL100+AL101+AL102+AL103</f>
        <v>20.823438650666859</v>
      </c>
      <c r="AM104" s="103">
        <f>AM99+AM100+AM101+AM102+AM103</f>
        <v>20.407283515251518</v>
      </c>
      <c r="AN104" s="103">
        <f>AN99+AN100+AN101+AN102+AN103</f>
        <v>20.161028403856093</v>
      </c>
      <c r="AO104" s="103">
        <f>AO99+AO100+AO101+AO102+AO103</f>
        <v>20.028254981403258</v>
      </c>
      <c r="AP104" s="103">
        <f>AP99+AP100+AP101+AP102+AP103</f>
        <v>19.972216522051738</v>
      </c>
      <c r="AQ104" s="103">
        <f>AQ99+AQ100+AQ101+AQ102+AQ103</f>
        <v>19.968775741417176</v>
      </c>
      <c r="AR104" s="103">
        <f>AR99+AR100+AR101+AR102+AR103</f>
        <v>20.001956528113631</v>
      </c>
      <c r="AS104" s="103">
        <f>AS99+AS100+AS101+AS102+AS103</f>
        <v>20.061114779069385</v>
      </c>
      <c r="AT104" s="103">
        <f>AT99+AT100+AT101+AT102+AT103</f>
        <v>20.139121281962304</v>
      </c>
    </row>
    <row r="105" spans="1:65" s="24" customFormat="1" x14ac:dyDescent="0.25">
      <c r="A105" s="24" t="s">
        <v>20</v>
      </c>
      <c r="B105" s="36"/>
      <c r="C105" s="36"/>
      <c r="D105" s="105"/>
      <c r="E105" s="105"/>
      <c r="F105" s="105"/>
      <c r="G105" s="105"/>
      <c r="H105" s="105"/>
      <c r="I105" s="105"/>
      <c r="J105" s="105"/>
      <c r="K105" s="105"/>
      <c r="L105" s="105"/>
      <c r="M105" s="105">
        <f>M97+M104</f>
        <v>33.122</v>
      </c>
      <c r="N105" s="77">
        <f>N97+N104</f>
        <v>1.2994759999999999</v>
      </c>
      <c r="O105" s="317">
        <f>O97+O104</f>
        <v>1.6640600000000001</v>
      </c>
      <c r="P105" s="105">
        <f>P97+P104</f>
        <v>34.356999999999999</v>
      </c>
      <c r="Q105" s="105">
        <f>Q97+Q104</f>
        <v>57.801000000000009</v>
      </c>
      <c r="R105" s="105">
        <f>R97+R104</f>
        <v>59.854999999999997</v>
      </c>
      <c r="S105" s="105">
        <f>S97+S104</f>
        <v>54.175000000000004</v>
      </c>
      <c r="T105" s="105">
        <f>T97+T104</f>
        <v>61.257999999999996</v>
      </c>
      <c r="U105" s="105">
        <f>U97+U104</f>
        <v>55.652999999999992</v>
      </c>
      <c r="V105" s="105">
        <f>V97+V104</f>
        <v>54.182999999999993</v>
      </c>
      <c r="W105" s="105">
        <f>W97+W104</f>
        <v>51.267450000000011</v>
      </c>
      <c r="X105" s="105">
        <f>X97+X104</f>
        <v>50.996999999999993</v>
      </c>
      <c r="Y105" s="105">
        <f>Y97+Y104</f>
        <v>51.019498174001548</v>
      </c>
      <c r="AC105" s="106"/>
      <c r="AD105" s="52">
        <f>I105</f>
        <v>0</v>
      </c>
      <c r="AE105" s="52">
        <f t="shared" ref="AE105:AF105" si="265">AE97+AE104</f>
        <v>33.122</v>
      </c>
      <c r="AF105" s="52">
        <f t="shared" si="265"/>
        <v>70.492000000000004</v>
      </c>
      <c r="AG105" s="52">
        <f>AG97+AG104</f>
        <v>82.052999999999997</v>
      </c>
      <c r="AH105" s="52">
        <f t="shared" ref="AH105:AT105" si="266">AH97+AH104</f>
        <v>78.857648261590285</v>
      </c>
      <c r="AI105" s="52">
        <f t="shared" si="266"/>
        <v>83.048517616884311</v>
      </c>
      <c r="AJ105" s="52">
        <f t="shared" si="266"/>
        <v>89.853829597052496</v>
      </c>
      <c r="AK105" s="52">
        <f t="shared" si="266"/>
        <v>98.962470581449864</v>
      </c>
      <c r="AL105" s="52">
        <f t="shared" si="266"/>
        <v>110.18620613884546</v>
      </c>
      <c r="AM105" s="52">
        <f t="shared" si="266"/>
        <v>123.42527353842381</v>
      </c>
      <c r="AN105" s="52">
        <f t="shared" si="266"/>
        <v>138.64098766404499</v>
      </c>
      <c r="AO105" s="52">
        <f t="shared" si="266"/>
        <v>155.83978348409235</v>
      </c>
      <c r="AP105" s="52">
        <f t="shared" si="266"/>
        <v>175.06075780342883</v>
      </c>
      <c r="AQ105" s="52">
        <f t="shared" si="266"/>
        <v>196.36921814750039</v>
      </c>
      <c r="AR105" s="52">
        <f t="shared" si="266"/>
        <v>219.85144892784305</v>
      </c>
      <c r="AS105" s="52">
        <f t="shared" si="266"/>
        <v>245.61044463726236</v>
      </c>
      <c r="AT105" s="52">
        <f t="shared" si="266"/>
        <v>273.76442357192343</v>
      </c>
      <c r="AU105" s="209"/>
      <c r="AV105" s="209"/>
      <c r="AW105" s="209"/>
      <c r="AX105" s="209"/>
      <c r="AY105" s="209"/>
      <c r="AZ105" s="209"/>
      <c r="BA105" s="209"/>
      <c r="BB105" s="209"/>
      <c r="BC105" s="209"/>
      <c r="BD105" s="209"/>
      <c r="BE105" s="209"/>
      <c r="BF105" s="209"/>
      <c r="BG105" s="209"/>
      <c r="BH105" s="209"/>
      <c r="BI105" s="209"/>
      <c r="BJ105" s="209"/>
      <c r="BK105" s="209"/>
      <c r="BL105" s="209"/>
      <c r="BM105" s="209"/>
    </row>
    <row r="106" spans="1:65" x14ac:dyDescent="0.25">
      <c r="A106" s="24"/>
      <c r="B106" s="36"/>
      <c r="C106" s="36"/>
      <c r="D106" s="52"/>
      <c r="E106" s="52"/>
      <c r="F106" s="52"/>
      <c r="G106" s="52"/>
      <c r="H106" s="52"/>
      <c r="I106" s="52"/>
      <c r="J106" s="52"/>
      <c r="K106" s="52"/>
      <c r="L106" s="52"/>
      <c r="M106" s="52"/>
      <c r="N106" s="52"/>
      <c r="O106" s="52"/>
      <c r="P106" s="52"/>
      <c r="Q106" s="52"/>
      <c r="R106" s="52"/>
      <c r="S106" s="52"/>
      <c r="T106" s="52"/>
      <c r="U106" s="52"/>
      <c r="V106" s="52"/>
      <c r="W106" s="52"/>
      <c r="X106" s="52"/>
      <c r="Y106" s="52"/>
      <c r="AC106" s="106"/>
      <c r="AD106" s="54"/>
      <c r="AE106" s="54"/>
      <c r="AF106" s="54"/>
      <c r="AG106" s="52"/>
      <c r="AH106" s="52"/>
      <c r="AI106" s="52"/>
      <c r="AJ106" s="52"/>
      <c r="AK106" s="52"/>
      <c r="AL106" s="52"/>
      <c r="AM106" s="52"/>
      <c r="AN106" s="52"/>
      <c r="AO106" s="52"/>
      <c r="AP106" s="52"/>
      <c r="AQ106" s="52"/>
      <c r="AR106" s="52"/>
      <c r="AS106" s="52"/>
      <c r="AT106" s="52"/>
    </row>
    <row r="107" spans="1:65" x14ac:dyDescent="0.25">
      <c r="A107" s="6" t="s">
        <v>21</v>
      </c>
      <c r="B107" s="37"/>
      <c r="C107" s="37"/>
      <c r="D107" s="96"/>
      <c r="E107" s="96"/>
      <c r="F107" s="96"/>
      <c r="G107" s="96"/>
      <c r="H107" s="96"/>
      <c r="I107" s="96"/>
      <c r="J107" s="107"/>
      <c r="K107" s="107"/>
      <c r="L107" s="107"/>
      <c r="M107" s="107">
        <f>2.565+1.044+2.028</f>
        <v>5.6370000000000005</v>
      </c>
      <c r="N107" s="310">
        <f>0.141807</f>
        <v>0.14180699999999999</v>
      </c>
      <c r="O107" s="310">
        <f>0.189361</f>
        <v>0.189361</v>
      </c>
      <c r="P107" s="107">
        <f>4.154+2.275+0.849</f>
        <v>7.2780000000000005</v>
      </c>
      <c r="Q107" s="107">
        <f>3.992+2.282</f>
        <v>6.274</v>
      </c>
      <c r="R107" s="107">
        <f>4.055+2.285+3.154</f>
        <v>9.4939999999999998</v>
      </c>
      <c r="S107" s="107">
        <f>3.476+2.202</f>
        <v>5.6779999999999999</v>
      </c>
      <c r="T107" s="107">
        <f>2.553+2.321+5.912</f>
        <v>10.786000000000001</v>
      </c>
      <c r="U107" s="70">
        <f>2.373+0.737+2.446</f>
        <v>5.5560000000000009</v>
      </c>
      <c r="V107" s="107">
        <f>3.848+2.472</f>
        <v>6.32</v>
      </c>
      <c r="W107" s="107">
        <f>2.615+2.222</f>
        <v>4.8369999999999997</v>
      </c>
      <c r="X107" s="107">
        <f>2.083+0.407+1.817</f>
        <v>4.3070000000000004</v>
      </c>
      <c r="Y107" s="31">
        <f t="shared" ref="Y107" si="267">X107</f>
        <v>4.3070000000000004</v>
      </c>
      <c r="AC107" s="42"/>
      <c r="AD107" s="54">
        <f t="shared" ref="AD107:AD120" si="268">I107</f>
        <v>0</v>
      </c>
      <c r="AE107" s="54">
        <f t="shared" ref="AE107:AE120" si="269">M107</f>
        <v>5.6370000000000005</v>
      </c>
      <c r="AF107" s="54">
        <f t="shared" ref="AF107:AF120" si="270">Q107</f>
        <v>6.274</v>
      </c>
      <c r="AG107" s="54">
        <f>U107</f>
        <v>5.5560000000000009</v>
      </c>
      <c r="AH107" s="54">
        <f>AG107</f>
        <v>5.5560000000000009</v>
      </c>
      <c r="AI107" s="54">
        <f t="shared" ref="AI107:AT107" si="271">AH107</f>
        <v>5.5560000000000009</v>
      </c>
      <c r="AJ107" s="54">
        <f t="shared" si="271"/>
        <v>5.5560000000000009</v>
      </c>
      <c r="AK107" s="54">
        <f t="shared" si="271"/>
        <v>5.5560000000000009</v>
      </c>
      <c r="AL107" s="54">
        <f t="shared" si="271"/>
        <v>5.5560000000000009</v>
      </c>
      <c r="AM107" s="54">
        <f t="shared" si="271"/>
        <v>5.5560000000000009</v>
      </c>
      <c r="AN107" s="54">
        <f t="shared" si="271"/>
        <v>5.5560000000000009</v>
      </c>
      <c r="AO107" s="54">
        <f t="shared" si="271"/>
        <v>5.5560000000000009</v>
      </c>
      <c r="AP107" s="54">
        <f t="shared" si="271"/>
        <v>5.5560000000000009</v>
      </c>
      <c r="AQ107" s="54">
        <f t="shared" si="271"/>
        <v>5.5560000000000009</v>
      </c>
      <c r="AR107" s="54">
        <f t="shared" si="271"/>
        <v>5.5560000000000009</v>
      </c>
      <c r="AS107" s="54">
        <f t="shared" si="271"/>
        <v>5.5560000000000009</v>
      </c>
      <c r="AT107" s="54">
        <f t="shared" si="271"/>
        <v>5.5560000000000009</v>
      </c>
    </row>
    <row r="108" spans="1:65" x14ac:dyDescent="0.25">
      <c r="A108" s="6" t="s">
        <v>22</v>
      </c>
      <c r="B108" s="37"/>
      <c r="C108" s="37"/>
      <c r="D108" s="108"/>
      <c r="E108" s="108"/>
      <c r="F108" s="108"/>
      <c r="G108" s="108"/>
      <c r="H108" s="108"/>
      <c r="I108" s="108"/>
      <c r="J108" s="107"/>
      <c r="K108" s="107"/>
      <c r="L108" s="182"/>
      <c r="M108" s="107">
        <f>14.499-M107</f>
        <v>8.8620000000000001</v>
      </c>
      <c r="N108" s="310">
        <f>0.551197+0.982749</f>
        <v>1.533946</v>
      </c>
      <c r="O108" s="310">
        <f>2.556537-O107</f>
        <v>2.3671760000000002</v>
      </c>
      <c r="P108" s="107">
        <f>16.248-P107</f>
        <v>8.9700000000000006</v>
      </c>
      <c r="Q108" s="107">
        <f>18.568-Q107</f>
        <v>12.294</v>
      </c>
      <c r="R108" s="107">
        <f>15.737-R107</f>
        <v>6.2430000000000003</v>
      </c>
      <c r="S108" s="107">
        <f>18.449-S107</f>
        <v>12.771000000000001</v>
      </c>
      <c r="T108" s="107">
        <f>22.777-T107</f>
        <v>11.991</v>
      </c>
      <c r="U108" s="31">
        <f>26.004-U107</f>
        <v>20.448</v>
      </c>
      <c r="V108" s="107">
        <f>23.022-V107</f>
        <v>16.701999999999998</v>
      </c>
      <c r="W108" s="107">
        <f>21.588-W107</f>
        <v>16.751000000000001</v>
      </c>
      <c r="X108" s="107">
        <f>19.932-X107</f>
        <v>15.624999999999998</v>
      </c>
      <c r="Y108" s="31">
        <f>X108</f>
        <v>15.624999999999998</v>
      </c>
      <c r="AC108" s="42"/>
      <c r="AD108" s="54">
        <f t="shared" si="268"/>
        <v>0</v>
      </c>
      <c r="AE108" s="54">
        <f t="shared" si="269"/>
        <v>8.8620000000000001</v>
      </c>
      <c r="AF108" s="54">
        <f t="shared" si="270"/>
        <v>12.294</v>
      </c>
      <c r="AG108" s="54">
        <f>U108</f>
        <v>20.448</v>
      </c>
      <c r="AH108" s="54">
        <f>AH109*(-AH45)</f>
        <v>18.082060087588737</v>
      </c>
      <c r="AI108" s="54">
        <f>AI109*(-AI45)</f>
        <v>16.917321757910344</v>
      </c>
      <c r="AJ108" s="54">
        <f>AJ109*(-AJ45)</f>
        <v>15.863565671241115</v>
      </c>
      <c r="AK108" s="54">
        <f>AK109*(-AK45)</f>
        <v>14.886528800787474</v>
      </c>
      <c r="AL108" s="54">
        <f>AL109*(-AL45)</f>
        <v>13.9518532732449</v>
      </c>
      <c r="AM108" s="54">
        <f>AM109*(-AM45)</f>
        <v>13.031493165912275</v>
      </c>
      <c r="AN108" s="54">
        <f>AN109*(-AN45)</f>
        <v>12.100879848721501</v>
      </c>
      <c r="AO108" s="54">
        <f>AO109*(-AO45)</f>
        <v>11.140018420615739</v>
      </c>
      <c r="AP108" s="54">
        <f>AP109*(-AP45)</f>
        <v>10.13070914826333</v>
      </c>
      <c r="AQ108" s="54">
        <f>AQ109*(-AQ45)</f>
        <v>9.0572176653104268</v>
      </c>
      <c r="AR108" s="54">
        <f>AR109*(-AR45)</f>
        <v>7.9061491730806424</v>
      </c>
      <c r="AS108" s="54">
        <f>AS109*(-AS45)</f>
        <v>6.6645420952471319</v>
      </c>
      <c r="AT108" s="54">
        <f>AT109*(-AT45)</f>
        <v>5.3206095231081241</v>
      </c>
    </row>
    <row r="109" spans="1:65" x14ac:dyDescent="0.25">
      <c r="A109" s="109" t="s">
        <v>54</v>
      </c>
      <c r="B109" s="110">
        <v>0.3</v>
      </c>
      <c r="C109" s="110">
        <v>0.2</v>
      </c>
      <c r="D109" s="45"/>
      <c r="E109" s="45"/>
      <c r="F109" s="45"/>
      <c r="G109" s="45"/>
      <c r="H109" s="45"/>
      <c r="I109" s="45"/>
      <c r="J109" s="45"/>
      <c r="K109" s="45"/>
      <c r="L109" s="45"/>
      <c r="M109" s="45"/>
      <c r="N109" s="45">
        <f>N108/(-N45*4)</f>
        <v>9.0189675446848555E-2</v>
      </c>
      <c r="O109" s="45">
        <f>O108/(-O45*4)</f>
        <v>0.15343375680580762</v>
      </c>
      <c r="P109" s="45">
        <f>P108/(-P45*4)</f>
        <v>0.52505268087099044</v>
      </c>
      <c r="Q109" s="45">
        <f>Q108/(-Q45*4)</f>
        <v>0.65421455938697315</v>
      </c>
      <c r="R109" s="45">
        <f>R108/(-R45*4)</f>
        <v>0.28806755260243633</v>
      </c>
      <c r="S109" s="45">
        <f>S108/(-S45*4)</f>
        <v>0.63587930691097394</v>
      </c>
      <c r="T109" s="45">
        <f>T108/(-T45*4)</f>
        <v>0.52777288732394367</v>
      </c>
      <c r="U109" s="45">
        <f>U108/(-U45*4)</f>
        <v>0.74562427071178528</v>
      </c>
      <c r="V109" s="45">
        <f>V108/(-V45*4)</f>
        <v>0.70330133063836942</v>
      </c>
      <c r="W109" s="45">
        <f>W108/(-W45*4)</f>
        <v>0.78436973215958039</v>
      </c>
      <c r="X109" s="45">
        <f>X108/(-X45*4)</f>
        <v>0.64363980886472216</v>
      </c>
      <c r="Y109" s="111">
        <v>0.4</v>
      </c>
      <c r="AC109" s="42"/>
      <c r="AD109" s="45">
        <f t="shared" si="268"/>
        <v>0</v>
      </c>
      <c r="AE109" s="45">
        <f t="shared" si="269"/>
        <v>0</v>
      </c>
      <c r="AF109" s="45">
        <f t="shared" si="270"/>
        <v>0.65421455938697315</v>
      </c>
      <c r="AG109" s="45">
        <f>-AG108/AG45</f>
        <v>0.89001088139281848</v>
      </c>
      <c r="AH109" s="440">
        <f>Inputs!B20</f>
        <v>0.89001088139281848</v>
      </c>
      <c r="AI109" s="440">
        <f>Inputs!C20</f>
        <v>0.89001088139281848</v>
      </c>
      <c r="AJ109" s="440">
        <f>Inputs!D20</f>
        <v>0.89001088139281848</v>
      </c>
      <c r="AK109" s="440">
        <f>Inputs!E20</f>
        <v>0.89001088139281848</v>
      </c>
      <c r="AL109" s="440">
        <f>Inputs!F20</f>
        <v>0.89001088139281848</v>
      </c>
      <c r="AM109" s="440">
        <f>Inputs!G20</f>
        <v>0.89001088139281848</v>
      </c>
      <c r="AN109" s="440">
        <f>Inputs!H20</f>
        <v>0.89001088139281848</v>
      </c>
      <c r="AO109" s="440">
        <f>Inputs!I20</f>
        <v>0.89001088139281848</v>
      </c>
      <c r="AP109" s="440">
        <f>Inputs!J20</f>
        <v>0.89001088139281848</v>
      </c>
      <c r="AQ109" s="440">
        <f>Inputs!K20</f>
        <v>0.89001088139281848</v>
      </c>
      <c r="AR109" s="440">
        <f>Inputs!L20</f>
        <v>0.89001088139281848</v>
      </c>
      <c r="AS109" s="440">
        <f>Inputs!M20</f>
        <v>0.89001088139281848</v>
      </c>
      <c r="AT109" s="440">
        <f>Inputs!N20</f>
        <v>0.89001088139281848</v>
      </c>
    </row>
    <row r="110" spans="1:65" x14ac:dyDescent="0.25">
      <c r="A110" s="24" t="s">
        <v>23</v>
      </c>
      <c r="B110" s="36"/>
      <c r="C110" s="36"/>
      <c r="D110" s="105"/>
      <c r="E110" s="105"/>
      <c r="F110" s="105"/>
      <c r="G110" s="105"/>
      <c r="H110" s="105"/>
      <c r="I110" s="105"/>
      <c r="J110" s="105"/>
      <c r="K110" s="105"/>
      <c r="L110" s="105"/>
      <c r="M110" s="105">
        <f t="shared" ref="M110:Q110" si="272">SUM(M107:M108)</f>
        <v>14.499000000000001</v>
      </c>
      <c r="N110" s="317">
        <f t="shared" si="272"/>
        <v>1.675753</v>
      </c>
      <c r="O110" s="317">
        <f t="shared" si="272"/>
        <v>2.5565370000000001</v>
      </c>
      <c r="P110" s="105">
        <f t="shared" si="272"/>
        <v>16.248000000000001</v>
      </c>
      <c r="Q110" s="105">
        <f t="shared" si="272"/>
        <v>18.568000000000001</v>
      </c>
      <c r="R110" s="105">
        <f t="shared" ref="R110:U110" si="273">SUM(R107:R108)</f>
        <v>15.737</v>
      </c>
      <c r="S110" s="105">
        <f t="shared" si="273"/>
        <v>18.449000000000002</v>
      </c>
      <c r="T110" s="105">
        <f t="shared" si="273"/>
        <v>22.777000000000001</v>
      </c>
      <c r="U110" s="105">
        <f t="shared" si="273"/>
        <v>26.004000000000001</v>
      </c>
      <c r="V110" s="105">
        <f t="shared" ref="V110:W110" si="274">SUM(V107:V108)</f>
        <v>23.021999999999998</v>
      </c>
      <c r="W110" s="105">
        <f t="shared" si="274"/>
        <v>21.588000000000001</v>
      </c>
      <c r="X110" s="105">
        <f t="shared" ref="X110:Y110" si="275">SUM(X107:X108)</f>
        <v>19.931999999999999</v>
      </c>
      <c r="Y110" s="105">
        <f t="shared" si="275"/>
        <v>19.931999999999999</v>
      </c>
      <c r="AC110" s="43"/>
      <c r="AD110" s="54">
        <f t="shared" si="268"/>
        <v>0</v>
      </c>
      <c r="AE110" s="54">
        <f t="shared" si="269"/>
        <v>14.499000000000001</v>
      </c>
      <c r="AF110" s="54">
        <f t="shared" si="270"/>
        <v>18.568000000000001</v>
      </c>
      <c r="AG110" s="26">
        <f t="shared" ref="AG110:AG120" si="276">U110</f>
        <v>26.004000000000001</v>
      </c>
      <c r="AH110" s="26">
        <f t="shared" ref="AH110:AN110" si="277">SUM(AH107:AH108)</f>
        <v>23.638060087588737</v>
      </c>
      <c r="AI110" s="26">
        <f t="shared" si="277"/>
        <v>22.473321757910345</v>
      </c>
      <c r="AJ110" s="26">
        <f t="shared" si="277"/>
        <v>21.419565671241116</v>
      </c>
      <c r="AK110" s="26">
        <f t="shared" si="277"/>
        <v>20.442528800787475</v>
      </c>
      <c r="AL110" s="26">
        <f t="shared" si="277"/>
        <v>19.507853273244901</v>
      </c>
      <c r="AM110" s="26">
        <f t="shared" si="277"/>
        <v>18.587493165912278</v>
      </c>
      <c r="AN110" s="26">
        <f t="shared" si="277"/>
        <v>17.656879848721502</v>
      </c>
      <c r="AO110" s="26">
        <f t="shared" ref="AO110:AP110" si="278">SUM(AO107:AO108)</f>
        <v>16.69601842061574</v>
      </c>
      <c r="AP110" s="26">
        <f t="shared" si="278"/>
        <v>15.686709148263331</v>
      </c>
      <c r="AQ110" s="26">
        <f t="shared" ref="AQ110:AR110" si="279">SUM(AQ107:AQ108)</f>
        <v>14.613217665310428</v>
      </c>
      <c r="AR110" s="26">
        <f t="shared" si="279"/>
        <v>13.462149173080643</v>
      </c>
      <c r="AS110" s="26">
        <f t="shared" ref="AS110:AT110" si="280">SUM(AS107:AS108)</f>
        <v>12.220542095247133</v>
      </c>
      <c r="AT110" s="26">
        <f t="shared" si="280"/>
        <v>10.876609523108126</v>
      </c>
    </row>
    <row r="111" spans="1:65" x14ac:dyDescent="0.25">
      <c r="A111" s="6" t="s">
        <v>24</v>
      </c>
      <c r="B111" s="37"/>
      <c r="C111" s="37"/>
      <c r="D111" s="107"/>
      <c r="E111" s="107"/>
      <c r="F111" s="107"/>
      <c r="G111" s="107"/>
      <c r="H111" s="107"/>
      <c r="I111" s="107"/>
      <c r="J111" s="107"/>
      <c r="K111" s="107"/>
      <c r="L111" s="182"/>
      <c r="M111" s="182">
        <f>1.782+0.03+0.678+5.155</f>
        <v>7.6450000000000005</v>
      </c>
      <c r="N111" s="107">
        <v>0</v>
      </c>
      <c r="O111" s="107">
        <v>0</v>
      </c>
      <c r="P111" s="107">
        <f>0.486+0.04+0.675+4.352</f>
        <v>5.5530000000000008</v>
      </c>
      <c r="Q111" s="107">
        <f>0.386+0.22+3.962</f>
        <v>4.5680000000000005</v>
      </c>
      <c r="R111" s="107">
        <f>2.636+1.304+3.498</f>
        <v>7.4380000000000006</v>
      </c>
      <c r="S111" s="107">
        <f>2.375+3.29</f>
        <v>5.665</v>
      </c>
      <c r="T111" s="107">
        <f>4.495+3.254</f>
        <v>7.7490000000000006</v>
      </c>
      <c r="U111" s="70">
        <f>4.1+2.594</f>
        <v>6.6939999999999991</v>
      </c>
      <c r="V111" s="107">
        <f>3.8+2.147</f>
        <v>5.9469999999999992</v>
      </c>
      <c r="W111" s="107">
        <f>3.5+1.77</f>
        <v>5.27</v>
      </c>
      <c r="X111" s="107">
        <f>3.2+1.517</f>
        <v>4.7170000000000005</v>
      </c>
      <c r="Y111" s="31">
        <f t="shared" ref="Y111:Y112" si="281">X111</f>
        <v>4.7170000000000005</v>
      </c>
      <c r="AC111" s="42"/>
      <c r="AD111" s="54">
        <f t="shared" si="268"/>
        <v>0</v>
      </c>
      <c r="AE111" s="54">
        <v>7.6450000000000005</v>
      </c>
      <c r="AF111" s="54">
        <v>4.5680000000000005</v>
      </c>
      <c r="AG111" s="26">
        <v>6.6939999999999991</v>
      </c>
      <c r="AH111" s="26">
        <f>AG111+AH144-AH145</f>
        <v>6.6939999999999991</v>
      </c>
      <c r="AI111" s="26">
        <f t="shared" ref="AI111:AT111" si="282">AH111+AI144-AI145</f>
        <v>6.6939999999999991</v>
      </c>
      <c r="AJ111" s="26">
        <f t="shared" si="282"/>
        <v>6.6939999999999991</v>
      </c>
      <c r="AK111" s="26">
        <f t="shared" si="282"/>
        <v>6.6939999999999991</v>
      </c>
      <c r="AL111" s="26">
        <f t="shared" si="282"/>
        <v>6.6939999999999991</v>
      </c>
      <c r="AM111" s="26">
        <f t="shared" si="282"/>
        <v>6.6939999999999991</v>
      </c>
      <c r="AN111" s="26">
        <f t="shared" si="282"/>
        <v>6.6939999999999991</v>
      </c>
      <c r="AO111" s="26">
        <f t="shared" si="282"/>
        <v>6.6939999999999991</v>
      </c>
      <c r="AP111" s="26">
        <f t="shared" si="282"/>
        <v>6.6939999999999991</v>
      </c>
      <c r="AQ111" s="26">
        <f t="shared" si="282"/>
        <v>6.6939999999999991</v>
      </c>
      <c r="AR111" s="26">
        <f t="shared" si="282"/>
        <v>6.6939999999999991</v>
      </c>
      <c r="AS111" s="26">
        <f t="shared" si="282"/>
        <v>6.6939999999999991</v>
      </c>
      <c r="AT111" s="26">
        <f t="shared" si="282"/>
        <v>6.6939999999999991</v>
      </c>
    </row>
    <row r="112" spans="1:65" x14ac:dyDescent="0.25">
      <c r="A112" s="61" t="s">
        <v>25</v>
      </c>
      <c r="B112" s="50"/>
      <c r="C112" s="50"/>
      <c r="D112" s="98"/>
      <c r="E112" s="98"/>
      <c r="F112" s="98"/>
      <c r="G112" s="98"/>
      <c r="H112" s="98"/>
      <c r="I112" s="98"/>
      <c r="J112" s="98"/>
      <c r="K112" s="98"/>
      <c r="L112" s="98"/>
      <c r="M112" s="98">
        <v>0</v>
      </c>
      <c r="N112" s="315">
        <f>4.033783-N111-N110</f>
        <v>2.3580299999999994</v>
      </c>
      <c r="O112" s="315">
        <f>2.263029</f>
        <v>2.263029</v>
      </c>
      <c r="P112" s="99">
        <v>0</v>
      </c>
      <c r="Q112" s="98">
        <f>4.944-Q111</f>
        <v>0.37599999999999945</v>
      </c>
      <c r="R112" s="98">
        <f>7.572-R111</f>
        <v>0.13399999999999945</v>
      </c>
      <c r="S112" s="98">
        <f>6.411-S111</f>
        <v>0.74599999999999955</v>
      </c>
      <c r="T112" s="98">
        <f>9.241-T111</f>
        <v>1.4919999999999991</v>
      </c>
      <c r="U112" s="98">
        <f>9.001-U111</f>
        <v>2.3070000000000004</v>
      </c>
      <c r="V112" s="98">
        <f>8.161-V111</f>
        <v>2.2140000000000004</v>
      </c>
      <c r="W112" s="98">
        <f>6.204-W111</f>
        <v>0.93400000000000016</v>
      </c>
      <c r="X112" s="99">
        <f>5.631-X111</f>
        <v>0.9139999999999997</v>
      </c>
      <c r="Y112" s="99">
        <f t="shared" si="281"/>
        <v>0.9139999999999997</v>
      </c>
      <c r="AC112" s="63"/>
      <c r="AD112" s="65">
        <f t="shared" si="268"/>
        <v>0</v>
      </c>
      <c r="AE112" s="65">
        <f t="shared" si="269"/>
        <v>0</v>
      </c>
      <c r="AF112" s="65">
        <f t="shared" si="270"/>
        <v>0.37599999999999945</v>
      </c>
      <c r="AG112" s="85">
        <f t="shared" si="276"/>
        <v>2.3070000000000004</v>
      </c>
      <c r="AH112" s="32">
        <f>AG112</f>
        <v>2.3070000000000004</v>
      </c>
      <c r="AI112" s="32">
        <f t="shared" ref="AI112:AT112" si="283">AH112</f>
        <v>2.3070000000000004</v>
      </c>
      <c r="AJ112" s="32">
        <f t="shared" ref="AJ111:AT112" si="284">AI112</f>
        <v>2.3070000000000004</v>
      </c>
      <c r="AK112" s="32">
        <f t="shared" si="284"/>
        <v>2.3070000000000004</v>
      </c>
      <c r="AL112" s="32">
        <f t="shared" si="284"/>
        <v>2.3070000000000004</v>
      </c>
      <c r="AM112" s="32">
        <f t="shared" si="284"/>
        <v>2.3070000000000004</v>
      </c>
      <c r="AN112" s="32">
        <f t="shared" si="284"/>
        <v>2.3070000000000004</v>
      </c>
      <c r="AO112" s="32">
        <f t="shared" si="284"/>
        <v>2.3070000000000004</v>
      </c>
      <c r="AP112" s="32">
        <f t="shared" si="284"/>
        <v>2.3070000000000004</v>
      </c>
      <c r="AQ112" s="32">
        <f t="shared" si="284"/>
        <v>2.3070000000000004</v>
      </c>
      <c r="AR112" s="32">
        <f t="shared" si="284"/>
        <v>2.3070000000000004</v>
      </c>
      <c r="AS112" s="32">
        <f t="shared" si="284"/>
        <v>2.3070000000000004</v>
      </c>
      <c r="AT112" s="32">
        <f t="shared" si="284"/>
        <v>2.3070000000000004</v>
      </c>
    </row>
    <row r="113" spans="1:65" x14ac:dyDescent="0.25">
      <c r="A113" s="100" t="s">
        <v>26</v>
      </c>
      <c r="B113" s="101"/>
      <c r="C113" s="101"/>
      <c r="D113" s="102"/>
      <c r="E113" s="102"/>
      <c r="F113" s="102"/>
      <c r="G113" s="102"/>
      <c r="H113" s="102"/>
      <c r="I113" s="102"/>
      <c r="J113" s="102"/>
      <c r="K113" s="102"/>
      <c r="L113" s="102"/>
      <c r="M113" s="102">
        <f t="shared" ref="M113:Q113" si="285">SUM(M111:M112)</f>
        <v>7.6450000000000005</v>
      </c>
      <c r="N113" s="316">
        <f t="shared" si="285"/>
        <v>2.3580299999999994</v>
      </c>
      <c r="O113" s="316">
        <f t="shared" si="285"/>
        <v>2.263029</v>
      </c>
      <c r="P113" s="102">
        <f t="shared" si="285"/>
        <v>5.5530000000000008</v>
      </c>
      <c r="Q113" s="102">
        <f t="shared" si="285"/>
        <v>4.944</v>
      </c>
      <c r="R113" s="102">
        <f t="shared" ref="R113:U113" si="286">SUM(R111:R112)</f>
        <v>7.5720000000000001</v>
      </c>
      <c r="S113" s="102">
        <f t="shared" si="286"/>
        <v>6.4109999999999996</v>
      </c>
      <c r="T113" s="102">
        <f t="shared" si="286"/>
        <v>9.2409999999999997</v>
      </c>
      <c r="U113" s="102">
        <f t="shared" si="286"/>
        <v>9.0009999999999994</v>
      </c>
      <c r="V113" s="102">
        <f t="shared" ref="V113:W113" si="287">SUM(V111:V112)</f>
        <v>8.1609999999999996</v>
      </c>
      <c r="W113" s="102">
        <f t="shared" si="287"/>
        <v>6.2039999999999997</v>
      </c>
      <c r="X113" s="102">
        <f t="shared" ref="X113:Y113" si="288">SUM(X111:X112)</f>
        <v>5.6310000000000002</v>
      </c>
      <c r="Y113" s="102">
        <f t="shared" si="288"/>
        <v>5.6310000000000002</v>
      </c>
      <c r="AC113" s="112"/>
      <c r="AD113" s="113">
        <f t="shared" si="268"/>
        <v>0</v>
      </c>
      <c r="AE113" s="113">
        <f t="shared" si="269"/>
        <v>7.6450000000000005</v>
      </c>
      <c r="AF113" s="113">
        <f t="shared" si="270"/>
        <v>4.944</v>
      </c>
      <c r="AG113" s="112">
        <f t="shared" si="276"/>
        <v>9.0009999999999994</v>
      </c>
      <c r="AH113" s="112">
        <f t="shared" ref="AH113:AN113" si="289">SUM(AH111:AH112)</f>
        <v>9.0009999999999994</v>
      </c>
      <c r="AI113" s="112">
        <f t="shared" si="289"/>
        <v>9.0009999999999994</v>
      </c>
      <c r="AJ113" s="112">
        <f t="shared" si="289"/>
        <v>9.0009999999999994</v>
      </c>
      <c r="AK113" s="112">
        <f t="shared" si="289"/>
        <v>9.0009999999999994</v>
      </c>
      <c r="AL113" s="112">
        <f t="shared" si="289"/>
        <v>9.0009999999999994</v>
      </c>
      <c r="AM113" s="112">
        <f t="shared" si="289"/>
        <v>9.0009999999999994</v>
      </c>
      <c r="AN113" s="112">
        <f t="shared" si="289"/>
        <v>9.0009999999999994</v>
      </c>
      <c r="AO113" s="112">
        <f t="shared" ref="AO113:AP113" si="290">SUM(AO111:AO112)</f>
        <v>9.0009999999999994</v>
      </c>
      <c r="AP113" s="112">
        <f t="shared" si="290"/>
        <v>9.0009999999999994</v>
      </c>
      <c r="AQ113" s="112">
        <f t="shared" ref="AQ113:AR113" si="291">SUM(AQ111:AQ112)</f>
        <v>9.0009999999999994</v>
      </c>
      <c r="AR113" s="112">
        <f t="shared" si="291"/>
        <v>9.0009999999999994</v>
      </c>
      <c r="AS113" s="112">
        <f t="shared" ref="AS113:AT113" si="292">SUM(AS111:AS112)</f>
        <v>9.0009999999999994</v>
      </c>
      <c r="AT113" s="112">
        <f t="shared" si="292"/>
        <v>9.0009999999999994</v>
      </c>
    </row>
    <row r="114" spans="1:65" x14ac:dyDescent="0.25">
      <c r="A114" s="24" t="s">
        <v>27</v>
      </c>
      <c r="B114" s="36"/>
      <c r="C114" s="36"/>
      <c r="D114" s="114"/>
      <c r="E114" s="114"/>
      <c r="F114" s="114"/>
      <c r="G114" s="114"/>
      <c r="H114" s="114"/>
      <c r="I114" s="114"/>
      <c r="J114" s="114"/>
      <c r="K114" s="114"/>
      <c r="L114" s="114"/>
      <c r="M114" s="114">
        <f t="shared" ref="M114:Q114" si="293">M110+M113</f>
        <v>22.144000000000002</v>
      </c>
      <c r="N114" s="318">
        <f t="shared" si="293"/>
        <v>4.0337829999999997</v>
      </c>
      <c r="O114" s="318">
        <f t="shared" si="293"/>
        <v>4.819566</v>
      </c>
      <c r="P114" s="114">
        <f t="shared" si="293"/>
        <v>21.801000000000002</v>
      </c>
      <c r="Q114" s="114">
        <f t="shared" si="293"/>
        <v>23.512</v>
      </c>
      <c r="R114" s="114">
        <f t="shared" ref="R114:U114" si="294">R110+R113</f>
        <v>23.309000000000001</v>
      </c>
      <c r="S114" s="114">
        <f t="shared" si="294"/>
        <v>24.86</v>
      </c>
      <c r="T114" s="114">
        <f t="shared" si="294"/>
        <v>32.018000000000001</v>
      </c>
      <c r="U114" s="114">
        <f t="shared" si="294"/>
        <v>35.005000000000003</v>
      </c>
      <c r="V114" s="114">
        <f t="shared" ref="V114:W114" si="295">V110+V113</f>
        <v>31.183</v>
      </c>
      <c r="W114" s="114">
        <f t="shared" si="295"/>
        <v>27.792000000000002</v>
      </c>
      <c r="X114" s="114">
        <f t="shared" ref="X114:Y114" si="296">X110+X113</f>
        <v>25.562999999999999</v>
      </c>
      <c r="Y114" s="114">
        <f t="shared" si="296"/>
        <v>25.562999999999999</v>
      </c>
      <c r="AC114" s="44"/>
      <c r="AD114" s="54">
        <f t="shared" si="268"/>
        <v>0</v>
      </c>
      <c r="AE114" s="54">
        <f t="shared" si="269"/>
        <v>22.144000000000002</v>
      </c>
      <c r="AF114" s="54">
        <f t="shared" si="270"/>
        <v>23.512</v>
      </c>
      <c r="AG114" s="44">
        <f t="shared" si="276"/>
        <v>35.005000000000003</v>
      </c>
      <c r="AH114" s="44">
        <f t="shared" ref="AH114:AN114" si="297">AH110+AH113</f>
        <v>32.639060087588739</v>
      </c>
      <c r="AI114" s="44">
        <f t="shared" si="297"/>
        <v>31.474321757910346</v>
      </c>
      <c r="AJ114" s="44">
        <f t="shared" si="297"/>
        <v>30.420565671241114</v>
      </c>
      <c r="AK114" s="44">
        <f t="shared" si="297"/>
        <v>29.443528800787476</v>
      </c>
      <c r="AL114" s="44">
        <f t="shared" si="297"/>
        <v>28.508853273244902</v>
      </c>
      <c r="AM114" s="44">
        <f t="shared" si="297"/>
        <v>27.588493165912276</v>
      </c>
      <c r="AN114" s="44">
        <f t="shared" si="297"/>
        <v>26.6578798487215</v>
      </c>
      <c r="AO114" s="44">
        <f t="shared" ref="AO114:AP114" si="298">AO110+AO113</f>
        <v>25.697018420615741</v>
      </c>
      <c r="AP114" s="44">
        <f t="shared" si="298"/>
        <v>24.68770914826333</v>
      </c>
      <c r="AQ114" s="44">
        <f t="shared" ref="AQ114:AR114" si="299">AQ110+AQ113</f>
        <v>23.614217665310427</v>
      </c>
      <c r="AR114" s="44">
        <f t="shared" si="299"/>
        <v>22.463149173080645</v>
      </c>
      <c r="AS114" s="44">
        <f t="shared" ref="AS114:AT114" si="300">AS110+AS113</f>
        <v>21.221542095247131</v>
      </c>
      <c r="AT114" s="44">
        <f t="shared" si="300"/>
        <v>19.877609523108127</v>
      </c>
    </row>
    <row r="115" spans="1:65" x14ac:dyDescent="0.25">
      <c r="A115" s="6" t="s">
        <v>28</v>
      </c>
      <c r="B115" s="37"/>
      <c r="C115" s="37"/>
      <c r="D115" s="96"/>
      <c r="E115" s="96"/>
      <c r="F115" s="96"/>
      <c r="G115" s="96"/>
      <c r="H115" s="96"/>
      <c r="I115" s="96"/>
      <c r="J115" s="96"/>
      <c r="K115" s="182"/>
      <c r="L115" s="182"/>
      <c r="M115" s="107">
        <f>3.604</f>
        <v>3.6040000000000001</v>
      </c>
      <c r="N115" s="310">
        <f>2.750576</f>
        <v>2.7505760000000001</v>
      </c>
      <c r="O115" s="310">
        <f>2.750576+0.551589</f>
        <v>3.302165</v>
      </c>
      <c r="P115" s="107">
        <f>3.604</f>
        <v>3.6040000000000001</v>
      </c>
      <c r="Q115" s="107">
        <f>23.346+6.342</f>
        <v>29.687999999999999</v>
      </c>
      <c r="R115" s="107">
        <f>26.307+7.059</f>
        <v>33.366</v>
      </c>
      <c r="S115" s="107">
        <f>26.307+9.744</f>
        <v>36.051000000000002</v>
      </c>
      <c r="T115" s="107">
        <f>26.307+12.414</f>
        <v>38.720999999999997</v>
      </c>
      <c r="U115" s="107">
        <f>31.616+8.235</f>
        <v>39.850999999999999</v>
      </c>
      <c r="V115" s="107">
        <f>31.594+9.283</f>
        <v>40.877000000000002</v>
      </c>
      <c r="W115" s="107">
        <f>31.386+10.255</f>
        <v>41.640999999999998</v>
      </c>
      <c r="X115" s="107">
        <f>31.18+11.1</f>
        <v>42.28</v>
      </c>
      <c r="Y115" s="31">
        <f t="shared" ref="Y115" si="301">X115+Y146+Y149</f>
        <v>42.28</v>
      </c>
      <c r="AC115" s="51"/>
      <c r="AD115" s="54">
        <f t="shared" si="268"/>
        <v>0</v>
      </c>
      <c r="AE115" s="54">
        <v>3.6040000000000001</v>
      </c>
      <c r="AF115" s="54">
        <v>29.687999999999999</v>
      </c>
      <c r="AG115" s="54">
        <v>39.850999999999999</v>
      </c>
      <c r="AH115" s="54">
        <f>AG115+AH146+AH149+AH147+AH148</f>
        <v>39.850999999999999</v>
      </c>
      <c r="AI115" s="54">
        <f t="shared" ref="AI115:AT115" si="302">AH115+AI146+AI149+AI147+AI148</f>
        <v>39.850999999999999</v>
      </c>
      <c r="AJ115" s="54">
        <f t="shared" si="302"/>
        <v>39.850999999999999</v>
      </c>
      <c r="AK115" s="54">
        <f t="shared" si="302"/>
        <v>39.850999999999999</v>
      </c>
      <c r="AL115" s="54">
        <f t="shared" si="302"/>
        <v>39.850999999999999</v>
      </c>
      <c r="AM115" s="54">
        <f t="shared" si="302"/>
        <v>39.850999999999999</v>
      </c>
      <c r="AN115" s="54">
        <f t="shared" si="302"/>
        <v>39.850999999999999</v>
      </c>
      <c r="AO115" s="54">
        <f t="shared" si="302"/>
        <v>39.850999999999999</v>
      </c>
      <c r="AP115" s="54">
        <f t="shared" si="302"/>
        <v>39.850999999999999</v>
      </c>
      <c r="AQ115" s="54">
        <f t="shared" si="302"/>
        <v>39.850999999999999</v>
      </c>
      <c r="AR115" s="54">
        <f t="shared" si="302"/>
        <v>39.850999999999999</v>
      </c>
      <c r="AS115" s="54">
        <f t="shared" si="302"/>
        <v>39.850999999999999</v>
      </c>
      <c r="AT115" s="54">
        <f t="shared" si="302"/>
        <v>39.850999999999999</v>
      </c>
    </row>
    <row r="116" spans="1:65" x14ac:dyDescent="0.25">
      <c r="A116" s="61" t="s">
        <v>29</v>
      </c>
      <c r="B116" s="50"/>
      <c r="C116" s="50"/>
      <c r="D116" s="97"/>
      <c r="E116" s="97"/>
      <c r="F116" s="97"/>
      <c r="G116" s="97"/>
      <c r="H116" s="97"/>
      <c r="I116" s="97"/>
      <c r="J116" s="98"/>
      <c r="K116" s="183"/>
      <c r="L116" s="183"/>
      <c r="M116" s="98">
        <f>21.33</f>
        <v>21.33</v>
      </c>
      <c r="N116" s="315">
        <f>-5.143819</f>
        <v>-5.1438189999999997</v>
      </c>
      <c r="O116" s="315">
        <f>-6.145918</f>
        <v>-6.145918</v>
      </c>
      <c r="P116" s="98">
        <f>22.372</f>
        <v>22.372</v>
      </c>
      <c r="Q116" s="98">
        <f>17.292</f>
        <v>17.292000000000002</v>
      </c>
      <c r="R116" s="98">
        <f>14.711</f>
        <v>14.711</v>
      </c>
      <c r="S116" s="98">
        <f>10.798</f>
        <v>10.798</v>
      </c>
      <c r="T116" s="98">
        <f>7.399</f>
        <v>7.399</v>
      </c>
      <c r="U116" s="98">
        <f>7.197</f>
        <v>7.1970000000000001</v>
      </c>
      <c r="V116" s="98">
        <f>5.963</f>
        <v>5.9630000000000001</v>
      </c>
      <c r="W116" s="98">
        <v>4.9850000000000003</v>
      </c>
      <c r="X116" s="99">
        <f>3.986</f>
        <v>3.9860000000000002</v>
      </c>
      <c r="Y116" s="99">
        <f>X116+Y82</f>
        <v>4.9265881740015587</v>
      </c>
      <c r="AC116" s="76"/>
      <c r="AD116" s="65">
        <f t="shared" si="268"/>
        <v>0</v>
      </c>
      <c r="AE116" s="65">
        <f t="shared" si="269"/>
        <v>21.33</v>
      </c>
      <c r="AF116" s="65">
        <f t="shared" si="270"/>
        <v>17.292000000000002</v>
      </c>
      <c r="AG116" s="65">
        <f t="shared" si="276"/>
        <v>7.1970000000000001</v>
      </c>
      <c r="AH116" s="65">
        <f>AG116+AH82</f>
        <v>6.3675881740015576</v>
      </c>
      <c r="AI116" s="65">
        <f>AH116+AI82</f>
        <v>11.723195858973973</v>
      </c>
      <c r="AJ116" s="65">
        <f>AI116+AJ82</f>
        <v>19.58226392581139</v>
      </c>
      <c r="AK116" s="65">
        <f>AJ116+AK82</f>
        <v>29.667941780662396</v>
      </c>
      <c r="AL116" s="65">
        <f>AK116+AL82</f>
        <v>41.826352865600576</v>
      </c>
      <c r="AM116" s="65">
        <f>AL116+AM82</f>
        <v>55.985780372511542</v>
      </c>
      <c r="AN116" s="65">
        <f>AM116+AN82</f>
        <v>72.132107815323494</v>
      </c>
      <c r="AO116" s="65">
        <f>AN116+AO82</f>
        <v>90.291765063476646</v>
      </c>
      <c r="AP116" s="65">
        <f>AO116+AP82</f>
        <v>110.52204865516552</v>
      </c>
      <c r="AQ116" s="65">
        <f>AP116+AQ82</f>
        <v>132.90400048218999</v>
      </c>
      <c r="AR116" s="65">
        <f>AQ116+AR82</f>
        <v>157.53729975476244</v>
      </c>
      <c r="AS116" s="65">
        <f>AR116+AS82</f>
        <v>184.53790254201525</v>
      </c>
      <c r="AT116" s="65">
        <f>AS116+AT82</f>
        <v>214.0358140488153</v>
      </c>
    </row>
    <row r="117" spans="1:65" x14ac:dyDescent="0.25">
      <c r="A117" s="24" t="s">
        <v>30</v>
      </c>
      <c r="B117" s="36"/>
      <c r="C117" s="36"/>
      <c r="D117" s="105"/>
      <c r="E117" s="105"/>
      <c r="F117" s="105"/>
      <c r="G117" s="105"/>
      <c r="H117" s="105"/>
      <c r="I117" s="105"/>
      <c r="J117" s="105"/>
      <c r="K117" s="105"/>
      <c r="L117" s="105"/>
      <c r="M117" s="105">
        <f t="shared" ref="M117:Q117" si="303">M115+M116</f>
        <v>24.933999999999997</v>
      </c>
      <c r="N117" s="317">
        <f t="shared" si="303"/>
        <v>-2.3932429999999996</v>
      </c>
      <c r="O117" s="317">
        <f t="shared" si="303"/>
        <v>-2.843753</v>
      </c>
      <c r="P117" s="105">
        <f t="shared" si="303"/>
        <v>25.975999999999999</v>
      </c>
      <c r="Q117" s="105">
        <f t="shared" si="303"/>
        <v>46.980000000000004</v>
      </c>
      <c r="R117" s="105">
        <f t="shared" ref="R117:U117" si="304">R115+R116</f>
        <v>48.076999999999998</v>
      </c>
      <c r="S117" s="105">
        <f t="shared" si="304"/>
        <v>46.849000000000004</v>
      </c>
      <c r="T117" s="105">
        <f t="shared" si="304"/>
        <v>46.12</v>
      </c>
      <c r="U117" s="77">
        <f t="shared" si="304"/>
        <v>47.048000000000002</v>
      </c>
      <c r="V117" s="105">
        <f t="shared" ref="V117:W117" si="305">V115+V116</f>
        <v>46.84</v>
      </c>
      <c r="W117" s="105">
        <f t="shared" si="305"/>
        <v>46.625999999999998</v>
      </c>
      <c r="X117" s="105">
        <f t="shared" ref="X117:Y117" si="306">X115+X116</f>
        <v>46.265999999999998</v>
      </c>
      <c r="Y117" s="105">
        <f t="shared" si="306"/>
        <v>47.20658817400156</v>
      </c>
      <c r="AC117" s="27"/>
      <c r="AD117" s="54">
        <f t="shared" si="268"/>
        <v>0</v>
      </c>
      <c r="AE117" s="54">
        <f t="shared" si="269"/>
        <v>24.933999999999997</v>
      </c>
      <c r="AF117" s="54">
        <f t="shared" si="270"/>
        <v>46.980000000000004</v>
      </c>
      <c r="AG117" s="43">
        <f t="shared" si="276"/>
        <v>47.048000000000002</v>
      </c>
      <c r="AH117" s="43">
        <f t="shared" ref="AH117:AI117" si="307">AH115+AH116</f>
        <v>46.218588174001553</v>
      </c>
      <c r="AI117" s="43">
        <f t="shared" si="307"/>
        <v>51.574195858973972</v>
      </c>
      <c r="AJ117" s="43">
        <f t="shared" ref="AJ117" si="308">AJ115+AJ116</f>
        <v>59.433263925811389</v>
      </c>
      <c r="AK117" s="43">
        <f t="shared" ref="AK117" si="309">AK115+AK116</f>
        <v>69.518941780662402</v>
      </c>
      <c r="AL117" s="43">
        <f t="shared" ref="AL117" si="310">AL115+AL116</f>
        <v>81.677352865600568</v>
      </c>
      <c r="AM117" s="43">
        <f t="shared" ref="AM117" si="311">AM115+AM116</f>
        <v>95.836780372511541</v>
      </c>
      <c r="AN117" s="43">
        <f t="shared" ref="AN117" si="312">AN115+AN116</f>
        <v>111.98310781532349</v>
      </c>
      <c r="AO117" s="43">
        <f t="shared" ref="AO117:AP117" si="313">AO115+AO116</f>
        <v>130.14276506347665</v>
      </c>
      <c r="AP117" s="43">
        <f t="shared" si="313"/>
        <v>150.37304865516552</v>
      </c>
      <c r="AQ117" s="43">
        <f t="shared" ref="AQ117:AR117" si="314">AQ115+AQ116</f>
        <v>172.75500048218998</v>
      </c>
      <c r="AR117" s="43">
        <f t="shared" si="314"/>
        <v>197.38829975476244</v>
      </c>
      <c r="AS117" s="43">
        <f t="shared" ref="AS117:AT117" si="315">AS115+AS116</f>
        <v>224.38890254201524</v>
      </c>
      <c r="AT117" s="43">
        <f t="shared" si="315"/>
        <v>253.8868140488153</v>
      </c>
    </row>
    <row r="118" spans="1:65" x14ac:dyDescent="0.25">
      <c r="A118" s="61" t="s">
        <v>31</v>
      </c>
      <c r="B118" s="50"/>
      <c r="C118" s="50"/>
      <c r="D118" s="98"/>
      <c r="E118" s="98"/>
      <c r="F118" s="98"/>
      <c r="G118" s="98"/>
      <c r="H118" s="98"/>
      <c r="I118" s="98"/>
      <c r="J118" s="98"/>
      <c r="K118" s="183"/>
      <c r="L118" s="183"/>
      <c r="M118" s="183"/>
      <c r="N118" s="315">
        <v>0</v>
      </c>
      <c r="O118" s="98">
        <v>0</v>
      </c>
      <c r="P118" s="99">
        <f t="shared" ref="P118:Q118" si="316">O118</f>
        <v>0</v>
      </c>
      <c r="Q118" s="99">
        <f t="shared" si="316"/>
        <v>0</v>
      </c>
      <c r="R118" s="99">
        <f t="shared" ref="R118" si="317">Q118</f>
        <v>0</v>
      </c>
      <c r="S118" s="99">
        <f t="shared" ref="S118" si="318">R118</f>
        <v>0</v>
      </c>
      <c r="T118" s="99">
        <f t="shared" ref="T118" si="319">S118</f>
        <v>0</v>
      </c>
      <c r="U118" s="99">
        <f t="shared" ref="U118" si="320">T118</f>
        <v>0</v>
      </c>
      <c r="V118" s="99">
        <f t="shared" ref="V118" si="321">U118</f>
        <v>0</v>
      </c>
      <c r="W118" s="99">
        <f t="shared" ref="W118" si="322">V118</f>
        <v>0</v>
      </c>
      <c r="X118" s="99">
        <f t="shared" ref="X118" si="323">W118</f>
        <v>0</v>
      </c>
      <c r="Y118" s="99">
        <f t="shared" ref="Y118" si="324">X118</f>
        <v>0</v>
      </c>
      <c r="AA118" s="1">
        <f>U117/124.55</f>
        <v>0.37774387796065839</v>
      </c>
      <c r="AC118" s="62"/>
      <c r="AD118" s="65">
        <f t="shared" si="268"/>
        <v>0</v>
      </c>
      <c r="AE118" s="65">
        <f t="shared" si="269"/>
        <v>0</v>
      </c>
      <c r="AF118" s="65">
        <f t="shared" si="270"/>
        <v>0</v>
      </c>
      <c r="AG118" s="115">
        <f t="shared" si="276"/>
        <v>0</v>
      </c>
      <c r="AH118" s="115">
        <f>Inputs!B17</f>
        <v>0</v>
      </c>
      <c r="AI118" s="115">
        <f>Inputs!C17</f>
        <v>0</v>
      </c>
      <c r="AJ118" s="115">
        <f>Inputs!D17</f>
        <v>0</v>
      </c>
      <c r="AK118" s="115">
        <f>Inputs!E17</f>
        <v>0</v>
      </c>
      <c r="AL118" s="115">
        <f>Inputs!F17</f>
        <v>0</v>
      </c>
      <c r="AM118" s="115">
        <f>Inputs!G17</f>
        <v>0</v>
      </c>
      <c r="AN118" s="115">
        <f>Inputs!H17</f>
        <v>0</v>
      </c>
      <c r="AO118" s="115">
        <f>Inputs!I17</f>
        <v>0</v>
      </c>
      <c r="AP118" s="115">
        <f>Inputs!J17</f>
        <v>0</v>
      </c>
      <c r="AQ118" s="115">
        <f>Inputs!K17</f>
        <v>0</v>
      </c>
      <c r="AR118" s="115">
        <f>Inputs!L17</f>
        <v>0</v>
      </c>
      <c r="AS118" s="115">
        <f>Inputs!M17</f>
        <v>0</v>
      </c>
      <c r="AT118" s="115">
        <f>Inputs!N17</f>
        <v>0</v>
      </c>
    </row>
    <row r="119" spans="1:65" x14ac:dyDescent="0.25">
      <c r="A119" s="100" t="s">
        <v>32</v>
      </c>
      <c r="B119" s="101"/>
      <c r="C119" s="101"/>
      <c r="D119" s="116"/>
      <c r="E119" s="116"/>
      <c r="F119" s="116"/>
      <c r="G119" s="116"/>
      <c r="H119" s="116"/>
      <c r="I119" s="116"/>
      <c r="J119" s="116"/>
      <c r="K119" s="116"/>
      <c r="L119" s="116"/>
      <c r="M119" s="116">
        <f t="shared" ref="M119:Q119" si="325">M117+M118</f>
        <v>24.933999999999997</v>
      </c>
      <c r="N119" s="319">
        <f t="shared" si="325"/>
        <v>-2.3932429999999996</v>
      </c>
      <c r="O119" s="319">
        <f t="shared" si="325"/>
        <v>-2.843753</v>
      </c>
      <c r="P119" s="116">
        <f t="shared" si="325"/>
        <v>25.975999999999999</v>
      </c>
      <c r="Q119" s="116">
        <f t="shared" si="325"/>
        <v>46.980000000000004</v>
      </c>
      <c r="R119" s="116">
        <f t="shared" ref="R119:U119" si="326">R117+R118</f>
        <v>48.076999999999998</v>
      </c>
      <c r="S119" s="116">
        <f t="shared" si="326"/>
        <v>46.849000000000004</v>
      </c>
      <c r="T119" s="116">
        <f t="shared" si="326"/>
        <v>46.12</v>
      </c>
      <c r="U119" s="116">
        <f t="shared" si="326"/>
        <v>47.048000000000002</v>
      </c>
      <c r="V119" s="116">
        <f t="shared" ref="V119:W119" si="327">V117+V118</f>
        <v>46.84</v>
      </c>
      <c r="W119" s="116">
        <f t="shared" si="327"/>
        <v>46.625999999999998</v>
      </c>
      <c r="X119" s="116">
        <f t="shared" ref="X119:Y119" si="328">X117+X118</f>
        <v>46.265999999999998</v>
      </c>
      <c r="Y119" s="116">
        <f t="shared" si="328"/>
        <v>47.20658817400156</v>
      </c>
      <c r="AC119" s="117"/>
      <c r="AD119" s="103">
        <f t="shared" si="268"/>
        <v>0</v>
      </c>
      <c r="AE119" s="103">
        <f t="shared" si="269"/>
        <v>24.933999999999997</v>
      </c>
      <c r="AF119" s="103">
        <f t="shared" si="270"/>
        <v>46.980000000000004</v>
      </c>
      <c r="AG119" s="117">
        <f t="shared" si="276"/>
        <v>47.048000000000002</v>
      </c>
      <c r="AH119" s="117">
        <f t="shared" ref="AH119:AN119" si="329">AH117+AH118</f>
        <v>46.218588174001553</v>
      </c>
      <c r="AI119" s="117">
        <f t="shared" si="329"/>
        <v>51.574195858973972</v>
      </c>
      <c r="AJ119" s="117">
        <f t="shared" si="329"/>
        <v>59.433263925811389</v>
      </c>
      <c r="AK119" s="117">
        <f t="shared" si="329"/>
        <v>69.518941780662402</v>
      </c>
      <c r="AL119" s="117">
        <f t="shared" si="329"/>
        <v>81.677352865600568</v>
      </c>
      <c r="AM119" s="117">
        <f t="shared" si="329"/>
        <v>95.836780372511541</v>
      </c>
      <c r="AN119" s="117">
        <f t="shared" si="329"/>
        <v>111.98310781532349</v>
      </c>
      <c r="AO119" s="117">
        <f t="shared" ref="AO119:AP119" si="330">AO117+AO118</f>
        <v>130.14276506347665</v>
      </c>
      <c r="AP119" s="117">
        <f t="shared" si="330"/>
        <v>150.37304865516552</v>
      </c>
      <c r="AQ119" s="117">
        <f t="shared" ref="AQ119:AR119" si="331">AQ117+AQ118</f>
        <v>172.75500048218998</v>
      </c>
      <c r="AR119" s="117">
        <f t="shared" si="331"/>
        <v>197.38829975476244</v>
      </c>
      <c r="AS119" s="117">
        <f t="shared" ref="AS119:AT119" si="332">AS117+AS118</f>
        <v>224.38890254201524</v>
      </c>
      <c r="AT119" s="117">
        <f t="shared" si="332"/>
        <v>253.8868140488153</v>
      </c>
    </row>
    <row r="120" spans="1:65" x14ac:dyDescent="0.25">
      <c r="A120" s="24" t="s">
        <v>33</v>
      </c>
      <c r="B120" s="36"/>
      <c r="C120" s="36"/>
      <c r="D120" s="105"/>
      <c r="E120" s="105"/>
      <c r="F120" s="105"/>
      <c r="G120" s="105"/>
      <c r="H120" s="105"/>
      <c r="I120" s="105"/>
      <c r="J120" s="105"/>
      <c r="K120" s="105"/>
      <c r="L120" s="105"/>
      <c r="M120" s="105">
        <f t="shared" ref="M120:Q120" si="333">M119+M114</f>
        <v>47.078000000000003</v>
      </c>
      <c r="N120" s="317">
        <f t="shared" si="333"/>
        <v>1.6405400000000001</v>
      </c>
      <c r="O120" s="317">
        <f t="shared" si="333"/>
        <v>1.975813</v>
      </c>
      <c r="P120" s="105">
        <f t="shared" si="333"/>
        <v>47.777000000000001</v>
      </c>
      <c r="Q120" s="105">
        <f t="shared" si="333"/>
        <v>70.492000000000004</v>
      </c>
      <c r="R120" s="105">
        <f t="shared" ref="R120:U120" si="334">R119+R114</f>
        <v>71.385999999999996</v>
      </c>
      <c r="S120" s="105">
        <f t="shared" si="334"/>
        <v>71.709000000000003</v>
      </c>
      <c r="T120" s="105">
        <f t="shared" si="334"/>
        <v>78.138000000000005</v>
      </c>
      <c r="U120" s="105">
        <f t="shared" si="334"/>
        <v>82.052999999999997</v>
      </c>
      <c r="V120" s="105">
        <f t="shared" ref="V120:W120" si="335">V119+V114</f>
        <v>78.022999999999996</v>
      </c>
      <c r="W120" s="105">
        <f t="shared" si="335"/>
        <v>74.418000000000006</v>
      </c>
      <c r="X120" s="105">
        <f t="shared" ref="X120:Y120" si="336">X119+X114</f>
        <v>71.828999999999994</v>
      </c>
      <c r="Y120" s="105">
        <f t="shared" si="336"/>
        <v>72.769588174001555</v>
      </c>
      <c r="AC120" s="52"/>
      <c r="AD120" s="52">
        <f t="shared" si="268"/>
        <v>0</v>
      </c>
      <c r="AE120" s="52">
        <f t="shared" si="269"/>
        <v>47.078000000000003</v>
      </c>
      <c r="AF120" s="52">
        <f t="shared" si="270"/>
        <v>70.492000000000004</v>
      </c>
      <c r="AG120" s="52">
        <f t="shared" si="276"/>
        <v>82.052999999999997</v>
      </c>
      <c r="AH120" s="52">
        <f t="shared" ref="AH120:AN120" si="337">AH119+AH114</f>
        <v>78.857648261590299</v>
      </c>
      <c r="AI120" s="52">
        <f t="shared" si="337"/>
        <v>83.048517616884311</v>
      </c>
      <c r="AJ120" s="52">
        <f t="shared" si="337"/>
        <v>89.85382959705251</v>
      </c>
      <c r="AK120" s="52">
        <f t="shared" si="337"/>
        <v>98.962470581449878</v>
      </c>
      <c r="AL120" s="52">
        <f t="shared" si="337"/>
        <v>110.18620613884548</v>
      </c>
      <c r="AM120" s="52">
        <f t="shared" si="337"/>
        <v>123.42527353842382</v>
      </c>
      <c r="AN120" s="52">
        <f t="shared" si="337"/>
        <v>138.64098766404499</v>
      </c>
      <c r="AO120" s="52">
        <f t="shared" ref="AO120:AP120" si="338">AO119+AO114</f>
        <v>155.83978348409238</v>
      </c>
      <c r="AP120" s="52">
        <f t="shared" si="338"/>
        <v>175.06075780342886</v>
      </c>
      <c r="AQ120" s="52">
        <f t="shared" ref="AQ120:AR120" si="339">AQ119+AQ114</f>
        <v>196.36921814750042</v>
      </c>
      <c r="AR120" s="52">
        <f t="shared" si="339"/>
        <v>219.85144892784308</v>
      </c>
      <c r="AS120" s="52">
        <f t="shared" ref="AS120:AT120" si="340">AS119+AS114</f>
        <v>245.61044463726239</v>
      </c>
      <c r="AT120" s="52">
        <f t="shared" si="340"/>
        <v>273.76442357192343</v>
      </c>
    </row>
    <row r="121" spans="1:65" x14ac:dyDescent="0.25">
      <c r="B121" s="37"/>
      <c r="C121" s="37"/>
    </row>
    <row r="122" spans="1:65" x14ac:dyDescent="0.25">
      <c r="A122" s="1" t="s">
        <v>34</v>
      </c>
      <c r="B122" s="37"/>
      <c r="C122" s="37"/>
      <c r="D122" s="118"/>
      <c r="E122" s="118"/>
      <c r="F122" s="118"/>
      <c r="G122" s="118"/>
      <c r="H122" s="118"/>
      <c r="I122" s="118"/>
      <c r="J122" s="118"/>
      <c r="K122" s="118"/>
      <c r="L122" s="118"/>
      <c r="M122" s="118"/>
      <c r="N122" s="118">
        <f t="shared" ref="N122:Q122" si="341">N120-N105</f>
        <v>0.34106400000000026</v>
      </c>
      <c r="O122" s="118">
        <f t="shared" si="341"/>
        <v>0.31175299999999995</v>
      </c>
      <c r="P122" s="118">
        <f t="shared" si="341"/>
        <v>13.420000000000002</v>
      </c>
      <c r="Q122" s="118">
        <f t="shared" si="341"/>
        <v>12.690999999999995</v>
      </c>
      <c r="R122" s="118">
        <f t="shared" ref="R122:U122" si="342">R120-R105</f>
        <v>11.530999999999999</v>
      </c>
      <c r="S122" s="118">
        <f t="shared" si="342"/>
        <v>17.533999999999999</v>
      </c>
      <c r="T122" s="118">
        <f t="shared" si="342"/>
        <v>16.88000000000001</v>
      </c>
      <c r="U122" s="118">
        <f t="shared" si="342"/>
        <v>26.400000000000006</v>
      </c>
      <c r="V122" s="118">
        <f t="shared" ref="V122:W122" si="343">V120-V105</f>
        <v>23.840000000000003</v>
      </c>
      <c r="W122" s="118">
        <f t="shared" si="343"/>
        <v>23.150549999999996</v>
      </c>
      <c r="X122" s="118">
        <f t="shared" ref="X122:Y122" si="344">X120-X105</f>
        <v>20.832000000000001</v>
      </c>
      <c r="Y122" s="118">
        <f t="shared" si="344"/>
        <v>21.750090000000007</v>
      </c>
      <c r="AC122" s="118"/>
      <c r="AD122" s="118">
        <f t="shared" ref="AD122:AN122" si="345">AD120-AD105</f>
        <v>0</v>
      </c>
      <c r="AE122" s="118">
        <f t="shared" si="345"/>
        <v>13.956000000000003</v>
      </c>
      <c r="AF122" s="118">
        <f t="shared" si="345"/>
        <v>0</v>
      </c>
      <c r="AG122" s="118">
        <f t="shared" si="345"/>
        <v>0</v>
      </c>
      <c r="AH122" s="118">
        <f t="shared" si="345"/>
        <v>0</v>
      </c>
      <c r="AI122" s="118">
        <f t="shared" si="345"/>
        <v>0</v>
      </c>
      <c r="AJ122" s="118">
        <f t="shared" si="345"/>
        <v>0</v>
      </c>
      <c r="AK122" s="118">
        <f t="shared" si="345"/>
        <v>0</v>
      </c>
      <c r="AL122" s="118">
        <f t="shared" si="345"/>
        <v>0</v>
      </c>
      <c r="AM122" s="118">
        <f t="shared" si="345"/>
        <v>0</v>
      </c>
      <c r="AN122" s="118">
        <f t="shared" si="345"/>
        <v>0</v>
      </c>
      <c r="AO122" s="118">
        <f t="shared" ref="AO122:AP122" si="346">AO120-AO105</f>
        <v>0</v>
      </c>
      <c r="AP122" s="118">
        <f t="shared" si="346"/>
        <v>0</v>
      </c>
      <c r="AQ122" s="118">
        <f t="shared" ref="AQ122:AR122" si="347">AQ120-AQ105</f>
        <v>0</v>
      </c>
      <c r="AR122" s="118">
        <f t="shared" si="347"/>
        <v>0</v>
      </c>
      <c r="AS122" s="118">
        <f t="shared" ref="AS122:AT122" si="348">AS120-AS105</f>
        <v>0</v>
      </c>
      <c r="AT122" s="118">
        <f t="shared" si="348"/>
        <v>0</v>
      </c>
    </row>
    <row r="123" spans="1:65" x14ac:dyDescent="0.25">
      <c r="B123" s="37"/>
      <c r="C123" s="37"/>
      <c r="H123" s="54"/>
      <c r="I123" s="118"/>
      <c r="J123" s="118"/>
      <c r="K123" s="118"/>
    </row>
    <row r="124" spans="1:65" x14ac:dyDescent="0.25">
      <c r="B124" s="37"/>
      <c r="C124" s="37"/>
    </row>
    <row r="125" spans="1:65" s="205" customFormat="1" x14ac:dyDescent="0.25">
      <c r="A125" s="239" t="s">
        <v>35</v>
      </c>
      <c r="B125" s="245"/>
      <c r="C125" s="245"/>
      <c r="D125" s="241"/>
      <c r="E125" s="241"/>
      <c r="F125" s="241"/>
      <c r="G125" s="241"/>
      <c r="H125" s="241">
        <v>43709</v>
      </c>
      <c r="I125" s="241">
        <v>43800</v>
      </c>
      <c r="J125" s="241">
        <f>J90</f>
        <v>43891</v>
      </c>
      <c r="K125" s="241">
        <f>K90</f>
        <v>43983</v>
      </c>
      <c r="L125" s="241">
        <f>L90</f>
        <v>44075</v>
      </c>
      <c r="M125" s="241">
        <f>M90</f>
        <v>44166</v>
      </c>
      <c r="N125" s="241">
        <f>N90</f>
        <v>44256</v>
      </c>
      <c r="O125" s="241">
        <f>O90</f>
        <v>44348</v>
      </c>
      <c r="P125" s="241">
        <f>P90</f>
        <v>44440</v>
      </c>
      <c r="Q125" s="241">
        <f>Q90</f>
        <v>44531</v>
      </c>
      <c r="R125" s="241">
        <f>R90</f>
        <v>44621</v>
      </c>
      <c r="S125" s="241">
        <f>S90</f>
        <v>44713</v>
      </c>
      <c r="T125" s="241">
        <f>T90</f>
        <v>44805</v>
      </c>
      <c r="U125" s="241">
        <f>U90</f>
        <v>44896</v>
      </c>
      <c r="V125" s="241">
        <f>V90</f>
        <v>44986</v>
      </c>
      <c r="W125" s="241">
        <f>W90</f>
        <v>45078</v>
      </c>
      <c r="X125" s="241">
        <f>X90</f>
        <v>45170</v>
      </c>
      <c r="Y125" s="241">
        <f>Y90</f>
        <v>45261</v>
      </c>
      <c r="Z125" s="341"/>
      <c r="AA125" s="341"/>
      <c r="AB125" s="341"/>
      <c r="AC125" s="239">
        <v>2018</v>
      </c>
      <c r="AD125" s="239">
        <v>2019</v>
      </c>
      <c r="AE125" s="239">
        <f>AE90</f>
        <v>2020</v>
      </c>
      <c r="AF125" s="239">
        <f>AF90</f>
        <v>2021</v>
      </c>
      <c r="AG125" s="239">
        <f>AG90</f>
        <v>2022</v>
      </c>
      <c r="AH125" s="242">
        <f>AH90</f>
        <v>2023</v>
      </c>
      <c r="AI125" s="242">
        <f>AI90</f>
        <v>2024</v>
      </c>
      <c r="AJ125" s="242">
        <f>AJ90</f>
        <v>2025</v>
      </c>
      <c r="AK125" s="242">
        <f>AK90</f>
        <v>2026</v>
      </c>
      <c r="AL125" s="242">
        <f>AL90</f>
        <v>2027</v>
      </c>
      <c r="AM125" s="242">
        <f>AM90</f>
        <v>2028</v>
      </c>
      <c r="AN125" s="242">
        <f>AN90</f>
        <v>2029</v>
      </c>
      <c r="AO125" s="242">
        <f>AO90</f>
        <v>2030</v>
      </c>
      <c r="AP125" s="242">
        <f>AP90</f>
        <v>2031</v>
      </c>
      <c r="AQ125" s="242">
        <f>AQ90</f>
        <v>2032</v>
      </c>
      <c r="AR125" s="242">
        <f>AR90</f>
        <v>2033</v>
      </c>
      <c r="AS125" s="242">
        <f>AS90</f>
        <v>2034</v>
      </c>
      <c r="AT125" s="242">
        <f>AT90</f>
        <v>2035</v>
      </c>
      <c r="AU125" s="206"/>
      <c r="AV125" s="206"/>
      <c r="AW125" s="206"/>
      <c r="AX125" s="206"/>
      <c r="AY125" s="206"/>
      <c r="AZ125" s="206"/>
      <c r="BA125" s="206"/>
      <c r="BB125" s="206"/>
      <c r="BC125" s="206"/>
      <c r="BD125" s="206"/>
      <c r="BE125" s="206"/>
      <c r="BF125" s="206"/>
      <c r="BG125" s="206"/>
      <c r="BH125" s="206"/>
      <c r="BI125" s="206"/>
      <c r="BJ125" s="206"/>
      <c r="BK125" s="206"/>
      <c r="BL125" s="206"/>
      <c r="BM125" s="206"/>
    </row>
    <row r="126" spans="1:65" x14ac:dyDescent="0.25">
      <c r="A126" s="6" t="s">
        <v>8</v>
      </c>
      <c r="B126" s="37"/>
      <c r="C126" s="37"/>
      <c r="D126" s="71"/>
      <c r="E126" s="71"/>
      <c r="F126" s="71"/>
      <c r="G126" s="71"/>
      <c r="H126" s="71"/>
      <c r="I126" s="71"/>
      <c r="J126" s="71"/>
      <c r="K126" s="71"/>
      <c r="L126" s="71"/>
      <c r="M126" s="71"/>
      <c r="N126" s="71"/>
      <c r="O126" s="71">
        <f>O82</f>
        <v>2.702</v>
      </c>
      <c r="P126" s="71">
        <f>P82</f>
        <v>1.8489999999999998</v>
      </c>
      <c r="Q126" s="71">
        <f>Q82</f>
        <v>-5.080000000000001</v>
      </c>
      <c r="R126" s="71">
        <f>R82</f>
        <v>-1.3229999999999995</v>
      </c>
      <c r="S126" s="71">
        <f>S82</f>
        <v>-2.4960000000000018</v>
      </c>
      <c r="T126" s="71">
        <f>T82</f>
        <v>-1.3050000000000006</v>
      </c>
      <c r="U126" s="71">
        <f>U82</f>
        <v>-0.20199999999999985</v>
      </c>
      <c r="V126" s="71">
        <f>V82</f>
        <v>-1.234</v>
      </c>
      <c r="W126" s="71">
        <f>W82</f>
        <v>-0.97799999999999998</v>
      </c>
      <c r="X126" s="71">
        <f>X82</f>
        <v>0.44199999999999856</v>
      </c>
      <c r="Y126" s="71">
        <f>Y82</f>
        <v>0.94058817400155825</v>
      </c>
      <c r="AC126" s="71">
        <v>9.3330000000000037</v>
      </c>
      <c r="AD126" s="71">
        <v>4.7940000000000067</v>
      </c>
      <c r="AE126" s="71">
        <v>8.1710000000000029</v>
      </c>
      <c r="AF126" s="31">
        <v>-0.5290000000000008</v>
      </c>
      <c r="AG126" s="31">
        <v>-5.3260000000000023</v>
      </c>
      <c r="AH126" s="31">
        <f>AH82</f>
        <v>-0.82941182599844288</v>
      </c>
      <c r="AI126" s="31">
        <f>AI82</f>
        <v>5.3556076849724157</v>
      </c>
      <c r="AJ126" s="31">
        <f>AJ82</f>
        <v>7.8590680668374171</v>
      </c>
      <c r="AK126" s="31">
        <f>AK82</f>
        <v>10.085677854851008</v>
      </c>
      <c r="AL126" s="31">
        <f>AL82</f>
        <v>12.158411084938178</v>
      </c>
      <c r="AM126" s="31">
        <f>AM82</f>
        <v>14.159427506910967</v>
      </c>
      <c r="AN126" s="31">
        <f>AN82</f>
        <v>16.146327442811955</v>
      </c>
      <c r="AO126" s="31">
        <f>AO82</f>
        <v>18.15965724815316</v>
      </c>
      <c r="AP126" s="31">
        <f>AP82</f>
        <v>20.230283591688877</v>
      </c>
      <c r="AQ126" s="31">
        <f>AQ82</f>
        <v>22.381951827024469</v>
      </c>
      <c r="AR126" s="31">
        <f>AR82</f>
        <v>24.633299272572458</v>
      </c>
      <c r="AS126" s="31">
        <f>AS82</f>
        <v>27.000602787252802</v>
      </c>
      <c r="AT126" s="31">
        <f>AT82</f>
        <v>29.497911506800051</v>
      </c>
    </row>
    <row r="127" spans="1:65" x14ac:dyDescent="0.25">
      <c r="A127" s="119" t="s">
        <v>4</v>
      </c>
      <c r="B127" s="37"/>
      <c r="C127" s="37"/>
      <c r="D127" s="71"/>
      <c r="E127" s="71"/>
      <c r="F127" s="71"/>
      <c r="G127" s="71"/>
      <c r="H127" s="71"/>
      <c r="I127" s="71"/>
      <c r="J127" s="71"/>
      <c r="K127" s="71"/>
      <c r="L127" s="71"/>
      <c r="M127" s="71"/>
      <c r="N127" s="71"/>
      <c r="O127" s="31">
        <f>-(O58+O60+O62)</f>
        <v>0</v>
      </c>
      <c r="P127" s="31">
        <f>-(P58+P60+P62)</f>
        <v>0</v>
      </c>
      <c r="Q127" s="31">
        <f>-(Q58+Q60+Q62)</f>
        <v>0</v>
      </c>
      <c r="R127" s="31">
        <f>-(R58+R60+R62)</f>
        <v>0</v>
      </c>
      <c r="S127" s="31">
        <f>-(S58+S60+S62)</f>
        <v>0</v>
      </c>
      <c r="T127" s="31">
        <f>-(T58+T60+T62)</f>
        <v>0</v>
      </c>
      <c r="U127" s="31">
        <f>-(U58+U60+U62)</f>
        <v>0</v>
      </c>
      <c r="V127" s="31">
        <f>-(V58+V60+V62)</f>
        <v>0</v>
      </c>
      <c r="W127" s="31">
        <f>-(W58+W60+W62)</f>
        <v>0</v>
      </c>
      <c r="X127" s="31">
        <f>-(X58+X60+X62)</f>
        <v>0</v>
      </c>
      <c r="Y127" s="31">
        <f>-(Y58+Y60+Y62)</f>
        <v>0</v>
      </c>
      <c r="AC127" s="71"/>
      <c r="AD127" s="71"/>
      <c r="AE127" s="71"/>
      <c r="AF127" s="31"/>
      <c r="AG127" s="31"/>
      <c r="AH127" s="31">
        <f>-(AH58+AH60+AH62)</f>
        <v>5.6311638774617556</v>
      </c>
      <c r="AI127" s="31">
        <f t="shared" ref="AI127:AT127" si="349">-(AI58+AI60+AI62)</f>
        <v>4.1701337441292763</v>
      </c>
      <c r="AJ127" s="31">
        <f t="shared" si="349"/>
        <v>3.2627841089121112</v>
      </c>
      <c r="AK127" s="31">
        <f t="shared" si="349"/>
        <v>2.7005733498233759</v>
      </c>
      <c r="AL127" s="31">
        <f t="shared" si="349"/>
        <v>2.3555690111259202</v>
      </c>
      <c r="AM127" s="31">
        <f t="shared" si="349"/>
        <v>2.1487250176789194</v>
      </c>
      <c r="AN127" s="31">
        <f t="shared" si="349"/>
        <v>2.0308020901269099</v>
      </c>
      <c r="AO127" s="31">
        <f t="shared" si="349"/>
        <v>1.9708568105462665</v>
      </c>
      <c r="AP127" s="31">
        <f t="shared" si="349"/>
        <v>1.9492643490877524</v>
      </c>
      <c r="AQ127" s="31">
        <f t="shared" si="349"/>
        <v>1.9534634470628873</v>
      </c>
      <c r="AR127" s="31">
        <f t="shared" si="349"/>
        <v>1.9753425597247147</v>
      </c>
      <c r="AS127" s="31">
        <f t="shared" si="349"/>
        <v>2.0096207958580536</v>
      </c>
      <c r="AT127" s="31">
        <f t="shared" si="349"/>
        <v>2.0528359153253017</v>
      </c>
    </row>
    <row r="128" spans="1:65" x14ac:dyDescent="0.25">
      <c r="A128" s="119" t="s">
        <v>3</v>
      </c>
      <c r="B128" s="37"/>
      <c r="C128" s="37"/>
      <c r="D128" s="71"/>
      <c r="E128" s="71"/>
      <c r="F128" s="71"/>
      <c r="G128" s="71"/>
      <c r="H128" s="71"/>
      <c r="I128" s="70"/>
      <c r="J128" s="71"/>
      <c r="K128" s="71"/>
      <c r="L128" s="71"/>
      <c r="M128" s="71"/>
      <c r="N128" s="71"/>
      <c r="O128" s="71">
        <f>-O53</f>
        <v>0</v>
      </c>
      <c r="P128" s="71">
        <f>-P53</f>
        <v>0</v>
      </c>
      <c r="Q128" s="71">
        <f>-Q53</f>
        <v>3.5939999999999999</v>
      </c>
      <c r="R128" s="71">
        <f>-R53</f>
        <v>2.9889999999999999</v>
      </c>
      <c r="S128" s="71">
        <f>-S53</f>
        <v>2.6850000000000001</v>
      </c>
      <c r="T128" s="71">
        <f>-T53</f>
        <v>2.67</v>
      </c>
      <c r="U128" s="71">
        <f>-U53</f>
        <v>2.1539999999999999</v>
      </c>
      <c r="V128" s="71">
        <f>-V53</f>
        <v>1.0369999999999999</v>
      </c>
      <c r="W128" s="71">
        <f>-W53</f>
        <v>0.84899999999999998</v>
      </c>
      <c r="X128" s="71">
        <f>-X53</f>
        <v>0.73199999999999998</v>
      </c>
      <c r="Y128" s="71">
        <f>-Y53</f>
        <v>0</v>
      </c>
      <c r="AC128" s="71">
        <f>-AC53</f>
        <v>0</v>
      </c>
      <c r="AD128" s="71">
        <f>-AD53</f>
        <v>0</v>
      </c>
      <c r="AE128" s="71">
        <f>-AE53</f>
        <v>0</v>
      </c>
      <c r="AF128" s="31">
        <f t="shared" ref="AF126:AF129" si="350">SUM(N128:Q128)</f>
        <v>3.5939999999999999</v>
      </c>
      <c r="AG128" s="31">
        <f t="shared" ref="AG128:AG152" si="351">SUM(R128:U128)</f>
        <v>10.497999999999999</v>
      </c>
      <c r="AH128" s="31"/>
      <c r="AI128" s="31"/>
      <c r="AJ128" s="31"/>
      <c r="AK128" s="31"/>
      <c r="AL128" s="31"/>
      <c r="AM128" s="31"/>
      <c r="AN128" s="31"/>
      <c r="AO128" s="31"/>
      <c r="AP128" s="31"/>
      <c r="AQ128" s="31"/>
      <c r="AR128" s="31"/>
      <c r="AS128" s="31"/>
      <c r="AT128" s="31"/>
    </row>
    <row r="129" spans="1:65" x14ac:dyDescent="0.25">
      <c r="A129" s="119" t="s">
        <v>153</v>
      </c>
      <c r="B129" s="37"/>
      <c r="C129" s="37"/>
      <c r="D129" s="71"/>
      <c r="E129" s="71"/>
      <c r="F129" s="71"/>
      <c r="G129" s="71"/>
      <c r="H129" s="71"/>
      <c r="I129" s="70"/>
      <c r="J129" s="71"/>
      <c r="K129" s="71"/>
      <c r="L129" s="71"/>
      <c r="M129" s="71"/>
      <c r="N129" s="71"/>
      <c r="O129" s="71">
        <f>(N92+N94)-(O92+O94)+O108-N108</f>
        <v>0.76332</v>
      </c>
      <c r="P129" s="71">
        <f>(O92+O94)-(P92+P94)+P108-O108</f>
        <v>-2.6040310000000004</v>
      </c>
      <c r="Q129" s="71">
        <f>(P92+P94)-(Q92+Q94)+Q108-P108</f>
        <v>2.7089999999999996</v>
      </c>
      <c r="R129" s="71">
        <f>(Q92+Q94)-(R92+R94)+R108-Q108</f>
        <v>-7.1039999999999992</v>
      </c>
      <c r="S129" s="71">
        <f>(R92+R94)-(S92+S94)+S108-R108</f>
        <v>6.729000000000001</v>
      </c>
      <c r="T129" s="71">
        <f>(S92+S94)-(T92+T94)+T108-S108</f>
        <v>-2.4190000000000023</v>
      </c>
      <c r="U129" s="71">
        <f>(T92+T94)-(U92+U94)+U108-T108</f>
        <v>5.1570000000000036</v>
      </c>
      <c r="V129" s="71">
        <f>(U92+U94)-(V92+V94)+V108-U108</f>
        <v>-0.82840000000000202</v>
      </c>
      <c r="W129" s="71">
        <f>(V92+V94)-(W92+W94)+W108-V108</f>
        <v>0.16860000000000497</v>
      </c>
      <c r="X129" s="71">
        <f>(W92+W94)-(X92+X94)+X108-W108</f>
        <v>-0.3402000000000065</v>
      </c>
      <c r="Y129" s="71">
        <f>(X92+X94)-(Y92+Y94)+Y108-X108</f>
        <v>2.2856953901374144</v>
      </c>
      <c r="AC129" s="71">
        <f>(AB92+AB94)-(AC92+AC94)+AC108-AB108</f>
        <v>0</v>
      </c>
      <c r="AD129" s="71">
        <f>(AC92+AC94)-(AD92+AD94)+AD108-AC108</f>
        <v>0</v>
      </c>
      <c r="AE129" s="71">
        <f>(AD92+AD94)-(AE92+AE94)+AE108-AD108</f>
        <v>-2.4079999999999995</v>
      </c>
      <c r="AF129" s="31">
        <f t="shared" si="350"/>
        <v>0.8682889999999992</v>
      </c>
      <c r="AG129" s="31">
        <f t="shared" si="351"/>
        <v>2.3630000000000031</v>
      </c>
      <c r="AH129" s="31">
        <f>(AG92-AH92)+(AG94-AH94)+(AG96-AH96)+(AH108-AG108)+(AH112-AG112)</f>
        <v>-2.2633000698619568</v>
      </c>
      <c r="AI129" s="31">
        <f t="shared" ref="AI129:AT129" si="352">(AH92-AI92)+(AH94-AI94)+(AH96-AI96)+(AI108-AH108)+(AI112-AH112)</f>
        <v>-1.3144133644920748</v>
      </c>
      <c r="AJ129" s="31">
        <f t="shared" si="352"/>
        <v>-1.2372161511292656</v>
      </c>
      <c r="AK129" s="31">
        <f t="shared" si="352"/>
        <v>-1.1877487046016988</v>
      </c>
      <c r="AL129" s="31">
        <f t="shared" si="352"/>
        <v>-1.1660971851836903</v>
      </c>
      <c r="AM129" s="31">
        <f t="shared" si="352"/>
        <v>-1.1672274512434062</v>
      </c>
      <c r="AN129" s="31">
        <f t="shared" si="352"/>
        <v>-1.1883712726136313</v>
      </c>
      <c r="AO129" s="31">
        <f t="shared" si="352"/>
        <v>-1.2258844253361603</v>
      </c>
      <c r="AP129" s="31">
        <f t="shared" si="352"/>
        <v>-1.2783437813032563</v>
      </c>
      <c r="AQ129" s="31">
        <f t="shared" si="352"/>
        <v>-1.3437909073745076</v>
      </c>
      <c r="AR129" s="31">
        <f t="shared" si="352"/>
        <v>-1.4203682752175701</v>
      </c>
      <c r="AS129" s="31">
        <f t="shared" si="352"/>
        <v>-1.5077423679511244</v>
      </c>
      <c r="AT129" s="31">
        <f t="shared" si="352"/>
        <v>-1.6049874529198158</v>
      </c>
    </row>
    <row r="130" spans="1:65" x14ac:dyDescent="0.25">
      <c r="A130" s="120" t="s">
        <v>1</v>
      </c>
      <c r="B130" s="50"/>
      <c r="C130" s="50"/>
      <c r="D130" s="64"/>
      <c r="E130" s="64"/>
      <c r="F130" s="64"/>
      <c r="G130" s="64"/>
      <c r="H130" s="64"/>
      <c r="I130" s="64"/>
      <c r="J130" s="64"/>
      <c r="K130" s="64"/>
      <c r="L130" s="64"/>
      <c r="M130" s="64"/>
      <c r="N130" s="64"/>
      <c r="O130" s="64">
        <f>O131-SUM(O126:O129)</f>
        <v>-0.64632000000000023</v>
      </c>
      <c r="P130" s="64">
        <f>P131-SUM(P126:P129)</f>
        <v>3.7930310000000009</v>
      </c>
      <c r="Q130" s="64">
        <f>8.145-SUM(N131:P131)-SUM(Q126:Q129)</f>
        <v>1.0650000000000008</v>
      </c>
      <c r="R130" s="64">
        <f>-2.189-SUM(R126:R129)</f>
        <v>3.2489999999999988</v>
      </c>
      <c r="S130" s="64">
        <f>0.468-R131-SUM(S126:S129)</f>
        <v>-4.2609999999999992</v>
      </c>
      <c r="T130" s="64">
        <f>2.124-S131-R131-SUM(T126:T129)</f>
        <v>2.7100000000000031</v>
      </c>
      <c r="U130" s="64">
        <f>5.528-SUM(R131:T131)-SUM(U126:U129)</f>
        <v>-3.7050000000000041</v>
      </c>
      <c r="V130" s="64">
        <f>(U96-V96)+(U103-V103)</f>
        <v>0.794399999999996</v>
      </c>
      <c r="W130" s="64">
        <f>2.581-V131-SUM(W126:W129)</f>
        <v>2.7724000000000011</v>
      </c>
      <c r="X130" s="64">
        <f>4.582-W131-V131-SUM(X126:X129)</f>
        <v>1.1672000000000078</v>
      </c>
      <c r="Y130" s="64">
        <f>(X96-Y96)+(X103-Y103)</f>
        <v>0</v>
      </c>
      <c r="AC130" s="64">
        <f t="shared" ref="AC130:AD130" si="353">AC131-SUM(AC126:AC129)</f>
        <v>-4.028000000000004</v>
      </c>
      <c r="AD130" s="64">
        <f t="shared" si="353"/>
        <v>-0.42500000000000693</v>
      </c>
      <c r="AE130" s="64">
        <f>AE131-SUM(AE126:AE129)</f>
        <v>2.4639999999999969</v>
      </c>
      <c r="AF130" s="99"/>
      <c r="AG130" s="98"/>
      <c r="AH130" s="98"/>
      <c r="AI130" s="98">
        <f>(AH96-AI96)+(AH103-AI103)</f>
        <v>0</v>
      </c>
      <c r="AJ130" s="98">
        <f>(AI96-AJ96)+(AI103-AJ103)</f>
        <v>0</v>
      </c>
      <c r="AK130" s="98">
        <f>(AJ96-AK96)+(AJ103-AK103)</f>
        <v>0</v>
      </c>
      <c r="AL130" s="98">
        <f>(AK96-AL96)+(AK103-AL103)</f>
        <v>0</v>
      </c>
      <c r="AM130" s="98">
        <f>(AL96-AM96)+(AL103-AM103)</f>
        <v>0</v>
      </c>
      <c r="AN130" s="98">
        <f>(AM96-AN96)+(AM103-AN103)</f>
        <v>0</v>
      </c>
      <c r="AO130" s="98">
        <f>(AN96-AO96)+(AN103-AO103)</f>
        <v>0</v>
      </c>
      <c r="AP130" s="98">
        <f>(AO96-AP96)+(AO103-AP103)</f>
        <v>0</v>
      </c>
      <c r="AQ130" s="98">
        <f>(AP96-AQ96)+(AP103-AQ103)</f>
        <v>0</v>
      </c>
      <c r="AR130" s="98">
        <f>(AQ96-AR96)+(AQ103-AR103)</f>
        <v>0</v>
      </c>
      <c r="AS130" s="98">
        <f>(AR96-AS96)+(AR103-AS103)</f>
        <v>0</v>
      </c>
      <c r="AT130" s="98">
        <f>(AS96-AT96)+(AS103-AT103)</f>
        <v>0</v>
      </c>
    </row>
    <row r="131" spans="1:65" x14ac:dyDescent="0.25">
      <c r="A131" s="24" t="s">
        <v>36</v>
      </c>
      <c r="B131" s="36"/>
      <c r="C131" s="36"/>
      <c r="D131" s="77"/>
      <c r="E131" s="77"/>
      <c r="F131" s="77"/>
      <c r="G131" s="77"/>
      <c r="H131" s="77"/>
      <c r="I131" s="77"/>
      <c r="J131" s="77"/>
      <c r="K131" s="77"/>
      <c r="L131" s="77"/>
      <c r="M131" s="77"/>
      <c r="N131" s="77"/>
      <c r="O131" s="60">
        <f>2.819-N131</f>
        <v>2.819</v>
      </c>
      <c r="P131" s="60">
        <f>5.857-SUM(N131:O131)</f>
        <v>3.0380000000000003</v>
      </c>
      <c r="Q131" s="77">
        <f t="shared" ref="Q131" si="354">SUM(Q126:Q130)</f>
        <v>2.2879999999999994</v>
      </c>
      <c r="R131" s="77">
        <f>SUM(R126:R130)</f>
        <v>-2.1890000000000001</v>
      </c>
      <c r="S131" s="77">
        <f t="shared" ref="S131:U131" si="355">SUM(S126:S130)</f>
        <v>2.657</v>
      </c>
      <c r="T131" s="77">
        <f t="shared" si="355"/>
        <v>1.6560000000000001</v>
      </c>
      <c r="U131" s="77">
        <f t="shared" si="355"/>
        <v>3.4039999999999995</v>
      </c>
      <c r="V131" s="77">
        <f t="shared" ref="V131:W131" si="356">SUM(V126:V130)</f>
        <v>-0.23100000000000609</v>
      </c>
      <c r="W131" s="77">
        <f t="shared" si="356"/>
        <v>2.8120000000000061</v>
      </c>
      <c r="X131" s="77">
        <f t="shared" ref="X131:Y131" si="357">SUM(X126:X130)</f>
        <v>2.0009999999999999</v>
      </c>
      <c r="Y131" s="77">
        <f t="shared" si="357"/>
        <v>3.2262835641389724</v>
      </c>
      <c r="AC131" s="55">
        <v>5.3049999999999997</v>
      </c>
      <c r="AD131" s="55">
        <f>4.369</f>
        <v>4.3689999999999998</v>
      </c>
      <c r="AE131" s="55">
        <v>8.2270000000000003</v>
      </c>
      <c r="AF131" s="31"/>
      <c r="AG131" s="105"/>
      <c r="AH131" s="77">
        <f t="shared" ref="AH131:AN131" si="358">SUM(AH126:AH130)</f>
        <v>2.5384519816013555</v>
      </c>
      <c r="AI131" s="105">
        <f t="shared" si="358"/>
        <v>8.2113280646096172</v>
      </c>
      <c r="AJ131" s="105">
        <f t="shared" si="358"/>
        <v>9.8846360246202618</v>
      </c>
      <c r="AK131" s="105">
        <f t="shared" si="358"/>
        <v>11.598502500072685</v>
      </c>
      <c r="AL131" s="105">
        <f t="shared" si="358"/>
        <v>13.347882910880408</v>
      </c>
      <c r="AM131" s="105">
        <f t="shared" si="358"/>
        <v>15.14092507334648</v>
      </c>
      <c r="AN131" s="105">
        <f t="shared" si="358"/>
        <v>16.988758260325234</v>
      </c>
      <c r="AO131" s="105">
        <f t="shared" ref="AO131:AP131" si="359">SUM(AO126:AO130)</f>
        <v>18.904629633363264</v>
      </c>
      <c r="AP131" s="105">
        <f t="shared" si="359"/>
        <v>20.901204159473373</v>
      </c>
      <c r="AQ131" s="105">
        <f t="shared" ref="AQ131:AR131" si="360">SUM(AQ126:AQ130)</f>
        <v>22.991624366712848</v>
      </c>
      <c r="AR131" s="105">
        <f t="shared" si="360"/>
        <v>25.188273557079604</v>
      </c>
      <c r="AS131" s="105">
        <f t="shared" ref="AS131:AT131" si="361">SUM(AS126:AS130)</f>
        <v>27.502481215159733</v>
      </c>
      <c r="AT131" s="105">
        <f t="shared" si="361"/>
        <v>29.94575996920554</v>
      </c>
    </row>
    <row r="132" spans="1:65" x14ac:dyDescent="0.25">
      <c r="A132" s="24"/>
      <c r="B132" s="36"/>
      <c r="C132" s="36"/>
      <c r="D132" s="43"/>
      <c r="E132" s="43"/>
      <c r="F132" s="43"/>
      <c r="G132" s="43"/>
      <c r="H132" s="43"/>
      <c r="I132" s="43"/>
      <c r="J132" s="43"/>
      <c r="K132" s="43"/>
      <c r="L132" s="43"/>
      <c r="M132" s="43"/>
      <c r="N132" s="43"/>
      <c r="O132" s="43"/>
      <c r="P132" s="43"/>
      <c r="Q132" s="43"/>
      <c r="R132" s="43"/>
      <c r="S132" s="43"/>
      <c r="T132" s="27"/>
      <c r="U132" s="43"/>
      <c r="V132" s="43"/>
      <c r="W132" s="43"/>
      <c r="X132" s="43"/>
      <c r="Y132" s="43"/>
      <c r="AC132" s="43"/>
      <c r="AD132" s="34"/>
      <c r="AE132" s="34"/>
      <c r="AF132" s="26"/>
      <c r="AG132" s="43"/>
      <c r="AH132" s="43"/>
      <c r="AI132" s="43"/>
      <c r="AJ132" s="43"/>
      <c r="AK132" s="43"/>
      <c r="AL132" s="43"/>
      <c r="AM132" s="43"/>
      <c r="AN132" s="43"/>
      <c r="AO132" s="43"/>
      <c r="AP132" s="43"/>
      <c r="AQ132" s="43"/>
      <c r="AR132" s="43"/>
      <c r="AS132" s="43"/>
      <c r="AT132" s="43"/>
    </row>
    <row r="133" spans="1:65" x14ac:dyDescent="0.25">
      <c r="A133" s="1" t="s">
        <v>361</v>
      </c>
      <c r="B133" s="36"/>
      <c r="C133" s="36"/>
      <c r="D133" s="43"/>
      <c r="E133" s="43"/>
      <c r="F133" s="43"/>
      <c r="G133" s="43"/>
      <c r="H133" s="43"/>
      <c r="I133" s="43"/>
      <c r="J133" s="43"/>
      <c r="K133" s="43"/>
      <c r="L133" s="43"/>
      <c r="M133" s="43"/>
      <c r="N133" s="43"/>
      <c r="O133" s="43"/>
      <c r="P133" s="43"/>
      <c r="Q133" s="43"/>
      <c r="R133" s="43"/>
      <c r="S133" s="43"/>
      <c r="T133" s="27"/>
      <c r="U133" s="43"/>
      <c r="V133" s="43"/>
      <c r="W133" s="43"/>
      <c r="X133" s="43"/>
      <c r="Y133" s="43"/>
      <c r="AC133" s="34">
        <v>-1.2070000000000001</v>
      </c>
      <c r="AD133" s="34">
        <v>-1.022</v>
      </c>
      <c r="AE133" s="34">
        <v>-1.153</v>
      </c>
      <c r="AF133" s="34">
        <v>-0.82199999999999995</v>
      </c>
      <c r="AG133" s="34">
        <v>-1.4510000000000001</v>
      </c>
      <c r="AH133" s="25">
        <f>AG133*(1+AH134)</f>
        <v>-1.4945300000000001</v>
      </c>
      <c r="AI133" s="25">
        <f t="shared" ref="AI133:AT133" si="362">AH133*(1+AI134)</f>
        <v>-1.5393659000000002</v>
      </c>
      <c r="AJ133" s="25">
        <f t="shared" si="362"/>
        <v>-1.5855468770000003</v>
      </c>
      <c r="AK133" s="25">
        <f t="shared" si="362"/>
        <v>-1.6331132833100004</v>
      </c>
      <c r="AL133" s="25">
        <f t="shared" si="362"/>
        <v>-1.6821066818093005</v>
      </c>
      <c r="AM133" s="25">
        <f t="shared" si="362"/>
        <v>-1.7325698822635796</v>
      </c>
      <c r="AN133" s="25">
        <f t="shared" si="362"/>
        <v>-1.7845469787314869</v>
      </c>
      <c r="AO133" s="25">
        <f t="shared" si="362"/>
        <v>-1.8380833880934315</v>
      </c>
      <c r="AP133" s="25">
        <f t="shared" si="362"/>
        <v>-1.8932258897362346</v>
      </c>
      <c r="AQ133" s="25">
        <f t="shared" si="362"/>
        <v>-1.9500226664283218</v>
      </c>
      <c r="AR133" s="25">
        <f t="shared" si="362"/>
        <v>-2.0085233464211716</v>
      </c>
      <c r="AS133" s="25">
        <f t="shared" si="362"/>
        <v>-2.0687790468138068</v>
      </c>
      <c r="AT133" s="25">
        <f t="shared" si="362"/>
        <v>-2.1308424182182208</v>
      </c>
    </row>
    <row r="134" spans="1:65" x14ac:dyDescent="0.25">
      <c r="A134" s="91" t="s">
        <v>362</v>
      </c>
      <c r="B134" s="36"/>
      <c r="C134" s="36"/>
      <c r="D134" s="43"/>
      <c r="E134" s="43"/>
      <c r="F134" s="43"/>
      <c r="G134" s="43"/>
      <c r="H134" s="43"/>
      <c r="I134" s="43"/>
      <c r="J134" s="43"/>
      <c r="K134" s="43"/>
      <c r="L134" s="43"/>
      <c r="M134" s="43"/>
      <c r="N134" s="43"/>
      <c r="O134" s="43"/>
      <c r="P134" s="43"/>
      <c r="Q134" s="43"/>
      <c r="R134" s="43"/>
      <c r="S134" s="43"/>
      <c r="T134" s="27"/>
      <c r="U134" s="43"/>
      <c r="V134" s="43"/>
      <c r="W134" s="43"/>
      <c r="X134" s="43"/>
      <c r="Y134" s="43"/>
      <c r="AC134" s="43"/>
      <c r="AD134" s="7">
        <f>(AD133/AC133)-1</f>
        <v>-0.15327257663628835</v>
      </c>
      <c r="AE134" s="7">
        <f t="shared" ref="AE134:AG134" si="363">(AE133/AD133)-1</f>
        <v>0.12818003913894316</v>
      </c>
      <c r="AF134" s="7">
        <f t="shared" si="363"/>
        <v>-0.28707718993928888</v>
      </c>
      <c r="AG134" s="7">
        <f t="shared" si="363"/>
        <v>0.76520681265206836</v>
      </c>
      <c r="AH134" s="424">
        <f>Inputs!B7</f>
        <v>0.03</v>
      </c>
      <c r="AI134" s="424">
        <f>Inputs!C7</f>
        <v>0.03</v>
      </c>
      <c r="AJ134" s="424">
        <f>Inputs!D7</f>
        <v>0.03</v>
      </c>
      <c r="AK134" s="424">
        <f>Inputs!E7</f>
        <v>0.03</v>
      </c>
      <c r="AL134" s="424">
        <f>Inputs!F7</f>
        <v>0.03</v>
      </c>
      <c r="AM134" s="424">
        <f>Inputs!G7</f>
        <v>0.03</v>
      </c>
      <c r="AN134" s="424">
        <f>Inputs!H7</f>
        <v>0.03</v>
      </c>
      <c r="AO134" s="424">
        <f>Inputs!I7</f>
        <v>0.03</v>
      </c>
      <c r="AP134" s="424">
        <f>Inputs!J7</f>
        <v>0.03</v>
      </c>
      <c r="AQ134" s="424">
        <f>Inputs!K7</f>
        <v>0.03</v>
      </c>
      <c r="AR134" s="424">
        <f>Inputs!L7</f>
        <v>0.03</v>
      </c>
      <c r="AS134" s="424">
        <f>Inputs!M7</f>
        <v>0.03</v>
      </c>
      <c r="AT134" s="424">
        <f>Inputs!N7</f>
        <v>0.03</v>
      </c>
    </row>
    <row r="135" spans="1:65" x14ac:dyDescent="0.25">
      <c r="A135" s="1" t="s">
        <v>363</v>
      </c>
      <c r="B135" s="36"/>
      <c r="C135" s="36"/>
      <c r="D135" s="43"/>
      <c r="E135" s="43"/>
      <c r="F135" s="43"/>
      <c r="G135" s="43"/>
      <c r="H135" s="43"/>
      <c r="I135" s="43"/>
      <c r="J135" s="43"/>
      <c r="K135" s="43"/>
      <c r="L135" s="43"/>
      <c r="M135" s="43"/>
      <c r="N135" s="43"/>
      <c r="O135" s="43"/>
      <c r="P135" s="43"/>
      <c r="Q135" s="43"/>
      <c r="R135" s="43"/>
      <c r="S135" s="43"/>
      <c r="T135" s="27"/>
      <c r="U135" s="43"/>
      <c r="V135" s="43"/>
      <c r="W135" s="43"/>
      <c r="X135" s="43"/>
      <c r="Y135" s="43"/>
      <c r="AC135" s="26">
        <v>0</v>
      </c>
      <c r="AD135" s="26">
        <v>0</v>
      </c>
      <c r="AE135" s="26">
        <v>0</v>
      </c>
      <c r="AF135" s="26">
        <v>0</v>
      </c>
      <c r="AG135" s="26">
        <v>0</v>
      </c>
      <c r="AH135" s="25">
        <f>AG135*(1+AH136)</f>
        <v>0</v>
      </c>
      <c r="AI135" s="25">
        <f t="shared" ref="AI135" si="364">AH135*(1+AI136)</f>
        <v>0</v>
      </c>
      <c r="AJ135" s="25">
        <f t="shared" ref="AJ135" si="365">AI135*(1+AJ136)</f>
        <v>0</v>
      </c>
      <c r="AK135" s="25">
        <f t="shared" ref="AK135" si="366">AJ135*(1+AK136)</f>
        <v>0</v>
      </c>
      <c r="AL135" s="25">
        <f t="shared" ref="AL135" si="367">AK135*(1+AL136)</f>
        <v>0</v>
      </c>
      <c r="AM135" s="25">
        <f t="shared" ref="AM135" si="368">AL135*(1+AM136)</f>
        <v>0</v>
      </c>
      <c r="AN135" s="25">
        <f t="shared" ref="AN135" si="369">AM135*(1+AN136)</f>
        <v>0</v>
      </c>
      <c r="AO135" s="25">
        <f t="shared" ref="AO135" si="370">AN135*(1+AO136)</f>
        <v>0</v>
      </c>
      <c r="AP135" s="25">
        <f t="shared" ref="AP135" si="371">AO135*(1+AP136)</f>
        <v>0</v>
      </c>
      <c r="AQ135" s="25">
        <f t="shared" ref="AQ135" si="372">AP135*(1+AQ136)</f>
        <v>0</v>
      </c>
      <c r="AR135" s="25">
        <f t="shared" ref="AR135" si="373">AQ135*(1+AR136)</f>
        <v>0</v>
      </c>
      <c r="AS135" s="25">
        <f t="shared" ref="AS135" si="374">AR135*(1+AS136)</f>
        <v>0</v>
      </c>
      <c r="AT135" s="25">
        <f t="shared" ref="AT135" si="375">AS135*(1+AT136)</f>
        <v>0</v>
      </c>
    </row>
    <row r="136" spans="1:65" x14ac:dyDescent="0.25">
      <c r="A136" s="91" t="s">
        <v>362</v>
      </c>
      <c r="B136" s="36"/>
      <c r="C136" s="36"/>
      <c r="D136" s="43"/>
      <c r="E136" s="43"/>
      <c r="F136" s="43"/>
      <c r="G136" s="43"/>
      <c r="H136" s="43"/>
      <c r="I136" s="43"/>
      <c r="J136" s="43"/>
      <c r="K136" s="43"/>
      <c r="L136" s="43"/>
      <c r="M136" s="43"/>
      <c r="N136" s="43"/>
      <c r="O136" s="43"/>
      <c r="P136" s="43"/>
      <c r="Q136" s="43"/>
      <c r="R136" s="43"/>
      <c r="S136" s="43"/>
      <c r="T136" s="27"/>
      <c r="U136" s="43"/>
      <c r="V136" s="43"/>
      <c r="W136" s="43"/>
      <c r="X136" s="43"/>
      <c r="Y136" s="43"/>
      <c r="AC136" s="43"/>
      <c r="AD136" s="34"/>
      <c r="AE136" s="34"/>
      <c r="AF136" s="26"/>
      <c r="AG136" s="43"/>
      <c r="AH136" s="424">
        <f>Inputs!B8</f>
        <v>0</v>
      </c>
      <c r="AI136" s="424">
        <f>Inputs!C8</f>
        <v>0</v>
      </c>
      <c r="AJ136" s="424">
        <f>Inputs!D8</f>
        <v>0</v>
      </c>
      <c r="AK136" s="424">
        <f>Inputs!E8</f>
        <v>0</v>
      </c>
      <c r="AL136" s="424">
        <f>Inputs!F8</f>
        <v>0</v>
      </c>
      <c r="AM136" s="424">
        <f>Inputs!G8</f>
        <v>0</v>
      </c>
      <c r="AN136" s="424">
        <f>Inputs!H8</f>
        <v>0</v>
      </c>
      <c r="AO136" s="424">
        <f>Inputs!I8</f>
        <v>0</v>
      </c>
      <c r="AP136" s="424">
        <f>Inputs!J8</f>
        <v>0</v>
      </c>
      <c r="AQ136" s="424">
        <f>Inputs!K8</f>
        <v>0</v>
      </c>
      <c r="AR136" s="424">
        <f>Inputs!L8</f>
        <v>0</v>
      </c>
      <c r="AS136" s="424">
        <f>Inputs!M8</f>
        <v>0</v>
      </c>
      <c r="AT136" s="424">
        <f>Inputs!N8</f>
        <v>0</v>
      </c>
    </row>
    <row r="137" spans="1:65" x14ac:dyDescent="0.25">
      <c r="A137" s="6" t="s">
        <v>37</v>
      </c>
      <c r="B137" s="37"/>
      <c r="C137" s="37"/>
      <c r="D137" s="107"/>
      <c r="E137" s="107"/>
      <c r="F137" s="107"/>
      <c r="G137" s="107"/>
      <c r="H137" s="107"/>
      <c r="I137" s="107"/>
      <c r="J137" s="107"/>
      <c r="K137" s="107"/>
      <c r="L137" s="107"/>
      <c r="M137" s="107"/>
      <c r="N137" s="107"/>
      <c r="O137" s="70">
        <f>-0.212-N137</f>
        <v>-0.21199999999999999</v>
      </c>
      <c r="P137" s="70">
        <f>-0.519-SUM(N137:O137)</f>
        <v>-0.30700000000000005</v>
      </c>
      <c r="Q137" s="70">
        <f>-0.822-SUM(N137:P137)</f>
        <v>-0.30299999999999994</v>
      </c>
      <c r="R137" s="70">
        <v>-0.88200000000000001</v>
      </c>
      <c r="S137" s="70">
        <f>-1.379-R137</f>
        <v>-0.497</v>
      </c>
      <c r="T137" s="70">
        <f>-1.506-S137-R137</f>
        <v>-0.12699999999999989</v>
      </c>
      <c r="U137" s="70">
        <f>-1.451-T137-S137-R137</f>
        <v>5.4999999999999716E-2</v>
      </c>
      <c r="V137" s="71">
        <f t="shared" ref="V137:Y137" si="376">U137*1.01</f>
        <v>5.5549999999999711E-2</v>
      </c>
      <c r="W137" s="70">
        <f>-0.238-V137</f>
        <v>-0.2935499999999997</v>
      </c>
      <c r="X137" s="70">
        <f>-1.147-W137-V137</f>
        <v>-0.90900000000000003</v>
      </c>
      <c r="Y137" s="71">
        <f t="shared" si="376"/>
        <v>-0.91809000000000007</v>
      </c>
      <c r="Z137" s="71"/>
      <c r="AA137" s="71"/>
      <c r="AC137" s="55">
        <f>SUM(AC133,AC135)</f>
        <v>-1.2070000000000001</v>
      </c>
      <c r="AD137" s="55">
        <f t="shared" ref="AD137:AT137" si="377">SUM(AD133,AD135)</f>
        <v>-1.022</v>
      </c>
      <c r="AE137" s="55">
        <f t="shared" si="377"/>
        <v>-1.153</v>
      </c>
      <c r="AF137" s="55">
        <f t="shared" si="377"/>
        <v>-0.82199999999999995</v>
      </c>
      <c r="AG137" s="55">
        <f t="shared" si="377"/>
        <v>-1.4510000000000001</v>
      </c>
      <c r="AH137" s="55">
        <f t="shared" si="377"/>
        <v>-1.4945300000000001</v>
      </c>
      <c r="AI137" s="55">
        <f t="shared" si="377"/>
        <v>-1.5393659000000002</v>
      </c>
      <c r="AJ137" s="55">
        <f t="shared" si="377"/>
        <v>-1.5855468770000003</v>
      </c>
      <c r="AK137" s="55">
        <f t="shared" si="377"/>
        <v>-1.6331132833100004</v>
      </c>
      <c r="AL137" s="55">
        <f t="shared" si="377"/>
        <v>-1.6821066818093005</v>
      </c>
      <c r="AM137" s="55">
        <f t="shared" si="377"/>
        <v>-1.7325698822635796</v>
      </c>
      <c r="AN137" s="55">
        <f t="shared" si="377"/>
        <v>-1.7845469787314869</v>
      </c>
      <c r="AO137" s="55">
        <f t="shared" si="377"/>
        <v>-1.8380833880934315</v>
      </c>
      <c r="AP137" s="55">
        <f t="shared" si="377"/>
        <v>-1.8932258897362346</v>
      </c>
      <c r="AQ137" s="55">
        <f t="shared" si="377"/>
        <v>-1.9500226664283218</v>
      </c>
      <c r="AR137" s="55">
        <f t="shared" si="377"/>
        <v>-2.0085233464211716</v>
      </c>
      <c r="AS137" s="55">
        <f t="shared" si="377"/>
        <v>-2.0687790468138068</v>
      </c>
      <c r="AT137" s="55">
        <f t="shared" si="377"/>
        <v>-2.1308424182182208</v>
      </c>
    </row>
    <row r="138" spans="1:65" s="40" customFormat="1" x14ac:dyDescent="0.25">
      <c r="A138" s="91" t="s">
        <v>362</v>
      </c>
      <c r="B138" s="39">
        <v>0.03</v>
      </c>
      <c r="C138" s="39">
        <v>0.2</v>
      </c>
      <c r="D138" s="92"/>
      <c r="E138" s="92"/>
      <c r="F138" s="92"/>
      <c r="G138" s="92"/>
      <c r="H138" s="92"/>
      <c r="I138" s="92"/>
      <c r="J138" s="92"/>
      <c r="K138" s="92"/>
      <c r="L138" s="92"/>
      <c r="M138" s="92"/>
      <c r="N138" s="92"/>
      <c r="O138" s="92"/>
      <c r="P138" s="92"/>
      <c r="Q138" s="92"/>
      <c r="R138" s="92"/>
      <c r="S138" s="92"/>
      <c r="T138" s="92"/>
      <c r="U138" s="92"/>
      <c r="V138" s="92"/>
      <c r="W138" s="92"/>
      <c r="X138" s="92"/>
      <c r="Y138" s="92"/>
      <c r="Z138" s="345"/>
      <c r="AC138" s="337"/>
      <c r="AD138" s="337">
        <f>AD137/AC137-1</f>
        <v>-0.15327257663628835</v>
      </c>
      <c r="AE138" s="337">
        <f t="shared" ref="AE138:AG138" si="378">AE137/AD137-1</f>
        <v>0.12818003913894316</v>
      </c>
      <c r="AF138" s="337">
        <f t="shared" si="378"/>
        <v>-0.28707718993928888</v>
      </c>
      <c r="AG138" s="337">
        <f t="shared" si="378"/>
        <v>0.76520681265206836</v>
      </c>
      <c r="AH138" s="337"/>
      <c r="AI138" s="41"/>
      <c r="AJ138" s="41"/>
      <c r="AK138" s="41"/>
      <c r="AL138" s="41"/>
      <c r="AM138" s="41"/>
      <c r="AN138" s="41"/>
      <c r="AO138" s="41"/>
      <c r="AP138" s="41"/>
      <c r="AQ138" s="41"/>
      <c r="AR138" s="41"/>
      <c r="AS138" s="41"/>
      <c r="AT138" s="41"/>
      <c r="AU138" s="207"/>
      <c r="AV138" s="207"/>
      <c r="AW138" s="207"/>
      <c r="AX138" s="207"/>
      <c r="AY138" s="207"/>
      <c r="AZ138" s="207"/>
      <c r="BA138" s="207"/>
      <c r="BB138" s="207"/>
      <c r="BC138" s="207"/>
      <c r="BD138" s="207"/>
      <c r="BE138" s="207"/>
      <c r="BF138" s="207"/>
      <c r="BG138" s="207"/>
      <c r="BH138" s="207"/>
      <c r="BI138" s="207"/>
      <c r="BJ138" s="207"/>
      <c r="BK138" s="207"/>
      <c r="BL138" s="207"/>
      <c r="BM138" s="207"/>
    </row>
    <row r="139" spans="1:65" x14ac:dyDescent="0.25">
      <c r="A139" s="6" t="s">
        <v>51</v>
      </c>
      <c r="B139" s="37"/>
      <c r="C139" s="37"/>
      <c r="D139" s="107"/>
      <c r="E139" s="107"/>
      <c r="F139" s="107"/>
      <c r="G139" s="107"/>
      <c r="H139" s="107"/>
      <c r="I139" s="107"/>
      <c r="J139" s="107"/>
      <c r="K139" s="107"/>
      <c r="L139" s="107"/>
      <c r="M139" s="107"/>
      <c r="N139" s="107"/>
      <c r="O139" s="107"/>
      <c r="P139" s="107"/>
      <c r="Q139" s="107">
        <v>0</v>
      </c>
      <c r="R139" s="107">
        <f>-7.832</f>
        <v>-7.8319999999999999</v>
      </c>
      <c r="S139" s="107">
        <v>0</v>
      </c>
      <c r="T139" s="107">
        <f>-9.834-S139-R139</f>
        <v>-2.0019999999999998</v>
      </c>
      <c r="U139" s="107">
        <f>-9.952-T139-S139-R139</f>
        <v>-0.11800000000000033</v>
      </c>
      <c r="V139" s="107">
        <v>0</v>
      </c>
      <c r="W139" s="107">
        <v>0</v>
      </c>
      <c r="X139" s="107">
        <v>0</v>
      </c>
      <c r="Y139" s="107">
        <v>0</v>
      </c>
      <c r="AC139" s="26"/>
      <c r="AD139" s="34">
        <f>SUM(D139:I139)</f>
        <v>0</v>
      </c>
      <c r="AE139" s="34">
        <f>SUM(J139:M139)</f>
        <v>0</v>
      </c>
      <c r="AF139" s="31">
        <f>SUM(N139:Q139)</f>
        <v>0</v>
      </c>
      <c r="AG139" s="107">
        <f t="shared" si="351"/>
        <v>-9.952</v>
      </c>
      <c r="AH139" s="441">
        <f>Inputs!B14</f>
        <v>0</v>
      </c>
      <c r="AI139" s="441">
        <f>Inputs!C14</f>
        <v>0</v>
      </c>
      <c r="AJ139" s="441">
        <f>Inputs!D14</f>
        <v>0</v>
      </c>
      <c r="AK139" s="441">
        <f>Inputs!E14</f>
        <v>0</v>
      </c>
      <c r="AL139" s="441">
        <f>Inputs!F14</f>
        <v>0</v>
      </c>
      <c r="AM139" s="441">
        <f>Inputs!G14</f>
        <v>0</v>
      </c>
      <c r="AN139" s="441">
        <f>Inputs!H14</f>
        <v>0</v>
      </c>
      <c r="AO139" s="441">
        <f>Inputs!I14</f>
        <v>0</v>
      </c>
      <c r="AP139" s="441">
        <f>Inputs!J14</f>
        <v>0</v>
      </c>
      <c r="AQ139" s="441">
        <f>Inputs!K14</f>
        <v>0</v>
      </c>
      <c r="AR139" s="441">
        <f>Inputs!L14</f>
        <v>0</v>
      </c>
      <c r="AS139" s="441">
        <f>Inputs!M14</f>
        <v>0</v>
      </c>
      <c r="AT139" s="441">
        <f>Inputs!N14</f>
        <v>0</v>
      </c>
    </row>
    <row r="140" spans="1:65" x14ac:dyDescent="0.25">
      <c r="A140" s="6" t="s">
        <v>110</v>
      </c>
      <c r="B140" s="37"/>
      <c r="C140" s="37"/>
      <c r="D140" s="107"/>
      <c r="E140" s="107"/>
      <c r="F140" s="107"/>
      <c r="G140" s="107"/>
      <c r="H140" s="107"/>
      <c r="I140" s="107"/>
      <c r="J140" s="107"/>
      <c r="K140" s="107"/>
      <c r="L140" s="107"/>
      <c r="M140" s="107"/>
      <c r="N140" s="107"/>
      <c r="O140" s="107"/>
      <c r="P140" s="107"/>
      <c r="Q140" s="107">
        <v>0</v>
      </c>
      <c r="R140" s="107">
        <v>0</v>
      </c>
      <c r="S140" s="107">
        <v>0</v>
      </c>
      <c r="T140" s="107">
        <v>0</v>
      </c>
      <c r="U140" s="107">
        <v>0</v>
      </c>
      <c r="V140" s="107">
        <v>0</v>
      </c>
      <c r="W140" s="107">
        <v>0</v>
      </c>
      <c r="X140" s="107">
        <v>0</v>
      </c>
      <c r="Y140" s="107">
        <v>0</v>
      </c>
      <c r="AC140" s="26"/>
      <c r="AD140" s="34">
        <f>SUM(D140:I140)</f>
        <v>0</v>
      </c>
      <c r="AE140" s="34">
        <f>SUM(J140:M140)</f>
        <v>0</v>
      </c>
      <c r="AF140" s="31">
        <f>SUM(N140:Q140)</f>
        <v>0</v>
      </c>
      <c r="AG140" s="107">
        <f t="shared" si="351"/>
        <v>0</v>
      </c>
      <c r="AH140" s="441">
        <f>Inputs!B15</f>
        <v>0</v>
      </c>
      <c r="AI140" s="441">
        <f>Inputs!C15</f>
        <v>0</v>
      </c>
      <c r="AJ140" s="441">
        <f>Inputs!D15</f>
        <v>0</v>
      </c>
      <c r="AK140" s="441">
        <f>Inputs!E15</f>
        <v>0</v>
      </c>
      <c r="AL140" s="441">
        <f>Inputs!F15</f>
        <v>0</v>
      </c>
      <c r="AM140" s="441">
        <f>Inputs!G15</f>
        <v>0</v>
      </c>
      <c r="AN140" s="441">
        <f>Inputs!H15</f>
        <v>0</v>
      </c>
      <c r="AO140" s="441">
        <f>Inputs!I15</f>
        <v>0</v>
      </c>
      <c r="AP140" s="441">
        <f>Inputs!J15</f>
        <v>0</v>
      </c>
      <c r="AQ140" s="441">
        <f>Inputs!K15</f>
        <v>0</v>
      </c>
      <c r="AR140" s="441">
        <f>Inputs!L15</f>
        <v>0</v>
      </c>
      <c r="AS140" s="441">
        <f>Inputs!M15</f>
        <v>0</v>
      </c>
      <c r="AT140" s="441">
        <f>Inputs!N15</f>
        <v>0</v>
      </c>
    </row>
    <row r="141" spans="1:65" x14ac:dyDescent="0.25">
      <c r="A141" s="61" t="s">
        <v>1</v>
      </c>
      <c r="B141" s="50"/>
      <c r="C141" s="50"/>
      <c r="D141" s="98"/>
      <c r="E141" s="98"/>
      <c r="F141" s="98"/>
      <c r="G141" s="98"/>
      <c r="H141" s="98"/>
      <c r="I141" s="98"/>
      <c r="J141" s="98"/>
      <c r="K141" s="98"/>
      <c r="L141" s="98"/>
      <c r="M141" s="98"/>
      <c r="N141" s="98"/>
      <c r="O141" s="98"/>
      <c r="P141" s="98">
        <f>P142-P140-P139-P137</f>
        <v>-7.999999999999996E-2</v>
      </c>
      <c r="Q141" s="98">
        <f>-3.174-SUM(N142:P142)-SUM(Q137:Q140)</f>
        <v>-0.95700000000000007</v>
      </c>
      <c r="R141" s="98">
        <f>-7.683-R140-R139-R137</f>
        <v>1.0310000000000001</v>
      </c>
      <c r="S141" s="98">
        <f>-9.097-R142-SUM(S137,S139,S140)</f>
        <v>-0.9169999999999997</v>
      </c>
      <c r="T141" s="98">
        <f>-10.98-S142-R142-SUM(T137:T140)</f>
        <v>0.24599999999999866</v>
      </c>
      <c r="U141" s="98">
        <f>-15.975-U140-U139-U137-T142-S142-R142</f>
        <v>-4.9319999999999986</v>
      </c>
      <c r="V141" s="98">
        <v>0</v>
      </c>
      <c r="W141" s="98">
        <f>-2.688-V142-W140-W139-W137</f>
        <v>-2.4500000000000002</v>
      </c>
      <c r="X141" s="98">
        <f>-1.352-W142-V142-SUM(X137:X140)</f>
        <v>2.2450000000000001</v>
      </c>
      <c r="Y141" s="98">
        <v>0</v>
      </c>
      <c r="AC141" s="75">
        <f t="shared" ref="AC141:AD141" si="379">AC142-AC140-AC139-AC137</f>
        <v>-0.43699999999999983</v>
      </c>
      <c r="AD141" s="75">
        <f t="shared" si="379"/>
        <v>-3.1970000000000001</v>
      </c>
      <c r="AE141" s="75">
        <f>AE142-AE140-AE139-AE137</f>
        <v>-0.42599999999999993</v>
      </c>
      <c r="AF141" s="99">
        <f>SUM(N141:Q141)</f>
        <v>-1.0369999999999999</v>
      </c>
      <c r="AG141" s="98">
        <f t="shared" si="351"/>
        <v>-4.5719999999999992</v>
      </c>
      <c r="AH141" s="64">
        <v>0</v>
      </c>
      <c r="AI141" s="98">
        <v>0</v>
      </c>
      <c r="AJ141" s="98">
        <v>0</v>
      </c>
      <c r="AK141" s="98">
        <v>0</v>
      </c>
      <c r="AL141" s="98">
        <v>0</v>
      </c>
      <c r="AM141" s="98">
        <v>0</v>
      </c>
      <c r="AN141" s="98">
        <v>0</v>
      </c>
      <c r="AO141" s="98">
        <v>0</v>
      </c>
      <c r="AP141" s="98">
        <v>0</v>
      </c>
      <c r="AQ141" s="98">
        <v>0</v>
      </c>
      <c r="AR141" s="98">
        <v>0</v>
      </c>
      <c r="AS141" s="98">
        <v>0</v>
      </c>
      <c r="AT141" s="98">
        <v>0</v>
      </c>
    </row>
    <row r="142" spans="1:65" x14ac:dyDescent="0.25">
      <c r="A142" s="24" t="s">
        <v>38</v>
      </c>
      <c r="B142" s="36"/>
      <c r="C142" s="36"/>
      <c r="D142" s="105"/>
      <c r="E142" s="105"/>
      <c r="F142" s="105"/>
      <c r="G142" s="105"/>
      <c r="H142" s="105"/>
      <c r="I142" s="105"/>
      <c r="J142" s="105"/>
      <c r="K142" s="105"/>
      <c r="L142" s="105"/>
      <c r="M142" s="105"/>
      <c r="N142" s="77"/>
      <c r="O142" s="60">
        <f>-1.527-N142</f>
        <v>-1.5269999999999999</v>
      </c>
      <c r="P142" s="336">
        <f>-1.914-SUM(N142:O142)</f>
        <v>-0.38700000000000001</v>
      </c>
      <c r="Q142" s="105">
        <f t="shared" ref="Q142" si="380">Q137+Q139+Q140+Q141</f>
        <v>-1.26</v>
      </c>
      <c r="R142" s="105">
        <f t="shared" ref="R142:U142" si="381">R137+R139+R140+R141</f>
        <v>-7.6829999999999998</v>
      </c>
      <c r="S142" s="105">
        <f t="shared" si="381"/>
        <v>-1.4139999999999997</v>
      </c>
      <c r="T142" s="105">
        <f t="shared" si="381"/>
        <v>-1.8830000000000009</v>
      </c>
      <c r="U142" s="105">
        <f t="shared" si="381"/>
        <v>-4.9949999999999992</v>
      </c>
      <c r="V142" s="105">
        <f t="shared" ref="V142:W142" si="382">V137+V139+V140+V141</f>
        <v>5.5549999999999711E-2</v>
      </c>
      <c r="W142" s="105">
        <f t="shared" si="382"/>
        <v>-2.7435499999999999</v>
      </c>
      <c r="X142" s="105">
        <f t="shared" ref="X142:Y142" si="383">X137+X139+X140+X141</f>
        <v>1.3360000000000001</v>
      </c>
      <c r="Y142" s="105">
        <f t="shared" si="383"/>
        <v>-0.91809000000000007</v>
      </c>
      <c r="AC142" s="55">
        <v>-1.6439999999999999</v>
      </c>
      <c r="AD142" s="55">
        <v>-4.2190000000000003</v>
      </c>
      <c r="AE142" s="55">
        <v>-1.579</v>
      </c>
      <c r="AF142" s="31">
        <v>-3.1739999999999999</v>
      </c>
      <c r="AG142" s="105">
        <v>-15.975</v>
      </c>
      <c r="AH142" s="77">
        <f t="shared" ref="AH142:AT142" si="384">AH137+AH139+AH140+AH141</f>
        <v>-1.4945300000000001</v>
      </c>
      <c r="AI142" s="105">
        <f t="shared" si="384"/>
        <v>-1.5393659000000002</v>
      </c>
      <c r="AJ142" s="105">
        <f t="shared" si="384"/>
        <v>-1.5855468770000003</v>
      </c>
      <c r="AK142" s="105">
        <f t="shared" si="384"/>
        <v>-1.6331132833100004</v>
      </c>
      <c r="AL142" s="105">
        <f t="shared" si="384"/>
        <v>-1.6821066818093005</v>
      </c>
      <c r="AM142" s="105">
        <f t="shared" si="384"/>
        <v>-1.7325698822635796</v>
      </c>
      <c r="AN142" s="105">
        <f t="shared" si="384"/>
        <v>-1.7845469787314869</v>
      </c>
      <c r="AO142" s="105">
        <f t="shared" si="384"/>
        <v>-1.8380833880934315</v>
      </c>
      <c r="AP142" s="105">
        <f t="shared" si="384"/>
        <v>-1.8932258897362346</v>
      </c>
      <c r="AQ142" s="105">
        <f t="shared" si="384"/>
        <v>-1.9500226664283218</v>
      </c>
      <c r="AR142" s="105">
        <f t="shared" si="384"/>
        <v>-2.0085233464211716</v>
      </c>
      <c r="AS142" s="105">
        <f t="shared" si="384"/>
        <v>-2.0687790468138068</v>
      </c>
      <c r="AT142" s="105">
        <f t="shared" si="384"/>
        <v>-2.1308424182182208</v>
      </c>
    </row>
    <row r="143" spans="1:65" x14ac:dyDescent="0.25">
      <c r="A143" s="24"/>
      <c r="B143" s="36"/>
      <c r="C143" s="36"/>
      <c r="D143" s="105"/>
      <c r="E143" s="105"/>
      <c r="F143" s="105"/>
      <c r="G143" s="105"/>
      <c r="H143" s="105"/>
      <c r="I143" s="105"/>
      <c r="J143" s="105"/>
      <c r="K143" s="105"/>
      <c r="L143" s="105"/>
      <c r="M143" s="105"/>
      <c r="N143" s="105"/>
      <c r="O143" s="105"/>
      <c r="P143" s="105"/>
      <c r="Q143" s="105"/>
      <c r="R143" s="105"/>
      <c r="S143" s="105"/>
      <c r="T143" s="77"/>
      <c r="U143" s="105"/>
      <c r="V143" s="105"/>
      <c r="W143" s="105"/>
      <c r="X143" s="105"/>
      <c r="Y143" s="105"/>
      <c r="AC143" s="104"/>
      <c r="AD143" s="34"/>
      <c r="AE143" s="34"/>
      <c r="AF143" s="26"/>
      <c r="AG143" s="43"/>
      <c r="AH143" s="43"/>
      <c r="AI143" s="43"/>
      <c r="AJ143" s="43"/>
      <c r="AK143" s="43"/>
      <c r="AL143" s="43"/>
      <c r="AM143" s="43"/>
      <c r="AN143" s="43"/>
      <c r="AO143" s="43"/>
      <c r="AP143" s="43"/>
      <c r="AQ143" s="43"/>
      <c r="AR143" s="43"/>
      <c r="AS143" s="43"/>
      <c r="AT143" s="43"/>
    </row>
    <row r="144" spans="1:65" x14ac:dyDescent="0.25">
      <c r="A144" s="6" t="s">
        <v>39</v>
      </c>
      <c r="B144" s="37"/>
      <c r="C144" s="37"/>
      <c r="D144" s="107"/>
      <c r="E144" s="107"/>
      <c r="F144" s="107"/>
      <c r="G144" s="107"/>
      <c r="H144" s="107"/>
      <c r="I144" s="107"/>
      <c r="J144" s="107"/>
      <c r="K144" s="182"/>
      <c r="L144" s="107"/>
      <c r="M144" s="182"/>
      <c r="N144" s="107"/>
      <c r="O144" s="107">
        <f>1.7-N144</f>
        <v>1.7</v>
      </c>
      <c r="P144" s="31"/>
      <c r="Q144" s="31">
        <f>1.954-SUM(O144:P144)</f>
        <v>0.254</v>
      </c>
      <c r="R144" s="107">
        <v>3</v>
      </c>
      <c r="S144" s="31">
        <v>0</v>
      </c>
      <c r="T144" s="31">
        <f>6-S144-R144</f>
        <v>3</v>
      </c>
      <c r="U144" s="31">
        <f t="shared" ref="U144" si="385">(U111+U107)-(T107+T111)-U145</f>
        <v>-6.2850000000000037</v>
      </c>
      <c r="V144" s="31">
        <f t="shared" ref="V144" si="386">(V111+V107)-(U107+U111)-V145</f>
        <v>1.699999999999946E-2</v>
      </c>
      <c r="W144" s="107">
        <f>1.57</f>
        <v>1.57</v>
      </c>
      <c r="X144" s="107">
        <f>1.57-W144-V144</f>
        <v>-1.699999999999946E-2</v>
      </c>
      <c r="Y144" s="31">
        <f t="shared" ref="Y144" si="387">(Y111+Y107)-(X107+X111)-Y145</f>
        <v>0</v>
      </c>
      <c r="AC144" s="26"/>
      <c r="AD144" s="55">
        <v>4.8230000000000004</v>
      </c>
      <c r="AE144" s="55">
        <f>1.125</f>
        <v>1.125</v>
      </c>
      <c r="AF144" s="31">
        <f>SUM(N144:Q144)</f>
        <v>1.954</v>
      </c>
      <c r="AG144" s="31">
        <f t="shared" si="351"/>
        <v>-0.28500000000000369</v>
      </c>
      <c r="AH144" s="434">
        <f>Inputs!B26</f>
        <v>0</v>
      </c>
      <c r="AI144" s="434">
        <f>Inputs!C26</f>
        <v>0</v>
      </c>
      <c r="AJ144" s="434">
        <f>Inputs!D26</f>
        <v>0</v>
      </c>
      <c r="AK144" s="434">
        <f>Inputs!E26</f>
        <v>0</v>
      </c>
      <c r="AL144" s="434">
        <f>Inputs!F26</f>
        <v>0</v>
      </c>
      <c r="AM144" s="434">
        <f>Inputs!G26</f>
        <v>0</v>
      </c>
      <c r="AN144" s="434">
        <f>Inputs!H26</f>
        <v>0</v>
      </c>
      <c r="AO144" s="434">
        <f>Inputs!I26</f>
        <v>0</v>
      </c>
      <c r="AP144" s="434">
        <f>Inputs!J26</f>
        <v>0</v>
      </c>
      <c r="AQ144" s="434">
        <f>Inputs!K26</f>
        <v>0</v>
      </c>
      <c r="AR144" s="434">
        <f>Inputs!L26</f>
        <v>0</v>
      </c>
      <c r="AS144" s="434">
        <f>Inputs!M26</f>
        <v>0</v>
      </c>
      <c r="AT144" s="434">
        <f>Inputs!N26</f>
        <v>0</v>
      </c>
    </row>
    <row r="145" spans="1:65" x14ac:dyDescent="0.25">
      <c r="A145" s="6" t="s">
        <v>40</v>
      </c>
      <c r="B145" s="37"/>
      <c r="C145" s="37"/>
      <c r="D145" s="107"/>
      <c r="E145" s="107"/>
      <c r="F145" s="107"/>
      <c r="G145" s="107"/>
      <c r="H145" s="107"/>
      <c r="I145" s="107"/>
      <c r="J145" s="107"/>
      <c r="K145" s="107"/>
      <c r="L145" s="107"/>
      <c r="M145" s="107"/>
      <c r="N145" s="107"/>
      <c r="O145" s="107">
        <f>-1.019-0.952-0.799-N145</f>
        <v>-2.77</v>
      </c>
      <c r="P145" s="107"/>
      <c r="Q145" s="107">
        <f>-2.213-1.923-SUM(M145:P145)</f>
        <v>-1.3660000000000001</v>
      </c>
      <c r="R145" s="107">
        <v>0</v>
      </c>
      <c r="S145" s="107">
        <v>0</v>
      </c>
      <c r="T145" s="107">
        <f>-3.33-1.883-0.464-S145-R145</f>
        <v>-5.6770000000000005</v>
      </c>
      <c r="U145" s="107">
        <v>0</v>
      </c>
      <c r="V145" s="107">
        <v>0</v>
      </c>
      <c r="W145" s="107">
        <v>0</v>
      </c>
      <c r="X145" s="107">
        <f>-1.909-0.788-0.126-3.026-W145-V145</f>
        <v>-5.8490000000000002</v>
      </c>
      <c r="Y145" s="107">
        <v>0</v>
      </c>
      <c r="AC145" s="42">
        <f>-2.111</f>
        <v>-2.1110000000000002</v>
      </c>
      <c r="AD145" s="55">
        <f>-2.02</f>
        <v>-2.02</v>
      </c>
      <c r="AE145" s="55">
        <f>-2.15</f>
        <v>-2.15</v>
      </c>
      <c r="AF145" s="31">
        <f>SUM(N145:Q145)</f>
        <v>-4.1360000000000001</v>
      </c>
      <c r="AG145" s="107">
        <f t="shared" si="351"/>
        <v>-5.6770000000000005</v>
      </c>
      <c r="AH145" s="435">
        <f>Inputs!B25</f>
        <v>0</v>
      </c>
      <c r="AI145" s="435">
        <f>Inputs!C25</f>
        <v>0</v>
      </c>
      <c r="AJ145" s="435">
        <f>Inputs!D25</f>
        <v>0</v>
      </c>
      <c r="AK145" s="435">
        <f>Inputs!E25</f>
        <v>0</v>
      </c>
      <c r="AL145" s="435">
        <f>Inputs!F25</f>
        <v>0</v>
      </c>
      <c r="AM145" s="435">
        <f>Inputs!G25</f>
        <v>0</v>
      </c>
      <c r="AN145" s="435">
        <f>Inputs!H25</f>
        <v>0</v>
      </c>
      <c r="AO145" s="435">
        <f>Inputs!I25</f>
        <v>0</v>
      </c>
      <c r="AP145" s="435">
        <f>Inputs!J25</f>
        <v>0</v>
      </c>
      <c r="AQ145" s="435">
        <f>Inputs!K25</f>
        <v>0</v>
      </c>
      <c r="AR145" s="435">
        <f>Inputs!L25</f>
        <v>0</v>
      </c>
      <c r="AS145" s="435">
        <f>Inputs!M25</f>
        <v>0</v>
      </c>
      <c r="AT145" s="435">
        <f>Inputs!N25</f>
        <v>0</v>
      </c>
    </row>
    <row r="146" spans="1:65" x14ac:dyDescent="0.25">
      <c r="A146" s="6" t="s">
        <v>41</v>
      </c>
      <c r="B146" s="37"/>
      <c r="C146" s="37"/>
      <c r="D146" s="107"/>
      <c r="E146" s="107"/>
      <c r="F146" s="107"/>
      <c r="G146" s="107"/>
      <c r="H146" s="107"/>
      <c r="I146" s="107"/>
      <c r="J146" s="107"/>
      <c r="K146" s="107"/>
      <c r="L146" s="107"/>
      <c r="M146" s="107"/>
      <c r="N146" s="107"/>
      <c r="O146" s="107"/>
      <c r="P146" s="107"/>
      <c r="Q146" s="107">
        <v>22</v>
      </c>
      <c r="R146" s="107">
        <v>0</v>
      </c>
      <c r="S146" s="107">
        <v>0</v>
      </c>
      <c r="T146" s="107">
        <v>0</v>
      </c>
      <c r="U146" s="107">
        <v>0</v>
      </c>
      <c r="V146" s="107">
        <v>0</v>
      </c>
      <c r="W146" s="107">
        <v>0</v>
      </c>
      <c r="X146" s="107">
        <v>0</v>
      </c>
      <c r="Y146" s="107">
        <v>0</v>
      </c>
      <c r="AC146" s="26"/>
      <c r="AD146" s="34">
        <f>SUM(D146:I146)</f>
        <v>0</v>
      </c>
      <c r="AE146" s="34">
        <f>SUM(J146:M146)</f>
        <v>0</v>
      </c>
      <c r="AF146" s="31">
        <f>SUM(N146:Q146)</f>
        <v>22</v>
      </c>
      <c r="AG146" s="211">
        <f t="shared" si="351"/>
        <v>0</v>
      </c>
      <c r="AH146" s="435">
        <f>Inputs!B27</f>
        <v>0</v>
      </c>
      <c r="AI146" s="435">
        <f>Inputs!C27</f>
        <v>0</v>
      </c>
      <c r="AJ146" s="435">
        <f>Inputs!D27</f>
        <v>0</v>
      </c>
      <c r="AK146" s="435">
        <f>Inputs!E27</f>
        <v>0</v>
      </c>
      <c r="AL146" s="435">
        <f>Inputs!F27</f>
        <v>0</v>
      </c>
      <c r="AM146" s="435">
        <f>Inputs!G27</f>
        <v>0</v>
      </c>
      <c r="AN146" s="435">
        <f>Inputs!H27</f>
        <v>0</v>
      </c>
      <c r="AO146" s="435">
        <f>Inputs!I27</f>
        <v>0</v>
      </c>
      <c r="AP146" s="435">
        <f>Inputs!J27</f>
        <v>0</v>
      </c>
      <c r="AQ146" s="435">
        <f>Inputs!K27</f>
        <v>0</v>
      </c>
      <c r="AR146" s="435">
        <f>Inputs!L27</f>
        <v>0</v>
      </c>
      <c r="AS146" s="435">
        <f>Inputs!M27</f>
        <v>0</v>
      </c>
      <c r="AT146" s="435">
        <f>Inputs!N27</f>
        <v>0</v>
      </c>
    </row>
    <row r="147" spans="1:65" x14ac:dyDescent="0.25">
      <c r="A147" s="6" t="s">
        <v>407</v>
      </c>
      <c r="B147" s="37"/>
      <c r="C147" s="37"/>
      <c r="D147" s="107"/>
      <c r="E147" s="107"/>
      <c r="F147" s="107"/>
      <c r="G147" s="107"/>
      <c r="H147" s="107"/>
      <c r="I147" s="107"/>
      <c r="J147" s="107"/>
      <c r="K147" s="107"/>
      <c r="L147" s="107"/>
      <c r="M147" s="107"/>
      <c r="N147" s="107"/>
      <c r="O147" s="107"/>
      <c r="P147" s="107"/>
      <c r="Q147" s="107"/>
      <c r="R147" s="107"/>
      <c r="S147" s="107"/>
      <c r="T147" s="107"/>
      <c r="U147" s="107"/>
      <c r="V147" s="107"/>
      <c r="W147" s="107"/>
      <c r="X147" s="107"/>
      <c r="Y147" s="107"/>
      <c r="AC147" s="26"/>
      <c r="AD147" s="34"/>
      <c r="AE147" s="34"/>
      <c r="AF147" s="31"/>
      <c r="AG147" s="211"/>
      <c r="AH147" s="435">
        <f>Inputs!B28</f>
        <v>0</v>
      </c>
      <c r="AI147" s="435">
        <f>Inputs!C28</f>
        <v>0</v>
      </c>
      <c r="AJ147" s="435">
        <f>Inputs!D28</f>
        <v>0</v>
      </c>
      <c r="AK147" s="435">
        <f>Inputs!E28</f>
        <v>0</v>
      </c>
      <c r="AL147" s="435">
        <f>Inputs!F28</f>
        <v>0</v>
      </c>
      <c r="AM147" s="435">
        <f>Inputs!G28</f>
        <v>0</v>
      </c>
      <c r="AN147" s="435">
        <f>Inputs!H28</f>
        <v>0</v>
      </c>
      <c r="AO147" s="435">
        <f>Inputs!I28</f>
        <v>0</v>
      </c>
      <c r="AP147" s="435">
        <f>Inputs!J28</f>
        <v>0</v>
      </c>
      <c r="AQ147" s="435">
        <f>Inputs!K28</f>
        <v>0</v>
      </c>
      <c r="AR147" s="435">
        <f>Inputs!L28</f>
        <v>0</v>
      </c>
      <c r="AS147" s="435">
        <f>Inputs!M28</f>
        <v>0</v>
      </c>
      <c r="AT147" s="435">
        <f>Inputs!N28</f>
        <v>0</v>
      </c>
    </row>
    <row r="148" spans="1:65" x14ac:dyDescent="0.25">
      <c r="A148" s="6" t="s">
        <v>408</v>
      </c>
      <c r="B148" s="37"/>
      <c r="C148" s="37"/>
      <c r="D148" s="107"/>
      <c r="E148" s="107"/>
      <c r="F148" s="107"/>
      <c r="G148" s="107"/>
      <c r="H148" s="107"/>
      <c r="I148" s="107"/>
      <c r="J148" s="107"/>
      <c r="K148" s="107"/>
      <c r="L148" s="107"/>
      <c r="M148" s="107"/>
      <c r="N148" s="107"/>
      <c r="O148" s="107"/>
      <c r="P148" s="107"/>
      <c r="Q148" s="107"/>
      <c r="R148" s="107"/>
      <c r="S148" s="107"/>
      <c r="T148" s="107"/>
      <c r="U148" s="107"/>
      <c r="V148" s="107"/>
      <c r="W148" s="107"/>
      <c r="X148" s="107"/>
      <c r="Y148" s="107"/>
      <c r="AC148" s="26"/>
      <c r="AD148" s="34"/>
      <c r="AE148" s="34"/>
      <c r="AF148" s="31"/>
      <c r="AG148" s="211"/>
      <c r="AH148" s="435">
        <f>Inputs!B29</f>
        <v>0</v>
      </c>
      <c r="AI148" s="435">
        <f>Inputs!C29</f>
        <v>0</v>
      </c>
      <c r="AJ148" s="435">
        <f>Inputs!D29</f>
        <v>0</v>
      </c>
      <c r="AK148" s="435">
        <f>Inputs!E29</f>
        <v>0</v>
      </c>
      <c r="AL148" s="435">
        <f>Inputs!F29</f>
        <v>0</v>
      </c>
      <c r="AM148" s="435">
        <f>Inputs!G29</f>
        <v>0</v>
      </c>
      <c r="AN148" s="435">
        <f>Inputs!H29</f>
        <v>0</v>
      </c>
      <c r="AO148" s="435">
        <f>Inputs!I29</f>
        <v>0</v>
      </c>
      <c r="AP148" s="435">
        <f>Inputs!J29</f>
        <v>0</v>
      </c>
      <c r="AQ148" s="435">
        <f>Inputs!K29</f>
        <v>0</v>
      </c>
      <c r="AR148" s="435">
        <f>Inputs!L29</f>
        <v>0</v>
      </c>
      <c r="AS148" s="435">
        <f>Inputs!M29</f>
        <v>0</v>
      </c>
      <c r="AT148" s="435">
        <f>Inputs!N29</f>
        <v>0</v>
      </c>
    </row>
    <row r="149" spans="1:65" x14ac:dyDescent="0.25">
      <c r="A149" s="61" t="s">
        <v>1</v>
      </c>
      <c r="B149" s="50"/>
      <c r="C149" s="50"/>
      <c r="D149" s="98"/>
      <c r="E149" s="98"/>
      <c r="F149" s="98"/>
      <c r="G149" s="98"/>
      <c r="H149" s="98"/>
      <c r="I149" s="98"/>
      <c r="J149" s="98"/>
      <c r="K149" s="98"/>
      <c r="L149" s="98"/>
      <c r="M149" s="212"/>
      <c r="N149" s="98"/>
      <c r="O149" s="98"/>
      <c r="P149" s="98"/>
      <c r="Q149" s="98">
        <f>16.44-SUM(N150:P150)-SUM(Q144:Q146)</f>
        <v>-2.2099999999999973</v>
      </c>
      <c r="R149" s="98">
        <f>1.693-SUM(R144:R146)</f>
        <v>-1.3069999999999999</v>
      </c>
      <c r="S149" s="98">
        <f>0.106-R150-SUM(S144:S146)</f>
        <v>-1.587</v>
      </c>
      <c r="T149" s="98">
        <v>0</v>
      </c>
      <c r="U149" s="98">
        <f>-1.842-U146-U145-U144-SUM(R150:T150)</f>
        <v>7.0140000000000038</v>
      </c>
      <c r="V149" s="98">
        <v>0</v>
      </c>
      <c r="W149" s="98">
        <f>-2.408-V150-SUM(W144:W146)</f>
        <v>-3.9949999999999992</v>
      </c>
      <c r="X149" s="98">
        <f>0-W149-V149</f>
        <v>3.9949999999999992</v>
      </c>
      <c r="Y149" s="98">
        <v>0</v>
      </c>
      <c r="AC149" s="75">
        <f t="shared" ref="AC149:AD149" si="388">AC150-SUM(AC144:AC146)</f>
        <v>-1.0779999999999998</v>
      </c>
      <c r="AD149" s="75">
        <f t="shared" si="388"/>
        <v>-2.5330000000000004</v>
      </c>
      <c r="AE149" s="75">
        <f>AE150-SUM(AE144:AE146)</f>
        <v>-1.5020000000000002</v>
      </c>
      <c r="AF149" s="99">
        <f>SUM(N149:Q149)</f>
        <v>-2.2099999999999973</v>
      </c>
      <c r="AG149" s="121">
        <f t="shared" si="351"/>
        <v>4.1200000000000037</v>
      </c>
      <c r="AH149" s="121">
        <f t="shared" ref="AH128:AH152" si="389">SUM(V149:Y149)</f>
        <v>0</v>
      </c>
      <c r="AI149" s="121">
        <f>AH149</f>
        <v>0</v>
      </c>
      <c r="AJ149" s="121">
        <f t="shared" ref="AJ149:AT149" si="390">AI149</f>
        <v>0</v>
      </c>
      <c r="AK149" s="121">
        <f t="shared" si="390"/>
        <v>0</v>
      </c>
      <c r="AL149" s="121">
        <f t="shared" si="390"/>
        <v>0</v>
      </c>
      <c r="AM149" s="121">
        <f t="shared" si="390"/>
        <v>0</v>
      </c>
      <c r="AN149" s="121">
        <f t="shared" si="390"/>
        <v>0</v>
      </c>
      <c r="AO149" s="121">
        <f t="shared" si="390"/>
        <v>0</v>
      </c>
      <c r="AP149" s="121">
        <f t="shared" si="390"/>
        <v>0</v>
      </c>
      <c r="AQ149" s="121">
        <f t="shared" si="390"/>
        <v>0</v>
      </c>
      <c r="AR149" s="121">
        <f t="shared" si="390"/>
        <v>0</v>
      </c>
      <c r="AS149" s="121">
        <f t="shared" si="390"/>
        <v>0</v>
      </c>
      <c r="AT149" s="121">
        <f t="shared" si="390"/>
        <v>0</v>
      </c>
    </row>
    <row r="150" spans="1:65" x14ac:dyDescent="0.25">
      <c r="A150" s="24" t="s">
        <v>42</v>
      </c>
      <c r="B150" s="36"/>
      <c r="C150" s="36"/>
      <c r="D150" s="105"/>
      <c r="E150" s="105"/>
      <c r="F150" s="105"/>
      <c r="G150" s="105"/>
      <c r="H150" s="105"/>
      <c r="I150" s="105"/>
      <c r="J150" s="105"/>
      <c r="K150" s="105"/>
      <c r="L150" s="105"/>
      <c r="M150" s="105"/>
      <c r="N150" s="77"/>
      <c r="O150" s="60">
        <f>-1.06-N150</f>
        <v>-1.06</v>
      </c>
      <c r="P150" s="336">
        <f>-2.238-SUM(N150:O150)</f>
        <v>-1.1779999999999999</v>
      </c>
      <c r="Q150" s="105">
        <f t="shared" ref="Q150" si="391">SUM(Q144:Q149)</f>
        <v>18.678000000000001</v>
      </c>
      <c r="R150" s="105">
        <f t="shared" ref="R150:U150" si="392">SUM(R144:R149)</f>
        <v>1.6930000000000001</v>
      </c>
      <c r="S150" s="105">
        <f t="shared" si="392"/>
        <v>-1.587</v>
      </c>
      <c r="T150" s="105">
        <f t="shared" si="392"/>
        <v>-2.6770000000000005</v>
      </c>
      <c r="U150" s="105">
        <f t="shared" si="392"/>
        <v>0.72900000000000009</v>
      </c>
      <c r="V150" s="105">
        <f t="shared" ref="V150:W150" si="393">SUM(V144:V149)</f>
        <v>1.699999999999946E-2</v>
      </c>
      <c r="W150" s="105">
        <f t="shared" si="393"/>
        <v>-2.4249999999999989</v>
      </c>
      <c r="X150" s="105">
        <f t="shared" ref="X150:Y150" si="394">SUM(X144:X149)</f>
        <v>-1.8710000000000004</v>
      </c>
      <c r="Y150" s="105">
        <f t="shared" si="394"/>
        <v>0</v>
      </c>
      <c r="AC150" s="55">
        <f>-3.189</f>
        <v>-3.1890000000000001</v>
      </c>
      <c r="AD150" s="55">
        <v>0.27</v>
      </c>
      <c r="AE150" s="55">
        <f>-2.527</f>
        <v>-2.5270000000000001</v>
      </c>
      <c r="AF150" s="31">
        <f>SUM(N150:Q150)</f>
        <v>16.440000000000001</v>
      </c>
      <c r="AG150" s="105">
        <f t="shared" si="351"/>
        <v>-1.8420000000000005</v>
      </c>
      <c r="AH150" s="105">
        <f t="shared" ref="AH150:AN150" si="395">SUM(AH144:AH149)</f>
        <v>0</v>
      </c>
      <c r="AI150" s="105">
        <f t="shared" si="395"/>
        <v>0</v>
      </c>
      <c r="AJ150" s="105">
        <f t="shared" si="395"/>
        <v>0</v>
      </c>
      <c r="AK150" s="105">
        <f t="shared" si="395"/>
        <v>0</v>
      </c>
      <c r="AL150" s="105">
        <f t="shared" si="395"/>
        <v>0</v>
      </c>
      <c r="AM150" s="105">
        <f t="shared" si="395"/>
        <v>0</v>
      </c>
      <c r="AN150" s="105">
        <f t="shared" si="395"/>
        <v>0</v>
      </c>
      <c r="AO150" s="105">
        <f t="shared" ref="AO150:AP150" si="396">SUM(AO144:AO149)</f>
        <v>0</v>
      </c>
      <c r="AP150" s="105">
        <f t="shared" si="396"/>
        <v>0</v>
      </c>
      <c r="AQ150" s="105">
        <f t="shared" ref="AQ150:AR150" si="397">SUM(AQ144:AQ149)</f>
        <v>0</v>
      </c>
      <c r="AR150" s="105">
        <f t="shared" si="397"/>
        <v>0</v>
      </c>
      <c r="AS150" s="105">
        <f t="shared" ref="AS150:AT150" si="398">SUM(AS144:AS149)</f>
        <v>0</v>
      </c>
      <c r="AT150" s="105">
        <f t="shared" si="398"/>
        <v>0</v>
      </c>
    </row>
    <row r="151" spans="1:65" x14ac:dyDescent="0.25">
      <c r="A151" s="24"/>
      <c r="B151" s="36"/>
      <c r="C151" s="36"/>
      <c r="D151" s="105"/>
      <c r="E151" s="105"/>
      <c r="F151" s="105"/>
      <c r="G151" s="105"/>
      <c r="H151" s="105"/>
      <c r="I151" s="105"/>
      <c r="J151" s="105"/>
      <c r="K151" s="105"/>
      <c r="L151" s="105"/>
      <c r="M151" s="105"/>
      <c r="N151" s="105"/>
      <c r="O151" s="105"/>
      <c r="P151" s="105"/>
      <c r="Q151" s="105"/>
      <c r="R151" s="105"/>
      <c r="S151" s="105"/>
      <c r="T151" s="105"/>
      <c r="U151" s="105"/>
      <c r="V151" s="105"/>
      <c r="W151" s="105"/>
      <c r="X151" s="105"/>
      <c r="Y151" s="105"/>
      <c r="AC151" s="43"/>
      <c r="AD151" s="34"/>
      <c r="AE151" s="34"/>
      <c r="AF151" s="26"/>
      <c r="AG151" s="52">
        <f t="shared" si="351"/>
        <v>0</v>
      </c>
      <c r="AH151" s="52">
        <f t="shared" si="389"/>
        <v>0</v>
      </c>
      <c r="AI151" s="52"/>
      <c r="AJ151" s="52"/>
      <c r="AK151" s="52"/>
      <c r="AL151" s="52"/>
      <c r="AM151" s="52"/>
      <c r="AN151" s="52"/>
      <c r="AO151" s="52"/>
      <c r="AP151" s="52"/>
      <c r="AQ151" s="52"/>
      <c r="AR151" s="52"/>
      <c r="AS151" s="52"/>
      <c r="AT151" s="52"/>
    </row>
    <row r="152" spans="1:65" x14ac:dyDescent="0.25">
      <c r="A152" s="61" t="s">
        <v>43</v>
      </c>
      <c r="B152" s="50"/>
      <c r="C152" s="50"/>
      <c r="D152" s="98"/>
      <c r="E152" s="98"/>
      <c r="F152" s="98"/>
      <c r="G152" s="98"/>
      <c r="H152" s="98"/>
      <c r="I152" s="98"/>
      <c r="J152" s="98"/>
      <c r="K152" s="98"/>
      <c r="L152" s="98"/>
      <c r="M152" s="98"/>
      <c r="N152" s="98"/>
      <c r="O152" s="98">
        <f>0.282-N152</f>
        <v>0.28199999999999997</v>
      </c>
      <c r="P152" s="98">
        <f>0.278-SUM(N152:O152)</f>
        <v>-3.999999999999948E-3</v>
      </c>
      <c r="Q152" s="98">
        <v>0</v>
      </c>
      <c r="R152" s="98">
        <v>0.19500000000000001</v>
      </c>
      <c r="S152" s="98">
        <v>0</v>
      </c>
      <c r="T152" s="98">
        <f>-0.056-S152-R152</f>
        <v>-0.251</v>
      </c>
      <c r="U152" s="98">
        <v>0</v>
      </c>
      <c r="V152" s="98">
        <v>0</v>
      </c>
      <c r="W152" s="98">
        <v>0</v>
      </c>
      <c r="X152" s="98">
        <v>0</v>
      </c>
      <c r="Y152" s="98">
        <v>0</v>
      </c>
      <c r="AC152" s="75">
        <f>0.46</f>
        <v>0.46</v>
      </c>
      <c r="AD152" s="75">
        <f>-0.316</f>
        <v>-0.316</v>
      </c>
      <c r="AE152" s="75">
        <v>-6.2E-2</v>
      </c>
      <c r="AF152" s="32">
        <f>SUM(N152:Q152)</f>
        <v>0.27800000000000002</v>
      </c>
      <c r="AG152" s="63"/>
      <c r="AH152" s="63"/>
      <c r="AI152" s="63"/>
      <c r="AJ152" s="63"/>
      <c r="AK152" s="63"/>
      <c r="AL152" s="63"/>
      <c r="AM152" s="63"/>
      <c r="AN152" s="63"/>
      <c r="AO152" s="63"/>
      <c r="AP152" s="63"/>
      <c r="AQ152" s="63"/>
      <c r="AR152" s="63"/>
      <c r="AS152" s="63"/>
      <c r="AT152" s="63"/>
    </row>
    <row r="153" spans="1:65" x14ac:dyDescent="0.25">
      <c r="A153" s="24" t="s">
        <v>44</v>
      </c>
      <c r="B153" s="36"/>
      <c r="C153" s="36"/>
      <c r="D153" s="105"/>
      <c r="E153" s="105"/>
      <c r="F153" s="105"/>
      <c r="G153" s="105"/>
      <c r="H153" s="105"/>
      <c r="I153" s="105"/>
      <c r="J153" s="105"/>
      <c r="K153" s="105"/>
      <c r="L153" s="105"/>
      <c r="M153" s="105"/>
      <c r="N153" s="77"/>
      <c r="O153" s="105">
        <f t="shared" ref="O153:Q153" si="399">O131+O142+O150+O152</f>
        <v>0.51400000000000001</v>
      </c>
      <c r="P153" s="105">
        <f t="shared" si="399"/>
        <v>1.4690000000000003</v>
      </c>
      <c r="Q153" s="105">
        <f t="shared" si="399"/>
        <v>19.706</v>
      </c>
      <c r="R153" s="105">
        <f t="shared" ref="R153:U153" si="400">R131+R142+R150+R152</f>
        <v>-7.984</v>
      </c>
      <c r="S153" s="105">
        <f t="shared" si="400"/>
        <v>-0.34399999999999964</v>
      </c>
      <c r="T153" s="105">
        <f t="shared" si="400"/>
        <v>-3.1550000000000011</v>
      </c>
      <c r="U153" s="105">
        <f t="shared" si="400"/>
        <v>-0.86199999999999966</v>
      </c>
      <c r="V153" s="105">
        <f t="shared" ref="V153:W153" si="401">V131+V142+V150+V152</f>
        <v>-0.15845000000000692</v>
      </c>
      <c r="W153" s="105">
        <f t="shared" si="401"/>
        <v>-2.3565499999999928</v>
      </c>
      <c r="X153" s="105">
        <f t="shared" ref="X153:Y153" si="402">X131+X142+X150+X152</f>
        <v>1.4659999999999993</v>
      </c>
      <c r="Y153" s="105">
        <f t="shared" si="402"/>
        <v>2.3081935641389721</v>
      </c>
      <c r="AC153" s="49">
        <f t="shared" ref="AC153:AE153" si="403">AC131+AC142+AC150+AC152</f>
        <v>0.9319999999999995</v>
      </c>
      <c r="AD153" s="49">
        <f t="shared" si="403"/>
        <v>0.10399999999999948</v>
      </c>
      <c r="AE153" s="49">
        <f t="shared" si="403"/>
        <v>4.0590000000000002</v>
      </c>
      <c r="AF153" s="26">
        <f>SUM(N153:Q153)</f>
        <v>21.689</v>
      </c>
      <c r="AG153" s="52"/>
      <c r="AH153" s="49">
        <f t="shared" ref="AH153:AN153" si="404">AH131+AH142+AH150+AH152</f>
        <v>1.0439219816013554</v>
      </c>
      <c r="AI153" s="52">
        <f t="shared" si="404"/>
        <v>6.6719621646096172</v>
      </c>
      <c r="AJ153" s="52">
        <f t="shared" si="404"/>
        <v>8.2990891476202613</v>
      </c>
      <c r="AK153" s="52">
        <f t="shared" si="404"/>
        <v>9.9653892167626843</v>
      </c>
      <c r="AL153" s="52">
        <f t="shared" si="404"/>
        <v>11.665776229071108</v>
      </c>
      <c r="AM153" s="52">
        <f t="shared" si="404"/>
        <v>13.408355191082901</v>
      </c>
      <c r="AN153" s="52">
        <f t="shared" si="404"/>
        <v>15.204211281593746</v>
      </c>
      <c r="AO153" s="52">
        <f t="shared" ref="AO153:AP153" si="405">AO131+AO142+AO150+AO152</f>
        <v>17.066546245269834</v>
      </c>
      <c r="AP153" s="52">
        <f t="shared" si="405"/>
        <v>19.007978269737137</v>
      </c>
      <c r="AQ153" s="52">
        <f t="shared" ref="AQ153:AR153" si="406">AQ131+AQ142+AQ150+AQ152</f>
        <v>21.041601700284527</v>
      </c>
      <c r="AR153" s="52">
        <f t="shared" si="406"/>
        <v>23.179750210658433</v>
      </c>
      <c r="AS153" s="52">
        <f t="shared" ref="AS153:AT153" si="407">AS131+AS142+AS150+AS152</f>
        <v>25.433702168345928</v>
      </c>
      <c r="AT153" s="52">
        <f t="shared" si="407"/>
        <v>27.814917550987317</v>
      </c>
    </row>
    <row r="154" spans="1:65" x14ac:dyDescent="0.25">
      <c r="B154" s="37"/>
      <c r="C154" s="37"/>
    </row>
    <row r="155" spans="1:65" x14ac:dyDescent="0.25">
      <c r="B155" s="37"/>
      <c r="C155" s="37"/>
    </row>
    <row r="156" spans="1:65" s="205" customFormat="1" x14ac:dyDescent="0.25">
      <c r="A156" s="239" t="s">
        <v>61</v>
      </c>
      <c r="B156" s="245"/>
      <c r="C156" s="245"/>
      <c r="D156" s="241"/>
      <c r="E156" s="241"/>
      <c r="F156" s="241"/>
      <c r="G156" s="241"/>
      <c r="H156" s="241">
        <v>43709</v>
      </c>
      <c r="I156" s="241">
        <v>43800</v>
      </c>
      <c r="J156" s="241">
        <f>J125</f>
        <v>43891</v>
      </c>
      <c r="K156" s="241">
        <f t="shared" ref="K156:U156" si="408">K125</f>
        <v>43983</v>
      </c>
      <c r="L156" s="241">
        <f t="shared" si="408"/>
        <v>44075</v>
      </c>
      <c r="M156" s="241">
        <f t="shared" si="408"/>
        <v>44166</v>
      </c>
      <c r="N156" s="241">
        <f t="shared" si="408"/>
        <v>44256</v>
      </c>
      <c r="O156" s="241">
        <f t="shared" si="408"/>
        <v>44348</v>
      </c>
      <c r="P156" s="241">
        <f t="shared" si="408"/>
        <v>44440</v>
      </c>
      <c r="Q156" s="241">
        <f t="shared" si="408"/>
        <v>44531</v>
      </c>
      <c r="R156" s="241">
        <f t="shared" si="408"/>
        <v>44621</v>
      </c>
      <c r="S156" s="241">
        <f t="shared" si="408"/>
        <v>44713</v>
      </c>
      <c r="T156" s="241">
        <f t="shared" si="408"/>
        <v>44805</v>
      </c>
      <c r="U156" s="241">
        <f t="shared" si="408"/>
        <v>44896</v>
      </c>
      <c r="V156" s="241">
        <f t="shared" ref="V156:W156" si="409">V125</f>
        <v>44986</v>
      </c>
      <c r="W156" s="241">
        <f t="shared" si="409"/>
        <v>45078</v>
      </c>
      <c r="X156" s="241">
        <f t="shared" ref="X156:Y156" si="410">X125</f>
        <v>45170</v>
      </c>
      <c r="Y156" s="241">
        <f t="shared" si="410"/>
        <v>45261</v>
      </c>
      <c r="Z156" s="341"/>
      <c r="AA156" s="341"/>
      <c r="AB156" s="341"/>
      <c r="AC156" s="239"/>
      <c r="AD156" s="239">
        <f>AD125</f>
        <v>2019</v>
      </c>
      <c r="AE156" s="239">
        <f t="shared" ref="AE156:AQ156" si="411">AE125</f>
        <v>2020</v>
      </c>
      <c r="AF156" s="239">
        <f t="shared" si="411"/>
        <v>2021</v>
      </c>
      <c r="AG156" s="239">
        <f t="shared" si="411"/>
        <v>2022</v>
      </c>
      <c r="AH156" s="239">
        <f t="shared" si="411"/>
        <v>2023</v>
      </c>
      <c r="AI156" s="239">
        <f t="shared" si="411"/>
        <v>2024</v>
      </c>
      <c r="AJ156" s="239">
        <f t="shared" si="411"/>
        <v>2025</v>
      </c>
      <c r="AK156" s="239">
        <f t="shared" si="411"/>
        <v>2026</v>
      </c>
      <c r="AL156" s="239">
        <f t="shared" si="411"/>
        <v>2027</v>
      </c>
      <c r="AM156" s="239">
        <f t="shared" si="411"/>
        <v>2028</v>
      </c>
      <c r="AN156" s="239">
        <f t="shared" si="411"/>
        <v>2029</v>
      </c>
      <c r="AO156" s="239">
        <f t="shared" si="411"/>
        <v>2030</v>
      </c>
      <c r="AP156" s="239">
        <f t="shared" si="411"/>
        <v>2031</v>
      </c>
      <c r="AQ156" s="239">
        <f t="shared" si="411"/>
        <v>2032</v>
      </c>
      <c r="AR156" s="239">
        <f t="shared" ref="AR156:AT156" si="412">AR125</f>
        <v>2033</v>
      </c>
      <c r="AS156" s="239">
        <f t="shared" si="412"/>
        <v>2034</v>
      </c>
      <c r="AT156" s="239">
        <f t="shared" si="412"/>
        <v>2035</v>
      </c>
      <c r="AU156" s="206"/>
      <c r="AV156" s="206"/>
      <c r="AW156" s="206"/>
      <c r="AX156" s="206"/>
      <c r="AY156" s="206"/>
      <c r="AZ156" s="206"/>
      <c r="BA156" s="206"/>
      <c r="BB156" s="206"/>
      <c r="BC156" s="206"/>
      <c r="BD156" s="206"/>
      <c r="BE156" s="206"/>
      <c r="BF156" s="206"/>
      <c r="BG156" s="206"/>
      <c r="BH156" s="206"/>
      <c r="BI156" s="206"/>
      <c r="BJ156" s="206"/>
      <c r="BK156" s="206"/>
      <c r="BL156" s="206"/>
      <c r="BM156" s="206"/>
    </row>
    <row r="157" spans="1:65" x14ac:dyDescent="0.25">
      <c r="A157" s="1" t="s">
        <v>389</v>
      </c>
      <c r="B157" s="37"/>
      <c r="C157" s="37"/>
      <c r="D157" s="54"/>
      <c r="E157" s="54"/>
      <c r="F157" s="54"/>
      <c r="G157" s="54"/>
      <c r="H157" s="54"/>
      <c r="I157" s="54"/>
      <c r="J157" s="54">
        <f>J107+J111-J91</f>
        <v>0</v>
      </c>
      <c r="K157" s="54">
        <f>K107+K111-K91</f>
        <v>0</v>
      </c>
      <c r="L157" s="54">
        <f>L107+L111-L91</f>
        <v>0</v>
      </c>
      <c r="M157" s="54">
        <f>M107+M111-M91</f>
        <v>-1.7829999999999995</v>
      </c>
      <c r="N157" s="54">
        <f>N107+N111-N91</f>
        <v>-0.19704800000000003</v>
      </c>
      <c r="O157" s="54">
        <f>O107+O111-O91</f>
        <v>-6.1172000000000004E-2</v>
      </c>
      <c r="P157" s="54">
        <f>P107+P111-P91</f>
        <v>-4.216999999999997</v>
      </c>
      <c r="Q157" s="54">
        <f>Q107+Q111-Q91</f>
        <v>-25.975000000000001</v>
      </c>
      <c r="R157" s="54">
        <f>R107+R111-R91</f>
        <v>-11.900999999999996</v>
      </c>
      <c r="S157" s="54">
        <f>S107+S111-S91</f>
        <v>-17.106999999999999</v>
      </c>
      <c r="T157" s="54">
        <f>T107+T111-T91</f>
        <v>-9.6929999999999978</v>
      </c>
      <c r="U157" s="54">
        <f>U107+U111-U91</f>
        <v>-12.181000000000001</v>
      </c>
      <c r="V157" s="54">
        <f>V107+V111-V91</f>
        <v>-14.405999999999999</v>
      </c>
      <c r="W157" s="54">
        <f>W107+W111-W91</f>
        <v>-11.798000000000002</v>
      </c>
      <c r="X157" s="54">
        <f>X107+X111-X91</f>
        <v>-14.375999999999998</v>
      </c>
      <c r="Y157" s="54">
        <f>Y107+Y111-Y91</f>
        <v>-16.684193564138969</v>
      </c>
      <c r="AD157" s="54">
        <f>G157</f>
        <v>0</v>
      </c>
      <c r="AE157" s="54">
        <f>AE107+AE111</f>
        <v>13.282</v>
      </c>
      <c r="AF157" s="54">
        <f t="shared" ref="AF157:AT157" si="413">AF107+AF111</f>
        <v>10.842000000000001</v>
      </c>
      <c r="AG157" s="54">
        <f t="shared" si="413"/>
        <v>12.25</v>
      </c>
      <c r="AH157" s="54">
        <f t="shared" si="413"/>
        <v>12.25</v>
      </c>
      <c r="AI157" s="54">
        <f t="shared" si="413"/>
        <v>12.25</v>
      </c>
      <c r="AJ157" s="54">
        <f t="shared" si="413"/>
        <v>12.25</v>
      </c>
      <c r="AK157" s="54">
        <f t="shared" si="413"/>
        <v>12.25</v>
      </c>
      <c r="AL157" s="54">
        <f t="shared" si="413"/>
        <v>12.25</v>
      </c>
      <c r="AM157" s="54">
        <f t="shared" si="413"/>
        <v>12.25</v>
      </c>
      <c r="AN157" s="54">
        <f t="shared" si="413"/>
        <v>12.25</v>
      </c>
      <c r="AO157" s="54">
        <f t="shared" si="413"/>
        <v>12.25</v>
      </c>
      <c r="AP157" s="54">
        <f t="shared" si="413"/>
        <v>12.25</v>
      </c>
      <c r="AQ157" s="54">
        <f t="shared" si="413"/>
        <v>12.25</v>
      </c>
      <c r="AR157" s="54">
        <f t="shared" si="413"/>
        <v>12.25</v>
      </c>
      <c r="AS157" s="54">
        <f t="shared" si="413"/>
        <v>12.25</v>
      </c>
      <c r="AT157" s="54">
        <f t="shared" si="413"/>
        <v>12.25</v>
      </c>
    </row>
    <row r="158" spans="1:65" x14ac:dyDescent="0.25">
      <c r="A158" s="1" t="s">
        <v>390</v>
      </c>
      <c r="B158" s="37"/>
      <c r="C158" s="37"/>
      <c r="D158" s="54"/>
      <c r="E158" s="54"/>
      <c r="F158" s="54"/>
      <c r="G158" s="54"/>
      <c r="H158" s="54"/>
      <c r="I158" s="54"/>
      <c r="J158" s="54"/>
      <c r="K158" s="54"/>
      <c r="L158" s="54"/>
      <c r="M158" s="54"/>
      <c r="N158" s="54"/>
      <c r="O158" s="54"/>
      <c r="P158" s="54"/>
      <c r="Q158" s="54"/>
      <c r="R158" s="54"/>
      <c r="S158" s="54"/>
      <c r="T158" s="54"/>
      <c r="U158" s="54"/>
      <c r="V158" s="54"/>
      <c r="W158" s="54"/>
      <c r="X158" s="54"/>
      <c r="Y158" s="54"/>
      <c r="AD158" s="54"/>
      <c r="AE158" s="54">
        <f>AE91</f>
        <v>15.065</v>
      </c>
      <c r="AF158" s="54">
        <f>AF91</f>
        <v>36.817</v>
      </c>
      <c r="AG158" s="54">
        <f>AG91</f>
        <v>24.431000000000001</v>
      </c>
      <c r="AH158" s="54">
        <f>AH91</f>
        <v>25.474921981601355</v>
      </c>
      <c r="AI158" s="54">
        <f>AI91</f>
        <v>32.146884146210972</v>
      </c>
      <c r="AJ158" s="54">
        <f>AJ91</f>
        <v>40.44597329383123</v>
      </c>
      <c r="AK158" s="54">
        <f>AK91</f>
        <v>50.411362510593918</v>
      </c>
      <c r="AL158" s="54">
        <f>AL91</f>
        <v>62.077138739665024</v>
      </c>
      <c r="AM158" s="54">
        <f>AM91</f>
        <v>75.485493930747921</v>
      </c>
      <c r="AN158" s="54">
        <f>AN91</f>
        <v>90.689705212341664</v>
      </c>
      <c r="AO158" s="54">
        <f>AO91</f>
        <v>107.7562514576115</v>
      </c>
      <c r="AP158" s="54">
        <f>AP91</f>
        <v>126.76422972734863</v>
      </c>
      <c r="AQ158" s="54">
        <f>AQ91</f>
        <v>147.80583142763317</v>
      </c>
      <c r="AR158" s="54">
        <f>AR91</f>
        <v>170.98558163829159</v>
      </c>
      <c r="AS158" s="54">
        <f>AS91</f>
        <v>196.41928380663751</v>
      </c>
      <c r="AT158" s="54">
        <f>AT91</f>
        <v>224.23420135762484</v>
      </c>
    </row>
    <row r="159" spans="1:65" x14ac:dyDescent="0.25">
      <c r="A159" s="1" t="s">
        <v>46</v>
      </c>
      <c r="B159" s="37"/>
      <c r="C159" s="37"/>
      <c r="D159" s="54"/>
      <c r="E159" s="54"/>
      <c r="F159" s="54"/>
      <c r="G159" s="54"/>
      <c r="H159" s="54"/>
      <c r="I159" s="54"/>
      <c r="J159" s="54"/>
      <c r="K159" s="54"/>
      <c r="L159" s="54"/>
      <c r="M159" s="54"/>
      <c r="N159" s="54"/>
      <c r="O159" s="54"/>
      <c r="P159" s="54"/>
      <c r="Q159" s="54"/>
      <c r="R159" s="54"/>
      <c r="S159" s="54"/>
      <c r="T159" s="54"/>
      <c r="U159" s="54"/>
      <c r="V159" s="54"/>
      <c r="W159" s="54"/>
      <c r="X159" s="54"/>
      <c r="Y159" s="54"/>
      <c r="AD159" s="54"/>
      <c r="AE159" s="54">
        <f>AE157-AE158</f>
        <v>-1.7829999999999995</v>
      </c>
      <c r="AF159" s="54">
        <f t="shared" ref="AF159:AT159" si="414">AF157-AF158</f>
        <v>-25.975000000000001</v>
      </c>
      <c r="AG159" s="54">
        <f t="shared" si="414"/>
        <v>-12.181000000000001</v>
      </c>
      <c r="AH159" s="54">
        <f t="shared" si="414"/>
        <v>-13.224921981601355</v>
      </c>
      <c r="AI159" s="54">
        <f t="shared" si="414"/>
        <v>-19.896884146210972</v>
      </c>
      <c r="AJ159" s="54">
        <f t="shared" si="414"/>
        <v>-28.19597329383123</v>
      </c>
      <c r="AK159" s="54">
        <f t="shared" si="414"/>
        <v>-38.161362510593918</v>
      </c>
      <c r="AL159" s="54">
        <f t="shared" si="414"/>
        <v>-49.827138739665024</v>
      </c>
      <c r="AM159" s="54">
        <f t="shared" si="414"/>
        <v>-63.235493930747921</v>
      </c>
      <c r="AN159" s="54">
        <f t="shared" si="414"/>
        <v>-78.439705212341664</v>
      </c>
      <c r="AO159" s="54">
        <f t="shared" si="414"/>
        <v>-95.506251457611498</v>
      </c>
      <c r="AP159" s="54">
        <f t="shared" si="414"/>
        <v>-114.51422972734863</v>
      </c>
      <c r="AQ159" s="54">
        <f t="shared" si="414"/>
        <v>-135.55583142763317</v>
      </c>
      <c r="AR159" s="54">
        <f t="shared" si="414"/>
        <v>-158.73558163829159</v>
      </c>
      <c r="AS159" s="54">
        <f t="shared" si="414"/>
        <v>-184.16928380663751</v>
      </c>
      <c r="AT159" s="54">
        <f t="shared" si="414"/>
        <v>-211.98420135762484</v>
      </c>
    </row>
    <row r="160" spans="1:65" x14ac:dyDescent="0.25">
      <c r="A160" s="1" t="s">
        <v>47</v>
      </c>
      <c r="B160" s="37"/>
      <c r="C160" s="37"/>
    </row>
    <row r="161" spans="1:65" x14ac:dyDescent="0.25">
      <c r="A161" s="1" t="s">
        <v>130</v>
      </c>
      <c r="B161" s="37"/>
      <c r="C161" s="37"/>
      <c r="D161" s="7"/>
      <c r="E161" s="7"/>
      <c r="F161" s="7"/>
      <c r="G161" s="7"/>
      <c r="H161" s="7"/>
      <c r="I161" s="7"/>
      <c r="J161" s="7"/>
      <c r="K161" s="7"/>
      <c r="L161" s="7"/>
      <c r="M161" s="7">
        <f>M157/M117</f>
        <v>-7.1508783187615291E-2</v>
      </c>
      <c r="N161" s="7">
        <f>N157/N117</f>
        <v>8.2335141061730913E-2</v>
      </c>
      <c r="O161" s="7">
        <f>O157/O117</f>
        <v>2.1511010274099053E-2</v>
      </c>
      <c r="P161" s="7">
        <f>P157/P117</f>
        <v>-0.16234216199568821</v>
      </c>
      <c r="Q161" s="7">
        <f>Q157/Q117</f>
        <v>-0.55289484887186036</v>
      </c>
      <c r="R161" s="7">
        <f>R157/R117</f>
        <v>-0.24754040393535365</v>
      </c>
      <c r="S161" s="7">
        <f>S157/S117</f>
        <v>-0.36515187090439494</v>
      </c>
      <c r="T161" s="7">
        <f>T157/T117</f>
        <v>-0.21016912402428445</v>
      </c>
      <c r="U161" s="7">
        <f>U157/U117</f>
        <v>-0.25890579833361677</v>
      </c>
      <c r="V161" s="7">
        <f>V157/V117</f>
        <v>-0.30755764304013661</v>
      </c>
      <c r="W161" s="7">
        <f>W157/W117</f>
        <v>-0.25303478745764169</v>
      </c>
      <c r="X161" s="7">
        <f>X157/X117</f>
        <v>-0.31072493839968873</v>
      </c>
      <c r="Y161" s="7">
        <f>Y157/Y117</f>
        <v>-0.3534293455532459</v>
      </c>
      <c r="AD161" s="7"/>
      <c r="AE161" s="7">
        <f>AE157/AE117</f>
        <v>0.53268629181037941</v>
      </c>
      <c r="AF161" s="7">
        <f>AF157/AF117</f>
        <v>0.23077905491698594</v>
      </c>
      <c r="AG161" s="7">
        <f>AG157/AG117</f>
        <v>0.26037238564869919</v>
      </c>
      <c r="AH161" s="7">
        <f>AH157/AH117</f>
        <v>0.26504487661721254</v>
      </c>
      <c r="AI161" s="7">
        <f>AI157/AI117</f>
        <v>0.2375218807772935</v>
      </c>
      <c r="AJ161" s="7"/>
      <c r="AK161" s="7"/>
      <c r="AL161" s="7"/>
      <c r="AM161" s="7"/>
      <c r="AN161" s="7"/>
      <c r="AO161" s="7"/>
      <c r="AP161" s="7"/>
      <c r="AQ161" s="7"/>
      <c r="AR161" s="7"/>
      <c r="AS161" s="7"/>
      <c r="AT161" s="7"/>
    </row>
    <row r="162" spans="1:65" x14ac:dyDescent="0.25">
      <c r="B162" s="37"/>
      <c r="C162" s="37"/>
      <c r="AI162" s="423"/>
    </row>
    <row r="163" spans="1:65" x14ac:dyDescent="0.25">
      <c r="B163" s="37"/>
      <c r="C163" s="37"/>
      <c r="AF163" s="1">
        <v>0</v>
      </c>
      <c r="AG163" s="26">
        <v>0</v>
      </c>
      <c r="AH163" s="26">
        <v>0</v>
      </c>
      <c r="AI163" s="34">
        <f>_xlfn.DAYS(AI173,AI174)/365</f>
        <v>0.78356164383561644</v>
      </c>
      <c r="AJ163" s="25">
        <f>1+AI163</f>
        <v>1.7835616438356166</v>
      </c>
      <c r="AK163" s="25">
        <f t="shared" ref="AK163:AT163" si="415">1+AJ163</f>
        <v>2.7835616438356166</v>
      </c>
      <c r="AL163" s="25">
        <f t="shared" si="415"/>
        <v>3.7835616438356166</v>
      </c>
      <c r="AM163" s="25">
        <f t="shared" si="415"/>
        <v>4.7835616438356166</v>
      </c>
      <c r="AN163" s="25">
        <f t="shared" si="415"/>
        <v>5.7835616438356166</v>
      </c>
      <c r="AO163" s="25">
        <f t="shared" si="415"/>
        <v>6.7835616438356166</v>
      </c>
      <c r="AP163" s="25">
        <f t="shared" si="415"/>
        <v>7.7835616438356166</v>
      </c>
      <c r="AQ163" s="25">
        <f t="shared" si="415"/>
        <v>8.7835616438356166</v>
      </c>
      <c r="AR163" s="25">
        <f t="shared" si="415"/>
        <v>9.7835616438356166</v>
      </c>
      <c r="AS163" s="25">
        <f t="shared" si="415"/>
        <v>10.783561643835617</v>
      </c>
      <c r="AT163" s="25">
        <f t="shared" si="415"/>
        <v>11.783561643835617</v>
      </c>
    </row>
    <row r="164" spans="1:65" s="205" customFormat="1" x14ac:dyDescent="0.25">
      <c r="A164" s="239" t="s">
        <v>48</v>
      </c>
      <c r="B164" s="245"/>
      <c r="C164" s="245"/>
      <c r="D164" s="241"/>
      <c r="E164" s="241"/>
      <c r="F164" s="241"/>
      <c r="G164" s="241"/>
      <c r="H164" s="241">
        <f>H156</f>
        <v>43709</v>
      </c>
      <c r="I164" s="241">
        <f>I156</f>
        <v>43800</v>
      </c>
      <c r="J164" s="241">
        <f>J156</f>
        <v>43891</v>
      </c>
      <c r="K164" s="241">
        <f>K156</f>
        <v>43983</v>
      </c>
      <c r="L164" s="241">
        <f>L156</f>
        <v>44075</v>
      </c>
      <c r="M164" s="241">
        <f>M156</f>
        <v>44166</v>
      </c>
      <c r="N164" s="241">
        <f>N156</f>
        <v>44256</v>
      </c>
      <c r="O164" s="241">
        <f>O156</f>
        <v>44348</v>
      </c>
      <c r="P164" s="241">
        <f>P156</f>
        <v>44440</v>
      </c>
      <c r="Q164" s="241">
        <f>Q156</f>
        <v>44531</v>
      </c>
      <c r="R164" s="241">
        <f>R156</f>
        <v>44621</v>
      </c>
      <c r="S164" s="241">
        <f>S156</f>
        <v>44713</v>
      </c>
      <c r="T164" s="241">
        <f>T156</f>
        <v>44805</v>
      </c>
      <c r="U164" s="241">
        <f>U156</f>
        <v>44896</v>
      </c>
      <c r="V164" s="241">
        <f>V156</f>
        <v>44986</v>
      </c>
      <c r="W164" s="241">
        <f>W156</f>
        <v>45078</v>
      </c>
      <c r="X164" s="241">
        <f>X156</f>
        <v>45170</v>
      </c>
      <c r="Y164" s="241">
        <f>Y156</f>
        <v>45261</v>
      </c>
      <c r="Z164" s="341"/>
      <c r="AA164" s="341"/>
      <c r="AB164" s="341"/>
      <c r="AC164" s="239"/>
      <c r="AD164" s="239">
        <f>AD156</f>
        <v>2019</v>
      </c>
      <c r="AE164" s="239">
        <f>AE156</f>
        <v>2020</v>
      </c>
      <c r="AF164" s="239">
        <f>AF156</f>
        <v>2021</v>
      </c>
      <c r="AG164" s="239">
        <f>AG156</f>
        <v>2022</v>
      </c>
      <c r="AH164" s="239">
        <f>AH156</f>
        <v>2023</v>
      </c>
      <c r="AI164" s="242">
        <f>AI156</f>
        <v>2024</v>
      </c>
      <c r="AJ164" s="242">
        <f>AJ156</f>
        <v>2025</v>
      </c>
      <c r="AK164" s="242">
        <f>AK156</f>
        <v>2026</v>
      </c>
      <c r="AL164" s="242">
        <f>AL156</f>
        <v>2027</v>
      </c>
      <c r="AM164" s="242">
        <f>AM156</f>
        <v>2028</v>
      </c>
      <c r="AN164" s="242">
        <f>AN156</f>
        <v>2029</v>
      </c>
      <c r="AO164" s="242">
        <f>AO156</f>
        <v>2030</v>
      </c>
      <c r="AP164" s="242">
        <f>AP156</f>
        <v>2031</v>
      </c>
      <c r="AQ164" s="242">
        <f>AQ156</f>
        <v>2032</v>
      </c>
      <c r="AR164" s="242">
        <f>AR156</f>
        <v>2033</v>
      </c>
      <c r="AS164" s="242">
        <f>AS156</f>
        <v>2034</v>
      </c>
      <c r="AT164" s="242">
        <f>AT156</f>
        <v>2035</v>
      </c>
      <c r="AU164" s="206"/>
      <c r="AV164" s="206"/>
      <c r="AW164" s="206"/>
      <c r="AX164" s="206"/>
      <c r="AY164" s="206"/>
      <c r="AZ164" s="206"/>
      <c r="BA164" s="206"/>
      <c r="BB164" s="206"/>
      <c r="BC164" s="206"/>
      <c r="BD164" s="206"/>
      <c r="BE164" s="206"/>
      <c r="BF164" s="206"/>
      <c r="BG164" s="206"/>
      <c r="BH164" s="206"/>
      <c r="BI164" s="206"/>
      <c r="BJ164" s="206"/>
      <c r="BK164" s="206"/>
      <c r="BL164" s="206"/>
      <c r="BM164" s="206"/>
    </row>
    <row r="165" spans="1:65" x14ac:dyDescent="0.25">
      <c r="A165" s="24" t="s">
        <v>36</v>
      </c>
      <c r="B165" s="37"/>
      <c r="C165" s="37"/>
      <c r="AE165" s="26">
        <f>AE131</f>
        <v>8.2270000000000003</v>
      </c>
      <c r="AF165" s="26">
        <f t="shared" ref="AF165:AT165" si="416">AF131</f>
        <v>0</v>
      </c>
      <c r="AG165" s="26">
        <f t="shared" si="416"/>
        <v>0</v>
      </c>
      <c r="AH165" s="26">
        <f t="shared" si="416"/>
        <v>2.5384519816013555</v>
      </c>
      <c r="AI165" s="26">
        <f t="shared" si="416"/>
        <v>8.2113280646096172</v>
      </c>
      <c r="AJ165" s="26">
        <f t="shared" si="416"/>
        <v>9.8846360246202618</v>
      </c>
      <c r="AK165" s="26">
        <f t="shared" si="416"/>
        <v>11.598502500072685</v>
      </c>
      <c r="AL165" s="26">
        <f t="shared" si="416"/>
        <v>13.347882910880408</v>
      </c>
      <c r="AM165" s="26">
        <f t="shared" si="416"/>
        <v>15.14092507334648</v>
      </c>
      <c r="AN165" s="26">
        <f t="shared" si="416"/>
        <v>16.988758260325234</v>
      </c>
      <c r="AO165" s="26">
        <f t="shared" si="416"/>
        <v>18.904629633363264</v>
      </c>
      <c r="AP165" s="26">
        <f t="shared" si="416"/>
        <v>20.901204159473373</v>
      </c>
      <c r="AQ165" s="26">
        <f t="shared" si="416"/>
        <v>22.991624366712848</v>
      </c>
      <c r="AR165" s="26">
        <f t="shared" si="416"/>
        <v>25.188273557079604</v>
      </c>
      <c r="AS165" s="26">
        <f t="shared" si="416"/>
        <v>27.502481215159733</v>
      </c>
      <c r="AT165" s="26">
        <f t="shared" si="416"/>
        <v>29.94575996920554</v>
      </c>
    </row>
    <row r="166" spans="1:65" x14ac:dyDescent="0.25">
      <c r="A166" s="24" t="s">
        <v>36</v>
      </c>
      <c r="B166" s="37"/>
      <c r="C166" s="37"/>
      <c r="AE166" s="26">
        <f>AE142</f>
        <v>-1.579</v>
      </c>
      <c r="AF166" s="26">
        <f t="shared" ref="AF166:AT166" si="417">AF142</f>
        <v>-3.1739999999999999</v>
      </c>
      <c r="AG166" s="26">
        <f t="shared" si="417"/>
        <v>-15.975</v>
      </c>
      <c r="AH166" s="26">
        <f t="shared" si="417"/>
        <v>-1.4945300000000001</v>
      </c>
      <c r="AI166" s="26">
        <f t="shared" si="417"/>
        <v>-1.5393659000000002</v>
      </c>
      <c r="AJ166" s="26">
        <f t="shared" si="417"/>
        <v>-1.5855468770000003</v>
      </c>
      <c r="AK166" s="26">
        <f t="shared" si="417"/>
        <v>-1.6331132833100004</v>
      </c>
      <c r="AL166" s="26">
        <f t="shared" si="417"/>
        <v>-1.6821066818093005</v>
      </c>
      <c r="AM166" s="26">
        <f t="shared" si="417"/>
        <v>-1.7325698822635796</v>
      </c>
      <c r="AN166" s="26">
        <f t="shared" si="417"/>
        <v>-1.7845469787314869</v>
      </c>
      <c r="AO166" s="26">
        <f t="shared" si="417"/>
        <v>-1.8380833880934315</v>
      </c>
      <c r="AP166" s="26">
        <f t="shared" si="417"/>
        <v>-1.8932258897362346</v>
      </c>
      <c r="AQ166" s="26">
        <f t="shared" si="417"/>
        <v>-1.9500226664283218</v>
      </c>
      <c r="AR166" s="26">
        <f t="shared" si="417"/>
        <v>-2.0085233464211716</v>
      </c>
      <c r="AS166" s="26">
        <f t="shared" si="417"/>
        <v>-2.0687790468138068</v>
      </c>
      <c r="AT166" s="26">
        <f t="shared" si="417"/>
        <v>-2.1308424182182208</v>
      </c>
    </row>
    <row r="167" spans="1:65" x14ac:dyDescent="0.25">
      <c r="A167" s="24" t="s">
        <v>128</v>
      </c>
      <c r="B167" s="37"/>
      <c r="C167" s="37"/>
      <c r="AE167" s="105">
        <f>SUM(AE165,AE166)</f>
        <v>6.6480000000000006</v>
      </c>
      <c r="AF167" s="105">
        <f t="shared" ref="AF167:AT167" si="418">SUM(AF165,AF166)</f>
        <v>-3.1739999999999999</v>
      </c>
      <c r="AG167" s="105">
        <f t="shared" si="418"/>
        <v>-15.975</v>
      </c>
      <c r="AH167" s="105">
        <f t="shared" si="418"/>
        <v>1.0439219816013554</v>
      </c>
      <c r="AI167" s="105">
        <f t="shared" si="418"/>
        <v>6.6719621646096172</v>
      </c>
      <c r="AJ167" s="105">
        <f t="shared" si="418"/>
        <v>8.2990891476202613</v>
      </c>
      <c r="AK167" s="105">
        <f t="shared" si="418"/>
        <v>9.9653892167626843</v>
      </c>
      <c r="AL167" s="105">
        <f t="shared" si="418"/>
        <v>11.665776229071108</v>
      </c>
      <c r="AM167" s="105">
        <f t="shared" si="418"/>
        <v>13.408355191082901</v>
      </c>
      <c r="AN167" s="105">
        <f t="shared" si="418"/>
        <v>15.204211281593746</v>
      </c>
      <c r="AO167" s="105">
        <f t="shared" si="418"/>
        <v>17.066546245269834</v>
      </c>
      <c r="AP167" s="105">
        <f t="shared" si="418"/>
        <v>19.007978269737137</v>
      </c>
      <c r="AQ167" s="105">
        <f t="shared" si="418"/>
        <v>21.041601700284527</v>
      </c>
      <c r="AR167" s="105">
        <f t="shared" si="418"/>
        <v>23.179750210658433</v>
      </c>
      <c r="AS167" s="105">
        <f t="shared" si="418"/>
        <v>25.433702168345928</v>
      </c>
      <c r="AT167" s="105">
        <f t="shared" si="418"/>
        <v>27.814917550987317</v>
      </c>
    </row>
    <row r="168" spans="1:65" x14ac:dyDescent="0.25">
      <c r="A168" s="24" t="s">
        <v>151</v>
      </c>
      <c r="B168" s="37"/>
      <c r="C168" s="37"/>
      <c r="AN168" s="26"/>
      <c r="AO168" s="43"/>
      <c r="AP168" s="43"/>
      <c r="AQ168" s="43"/>
      <c r="AR168" s="43"/>
      <c r="AS168" s="43"/>
      <c r="AT168" s="43">
        <f>AT167*(1+C174)/(C173-C174)</f>
        <v>364.86710490979283</v>
      </c>
    </row>
    <row r="169" spans="1:65" x14ac:dyDescent="0.25">
      <c r="A169" s="24"/>
      <c r="B169" s="37"/>
      <c r="C169" s="37"/>
      <c r="AN169" s="26"/>
      <c r="AO169" s="43"/>
      <c r="AP169" s="43"/>
      <c r="AQ169" s="43"/>
      <c r="AR169" s="43"/>
      <c r="AS169" s="43"/>
      <c r="AT169" s="43"/>
    </row>
    <row r="170" spans="1:65" x14ac:dyDescent="0.25">
      <c r="A170" s="24" t="s">
        <v>136</v>
      </c>
      <c r="B170" s="122"/>
      <c r="C170" s="37"/>
      <c r="AE170" s="77"/>
      <c r="AF170" s="105">
        <f>AF167/(1+$C173)^AF163</f>
        <v>-3.1739999999999999</v>
      </c>
      <c r="AG170" s="105">
        <f>AG167/(1+$C173)^AG163</f>
        <v>-15.975</v>
      </c>
      <c r="AH170" s="105">
        <f>AH167/(1+$C173)^AH163</f>
        <v>1.0439219816013554</v>
      </c>
      <c r="AI170" s="105">
        <f>AI167/(1+$C173)^AI163</f>
        <v>6.1545210085413515</v>
      </c>
      <c r="AJ170" s="105">
        <f>AJ167/(1+$C173)^AJ163</f>
        <v>6.9060160017060719</v>
      </c>
      <c r="AK170" s="105">
        <f>AK167/(1+$C173)^AK163</f>
        <v>7.4807972271711556</v>
      </c>
      <c r="AL170" s="105">
        <f>AL167/(1+$C173)^AL163</f>
        <v>7.8999387839193655</v>
      </c>
      <c r="AM170" s="105">
        <f>AM167/(1+$C173)^AM163</f>
        <v>8.1910967806107937</v>
      </c>
      <c r="AN170" s="105">
        <f>AN167/(1+$C173)^AN163</f>
        <v>8.3788982050766005</v>
      </c>
      <c r="AO170" s="105">
        <f>AO167/(1+$C173)^AO163</f>
        <v>8.4844779821834653</v>
      </c>
      <c r="AP170" s="105">
        <f>AP167/(1+$C173)^AP163</f>
        <v>8.524558172931485</v>
      </c>
      <c r="AQ170" s="105">
        <f>AQ167/(1+$C173)^AQ163</f>
        <v>8.5127761692706194</v>
      </c>
      <c r="AR170" s="105">
        <f>AR167/(1+$C173)^AR163</f>
        <v>8.4597521102601654</v>
      </c>
      <c r="AS170" s="105">
        <f>AS167/(1+$C173)^AS163</f>
        <v>8.3736525001139768</v>
      </c>
      <c r="AT170" s="105">
        <f>AT167/(1+$C173)^AT163</f>
        <v>8.2611326656797086</v>
      </c>
    </row>
    <row r="171" spans="1:65" x14ac:dyDescent="0.25">
      <c r="A171" s="24" t="s">
        <v>60</v>
      </c>
      <c r="B171" s="122"/>
      <c r="C171" s="37"/>
      <c r="AE171" s="77"/>
      <c r="AF171" s="105"/>
      <c r="AG171" s="105"/>
      <c r="AH171" s="105"/>
      <c r="AI171" s="105"/>
      <c r="AJ171" s="105"/>
      <c r="AK171" s="105"/>
      <c r="AL171" s="105"/>
      <c r="AM171" s="105"/>
      <c r="AN171" s="105"/>
      <c r="AO171" s="105"/>
      <c r="AP171" s="105"/>
      <c r="AQ171" s="105"/>
      <c r="AR171" s="105"/>
      <c r="AS171" s="105"/>
      <c r="AT171" s="105">
        <f>AT168/(1+C173)^AT163</f>
        <v>108.36687016874806</v>
      </c>
    </row>
    <row r="172" spans="1:65" x14ac:dyDescent="0.25">
      <c r="B172" s="122"/>
      <c r="C172" s="37"/>
      <c r="AN172" s="26"/>
      <c r="AO172" s="26"/>
      <c r="AP172" s="26"/>
      <c r="AQ172" s="26"/>
      <c r="AR172" s="26"/>
      <c r="AS172" s="26"/>
      <c r="AT172" s="26"/>
    </row>
    <row r="173" spans="1:65" x14ac:dyDescent="0.25">
      <c r="A173" s="1" t="s">
        <v>134</v>
      </c>
      <c r="B173" s="122"/>
      <c r="C173" s="124">
        <v>0.10852000000000001</v>
      </c>
      <c r="AH173" s="1" t="s">
        <v>411</v>
      </c>
      <c r="AI173" s="421">
        <v>45657</v>
      </c>
    </row>
    <row r="174" spans="1:65" x14ac:dyDescent="0.25">
      <c r="A174" s="1" t="s">
        <v>129</v>
      </c>
      <c r="B174" s="122"/>
      <c r="C174" s="125">
        <v>0.03</v>
      </c>
      <c r="AH174" s="1" t="s">
        <v>412</v>
      </c>
      <c r="AI174" s="421">
        <v>45371</v>
      </c>
    </row>
    <row r="175" spans="1:65" x14ac:dyDescent="0.25">
      <c r="B175" s="122"/>
      <c r="C175" s="123"/>
    </row>
    <row r="176" spans="1:65" x14ac:dyDescent="0.25">
      <c r="A176" s="1" t="s">
        <v>108</v>
      </c>
      <c r="B176" s="122"/>
      <c r="C176" s="126">
        <f>SUM(AI170:AT171)</f>
        <v>203.99448777621282</v>
      </c>
      <c r="AE176" s="420">
        <f>NPV(C173,AH167:AT168)</f>
        <v>171.54869608083862</v>
      </c>
      <c r="AI176" s="422"/>
    </row>
    <row r="177" spans="1:26" x14ac:dyDescent="0.25">
      <c r="A177" s="1" t="s">
        <v>137</v>
      </c>
      <c r="B177" s="122"/>
      <c r="C177" s="373">
        <f>W157</f>
        <v>-11.798000000000002</v>
      </c>
    </row>
    <row r="178" spans="1:26" x14ac:dyDescent="0.25">
      <c r="A178" s="1" t="s">
        <v>138</v>
      </c>
      <c r="B178" s="122"/>
      <c r="C178" s="126">
        <f>C176-C177</f>
        <v>215.79248777621282</v>
      </c>
    </row>
    <row r="179" spans="1:26" x14ac:dyDescent="0.25">
      <c r="A179" s="127" t="s">
        <v>340</v>
      </c>
      <c r="B179" s="128"/>
      <c r="C179" s="366">
        <f>C178/'Diluted Share count'!B44</f>
        <v>1.4763449544942411</v>
      </c>
    </row>
    <row r="180" spans="1:26" x14ac:dyDescent="0.25">
      <c r="C180" s="123"/>
    </row>
    <row r="181" spans="1:26" x14ac:dyDescent="0.25">
      <c r="A181" s="129" t="s">
        <v>152</v>
      </c>
      <c r="B181" s="130"/>
      <c r="C181" s="131">
        <f>AT171/C176</f>
        <v>0.53122450194649029</v>
      </c>
    </row>
    <row r="182" spans="1:26" x14ac:dyDescent="0.25">
      <c r="A182" s="365" t="s">
        <v>127</v>
      </c>
      <c r="B182" s="365"/>
      <c r="C182" s="364">
        <f>AT171/AT54</f>
        <v>2.5043736374922005</v>
      </c>
    </row>
    <row r="183" spans="1:26" x14ac:dyDescent="0.25">
      <c r="A183" s="365" t="s">
        <v>264</v>
      </c>
      <c r="B183" s="365"/>
      <c r="C183" s="364">
        <f>AT171/AT43</f>
        <v>1.0121742740864919</v>
      </c>
    </row>
    <row r="186" spans="1:26" x14ac:dyDescent="0.25">
      <c r="A186" s="239" t="s">
        <v>341</v>
      </c>
      <c r="B186" s="410"/>
      <c r="C186" s="410"/>
    </row>
    <row r="187" spans="1:26" x14ac:dyDescent="0.25">
      <c r="A187" s="1" t="s">
        <v>329</v>
      </c>
      <c r="B187" s="25">
        <f>0.85*Competition!E12</f>
        <v>4.3868423136630303</v>
      </c>
    </row>
    <row r="188" spans="1:26" x14ac:dyDescent="0.25">
      <c r="A188" s="1" t="s">
        <v>348</v>
      </c>
      <c r="B188" s="26">
        <f>AI46</f>
        <v>58.336920202856511</v>
      </c>
      <c r="Q188" s="270"/>
      <c r="R188" s="269"/>
      <c r="S188" s="269"/>
      <c r="T188" s="269"/>
      <c r="U188" s="269"/>
      <c r="V188" s="269"/>
      <c r="W188" s="269"/>
      <c r="X188" s="269"/>
      <c r="Y188" s="269"/>
      <c r="Z188" s="269"/>
    </row>
    <row r="189" spans="1:26" x14ac:dyDescent="0.25">
      <c r="A189" s="1" t="s">
        <v>330</v>
      </c>
      <c r="B189" s="26">
        <f>B187*B188</f>
        <v>255.91486999467463</v>
      </c>
      <c r="Q189" s="269"/>
      <c r="R189" s="271"/>
      <c r="S189" s="271"/>
      <c r="T189" s="271"/>
      <c r="U189" s="271"/>
      <c r="V189" s="271"/>
      <c r="W189" s="271"/>
      <c r="X189" s="271"/>
      <c r="Y189" s="271"/>
      <c r="Z189" s="271"/>
    </row>
    <row r="190" spans="1:26" x14ac:dyDescent="0.25">
      <c r="A190" s="1" t="s">
        <v>137</v>
      </c>
      <c r="B190" s="26">
        <f>C177</f>
        <v>-11.798000000000002</v>
      </c>
      <c r="Q190" s="269"/>
      <c r="R190" s="271"/>
      <c r="S190" s="271"/>
      <c r="T190" s="271"/>
      <c r="U190" s="271"/>
      <c r="V190" s="271"/>
      <c r="W190" s="271"/>
      <c r="X190" s="271"/>
      <c r="Y190" s="271"/>
      <c r="Z190" s="271"/>
    </row>
    <row r="191" spans="1:26" x14ac:dyDescent="0.25">
      <c r="A191" s="1" t="s">
        <v>138</v>
      </c>
      <c r="B191" s="26">
        <f>B189-B190</f>
        <v>267.71286999467463</v>
      </c>
      <c r="Q191" s="269"/>
      <c r="R191" s="271"/>
      <c r="S191" s="271"/>
      <c r="T191" s="271"/>
      <c r="U191" s="271"/>
      <c r="V191" s="271"/>
      <c r="W191" s="271"/>
      <c r="X191" s="271"/>
      <c r="Y191" s="271"/>
      <c r="Z191" s="271"/>
    </row>
    <row r="192" spans="1:26" x14ac:dyDescent="0.25">
      <c r="A192" s="127" t="s">
        <v>346</v>
      </c>
      <c r="B192" s="409">
        <f>B191/'Diluted Share count'!B44</f>
        <v>1.8315584056831944</v>
      </c>
      <c r="C192" s="366"/>
      <c r="Q192" s="269"/>
      <c r="R192" s="271"/>
      <c r="S192" s="271"/>
      <c r="T192" s="271"/>
      <c r="U192" s="271"/>
      <c r="V192" s="271"/>
      <c r="W192" s="271"/>
      <c r="X192" s="271"/>
      <c r="Y192" s="271"/>
      <c r="Z192" s="271"/>
    </row>
    <row r="193" spans="1:26" x14ac:dyDescent="0.25">
      <c r="Q193" s="269"/>
      <c r="R193" s="271"/>
      <c r="S193" s="271"/>
      <c r="T193" s="271"/>
      <c r="U193" s="271"/>
      <c r="V193" s="271"/>
      <c r="W193" s="271"/>
      <c r="X193" s="271"/>
      <c r="Y193" s="271"/>
      <c r="Z193" s="271"/>
    </row>
    <row r="195" spans="1:26" x14ac:dyDescent="0.25">
      <c r="A195" s="239" t="s">
        <v>342</v>
      </c>
      <c r="B195" s="410"/>
      <c r="C195" s="410"/>
    </row>
    <row r="196" spans="1:26" x14ac:dyDescent="0.25">
      <c r="A196" s="1" t="s">
        <v>343</v>
      </c>
      <c r="B196" s="411">
        <f>C179</f>
        <v>1.4763449544942411</v>
      </c>
    </row>
    <row r="197" spans="1:26" x14ac:dyDescent="0.25">
      <c r="A197" s="1" t="s">
        <v>344</v>
      </c>
      <c r="B197" s="411">
        <f>B192</f>
        <v>1.8315584056831944</v>
      </c>
    </row>
    <row r="198" spans="1:26" x14ac:dyDescent="0.25">
      <c r="A198" s="127" t="s">
        <v>331</v>
      </c>
      <c r="B198" s="409">
        <f>(B196+B197)/2</f>
        <v>1.6539516800887177</v>
      </c>
      <c r="C198" s="366"/>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H24" sqref="H24"/>
    </sheetView>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54"/>
  <sheetViews>
    <sheetView workbookViewId="0">
      <selection activeCell="B14" sqref="B14"/>
    </sheetView>
  </sheetViews>
  <sheetFormatPr defaultRowHeight="15" x14ac:dyDescent="0.25"/>
  <cols>
    <col min="1" max="1" width="26.42578125" customWidth="1"/>
    <col min="2" max="2" width="23.7109375" customWidth="1"/>
    <col min="9" max="9" width="14.85546875" bestFit="1" customWidth="1"/>
  </cols>
  <sheetData>
    <row r="1" spans="1:2" x14ac:dyDescent="0.25">
      <c r="A1" s="272" t="s">
        <v>280</v>
      </c>
      <c r="B1" s="273">
        <v>0.56000000000000005</v>
      </c>
    </row>
    <row r="2" spans="1:2" x14ac:dyDescent="0.25">
      <c r="A2" s="272" t="s">
        <v>189</v>
      </c>
      <c r="B2" s="273">
        <v>1.6</v>
      </c>
    </row>
    <row r="3" spans="1:2" x14ac:dyDescent="0.25">
      <c r="A3" s="272" t="s">
        <v>190</v>
      </c>
      <c r="B3" s="274">
        <f>B2/B1-1</f>
        <v>1.8571428571428572</v>
      </c>
    </row>
    <row r="4" spans="1:2" x14ac:dyDescent="0.25">
      <c r="A4" s="272" t="s">
        <v>264</v>
      </c>
      <c r="B4" s="392">
        <f>Model!C183</f>
        <v>1.0121742740864919</v>
      </c>
    </row>
    <row r="5" spans="1:2" x14ac:dyDescent="0.25">
      <c r="A5" s="272" t="s">
        <v>127</v>
      </c>
      <c r="B5" s="392">
        <f>Model!C182</f>
        <v>2.5043736374922005</v>
      </c>
    </row>
    <row r="6" spans="1:2" x14ac:dyDescent="0.25">
      <c r="A6" s="272" t="s">
        <v>299</v>
      </c>
      <c r="B6" s="274">
        <f>Model!C181</f>
        <v>0.53122450194649029</v>
      </c>
    </row>
    <row r="7" spans="1:2" x14ac:dyDescent="0.25">
      <c r="A7" s="272"/>
      <c r="B7" s="275"/>
    </row>
    <row r="8" spans="1:2" x14ac:dyDescent="0.25">
      <c r="A8" s="277" t="s">
        <v>183</v>
      </c>
      <c r="B8" s="276"/>
    </row>
    <row r="9" spans="1:2" x14ac:dyDescent="0.25">
      <c r="A9" s="278" t="s">
        <v>184</v>
      </c>
      <c r="B9" s="279">
        <f>'Diluted Share count'!B40</f>
        <v>124.555094</v>
      </c>
    </row>
    <row r="10" spans="1:2" x14ac:dyDescent="0.25">
      <c r="A10" s="278" t="s">
        <v>281</v>
      </c>
      <c r="B10" s="279">
        <v>146.16671199999999</v>
      </c>
    </row>
    <row r="11" spans="1:2" x14ac:dyDescent="0.25">
      <c r="A11" s="278" t="s">
        <v>185</v>
      </c>
      <c r="B11" s="280">
        <f>B1*B9</f>
        <v>69.750852640000005</v>
      </c>
    </row>
    <row r="12" spans="1:2" x14ac:dyDescent="0.25">
      <c r="A12" s="278" t="s">
        <v>108</v>
      </c>
      <c r="B12" s="280">
        <f>B11+B14-B13</f>
        <v>55.374852640000007</v>
      </c>
    </row>
    <row r="13" spans="1:2" x14ac:dyDescent="0.25">
      <c r="A13" s="278" t="s">
        <v>186</v>
      </c>
      <c r="B13" s="280">
        <f>Model!X91</f>
        <v>23.4</v>
      </c>
    </row>
    <row r="14" spans="1:2" x14ac:dyDescent="0.25">
      <c r="A14" s="278" t="s">
        <v>187</v>
      </c>
      <c r="B14" s="280">
        <f>Model!X107+Model!X111</f>
        <v>9.0240000000000009</v>
      </c>
    </row>
    <row r="15" spans="1:2" x14ac:dyDescent="0.25">
      <c r="A15" s="281" t="s">
        <v>188</v>
      </c>
      <c r="B15" s="282">
        <v>45352</v>
      </c>
    </row>
    <row r="22" spans="1:12" ht="3" customHeight="1" x14ac:dyDescent="0.25"/>
    <row r="23" spans="1:12" ht="3" customHeight="1" x14ac:dyDescent="0.25"/>
    <row r="24" spans="1:12" x14ac:dyDescent="0.25">
      <c r="A24" s="278"/>
      <c r="B24" s="280"/>
      <c r="C24" s="280"/>
      <c r="D24" s="280"/>
    </row>
    <row r="25" spans="1:12" x14ac:dyDescent="0.25">
      <c r="A25" s="278"/>
      <c r="B25" s="280"/>
      <c r="C25" s="280"/>
      <c r="D25" s="280"/>
    </row>
    <row r="26" spans="1:12" x14ac:dyDescent="0.25">
      <c r="A26" s="278"/>
      <c r="B26" s="280"/>
      <c r="C26" s="280"/>
      <c r="D26" s="280"/>
    </row>
    <row r="27" spans="1:12" x14ac:dyDescent="0.25">
      <c r="A27" s="278"/>
      <c r="B27" s="280"/>
      <c r="C27" s="280"/>
      <c r="D27" s="280"/>
    </row>
    <row r="28" spans="1:12" x14ac:dyDescent="0.25">
      <c r="A28" s="278"/>
      <c r="B28" s="282"/>
      <c r="C28" s="282"/>
      <c r="D28" s="282"/>
      <c r="I28" s="381" t="s">
        <v>301</v>
      </c>
      <c r="J28" s="403" t="s">
        <v>157</v>
      </c>
      <c r="K28" s="403" t="s">
        <v>202</v>
      </c>
      <c r="L28" s="403" t="s">
        <v>203</v>
      </c>
    </row>
    <row r="29" spans="1:12" x14ac:dyDescent="0.25">
      <c r="A29" s="278"/>
      <c r="I29" s="281" t="s">
        <v>282</v>
      </c>
      <c r="J29" s="380">
        <f>$B12/Model!AH43</f>
        <v>0.73742531862518257</v>
      </c>
      <c r="K29" s="380">
        <f>$B12/Model!AI43</f>
        <v>0.71594691128658505</v>
      </c>
      <c r="L29" s="380">
        <f>$B12/Model!AJ43</f>
        <v>0.69509408862775246</v>
      </c>
    </row>
    <row r="30" spans="1:12" x14ac:dyDescent="0.25">
      <c r="I30" s="281" t="s">
        <v>285</v>
      </c>
      <c r="J30" s="380">
        <f>$B12/Model!AH46</f>
        <v>1.0109424093167194</v>
      </c>
      <c r="K30" s="380">
        <f>$B12/Model!AI46</f>
        <v>0.94922482104717854</v>
      </c>
      <c r="L30" s="380">
        <f>$B12/Model!AJ46</f>
        <v>0.8954355506351217</v>
      </c>
    </row>
    <row r="31" spans="1:12" x14ac:dyDescent="0.25">
      <c r="I31" s="281" t="s">
        <v>283</v>
      </c>
      <c r="J31" s="380">
        <f>$B12/Model!AH54</f>
        <v>5.6968917286190583</v>
      </c>
      <c r="K31" s="380">
        <f>$B12/Model!AI54</f>
        <v>4.495917760834832</v>
      </c>
      <c r="L31" s="380">
        <f>$B12/Model!AJ54</f>
        <v>3.7317748595088909</v>
      </c>
    </row>
    <row r="32" spans="1:12" x14ac:dyDescent="0.25">
      <c r="I32" s="281" t="s">
        <v>284</v>
      </c>
      <c r="J32" s="380" t="s">
        <v>310</v>
      </c>
      <c r="K32" s="380" t="s">
        <v>310</v>
      </c>
      <c r="L32" s="380">
        <f>$B11/Model!AJ82</f>
        <v>8.875206582613119</v>
      </c>
    </row>
    <row r="33" spans="9:15" ht="3" customHeight="1" x14ac:dyDescent="0.25">
      <c r="I33" s="278"/>
      <c r="J33" s="279"/>
      <c r="K33" s="279"/>
      <c r="L33" s="279"/>
    </row>
    <row r="34" spans="9:15" ht="3" customHeight="1" x14ac:dyDescent="0.25">
      <c r="I34" s="383"/>
      <c r="J34" s="384"/>
      <c r="K34" s="384"/>
      <c r="L34" s="384"/>
    </row>
    <row r="36" spans="9:15" x14ac:dyDescent="0.25">
      <c r="O36" s="398">
        <f>B12/64</f>
        <v>0.86523207250000012</v>
      </c>
    </row>
    <row r="39" spans="9:15" x14ac:dyDescent="0.25">
      <c r="I39" s="381" t="s">
        <v>302</v>
      </c>
      <c r="J39" s="382" t="s">
        <v>157</v>
      </c>
      <c r="K39" s="382" t="s">
        <v>202</v>
      </c>
    </row>
    <row r="40" spans="9:15" x14ac:dyDescent="0.25">
      <c r="I40" s="281" t="s">
        <v>300</v>
      </c>
      <c r="J40" s="393">
        <f>Charts!E223</f>
        <v>1.4966440438933038E-2</v>
      </c>
      <c r="K40" s="393">
        <f>Charts!F223</f>
        <v>9.5654202236711422E-2</v>
      </c>
    </row>
    <row r="41" spans="9:15" x14ac:dyDescent="0.25">
      <c r="I41" s="281" t="s">
        <v>298</v>
      </c>
      <c r="J41" s="393">
        <f>Charts!E225</f>
        <v>5.1052829163091805E-2</v>
      </c>
      <c r="K41" s="393">
        <f>Charts!F225</f>
        <v>9.3177680059398763E-2</v>
      </c>
    </row>
    <row r="42" spans="9:15" x14ac:dyDescent="0.25">
      <c r="I42" s="281" t="s">
        <v>297</v>
      </c>
      <c r="J42" s="393">
        <f>Charts!E224</f>
        <v>-1.7945416741764426E-2</v>
      </c>
      <c r="K42" s="393">
        <f>Charts!F224</f>
        <v>0.10384277632979387</v>
      </c>
    </row>
    <row r="43" spans="9:15" ht="3" customHeight="1" x14ac:dyDescent="0.25">
      <c r="I43" s="278"/>
      <c r="J43" s="279"/>
      <c r="K43" s="279"/>
    </row>
    <row r="44" spans="9:15" ht="3" customHeight="1" x14ac:dyDescent="0.25">
      <c r="I44" s="383"/>
      <c r="J44" s="384"/>
      <c r="K44" s="384"/>
    </row>
    <row r="49" spans="9:12" x14ac:dyDescent="0.25">
      <c r="I49" s="381" t="s">
        <v>303</v>
      </c>
      <c r="J49" s="382" t="s">
        <v>156</v>
      </c>
      <c r="K49" s="382" t="s">
        <v>157</v>
      </c>
      <c r="L49" s="382" t="s">
        <v>202</v>
      </c>
    </row>
    <row r="50" spans="9:12" x14ac:dyDescent="0.25">
      <c r="I50" s="281" t="s">
        <v>62</v>
      </c>
      <c r="J50" s="396">
        <f>Model!AG43</f>
        <v>72.905000000000001</v>
      </c>
      <c r="K50" s="396">
        <f>Model!AH43</f>
        <v>75.092150000000004</v>
      </c>
      <c r="L50" s="396">
        <f>Model!AI43</f>
        <v>77.344914500000002</v>
      </c>
    </row>
    <row r="51" spans="9:12" x14ac:dyDescent="0.25">
      <c r="I51" s="281" t="s">
        <v>63</v>
      </c>
      <c r="J51" s="396">
        <f>Model!AG46</f>
        <v>49.930000000000007</v>
      </c>
      <c r="K51" s="396">
        <f>Model!AH46</f>
        <v>54.775476950687057</v>
      </c>
      <c r="L51" s="396">
        <f>Model!AI46</f>
        <v>58.336920202856511</v>
      </c>
    </row>
    <row r="52" spans="9:12" x14ac:dyDescent="0.25">
      <c r="I52" s="281" t="s">
        <v>58</v>
      </c>
      <c r="J52" s="396">
        <f>Model!AG54</f>
        <v>6.1560000000000077</v>
      </c>
      <c r="K52" s="396">
        <f>Model!AH54</f>
        <v>9.720186950687058</v>
      </c>
      <c r="L52" s="396">
        <f>Model!AI54</f>
        <v>12.316696075356511</v>
      </c>
    </row>
    <row r="53" spans="9:12" ht="3" customHeight="1" x14ac:dyDescent="0.25">
      <c r="I53" s="278"/>
      <c r="J53" s="279"/>
      <c r="K53" s="279"/>
      <c r="L53" s="279"/>
    </row>
    <row r="54" spans="9:12" ht="3" customHeight="1" x14ac:dyDescent="0.25">
      <c r="I54" s="383"/>
      <c r="J54" s="384"/>
      <c r="K54" s="384"/>
      <c r="L54" s="384"/>
    </row>
  </sheetData>
  <sortState xmlns:xlrd2="http://schemas.microsoft.com/office/spreadsheetml/2017/richdata2" ref="A17:C268">
    <sortCondition ref="A17:A268"/>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49CA8-B990-4DB8-AAB5-AE930423E3F9}">
  <dimension ref="A1:E31"/>
  <sheetViews>
    <sheetView topLeftCell="A10" workbookViewId="0">
      <selection activeCell="P18" sqref="P18"/>
    </sheetView>
  </sheetViews>
  <sheetFormatPr defaultRowHeight="15" x14ac:dyDescent="0.25"/>
  <cols>
    <col min="1" max="1" width="22.85546875" style="224" bestFit="1" customWidth="1"/>
    <col min="2" max="2" width="16.28515625" style="224" bestFit="1" customWidth="1"/>
    <col min="3" max="3" width="15.140625" style="224" customWidth="1"/>
    <col min="4" max="4" width="15.7109375" style="224" bestFit="1" customWidth="1"/>
    <col min="5" max="16384" width="9.140625" style="224"/>
  </cols>
  <sheetData>
    <row r="1" spans="1:5" x14ac:dyDescent="0.25">
      <c r="A1" s="228" t="s">
        <v>265</v>
      </c>
      <c r="B1" s="228" t="s">
        <v>313</v>
      </c>
      <c r="C1" s="228" t="s">
        <v>325</v>
      </c>
      <c r="D1" s="228" t="s">
        <v>326</v>
      </c>
      <c r="E1" s="228" t="s">
        <v>327</v>
      </c>
    </row>
    <row r="2" spans="1:5" x14ac:dyDescent="0.25">
      <c r="A2" s="224" t="s">
        <v>314</v>
      </c>
      <c r="B2" s="224" t="s">
        <v>315</v>
      </c>
      <c r="C2" s="405">
        <f>_xll.ciqfunctions.udf.CIQ(B2, "IQ_TEV_OUT", "2023-08-01")</f>
        <v>16.241569999999999</v>
      </c>
      <c r="D2" s="405">
        <f>_xll.ciqfunctions.udf.CIQ(B2, "IQ_GP", IQ_LTM)</f>
        <v>5.9542299999999999</v>
      </c>
      <c r="E2" s="404">
        <f>C2/D2</f>
        <v>2.7277364159597464</v>
      </c>
    </row>
    <row r="3" spans="1:5" x14ac:dyDescent="0.25">
      <c r="A3" s="224" t="s">
        <v>321</v>
      </c>
      <c r="B3" s="224" t="s">
        <v>322</v>
      </c>
      <c r="C3" s="405">
        <f>_xll.ciqfunctions.udf.CIQ(B3, "IQ_TEV_OUT", "2023-08-01")</f>
        <v>10.487740000000001</v>
      </c>
      <c r="D3" s="405">
        <f>_xll.ciqfunctions.udf.CIQ(B3, "IQ_GP", IQ_LTM)</f>
        <v>11.257</v>
      </c>
      <c r="E3" s="404">
        <f t="shared" ref="E3:E7" si="0">C3/D3</f>
        <v>0.93166385360220316</v>
      </c>
    </row>
    <row r="4" spans="1:5" x14ac:dyDescent="0.25">
      <c r="A4" s="224" t="s">
        <v>312</v>
      </c>
      <c r="B4" s="224" t="s">
        <v>316</v>
      </c>
      <c r="C4" s="405">
        <f>_xll.ciqfunctions.udf.CIQ(B4, "IQ_TEV_OUT", "2023-08-01")</f>
        <v>2432.4285799999998</v>
      </c>
      <c r="D4" s="405">
        <f>_xll.ciqfunctions.udf.CIQ(B4, "IQ_GP", IQ_LTM)</f>
        <v>357.04</v>
      </c>
      <c r="E4" s="404">
        <f t="shared" si="0"/>
        <v>6.8127620994846509</v>
      </c>
    </row>
    <row r="5" spans="1:5" x14ac:dyDescent="0.25">
      <c r="A5" s="224" t="s">
        <v>317</v>
      </c>
      <c r="B5" s="224" t="s">
        <v>318</v>
      </c>
      <c r="C5" s="405">
        <f>_xll.ciqfunctions.udf.CIQ(B5, "IQ_TEV_OUT", "2023-08-01")</f>
        <v>51.711840000000002</v>
      </c>
      <c r="D5" s="405">
        <f>_xll.ciqfunctions.udf.CIQ(B5, "IQ_GP", IQ_LTM)</f>
        <v>2.6019999999999999</v>
      </c>
      <c r="E5" s="404">
        <f t="shared" si="0"/>
        <v>19.873881629515758</v>
      </c>
    </row>
    <row r="6" spans="1:5" x14ac:dyDescent="0.25">
      <c r="A6" s="224" t="s">
        <v>319</v>
      </c>
      <c r="B6" s="224" t="s">
        <v>320</v>
      </c>
      <c r="C6" s="405">
        <f>_xll.ciqfunctions.udf.CIQ(B6, "IQ_TEV_OUT", "2023-08-01")</f>
        <v>595.48343</v>
      </c>
      <c r="D6" s="405">
        <f>_xll.ciqfunctions.udf.CIQ(B6, "IQ_GP", IQ_LTM)</f>
        <v>117.249</v>
      </c>
      <c r="E6" s="404">
        <f t="shared" si="0"/>
        <v>5.0787932519680341</v>
      </c>
    </row>
    <row r="7" spans="1:5" x14ac:dyDescent="0.25">
      <c r="A7" s="224" t="s">
        <v>323</v>
      </c>
      <c r="B7" s="224" t="s">
        <v>324</v>
      </c>
      <c r="C7" s="405">
        <f>_xll.ciqfunctions.udf.CIQ(B7, "IQ_TEV_OUT", "2023-08-01")</f>
        <v>751.63125000000002</v>
      </c>
      <c r="D7" s="405">
        <f>_xll.ciqfunctions.udf.CIQ(B7, "IQ_GP", IQ_LTM)</f>
        <v>109.444</v>
      </c>
      <c r="E7" s="404">
        <f t="shared" si="0"/>
        <v>6.8677245897445269</v>
      </c>
    </row>
    <row r="8" spans="1:5" x14ac:dyDescent="0.25">
      <c r="A8" s="224" t="s">
        <v>332</v>
      </c>
      <c r="B8" s="224" t="s">
        <v>333</v>
      </c>
      <c r="C8" s="405">
        <f>_xll.ciqfunctions.udf.CIQ(B8, "IQ_TEV_OUT", "2023-08-01")</f>
        <v>1367.4183599999999</v>
      </c>
      <c r="D8" s="405">
        <f>_xll.ciqfunctions.udf.CIQ(B8, "IQ_GP", IQ_LTM)</f>
        <v>260.79899999999998</v>
      </c>
      <c r="E8" s="404">
        <f t="shared" ref="E8" si="1">C8/D8</f>
        <v>5.2431886625332149</v>
      </c>
    </row>
    <row r="9" spans="1:5" x14ac:dyDescent="0.25">
      <c r="A9" s="224" t="s">
        <v>334</v>
      </c>
      <c r="B9" s="224" t="s">
        <v>335</v>
      </c>
      <c r="C9" s="405">
        <f>_xll.ciqfunctions.udf.CIQ(B9, "IQ_TEV_OUT", "2023-08-01")</f>
        <v>1411.29494</v>
      </c>
      <c r="D9" s="405">
        <f>_xll.ciqfunctions.udf.CIQ(B9, "IQ_GP", IQ_LTM)</f>
        <v>297.827</v>
      </c>
      <c r="E9" s="404">
        <f t="shared" ref="E9:E10" si="2">C9/D9</f>
        <v>4.7386400158481266</v>
      </c>
    </row>
    <row r="10" spans="1:5" x14ac:dyDescent="0.25">
      <c r="A10" s="224" t="s">
        <v>336</v>
      </c>
      <c r="B10" s="224" t="s">
        <v>337</v>
      </c>
      <c r="C10" s="405">
        <f>_xll.ciqfunctions.udf.CIQ(B10, "IQ_TEV_OUT", "2023-08-01")</f>
        <v>2327.15301</v>
      </c>
      <c r="D10" s="405">
        <f>_xll.ciqfunctions.udf.CIQ(B10, "IQ_GP", IQ_LTM)</f>
        <v>403.95499999999998</v>
      </c>
      <c r="E10" s="404">
        <f t="shared" si="2"/>
        <v>5.7609214145139935</v>
      </c>
    </row>
    <row r="11" spans="1:5" x14ac:dyDescent="0.25">
      <c r="A11" s="224" t="s">
        <v>338</v>
      </c>
      <c r="B11" s="224" t="s">
        <v>339</v>
      </c>
      <c r="C11" s="405">
        <f>_xll.ciqfunctions.udf.CIQ(B11, "IQ_TEV_OUT", "2023-08-01")</f>
        <v>467.45623999999998</v>
      </c>
      <c r="D11" s="405">
        <f>_xll.ciqfunctions.udf.CIQ(B11, "IQ_GP", IQ_LTM)</f>
        <v>146.98699999999999</v>
      </c>
      <c r="E11" s="404">
        <f t="shared" ref="E11" si="3">C11/D11</f>
        <v>3.1802556688686754</v>
      </c>
    </row>
    <row r="12" spans="1:5" x14ac:dyDescent="0.25">
      <c r="A12" s="228" t="s">
        <v>328</v>
      </c>
      <c r="E12" s="406">
        <f>MEDIAN(E2:E11)</f>
        <v>5.1609909572506245</v>
      </c>
    </row>
    <row r="20" spans="1:2" x14ac:dyDescent="0.25">
      <c r="A20" s="228" t="s">
        <v>265</v>
      </c>
      <c r="B20" s="228" t="s">
        <v>345</v>
      </c>
    </row>
    <row r="21" spans="1:2" x14ac:dyDescent="0.25">
      <c r="A21" s="224" t="s">
        <v>321</v>
      </c>
      <c r="B21" s="404">
        <v>0.93166385360220316</v>
      </c>
    </row>
    <row r="22" spans="1:2" x14ac:dyDescent="0.25">
      <c r="A22" s="224" t="s">
        <v>314</v>
      </c>
      <c r="B22" s="404">
        <v>2.7277364159597464</v>
      </c>
    </row>
    <row r="23" spans="1:2" x14ac:dyDescent="0.25">
      <c r="A23" s="224" t="s">
        <v>338</v>
      </c>
      <c r="B23" s="404">
        <v>3.1802556688686754</v>
      </c>
    </row>
    <row r="24" spans="1:2" x14ac:dyDescent="0.25">
      <c r="A24" s="224" t="s">
        <v>334</v>
      </c>
      <c r="B24" s="404">
        <v>4.7386400158481266</v>
      </c>
    </row>
    <row r="25" spans="1:2" x14ac:dyDescent="0.25">
      <c r="A25" s="224" t="s">
        <v>319</v>
      </c>
      <c r="B25" s="404">
        <v>5.0787932519680341</v>
      </c>
    </row>
    <row r="26" spans="1:2" x14ac:dyDescent="0.25">
      <c r="A26" s="224" t="s">
        <v>328</v>
      </c>
      <c r="B26" s="404">
        <v>5.1609909572506245</v>
      </c>
    </row>
    <row r="27" spans="1:2" x14ac:dyDescent="0.25">
      <c r="A27" s="224" t="s">
        <v>332</v>
      </c>
      <c r="B27" s="404">
        <v>5.2431886625332149</v>
      </c>
    </row>
    <row r="28" spans="1:2" x14ac:dyDescent="0.25">
      <c r="A28" s="224" t="s">
        <v>336</v>
      </c>
      <c r="B28" s="404">
        <v>5.7609214145139935</v>
      </c>
    </row>
    <row r="29" spans="1:2" x14ac:dyDescent="0.25">
      <c r="A29" s="228" t="s">
        <v>323</v>
      </c>
      <c r="B29" s="404">
        <v>6.8677245897445269</v>
      </c>
    </row>
    <row r="30" spans="1:2" x14ac:dyDescent="0.25">
      <c r="A30" s="224" t="s">
        <v>312</v>
      </c>
      <c r="B30" s="404">
        <v>7.1052797649127619</v>
      </c>
    </row>
    <row r="31" spans="1:2" x14ac:dyDescent="0.25">
      <c r="A31" s="224" t="s">
        <v>317</v>
      </c>
      <c r="B31" s="404">
        <v>19.873881629515758</v>
      </c>
    </row>
  </sheetData>
  <sortState xmlns:xlrd2="http://schemas.microsoft.com/office/spreadsheetml/2017/richdata2" ref="A21:B31">
    <sortCondition ref="B21:B31"/>
  </sortState>
  <pageMargins left="0.7" right="0.7" top="0.75" bottom="0.75" header="0.3" footer="0.3"/>
  <pageSetup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32"/>
  <sheetViews>
    <sheetView showGridLines="0" zoomScaleNormal="100" workbookViewId="0">
      <selection activeCell="E101" sqref="E101"/>
    </sheetView>
  </sheetViews>
  <sheetFormatPr defaultColWidth="9" defaultRowHeight="12.75" x14ac:dyDescent="0.25"/>
  <cols>
    <col min="1" max="1" width="43.42578125" style="2" customWidth="1"/>
    <col min="2" max="2" width="40.7109375" style="2" customWidth="1"/>
    <col min="3" max="3" width="23.42578125" style="2" customWidth="1"/>
    <col min="4" max="4" width="19.140625" style="2" customWidth="1"/>
    <col min="5" max="5" width="22.85546875" style="2" customWidth="1"/>
    <col min="6" max="6" width="15.5703125" style="2" customWidth="1"/>
    <col min="7" max="8" width="9" style="2"/>
    <col min="9" max="10" width="10.5703125" style="2" customWidth="1"/>
    <col min="11" max="11" width="11.140625" style="2" customWidth="1"/>
    <col min="12" max="13" width="10.5703125" style="2" customWidth="1"/>
    <col min="14" max="14" width="39.28515625" style="2" customWidth="1"/>
    <col min="15" max="15" width="28" style="2" bestFit="1" customWidth="1"/>
    <col min="16" max="16" width="9" style="2"/>
    <col min="17" max="17" width="10.7109375" style="2" customWidth="1"/>
    <col min="18" max="18" width="6.140625" style="2" bestFit="1" customWidth="1"/>
    <col min="19" max="19" width="7.28515625" style="2" customWidth="1"/>
    <col min="20" max="24" width="10.5703125" style="2" customWidth="1"/>
    <col min="25" max="25" width="16.140625" style="2" customWidth="1"/>
    <col min="26" max="27" width="9" style="2"/>
    <col min="28" max="28" width="25.140625" style="2" customWidth="1"/>
    <col min="29" max="34" width="10.7109375" style="2" customWidth="1"/>
    <col min="35" max="35" width="40.7109375" style="2" customWidth="1"/>
    <col min="36" max="36" width="4.7109375" style="2" customWidth="1"/>
    <col min="37" max="16384" width="9" style="2"/>
  </cols>
  <sheetData>
    <row r="1" spans="1:12" x14ac:dyDescent="0.25">
      <c r="A1" s="237" t="s">
        <v>139</v>
      </c>
      <c r="B1" s="238"/>
    </row>
    <row r="2" spans="1:12" ht="5.0999999999999996" customHeight="1" x14ac:dyDescent="0.25">
      <c r="A2" s="167"/>
      <c r="B2" s="168"/>
    </row>
    <row r="3" spans="1:12" x14ac:dyDescent="0.25">
      <c r="A3" s="20" t="s">
        <v>140</v>
      </c>
      <c r="B3" s="159">
        <v>0.04</v>
      </c>
      <c r="D3" s="2">
        <f>672.566</f>
        <v>672.56600000000003</v>
      </c>
      <c r="E3" s="2">
        <v>311.30799999999999</v>
      </c>
      <c r="F3" s="156">
        <f>D3/E3-1</f>
        <v>1.160452028216429</v>
      </c>
    </row>
    <row r="4" spans="1:12" x14ac:dyDescent="0.25">
      <c r="A4" s="20" t="s">
        <v>141</v>
      </c>
      <c r="B4" s="159">
        <v>0.06</v>
      </c>
    </row>
    <row r="5" spans="1:12" x14ac:dyDescent="0.25">
      <c r="A5" s="20" t="s">
        <v>142</v>
      </c>
      <c r="B5" s="160">
        <v>1.5</v>
      </c>
      <c r="F5" s="156"/>
    </row>
    <row r="6" spans="1:12" x14ac:dyDescent="0.25">
      <c r="A6" s="20" t="s">
        <v>143</v>
      </c>
      <c r="B6" s="161">
        <f>B3+(B4*B5)</f>
        <v>0.13</v>
      </c>
    </row>
    <row r="7" spans="1:12" x14ac:dyDescent="0.25">
      <c r="A7" s="20" t="s">
        <v>148</v>
      </c>
      <c r="B7" s="159">
        <f>8%*(1-27%)</f>
        <v>5.8400000000000001E-2</v>
      </c>
    </row>
    <row r="8" spans="1:12" x14ac:dyDescent="0.25">
      <c r="A8" s="20" t="s">
        <v>144</v>
      </c>
      <c r="B8" s="159">
        <v>0.3</v>
      </c>
    </row>
    <row r="9" spans="1:12" x14ac:dyDescent="0.25">
      <c r="A9" s="157" t="s">
        <v>145</v>
      </c>
      <c r="B9" s="169">
        <f>(B7*B8)+(B6*(1-B8))</f>
        <v>0.10852000000000001</v>
      </c>
    </row>
    <row r="10" spans="1:12" ht="5.0999999999999996" customHeight="1" x14ac:dyDescent="0.25">
      <c r="A10" s="132"/>
      <c r="B10" s="132"/>
    </row>
    <row r="11" spans="1:12" ht="5.0999999999999996" customHeight="1" x14ac:dyDescent="0.25">
      <c r="A11" s="237"/>
      <c r="B11" s="238"/>
    </row>
    <row r="13" spans="1:12" x14ac:dyDescent="0.25">
      <c r="A13" s="162" t="s">
        <v>135</v>
      </c>
      <c r="B13" s="237">
        <f>Model!AC1</f>
        <v>2018</v>
      </c>
      <c r="C13" s="237">
        <f>Model!AD1</f>
        <v>2019</v>
      </c>
      <c r="D13" s="237">
        <f>Model!AE1</f>
        <v>2020</v>
      </c>
      <c r="E13" s="242">
        <f>Model!AF1</f>
        <v>2021</v>
      </c>
      <c r="F13" s="242">
        <f>Model!AG1</f>
        <v>2022</v>
      </c>
      <c r="G13" s="242">
        <f>Model!AH1</f>
        <v>2023</v>
      </c>
      <c r="H13" s="242">
        <f>Model!AI1</f>
        <v>2024</v>
      </c>
      <c r="I13" s="242">
        <f>Model!AJ1</f>
        <v>2025</v>
      </c>
      <c r="J13" s="242">
        <f>Model!AK1</f>
        <v>2026</v>
      </c>
      <c r="K13" s="242">
        <f>Model!AL1</f>
        <v>2027</v>
      </c>
      <c r="L13" s="242">
        <f>Model!AM1</f>
        <v>2028</v>
      </c>
    </row>
    <row r="14" spans="1:12" x14ac:dyDescent="0.25">
      <c r="A14" s="2" t="str">
        <f>Model!A8</f>
        <v>Software and Payments Revenue</v>
      </c>
      <c r="B14" s="163">
        <f>Model!AC8</f>
        <v>39.646999999999998</v>
      </c>
      <c r="C14" s="163">
        <f>Model!AD8</f>
        <v>46.74</v>
      </c>
      <c r="D14" s="163">
        <f>Model!AE8</f>
        <v>48.93</v>
      </c>
      <c r="E14" s="163">
        <f>Model!AF8</f>
        <v>51.428000000000004</v>
      </c>
      <c r="F14" s="163">
        <f>Model!AG8</f>
        <v>67.552999999999997</v>
      </c>
      <c r="G14" s="163">
        <f>Model!AH8</f>
        <v>71.759999999999991</v>
      </c>
      <c r="H14" s="163">
        <f>Model!AI8</f>
        <v>77.327728996721319</v>
      </c>
      <c r="I14" s="163">
        <f>Model!AJ8</f>
        <v>82.914571722398705</v>
      </c>
      <c r="J14" s="163">
        <f>Model!AK8</f>
        <v>88.549151460597997</v>
      </c>
      <c r="K14" s="163">
        <f>Model!AL8</f>
        <v>94.26137325558993</v>
      </c>
      <c r="L14" s="163">
        <f>Model!AM8</f>
        <v>100.08130924487519</v>
      </c>
    </row>
    <row r="15" spans="1:12" x14ac:dyDescent="0.25">
      <c r="A15" s="2" t="str">
        <f>Model!A22</f>
        <v>Hardware and Other Revenue</v>
      </c>
      <c r="B15" s="163">
        <f>Model!AC22</f>
        <v>1.8169999999999999</v>
      </c>
      <c r="C15" s="163">
        <f>Model!AD22</f>
        <v>2.5920000000000001</v>
      </c>
      <c r="D15" s="163">
        <f>Model!AE22</f>
        <v>2.5950000000000002</v>
      </c>
      <c r="E15" s="163">
        <f>Model!AF22</f>
        <v>3.7389999999999999</v>
      </c>
      <c r="F15" s="163">
        <f>Model!AG22</f>
        <v>5.3520000000000003</v>
      </c>
      <c r="G15" s="163">
        <f>Model!AH22</f>
        <v>6.5670000000000002</v>
      </c>
      <c r="H15" s="163">
        <f>Model!AI22</f>
        <v>6.1403384074941556</v>
      </c>
      <c r="I15" s="163">
        <f>Model!AJ22</f>
        <v>5.7756970600990645</v>
      </c>
      <c r="J15" s="163">
        <f>Model!AK22</f>
        <v>5.4618832342185515</v>
      </c>
      <c r="K15" s="163">
        <f>Model!AL22</f>
        <v>5.2003375329662189</v>
      </c>
      <c r="L15" s="163">
        <f>Model!AM22</f>
        <v>4.9869845996558819</v>
      </c>
    </row>
    <row r="16" spans="1:12" x14ac:dyDescent="0.25">
      <c r="B16" s="163"/>
      <c r="C16" s="163"/>
      <c r="D16" s="163"/>
      <c r="E16" s="163"/>
      <c r="F16" s="163"/>
      <c r="G16" s="163"/>
      <c r="H16" s="163"/>
      <c r="I16" s="163"/>
      <c r="J16" s="163"/>
      <c r="K16" s="163"/>
      <c r="L16" s="163"/>
    </row>
    <row r="18" spans="1:8" x14ac:dyDescent="0.25">
      <c r="A18" s="132"/>
      <c r="B18" s="132"/>
      <c r="C18" s="132"/>
      <c r="D18" s="132"/>
      <c r="E18" s="132"/>
      <c r="F18" s="132"/>
      <c r="G18" s="132"/>
    </row>
    <row r="19" spans="1:8" x14ac:dyDescent="0.25">
      <c r="A19" s="132"/>
      <c r="B19" s="132"/>
      <c r="C19" s="132"/>
      <c r="D19" s="132"/>
      <c r="E19" s="132"/>
      <c r="F19" s="132"/>
      <c r="G19" s="132"/>
    </row>
    <row r="20" spans="1:8" x14ac:dyDescent="0.25">
      <c r="A20" s="132"/>
      <c r="B20" s="217"/>
      <c r="C20" s="218"/>
      <c r="D20" s="218"/>
      <c r="E20" s="218"/>
      <c r="F20" s="218"/>
      <c r="G20" s="219"/>
    </row>
    <row r="21" spans="1:8" x14ac:dyDescent="0.25">
      <c r="A21" s="220"/>
      <c r="B21" s="221"/>
      <c r="C21" s="221"/>
      <c r="D21" s="221"/>
      <c r="E21" s="221"/>
      <c r="F21" s="221"/>
      <c r="G21" s="222"/>
    </row>
    <row r="22" spans="1:8" x14ac:dyDescent="0.25">
      <c r="A22" s="220"/>
      <c r="B22" s="223"/>
      <c r="C22" s="223"/>
      <c r="D22" s="223"/>
      <c r="E22" s="223"/>
      <c r="F22" s="223"/>
      <c r="G22" s="223"/>
      <c r="H22" s="165"/>
    </row>
    <row r="23" spans="1:8" x14ac:dyDescent="0.25">
      <c r="A23" s="132"/>
      <c r="B23" s="132"/>
      <c r="C23" s="132"/>
      <c r="D23" s="132"/>
      <c r="E23" s="132"/>
      <c r="F23" s="132"/>
      <c r="G23" s="132"/>
    </row>
    <row r="24" spans="1:8" x14ac:dyDescent="0.25">
      <c r="A24" s="132" t="str">
        <f>Model!A8</f>
        <v>Software and Payments Revenue</v>
      </c>
      <c r="B24" s="132">
        <f>Model!X8</f>
        <v>18.265999999999998</v>
      </c>
      <c r="C24" s="132">
        <f>B24/B$26</f>
        <v>0.9299933811924036</v>
      </c>
      <c r="D24" s="132"/>
      <c r="E24" s="132"/>
      <c r="F24" s="132"/>
      <c r="G24" s="132"/>
    </row>
    <row r="25" spans="1:8" x14ac:dyDescent="0.25">
      <c r="A25" s="2" t="str">
        <f>Model!A22</f>
        <v>Hardware and Other Revenue</v>
      </c>
      <c r="B25" s="2">
        <f>Model!X22</f>
        <v>1.375</v>
      </c>
      <c r="C25" s="132">
        <f>B25/B$26</f>
        <v>7.0006618807596357E-2</v>
      </c>
    </row>
    <row r="26" spans="1:8" x14ac:dyDescent="0.25">
      <c r="B26" s="2">
        <f>SUM(B24:B25)</f>
        <v>19.640999999999998</v>
      </c>
    </row>
    <row r="28" spans="1:8" x14ac:dyDescent="0.25">
      <c r="A28" s="301" t="s">
        <v>197</v>
      </c>
      <c r="B28" s="2" t="s">
        <v>198</v>
      </c>
    </row>
    <row r="29" spans="1:8" x14ac:dyDescent="0.25">
      <c r="A29" s="2" t="str">
        <f>A24</f>
        <v>Software and Payments Revenue</v>
      </c>
      <c r="B29" s="306">
        <f>C24</f>
        <v>0.9299933811924036</v>
      </c>
    </row>
    <row r="30" spans="1:8" x14ac:dyDescent="0.25">
      <c r="A30" s="2" t="str">
        <f>A25</f>
        <v>Hardware and Other Revenue</v>
      </c>
      <c r="B30" s="306">
        <f>C25</f>
        <v>7.0006618807596357E-2</v>
      </c>
    </row>
    <row r="35" spans="1:5" x14ac:dyDescent="0.25">
      <c r="B35" s="237">
        <v>2022</v>
      </c>
      <c r="C35" s="401" t="s">
        <v>157</v>
      </c>
      <c r="D35" s="401" t="s">
        <v>202</v>
      </c>
      <c r="E35" s="401" t="s">
        <v>203</v>
      </c>
    </row>
    <row r="36" spans="1:5" x14ac:dyDescent="0.25">
      <c r="A36" s="2" t="s">
        <v>146</v>
      </c>
      <c r="B36" s="163">
        <f>Model!AG43</f>
        <v>72.905000000000001</v>
      </c>
      <c r="C36" s="163">
        <f>Model!AH43</f>
        <v>75.092150000000004</v>
      </c>
      <c r="D36" s="163">
        <f>Model!AI43</f>
        <v>77.344914500000002</v>
      </c>
      <c r="E36" s="163">
        <f>Model!AJ43</f>
        <v>79.665261935000004</v>
      </c>
    </row>
    <row r="37" spans="1:5" x14ac:dyDescent="0.25">
      <c r="A37" s="166" t="s">
        <v>154</v>
      </c>
      <c r="B37" s="163">
        <f>Model!AG46</f>
        <v>49.930000000000007</v>
      </c>
      <c r="C37" s="163">
        <f>Model!AH46</f>
        <v>54.775476950687057</v>
      </c>
      <c r="D37" s="163">
        <f>Model!AI46</f>
        <v>58.336920202856511</v>
      </c>
      <c r="E37" s="163">
        <f>Model!AJ46</f>
        <v>61.841248765166057</v>
      </c>
    </row>
    <row r="38" spans="1:5" x14ac:dyDescent="0.25">
      <c r="A38" s="166" t="s">
        <v>53</v>
      </c>
      <c r="B38" s="156">
        <f>Model!AG47</f>
        <v>0.68486386393251497</v>
      </c>
      <c r="C38" s="156">
        <f>Model!AH47</f>
        <v>0.7</v>
      </c>
      <c r="D38" s="156">
        <f>Model!AI47</f>
        <v>0.7</v>
      </c>
      <c r="E38" s="156">
        <f>Model!AJ47</f>
        <v>0.7</v>
      </c>
    </row>
    <row r="39" spans="1:5" ht="3" customHeight="1" x14ac:dyDescent="0.25"/>
    <row r="40" spans="1:5" ht="3" customHeight="1" x14ac:dyDescent="0.25">
      <c r="B40" s="258"/>
      <c r="C40" s="258"/>
      <c r="D40" s="258"/>
      <c r="E40" s="258"/>
    </row>
    <row r="52" spans="1:15" x14ac:dyDescent="0.25">
      <c r="B52" s="236">
        <f>Model!J1</f>
        <v>43891</v>
      </c>
      <c r="C52" s="236">
        <f>Model!K1</f>
        <v>43983</v>
      </c>
      <c r="D52" s="236">
        <f>Model!L1</f>
        <v>44075</v>
      </c>
      <c r="E52" s="236">
        <f>Model!M1</f>
        <v>44166</v>
      </c>
      <c r="F52" s="236">
        <f>Model!N1</f>
        <v>44256</v>
      </c>
      <c r="G52" s="236">
        <f>Model!O1</f>
        <v>44348</v>
      </c>
      <c r="H52" s="236">
        <f>Model!P1</f>
        <v>44440</v>
      </c>
      <c r="I52" s="236"/>
    </row>
    <row r="53" spans="1:15" x14ac:dyDescent="0.25">
      <c r="A53" s="2" t="s">
        <v>262</v>
      </c>
      <c r="B53" s="164">
        <f>Model!J54</f>
        <v>1.5530000000000044</v>
      </c>
      <c r="C53" s="164">
        <f>Model!K54</f>
        <v>2.8239999999999998</v>
      </c>
      <c r="D53" s="164">
        <f>Model!L54</f>
        <v>1.7929999999999957</v>
      </c>
      <c r="E53" s="164">
        <f>Model!M54</f>
        <v>2.833000000000002</v>
      </c>
      <c r="F53" s="164">
        <f>Model!N54</f>
        <v>0.10699999999999754</v>
      </c>
      <c r="G53" s="164">
        <f>Model!O54</f>
        <v>3.077</v>
      </c>
      <c r="H53" s="164">
        <f>Model!P54</f>
        <v>2.665</v>
      </c>
      <c r="I53" s="164"/>
    </row>
    <row r="54" spans="1:15" x14ac:dyDescent="0.25">
      <c r="A54" s="2" t="s">
        <v>263</v>
      </c>
      <c r="B54" s="156">
        <f>Model!J55</f>
        <v>0.11015746914455983</v>
      </c>
      <c r="C54" s="156">
        <f>Model!K55</f>
        <v>0.26616399622997172</v>
      </c>
      <c r="D54" s="156">
        <f>Model!L55</f>
        <v>0.16378916598154708</v>
      </c>
      <c r="E54" s="156">
        <f>Model!M55</f>
        <v>0.17851291745431647</v>
      </c>
      <c r="F54" s="156">
        <f>Model!N55</f>
        <v>8.2396426921297963E-3</v>
      </c>
      <c r="G54" s="156">
        <f>Model!O55</f>
        <v>0.24764587525150902</v>
      </c>
      <c r="H54" s="156">
        <f>Model!P55</f>
        <v>0.18292264397007343</v>
      </c>
    </row>
    <row r="55" spans="1:15" x14ac:dyDescent="0.25">
      <c r="O55" s="2">
        <f>O56*10^6</f>
        <v>7500</v>
      </c>
    </row>
    <row r="56" spans="1:15" ht="14.25" x14ac:dyDescent="0.25">
      <c r="C56" s="302"/>
      <c r="D56" s="302"/>
      <c r="E56" s="303"/>
      <c r="F56" s="303"/>
      <c r="O56" s="2">
        <f>30/4000</f>
        <v>7.4999999999999997E-3</v>
      </c>
    </row>
    <row r="57" spans="1:15" ht="5.0999999999999996" customHeight="1" x14ac:dyDescent="0.25">
      <c r="C57" s="302"/>
      <c r="D57" s="302"/>
      <c r="E57" s="303"/>
      <c r="F57" s="303"/>
    </row>
    <row r="58" spans="1:15" x14ac:dyDescent="0.25">
      <c r="C58" s="8"/>
      <c r="D58" s="8"/>
      <c r="E58" s="304"/>
      <c r="F58" s="305"/>
    </row>
    <row r="59" spans="1:15" x14ac:dyDescent="0.25">
      <c r="C59" s="8"/>
      <c r="D59" s="8"/>
      <c r="E59" s="304"/>
      <c r="F59" s="305"/>
    </row>
    <row r="60" spans="1:15" x14ac:dyDescent="0.25">
      <c r="C60" s="8"/>
      <c r="D60" s="8"/>
      <c r="E60" s="304"/>
      <c r="F60" s="305"/>
    </row>
    <row r="61" spans="1:15" x14ac:dyDescent="0.25">
      <c r="C61" s="8"/>
      <c r="D61" s="8"/>
      <c r="E61" s="304"/>
      <c r="F61" s="305"/>
    </row>
    <row r="62" spans="1:15" x14ac:dyDescent="0.25">
      <c r="C62" s="8"/>
      <c r="D62" s="8"/>
      <c r="E62" s="304"/>
      <c r="F62" s="305"/>
    </row>
    <row r="63" spans="1:15" x14ac:dyDescent="0.25">
      <c r="C63" s="8"/>
      <c r="D63" s="8"/>
      <c r="E63" s="304"/>
      <c r="F63" s="305"/>
    </row>
    <row r="64" spans="1:15" x14ac:dyDescent="0.25">
      <c r="C64" s="8"/>
      <c r="D64" s="8"/>
      <c r="E64" s="304"/>
      <c r="F64" s="305"/>
    </row>
    <row r="65" spans="3:6" x14ac:dyDescent="0.25">
      <c r="C65" s="8"/>
      <c r="D65" s="8"/>
      <c r="E65" s="304"/>
      <c r="F65" s="305"/>
    </row>
    <row r="66" spans="3:6" x14ac:dyDescent="0.25">
      <c r="C66" s="8"/>
      <c r="D66" s="8"/>
      <c r="E66" s="304"/>
      <c r="F66" s="305"/>
    </row>
    <row r="67" spans="3:6" x14ac:dyDescent="0.25">
      <c r="C67" s="8"/>
      <c r="D67" s="8"/>
      <c r="E67" s="304"/>
      <c r="F67" s="305"/>
    </row>
    <row r="68" spans="3:6" x14ac:dyDescent="0.25">
      <c r="C68" s="8"/>
      <c r="D68" s="8"/>
      <c r="E68" s="304"/>
      <c r="F68" s="305"/>
    </row>
    <row r="83" spans="1:5" x14ac:dyDescent="0.25">
      <c r="B83" s="301">
        <v>2022</v>
      </c>
      <c r="C83" s="402" t="s">
        <v>157</v>
      </c>
      <c r="D83" s="402" t="s">
        <v>202</v>
      </c>
      <c r="E83" s="402" t="s">
        <v>203</v>
      </c>
    </row>
    <row r="84" spans="1:5" x14ac:dyDescent="0.25">
      <c r="A84" s="2" t="s">
        <v>62</v>
      </c>
      <c r="B84" s="165">
        <f>Model!AG43</f>
        <v>72.905000000000001</v>
      </c>
      <c r="C84" s="165">
        <f>Model!AH43</f>
        <v>75.092150000000004</v>
      </c>
      <c r="D84" s="165">
        <f>Model!AI43</f>
        <v>77.344914500000002</v>
      </c>
      <c r="E84" s="165">
        <f>Model!AJ43</f>
        <v>79.665261935000004</v>
      </c>
    </row>
    <row r="85" spans="1:5" x14ac:dyDescent="0.25">
      <c r="A85" s="2" t="s">
        <v>58</v>
      </c>
      <c r="B85" s="165">
        <f>Model!AG54</f>
        <v>6.1560000000000077</v>
      </c>
      <c r="C85" s="165">
        <f>Model!AH54</f>
        <v>9.720186950687058</v>
      </c>
      <c r="D85" s="165">
        <f>Model!AI54</f>
        <v>12.316696075356511</v>
      </c>
      <c r="E85" s="165">
        <f>Model!AJ54</f>
        <v>14.838744223516059</v>
      </c>
    </row>
    <row r="102" spans="1:5" x14ac:dyDescent="0.25">
      <c r="A102" s="301" t="s">
        <v>265</v>
      </c>
      <c r="B102" s="301" t="s">
        <v>266</v>
      </c>
      <c r="C102" s="301" t="s">
        <v>228</v>
      </c>
    </row>
    <row r="103" spans="1:5" x14ac:dyDescent="0.25">
      <c r="A103" s="2" t="s">
        <v>267</v>
      </c>
      <c r="B103" s="367">
        <f>Model!P6</f>
        <v>46.541666666666664</v>
      </c>
      <c r="C103" s="369">
        <f>Model!P47</f>
        <v>0.70684329741231378</v>
      </c>
    </row>
    <row r="104" spans="1:5" x14ac:dyDescent="0.25">
      <c r="A104" s="2" t="s">
        <v>268</v>
      </c>
      <c r="B104" s="367">
        <f>(45.803+404.224)/22</f>
        <v>20.455772727272727</v>
      </c>
      <c r="C104" s="156">
        <f>83.254/486.379</f>
        <v>0.17117104151289428</v>
      </c>
    </row>
    <row r="105" spans="1:5" x14ac:dyDescent="0.25">
      <c r="A105" s="2" t="s">
        <v>269</v>
      </c>
    </row>
    <row r="106" spans="1:5" x14ac:dyDescent="0.25">
      <c r="A106" s="2" t="s">
        <v>270</v>
      </c>
      <c r="B106" s="368">
        <v>270</v>
      </c>
      <c r="C106" s="156">
        <f>64.946/133.218</f>
        <v>0.48751670194718433</v>
      </c>
    </row>
    <row r="107" spans="1:5" x14ac:dyDescent="0.25">
      <c r="A107" s="2" t="s">
        <v>287</v>
      </c>
    </row>
    <row r="111" spans="1:5" x14ac:dyDescent="0.25">
      <c r="E111" s="413">
        <f>FV(9%/12,240,-250)</f>
        <v>166971.71748242146</v>
      </c>
    </row>
    <row r="112" spans="1:5" x14ac:dyDescent="0.25">
      <c r="E112" s="413">
        <f>E111/10^6</f>
        <v>0.16697171748242146</v>
      </c>
    </row>
    <row r="132" spans="1:2" x14ac:dyDescent="0.25">
      <c r="A132" s="301" t="s">
        <v>271</v>
      </c>
      <c r="B132" s="371" t="s">
        <v>272</v>
      </c>
    </row>
    <row r="133" spans="1:2" x14ac:dyDescent="0.25">
      <c r="A133" s="156">
        <f>10%</f>
        <v>0.1</v>
      </c>
      <c r="B133" s="370">
        <f>(A133*300+(1-A133)*45)</f>
        <v>70.5</v>
      </c>
    </row>
    <row r="134" spans="1:2" x14ac:dyDescent="0.25">
      <c r="A134" s="156">
        <v>0.2</v>
      </c>
      <c r="B134" s="370">
        <f t="shared" ref="B134:B142" si="0">(A134*300+(1-A134)*45)</f>
        <v>96</v>
      </c>
    </row>
    <row r="135" spans="1:2" x14ac:dyDescent="0.25">
      <c r="A135" s="156">
        <v>0.3</v>
      </c>
      <c r="B135" s="370">
        <f t="shared" si="0"/>
        <v>121.5</v>
      </c>
    </row>
    <row r="136" spans="1:2" x14ac:dyDescent="0.25">
      <c r="A136" s="156">
        <v>0.4</v>
      </c>
      <c r="B136" s="370">
        <f t="shared" si="0"/>
        <v>147</v>
      </c>
    </row>
    <row r="137" spans="1:2" x14ac:dyDescent="0.25">
      <c r="A137" s="156">
        <v>0.5</v>
      </c>
      <c r="B137" s="370">
        <f t="shared" si="0"/>
        <v>172.5</v>
      </c>
    </row>
    <row r="138" spans="1:2" x14ac:dyDescent="0.25">
      <c r="A138" s="156">
        <v>0.6</v>
      </c>
      <c r="B138" s="370">
        <f t="shared" si="0"/>
        <v>198</v>
      </c>
    </row>
    <row r="139" spans="1:2" x14ac:dyDescent="0.25">
      <c r="A139" s="369">
        <v>0.7</v>
      </c>
      <c r="B139" s="370">
        <f t="shared" si="0"/>
        <v>223.5</v>
      </c>
    </row>
    <row r="140" spans="1:2" x14ac:dyDescent="0.25">
      <c r="A140" s="369">
        <v>0.8</v>
      </c>
      <c r="B140" s="370">
        <f t="shared" si="0"/>
        <v>249</v>
      </c>
    </row>
    <row r="141" spans="1:2" x14ac:dyDescent="0.25">
      <c r="A141" s="369">
        <v>0.9</v>
      </c>
      <c r="B141" s="370">
        <f t="shared" si="0"/>
        <v>274.5</v>
      </c>
    </row>
    <row r="142" spans="1:2" x14ac:dyDescent="0.25">
      <c r="A142" s="369">
        <v>1</v>
      </c>
      <c r="B142" s="370">
        <f t="shared" si="0"/>
        <v>300</v>
      </c>
    </row>
    <row r="151" spans="1:16" x14ac:dyDescent="0.25">
      <c r="A151" s="2" t="s">
        <v>273</v>
      </c>
      <c r="B151" s="372">
        <f>Model!AF1</f>
        <v>2021</v>
      </c>
      <c r="C151" s="372">
        <f>Model!AG1</f>
        <v>2022</v>
      </c>
      <c r="D151" s="372">
        <f>Model!AH1</f>
        <v>2023</v>
      </c>
      <c r="E151" s="372">
        <f>Model!AI1</f>
        <v>2024</v>
      </c>
      <c r="F151" s="372">
        <f>Model!AJ1</f>
        <v>2025</v>
      </c>
      <c r="G151" s="372">
        <f>Model!AK1</f>
        <v>2026</v>
      </c>
      <c r="H151" s="372">
        <f>Model!AL1</f>
        <v>2027</v>
      </c>
      <c r="I151" s="372">
        <f>Model!AM1</f>
        <v>2028</v>
      </c>
      <c r="J151" s="372">
        <f>Model!AN1</f>
        <v>2029</v>
      </c>
      <c r="K151" s="372">
        <f>Model!AO1</f>
        <v>2030</v>
      </c>
      <c r="L151" s="372">
        <f>Model!AP1</f>
        <v>2031</v>
      </c>
      <c r="M151" s="372">
        <f>Model!AQ1</f>
        <v>2032</v>
      </c>
      <c r="N151" s="372">
        <f>Model!AR1</f>
        <v>2033</v>
      </c>
      <c r="O151" s="372">
        <f>Model!AS1</f>
        <v>2034</v>
      </c>
      <c r="P151" s="372">
        <f>Model!AT1</f>
        <v>2035</v>
      </c>
    </row>
    <row r="152" spans="1:16" x14ac:dyDescent="0.25">
      <c r="A152" s="2" t="s">
        <v>266</v>
      </c>
      <c r="B152" s="165">
        <f>Model!AF6</f>
        <v>42.856666666666676</v>
      </c>
      <c r="C152" s="165">
        <f>Model!AG6</f>
        <v>46.142759562841533</v>
      </c>
      <c r="D152" s="165">
        <f>Model!AH6</f>
        <v>45.999999999999993</v>
      </c>
      <c r="E152" s="165">
        <f>Model!AI6</f>
        <v>46.919999999999995</v>
      </c>
      <c r="F152" s="165">
        <f>Model!AJ6</f>
        <v>47.952239999999996</v>
      </c>
      <c r="G152" s="165">
        <f>Model!AK6</f>
        <v>49.083912863999998</v>
      </c>
      <c r="H152" s="165">
        <f>Model!AL6</f>
        <v>50.305120616056321</v>
      </c>
      <c r="I152" s="165">
        <f>Model!AM6</f>
        <v>51.60822446049464</v>
      </c>
      <c r="J152" s="165">
        <f>Model!AN6</f>
        <v>52.98736136439733</v>
      </c>
      <c r="K152" s="165">
        <f>Model!AO6</f>
        <v>54.438079016754166</v>
      </c>
      <c r="L152" s="165">
        <f>Model!AP6</f>
        <v>55.957056460970655</v>
      </c>
      <c r="M152" s="165">
        <f>Model!AQ6</f>
        <v>57.541887792502777</v>
      </c>
      <c r="N152" s="165">
        <f>Model!AR6</f>
        <v>59.190913011834461</v>
      </c>
      <c r="O152" s="165">
        <f>Model!AS6</f>
        <v>60.90308464328794</v>
      </c>
      <c r="P152" s="165">
        <f>Model!AT6</f>
        <v>62.677861831232889</v>
      </c>
    </row>
    <row r="158" spans="1:16" x14ac:dyDescent="0.25">
      <c r="A158" s="301"/>
      <c r="B158" s="372">
        <f>Model!AF125</f>
        <v>2021</v>
      </c>
      <c r="C158" s="372">
        <f>Model!AG125</f>
        <v>2022</v>
      </c>
      <c r="D158" s="372">
        <f>Model!AH125</f>
        <v>2023</v>
      </c>
      <c r="E158" s="372">
        <f>Model!AI125</f>
        <v>2024</v>
      </c>
      <c r="F158" s="372">
        <f>Model!AJ125</f>
        <v>2025</v>
      </c>
      <c r="G158" s="372">
        <f>Model!AK125</f>
        <v>2026</v>
      </c>
      <c r="H158" s="372">
        <f>Model!AL125</f>
        <v>2027</v>
      </c>
      <c r="I158" s="372">
        <f>Model!AM125</f>
        <v>2028</v>
      </c>
      <c r="J158" s="372">
        <f>Model!AN125</f>
        <v>2029</v>
      </c>
      <c r="K158" s="372">
        <f>Model!AO125</f>
        <v>2030</v>
      </c>
    </row>
    <row r="159" spans="1:16" x14ac:dyDescent="0.25">
      <c r="A159" s="2" t="s">
        <v>212</v>
      </c>
      <c r="B159" s="369">
        <f>Model!AF31</f>
        <v>0.69043087352946508</v>
      </c>
      <c r="C159" s="369">
        <f>Model!AG31</f>
        <v>0.68486386393251497</v>
      </c>
      <c r="D159" s="369">
        <f>Model!AH31</f>
        <v>0.69931794848120143</v>
      </c>
      <c r="E159" s="369">
        <f>Model!AI31</f>
        <v>0.69891303365567392</v>
      </c>
      <c r="F159" s="369">
        <f>Model!AJ31</f>
        <v>0.69727208648813876</v>
      </c>
      <c r="G159" s="369">
        <f>Model!AK31</f>
        <v>0.69490765259604959</v>
      </c>
      <c r="H159" s="369">
        <f>Model!AL31</f>
        <v>0.69213396660897064</v>
      </c>
      <c r="I159" s="369">
        <f>Model!AM31</f>
        <v>0.68917493463345658</v>
      </c>
      <c r="J159" s="369">
        <f>Model!AN31</f>
        <v>0.68617793530298443</v>
      </c>
      <c r="K159" s="369">
        <f>Model!AO31</f>
        <v>0.68324186853902369</v>
      </c>
    </row>
    <row r="160" spans="1:16" x14ac:dyDescent="0.25">
      <c r="A160" s="2" t="s">
        <v>274</v>
      </c>
      <c r="B160" s="369">
        <f>Model!AF26</f>
        <v>0.50735490772933933</v>
      </c>
      <c r="C160" s="369">
        <f>Model!AG26</f>
        <v>0.38415545590433481</v>
      </c>
      <c r="D160" s="369">
        <f>Model!AH26</f>
        <v>0.35746202603928739</v>
      </c>
      <c r="E160" s="369">
        <f>Model!AI26</f>
        <v>0.40134272213339428</v>
      </c>
      <c r="F160" s="369">
        <f>Model!AJ26</f>
        <v>0.43864131381338511</v>
      </c>
      <c r="G160" s="369">
        <f>Model!AK26</f>
        <v>0.47034511674137736</v>
      </c>
      <c r="H160" s="369">
        <f>Model!AL26</f>
        <v>0.49729334923017077</v>
      </c>
      <c r="I160" s="369">
        <f>Model!AM26</f>
        <v>0.52019934684564517</v>
      </c>
      <c r="J160" s="369">
        <f>Model!AN26</f>
        <v>0.53966944481879842</v>
      </c>
      <c r="K160" s="369">
        <f>Model!AO26</f>
        <v>0.55621902809597867</v>
      </c>
    </row>
    <row r="161" spans="1:11" x14ac:dyDescent="0.25">
      <c r="A161" s="2" t="s">
        <v>275</v>
      </c>
      <c r="B161" s="369">
        <f>Model!AF47</f>
        <v>0.69043087352946508</v>
      </c>
      <c r="C161" s="369">
        <f>Model!AG47</f>
        <v>0.68486386393251497</v>
      </c>
      <c r="D161" s="369">
        <f>Model!AH47</f>
        <v>0.7</v>
      </c>
      <c r="E161" s="369">
        <f>Model!AI47</f>
        <v>0.7</v>
      </c>
      <c r="F161" s="369">
        <f>Model!AJ47</f>
        <v>0.7</v>
      </c>
      <c r="G161" s="369">
        <f>Model!AK47</f>
        <v>0.7</v>
      </c>
      <c r="H161" s="369">
        <f>Model!AL47</f>
        <v>0.7</v>
      </c>
      <c r="I161" s="369">
        <f>Model!AM47</f>
        <v>0.7</v>
      </c>
      <c r="J161" s="369">
        <f>Model!AN47</f>
        <v>0.7</v>
      </c>
      <c r="K161" s="369">
        <f>Model!AO47</f>
        <v>0.7</v>
      </c>
    </row>
    <row r="164" spans="1:11" x14ac:dyDescent="0.25">
      <c r="B164" s="374">
        <f>B158</f>
        <v>2021</v>
      </c>
      <c r="C164" s="374">
        <f t="shared" ref="C164:K164" si="1">C158</f>
        <v>2022</v>
      </c>
      <c r="D164" s="374">
        <f t="shared" si="1"/>
        <v>2023</v>
      </c>
      <c r="E164" s="374">
        <f t="shared" si="1"/>
        <v>2024</v>
      </c>
      <c r="F164" s="374">
        <f t="shared" si="1"/>
        <v>2025</v>
      </c>
      <c r="G164" s="374">
        <f t="shared" si="1"/>
        <v>2026</v>
      </c>
      <c r="H164" s="374">
        <f t="shared" si="1"/>
        <v>2027</v>
      </c>
      <c r="I164" s="374">
        <f t="shared" si="1"/>
        <v>2028</v>
      </c>
      <c r="J164" s="374">
        <f t="shared" si="1"/>
        <v>2029</v>
      </c>
      <c r="K164" s="374">
        <f t="shared" si="1"/>
        <v>2030</v>
      </c>
    </row>
    <row r="165" spans="1:11" x14ac:dyDescent="0.25">
      <c r="A165" s="2" t="s">
        <v>56</v>
      </c>
      <c r="B165" s="375">
        <f>Model!AF65</f>
        <v>1.7679999999999962</v>
      </c>
      <c r="C165" s="375">
        <f>Model!AG65</f>
        <v>-4.1429999999999998</v>
      </c>
      <c r="D165" s="375">
        <f>Model!AH65</f>
        <v>4.0890230732253032</v>
      </c>
      <c r="E165" s="375">
        <f>Model!AI65</f>
        <v>8.1465623312272335</v>
      </c>
      <c r="F165" s="375">
        <f>Model!AJ65</f>
        <v>11.575960114603948</v>
      </c>
      <c r="G165" s="375">
        <f>Model!AK65</f>
        <v>14.626110509143114</v>
      </c>
      <c r="H165" s="375">
        <f>Model!AL65</f>
        <v>17.46547109830362</v>
      </c>
      <c r="I165" s="375">
        <f>Model!AM65</f>
        <v>20.206589484567715</v>
      </c>
      <c r="J165" s="375">
        <f>Model!AN65</f>
        <v>22.928370218678658</v>
      </c>
      <c r="K165" s="375">
        <f>Model!AO65</f>
        <v>25.686356253392638</v>
      </c>
    </row>
    <row r="166" spans="1:11" x14ac:dyDescent="0.25">
      <c r="A166" s="2" t="s">
        <v>276</v>
      </c>
      <c r="B166" s="165">
        <f>Model!AF167</f>
        <v>-3.1739999999999999</v>
      </c>
      <c r="C166" s="165">
        <f>Model!AG167</f>
        <v>-15.975</v>
      </c>
      <c r="D166" s="165">
        <f>Model!AH167</f>
        <v>1.0439219816013554</v>
      </c>
      <c r="E166" s="165">
        <f>Model!AI167</f>
        <v>6.6719621646096172</v>
      </c>
      <c r="F166" s="165">
        <f>Model!AJ167</f>
        <v>8.2990891476202613</v>
      </c>
      <c r="G166" s="165">
        <f>Model!AK167</f>
        <v>9.9653892167626843</v>
      </c>
      <c r="H166" s="165">
        <f>Model!AL167</f>
        <v>11.665776229071108</v>
      </c>
      <c r="I166" s="165">
        <f>Model!AM167</f>
        <v>13.408355191082901</v>
      </c>
      <c r="J166" s="165">
        <f>Model!AN167</f>
        <v>15.204211281593746</v>
      </c>
      <c r="K166" s="165">
        <f>Model!AO167</f>
        <v>17.066546245269834</v>
      </c>
    </row>
    <row r="195" spans="3:5" x14ac:dyDescent="0.25">
      <c r="C195" s="379" t="s">
        <v>277</v>
      </c>
      <c r="D195" s="379" t="s">
        <v>279</v>
      </c>
      <c r="E195" s="379" t="s">
        <v>278</v>
      </c>
    </row>
    <row r="196" spans="3:5" x14ac:dyDescent="0.25">
      <c r="C196" s="377">
        <v>6.7000000000000004E-2</v>
      </c>
      <c r="D196" s="376">
        <v>75</v>
      </c>
      <c r="E196" s="376">
        <v>3.2</v>
      </c>
    </row>
    <row r="197" spans="3:5" x14ac:dyDescent="0.25">
      <c r="C197" s="377">
        <v>6.7000000000000004E-2</v>
      </c>
      <c r="D197" s="376">
        <v>100</v>
      </c>
      <c r="E197" s="376">
        <v>3.9</v>
      </c>
    </row>
    <row r="198" spans="3:5" x14ac:dyDescent="0.25">
      <c r="C198" s="377">
        <v>9.2999999999999999E-2</v>
      </c>
      <c r="D198" s="376">
        <v>75</v>
      </c>
      <c r="E198" s="376">
        <v>4.0999999999999996</v>
      </c>
    </row>
    <row r="199" spans="3:5" x14ac:dyDescent="0.25">
      <c r="C199" s="377">
        <v>9.2999999999999999E-2</v>
      </c>
      <c r="D199" s="376">
        <v>100</v>
      </c>
      <c r="E199" s="378">
        <v>5</v>
      </c>
    </row>
    <row r="200" spans="3:5" ht="3" customHeight="1" x14ac:dyDescent="0.25"/>
    <row r="201" spans="3:5" ht="3" customHeight="1" x14ac:dyDescent="0.25">
      <c r="C201" s="258"/>
      <c r="D201" s="258"/>
      <c r="E201" s="258"/>
    </row>
    <row r="203" spans="3:5" x14ac:dyDescent="0.25">
      <c r="C203" s="379" t="s">
        <v>277</v>
      </c>
      <c r="D203" s="379" t="s">
        <v>279</v>
      </c>
      <c r="E203" s="379" t="s">
        <v>278</v>
      </c>
    </row>
    <row r="204" spans="3:5" x14ac:dyDescent="0.25">
      <c r="C204" s="377">
        <v>6.7000000000000004E-2</v>
      </c>
      <c r="D204" s="376">
        <v>75</v>
      </c>
      <c r="E204" s="376">
        <v>3.2</v>
      </c>
    </row>
    <row r="205" spans="3:5" x14ac:dyDescent="0.25">
      <c r="C205" s="377">
        <v>6.7000000000000004E-2</v>
      </c>
      <c r="D205" s="376">
        <v>50</v>
      </c>
      <c r="E205" s="376">
        <v>2.5</v>
      </c>
    </row>
    <row r="206" spans="3:5" x14ac:dyDescent="0.25">
      <c r="C206" s="377">
        <v>0.04</v>
      </c>
      <c r="D206" s="376">
        <v>75</v>
      </c>
      <c r="E206" s="376">
        <v>2.5</v>
      </c>
    </row>
    <row r="207" spans="3:5" x14ac:dyDescent="0.25">
      <c r="C207" s="377">
        <v>0.04</v>
      </c>
      <c r="D207" s="376">
        <v>50</v>
      </c>
      <c r="E207" s="378">
        <v>1.9</v>
      </c>
    </row>
    <row r="208" spans="3:5" ht="3" customHeight="1" x14ac:dyDescent="0.25"/>
    <row r="209" spans="1:15" ht="3" customHeight="1" x14ac:dyDescent="0.25">
      <c r="C209" s="258"/>
      <c r="D209" s="258"/>
      <c r="E209" s="258"/>
    </row>
    <row r="215" spans="1:15" x14ac:dyDescent="0.25">
      <c r="B215" s="242">
        <f>Model!AG33</f>
        <v>2022</v>
      </c>
      <c r="C215" s="242">
        <f>Model!AH33</f>
        <v>2023</v>
      </c>
      <c r="D215" s="242">
        <f>Model!AI33</f>
        <v>2024</v>
      </c>
      <c r="E215" s="242">
        <f>Model!AJ33</f>
        <v>2025</v>
      </c>
      <c r="F215" s="242">
        <f>Model!AK33</f>
        <v>2026</v>
      </c>
      <c r="G215" s="242">
        <f>Model!AL33</f>
        <v>2027</v>
      </c>
      <c r="H215" s="242">
        <f>Model!AM33</f>
        <v>2028</v>
      </c>
      <c r="I215" s="242">
        <f>Model!AN33</f>
        <v>2029</v>
      </c>
      <c r="J215" s="242">
        <f>Model!AO33</f>
        <v>2030</v>
      </c>
      <c r="K215" s="242">
        <f>Model!AP33</f>
        <v>2031</v>
      </c>
      <c r="L215" s="242">
        <f>Model!AQ33</f>
        <v>2032</v>
      </c>
      <c r="M215" s="242">
        <f>Model!AR33</f>
        <v>2033</v>
      </c>
      <c r="N215" s="242">
        <f>Model!AS33</f>
        <v>2034</v>
      </c>
      <c r="O215" s="242">
        <f>Model!AT33</f>
        <v>2035</v>
      </c>
    </row>
    <row r="216" spans="1:15" x14ac:dyDescent="0.25">
      <c r="A216" s="2" t="s">
        <v>286</v>
      </c>
      <c r="B216" s="370">
        <f>Model!AG4</f>
        <v>122000</v>
      </c>
      <c r="C216" s="370">
        <f>Model!AH4</f>
        <v>130000</v>
      </c>
      <c r="D216" s="370">
        <f>Model!AI4</f>
        <v>137339.67213114756</v>
      </c>
      <c r="E216" s="370">
        <f>Model!AJ4</f>
        <v>144092.28105993016</v>
      </c>
      <c r="F216" s="370">
        <f>Model!AK4</f>
        <v>150336.34289702159</v>
      </c>
      <c r="G216" s="370">
        <f>Model!AL4</f>
        <v>156149.40073235094</v>
      </c>
      <c r="H216" s="370">
        <f>Model!AM4</f>
        <v>161604.2634856356</v>
      </c>
      <c r="I216" s="370">
        <f>Model!AN4</f>
        <v>166767.01719421972</v>
      </c>
      <c r="J216" s="370">
        <f>Model!AO4</f>
        <v>171696.23537175532</v>
      </c>
      <c r="K216" s="370">
        <f>Model!AP4</f>
        <v>176442.95119716885</v>
      </c>
      <c r="L216" s="370">
        <f>Model!AQ4</f>
        <v>181051.07786450585</v>
      </c>
      <c r="M216" s="370">
        <f>Model!AR4</f>
        <v>185558.06315711048</v>
      </c>
      <c r="N216" s="370">
        <f>Model!AS4</f>
        <v>189995.63916107154</v>
      </c>
      <c r="O216" s="370">
        <f>Model!AT4</f>
        <v>194390.58136259872</v>
      </c>
    </row>
    <row r="222" spans="1:15" x14ac:dyDescent="0.25">
      <c r="C222" s="242">
        <f>Model!AF42</f>
        <v>2021</v>
      </c>
      <c r="D222" s="242">
        <f>Model!AG42</f>
        <v>2022</v>
      </c>
      <c r="E222" s="242">
        <f>Model!AH42</f>
        <v>2023</v>
      </c>
      <c r="F222" s="242">
        <f>Model!AI42</f>
        <v>2024</v>
      </c>
      <c r="G222" s="242">
        <f>Model!AJ42</f>
        <v>2025</v>
      </c>
      <c r="H222" s="242">
        <f>Model!AK42</f>
        <v>2026</v>
      </c>
      <c r="I222" s="242">
        <f>Model!AL42</f>
        <v>2027</v>
      </c>
      <c r="J222" s="242">
        <f>Model!AM42</f>
        <v>2028</v>
      </c>
      <c r="K222" s="242">
        <f>Model!AN42</f>
        <v>2029</v>
      </c>
      <c r="L222" s="242">
        <f>Model!AO42</f>
        <v>2030</v>
      </c>
      <c r="M222" s="242">
        <f>Model!AP42</f>
        <v>2031</v>
      </c>
      <c r="N222" s="242">
        <f>Model!AQ42</f>
        <v>2032</v>
      </c>
      <c r="O222" s="242">
        <f>Model!AR42</f>
        <v>2033</v>
      </c>
    </row>
    <row r="223" spans="1:15" x14ac:dyDescent="0.25">
      <c r="A223" s="2" t="s">
        <v>296</v>
      </c>
      <c r="C223" s="306">
        <f>Model!AF167/'Front Page'!$B11</f>
        <v>-4.5504820082726945E-2</v>
      </c>
      <c r="D223" s="306">
        <f>Model!AG167/'Front Page'!$B11</f>
        <v>-0.22902945835587993</v>
      </c>
      <c r="E223" s="306">
        <f>Model!AH167/'Front Page'!$B11</f>
        <v>1.4966440438933038E-2</v>
      </c>
      <c r="F223" s="306">
        <f>Model!AI167/'Front Page'!$B11</f>
        <v>9.5654202236711422E-2</v>
      </c>
      <c r="G223" s="306">
        <f>Model!AJ167/'Front Page'!$B11</f>
        <v>0.11898190249305977</v>
      </c>
      <c r="H223" s="306">
        <f>Model!AK167/'Front Page'!$B11</f>
        <v>0.14287121719065315</v>
      </c>
      <c r="I223" s="306">
        <f>Model!AL167/'Front Page'!$B11</f>
        <v>0.16724922760845418</v>
      </c>
      <c r="J223" s="306">
        <f>Model!AM167/'Front Page'!$B11</f>
        <v>0.19223213313658641</v>
      </c>
      <c r="K223" s="306">
        <f>Model!AN167/'Front Page'!$B11</f>
        <v>0.21797885912687168</v>
      </c>
      <c r="L223" s="306">
        <f>Model!AO167/'Front Page'!$B11</f>
        <v>0.24467867559059323</v>
      </c>
      <c r="M223" s="306">
        <f>Model!AP167/'Front Page'!$B11</f>
        <v>0.27251248623212726</v>
      </c>
      <c r="N223" s="306">
        <f>Model!AQ167/'Front Page'!$B11</f>
        <v>0.30166802130556042</v>
      </c>
      <c r="O223" s="306">
        <f>Model!AR167/'Front Page'!$B11</f>
        <v>0.33232210551309516</v>
      </c>
    </row>
    <row r="224" spans="1:15" x14ac:dyDescent="0.25">
      <c r="A224" s="2" t="s">
        <v>297</v>
      </c>
      <c r="C224" s="306">
        <f>Model!AF82/Model!AF117</f>
        <v>-1.3154533844189098E-2</v>
      </c>
      <c r="D224" s="306">
        <f>Model!AG82/Model!AG117</f>
        <v>-0.11320353681346715</v>
      </c>
      <c r="E224" s="306">
        <f>Model!AH82/Model!AH117</f>
        <v>-1.7945416741764426E-2</v>
      </c>
      <c r="F224" s="306">
        <f>Model!AI82/Model!AI117</f>
        <v>0.10384277632979387</v>
      </c>
      <c r="G224" s="306">
        <f>Model!AJ82/Model!AJ117</f>
        <v>0.13223349262203798</v>
      </c>
      <c r="H224" s="306">
        <f>Model!AK82/Model!AK117</f>
        <v>0.14507812686033247</v>
      </c>
      <c r="I224" s="306">
        <f>Model!AL82/Model!AL117</f>
        <v>0.14885902466678549</v>
      </c>
      <c r="J224" s="306">
        <f>Model!AM82/Model!AM117</f>
        <v>0.14774523363445813</v>
      </c>
      <c r="K224" s="306">
        <f>Model!AN82/Model!AN117</f>
        <v>0.14418538436564565</v>
      </c>
      <c r="L224" s="306">
        <f>Model!AO82/Model!AO117</f>
        <v>0.13953643323388631</v>
      </c>
      <c r="M224" s="306">
        <f>Model!AP82/Model!AP117</f>
        <v>0.13453397249450486</v>
      </c>
      <c r="N224" s="306">
        <f>Model!AQ82/Model!AQ117</f>
        <v>0.12955892312553879</v>
      </c>
      <c r="O224" s="306">
        <f>Model!AR82/Model!AR117</f>
        <v>0.12479614700150496</v>
      </c>
    </row>
    <row r="225" spans="1:15" x14ac:dyDescent="0.25">
      <c r="A225" s="2" t="s">
        <v>298</v>
      </c>
      <c r="C225" s="306">
        <f>Model!AF65*(1-27%)/(Model!AF117+Model!AF111+Model!AF107)</f>
        <v>2.2320915914357805E-2</v>
      </c>
      <c r="D225" s="306">
        <f>Model!AG65*(1-27%)/(Model!AG117+Model!AG111+Model!AG107)</f>
        <v>-5.1003237883233833E-2</v>
      </c>
      <c r="E225" s="306">
        <f>Model!AH65*(1-27%)/(Model!AH117+Model!AH111+Model!AH107)</f>
        <v>5.1052829163091805E-2</v>
      </c>
      <c r="F225" s="306">
        <f>Model!AI65*(1-27%)/(Model!AI117+Model!AI111+Model!AI107)</f>
        <v>9.3177680059398763E-2</v>
      </c>
      <c r="G225" s="306">
        <f>Model!AJ65*(1-27%)/(Model!AJ117+Model!AJ111+Model!AJ107)</f>
        <v>0.11788596697280243</v>
      </c>
      <c r="H225" s="306">
        <f>Model!AK65*(1-27%)/(Model!AK117+Model!AK111+Model!AK107)</f>
        <v>0.13057599180278862</v>
      </c>
      <c r="I225" s="306">
        <f>Model!AL65*(1-27%)/(Model!AL117+Model!AL111+Model!AL107)</f>
        <v>0.13574101167319338</v>
      </c>
      <c r="J225" s="306">
        <f>Model!AM65*(1-27%)/(Model!AM117+Model!AM111+Model!AM107)</f>
        <v>0.13647191888681545</v>
      </c>
      <c r="K225" s="306">
        <f>Model!AN65*(1-27%)/(Model!AN117+Model!AN111+Model!AN107)</f>
        <v>0.13472825846485756</v>
      </c>
      <c r="L225" s="306">
        <f>Model!AO65*(1-27%)/(Model!AO117+Model!AO111+Model!AO107)</f>
        <v>0.1316853426971355</v>
      </c>
      <c r="M225" s="306">
        <f>Model!AP65*(1-27%)/(Model!AP117+Model!AP111+Model!AP107)</f>
        <v>0.1280363797180048</v>
      </c>
      <c r="N225" s="306">
        <f>Model!AQ65*(1-27%)/(Model!AQ117+Model!AQ111+Model!AQ107)</f>
        <v>0.12417683080982195</v>
      </c>
      <c r="O225" s="306">
        <f>Model!AR65*(1-27%)/(Model!AR117+Model!AR111+Model!AR107)</f>
        <v>0.12032477900700432</v>
      </c>
    </row>
    <row r="230" spans="1:15" x14ac:dyDescent="0.25">
      <c r="B230" s="394">
        <f>D222</f>
        <v>2022</v>
      </c>
      <c r="C230" s="394">
        <f t="shared" ref="C230:D230" si="2">E222</f>
        <v>2023</v>
      </c>
      <c r="D230" s="394">
        <f t="shared" si="2"/>
        <v>2024</v>
      </c>
      <c r="E230" s="394">
        <f>G222</f>
        <v>2025</v>
      </c>
      <c r="F230" s="394">
        <f>H222</f>
        <v>2026</v>
      </c>
    </row>
    <row r="231" spans="1:15" x14ac:dyDescent="0.25">
      <c r="A231" s="2" t="s">
        <v>298</v>
      </c>
      <c r="B231" s="395">
        <f>D225</f>
        <v>-5.1003237883233833E-2</v>
      </c>
      <c r="C231" s="395">
        <f t="shared" ref="C231:F231" si="3">E225</f>
        <v>5.1052829163091805E-2</v>
      </c>
      <c r="D231" s="395">
        <f t="shared" si="3"/>
        <v>9.3177680059398763E-2</v>
      </c>
      <c r="E231" s="395">
        <f t="shared" si="3"/>
        <v>0.11788596697280243</v>
      </c>
      <c r="F231" s="395">
        <f t="shared" si="3"/>
        <v>0.13057599180278862</v>
      </c>
    </row>
    <row r="232" spans="1:15" x14ac:dyDescent="0.25">
      <c r="A232" s="2" t="s">
        <v>297</v>
      </c>
      <c r="B232" s="395">
        <f>D224</f>
        <v>-0.11320353681346715</v>
      </c>
      <c r="C232" s="395">
        <f t="shared" ref="C232:F232" si="4">E224</f>
        <v>-1.7945416741764426E-2</v>
      </c>
      <c r="D232" s="395">
        <f t="shared" si="4"/>
        <v>0.10384277632979387</v>
      </c>
      <c r="E232" s="395">
        <f t="shared" si="4"/>
        <v>0.13223349262203798</v>
      </c>
      <c r="F232" s="395">
        <f t="shared" si="4"/>
        <v>0.14507812686033247</v>
      </c>
    </row>
  </sheetData>
  <sortState xmlns:xlrd2="http://schemas.microsoft.com/office/spreadsheetml/2017/richdata2" ref="A551:B562">
    <sortCondition ref="B551:B562"/>
  </sortState>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3"/>
  <sheetViews>
    <sheetView topLeftCell="A7" workbookViewId="0">
      <selection activeCell="A36" sqref="A36:C42"/>
    </sheetView>
  </sheetViews>
  <sheetFormatPr defaultRowHeight="15" x14ac:dyDescent="0.25"/>
  <cols>
    <col min="1" max="1" width="44.5703125" bestFit="1" customWidth="1"/>
    <col min="2" max="8" width="18.7109375" customWidth="1"/>
    <col min="9" max="10" width="9.140625" bestFit="1" customWidth="1"/>
  </cols>
  <sheetData>
    <row r="1" spans="1:6" x14ac:dyDescent="0.25">
      <c r="A1" s="348" t="s">
        <v>239</v>
      </c>
      <c r="B1" t="s">
        <v>238</v>
      </c>
      <c r="C1" t="s">
        <v>241</v>
      </c>
      <c r="D1" t="s">
        <v>242</v>
      </c>
      <c r="E1" t="s">
        <v>243</v>
      </c>
      <c r="F1" t="s">
        <v>244</v>
      </c>
    </row>
    <row r="2" spans="1:6" x14ac:dyDescent="0.25">
      <c r="A2" s="349" t="s">
        <v>203</v>
      </c>
      <c r="B2" t="s">
        <v>208</v>
      </c>
      <c r="C2" t="s">
        <v>208</v>
      </c>
      <c r="D2" t="s">
        <v>208</v>
      </c>
      <c r="F2">
        <v>35</v>
      </c>
    </row>
    <row r="3" spans="1:6" x14ac:dyDescent="0.25">
      <c r="A3" s="349" t="s">
        <v>204</v>
      </c>
      <c r="B3" t="s">
        <v>208</v>
      </c>
      <c r="C3" s="350" t="s">
        <v>208</v>
      </c>
      <c r="D3">
        <v>123</v>
      </c>
      <c r="E3">
        <v>117</v>
      </c>
      <c r="F3" t="s">
        <v>208</v>
      </c>
    </row>
    <row r="4" spans="1:6" x14ac:dyDescent="0.25">
      <c r="A4" s="349" t="s">
        <v>205</v>
      </c>
      <c r="B4">
        <v>140</v>
      </c>
      <c r="C4" s="350">
        <v>19.600000000000001</v>
      </c>
      <c r="D4" t="s">
        <v>208</v>
      </c>
      <c r="E4" t="s">
        <v>208</v>
      </c>
      <c r="F4" t="s">
        <v>208</v>
      </c>
    </row>
    <row r="9" spans="1:6" x14ac:dyDescent="0.25">
      <c r="A9" s="348" t="s">
        <v>240</v>
      </c>
      <c r="B9" t="s">
        <v>238</v>
      </c>
    </row>
    <row r="10" spans="1:6" x14ac:dyDescent="0.25">
      <c r="A10" s="349">
        <v>2020</v>
      </c>
      <c r="B10">
        <v>65</v>
      </c>
    </row>
    <row r="11" spans="1:6" x14ac:dyDescent="0.25">
      <c r="A11" s="349" t="s">
        <v>205</v>
      </c>
      <c r="B11">
        <v>140</v>
      </c>
    </row>
    <row r="14" spans="1:6" x14ac:dyDescent="0.25">
      <c r="A14" s="351" t="s">
        <v>239</v>
      </c>
      <c r="B14" s="352" t="s">
        <v>203</v>
      </c>
      <c r="C14" s="352" t="s">
        <v>204</v>
      </c>
      <c r="D14" s="352" t="s">
        <v>205</v>
      </c>
    </row>
    <row r="15" spans="1:6" x14ac:dyDescent="0.25">
      <c r="A15" s="224" t="s">
        <v>238</v>
      </c>
      <c r="B15" s="230" t="s">
        <v>208</v>
      </c>
      <c r="C15" s="230" t="s">
        <v>208</v>
      </c>
      <c r="D15" s="230">
        <v>140</v>
      </c>
    </row>
    <row r="16" spans="1:6" x14ac:dyDescent="0.25">
      <c r="A16" s="224" t="s">
        <v>241</v>
      </c>
      <c r="B16" s="230" t="s">
        <v>208</v>
      </c>
      <c r="C16" s="354" t="s">
        <v>208</v>
      </c>
      <c r="D16" s="355">
        <v>19.600000000000001</v>
      </c>
    </row>
    <row r="17" spans="1:12" x14ac:dyDescent="0.25">
      <c r="A17" s="224" t="s">
        <v>242</v>
      </c>
      <c r="B17" s="230" t="s">
        <v>208</v>
      </c>
      <c r="C17" s="230">
        <v>123</v>
      </c>
      <c r="D17" s="230" t="s">
        <v>208</v>
      </c>
    </row>
    <row r="18" spans="1:12" x14ac:dyDescent="0.25">
      <c r="A18" s="224" t="s">
        <v>243</v>
      </c>
      <c r="B18" s="230" t="s">
        <v>208</v>
      </c>
      <c r="C18" s="230">
        <v>117</v>
      </c>
      <c r="D18" s="230" t="s">
        <v>208</v>
      </c>
    </row>
    <row r="19" spans="1:12" x14ac:dyDescent="0.25">
      <c r="A19" s="224" t="s">
        <v>244</v>
      </c>
      <c r="B19" s="230">
        <v>35</v>
      </c>
      <c r="C19" s="230" t="s">
        <v>208</v>
      </c>
      <c r="D19" s="230" t="s">
        <v>208</v>
      </c>
    </row>
    <row r="20" spans="1:12" ht="3" customHeight="1" x14ac:dyDescent="0.25">
      <c r="A20" s="224"/>
      <c r="B20" s="224"/>
      <c r="C20" s="224"/>
      <c r="D20" s="224"/>
    </row>
    <row r="21" spans="1:12" ht="3" customHeight="1" x14ac:dyDescent="0.25">
      <c r="A21" s="351"/>
      <c r="B21" s="352"/>
      <c r="C21" s="352"/>
      <c r="D21" s="352"/>
    </row>
    <row r="25" spans="1:12" x14ac:dyDescent="0.25">
      <c r="A25" s="351" t="s">
        <v>245</v>
      </c>
      <c r="B25" s="352" t="s">
        <v>156</v>
      </c>
      <c r="C25" s="352" t="s">
        <v>157</v>
      </c>
      <c r="D25" s="352" t="s">
        <v>202</v>
      </c>
      <c r="E25" s="352" t="s">
        <v>203</v>
      </c>
      <c r="F25" s="352" t="s">
        <v>204</v>
      </c>
      <c r="G25" s="352" t="s">
        <v>205</v>
      </c>
      <c r="H25" s="352" t="s">
        <v>206</v>
      </c>
    </row>
    <row r="26" spans="1:12" x14ac:dyDescent="0.25">
      <c r="A26" s="224" t="s">
        <v>246</v>
      </c>
      <c r="B26" s="360" t="s">
        <v>208</v>
      </c>
      <c r="C26" s="360" t="s">
        <v>208</v>
      </c>
      <c r="D26" s="360" t="s">
        <v>208</v>
      </c>
      <c r="E26" s="360" t="s">
        <v>208</v>
      </c>
      <c r="F26" s="360">
        <v>1443.7</v>
      </c>
      <c r="G26" s="360" t="s">
        <v>208</v>
      </c>
      <c r="H26" s="360">
        <v>2097.13</v>
      </c>
      <c r="L26" s="358" t="s">
        <v>247</v>
      </c>
    </row>
    <row r="27" spans="1:12" x14ac:dyDescent="0.25">
      <c r="A27" s="224" t="s">
        <v>248</v>
      </c>
      <c r="B27" s="360" t="s">
        <v>208</v>
      </c>
      <c r="C27" s="360" t="s">
        <v>208</v>
      </c>
      <c r="D27" s="360" t="s">
        <v>208</v>
      </c>
      <c r="E27" s="360" t="s">
        <v>208</v>
      </c>
      <c r="F27" s="360">
        <v>1787</v>
      </c>
      <c r="G27" s="360" t="s">
        <v>208</v>
      </c>
      <c r="H27" s="360" t="s">
        <v>208</v>
      </c>
      <c r="L27" t="s">
        <v>249</v>
      </c>
    </row>
    <row r="28" spans="1:12" x14ac:dyDescent="0.25">
      <c r="A28" s="224" t="s">
        <v>250</v>
      </c>
      <c r="B28" s="360" t="s">
        <v>208</v>
      </c>
      <c r="C28" s="360" t="s">
        <v>208</v>
      </c>
      <c r="D28" s="360" t="s">
        <v>208</v>
      </c>
      <c r="E28" s="360" t="s">
        <v>208</v>
      </c>
      <c r="F28" s="360" t="s">
        <v>208</v>
      </c>
      <c r="G28" s="360">
        <v>2076.5</v>
      </c>
      <c r="H28" s="360" t="s">
        <v>208</v>
      </c>
      <c r="L28" t="s">
        <v>251</v>
      </c>
    </row>
    <row r="29" spans="1:12" x14ac:dyDescent="0.25">
      <c r="A29" s="224" t="s">
        <v>252</v>
      </c>
      <c r="B29" s="360">
        <v>1109.3</v>
      </c>
      <c r="C29" s="360">
        <v>1232.8</v>
      </c>
      <c r="D29" s="360">
        <v>1356.2</v>
      </c>
      <c r="E29" s="360">
        <v>1479.7</v>
      </c>
      <c r="F29" s="360">
        <v>1603.2</v>
      </c>
      <c r="G29" s="360">
        <v>1726.7</v>
      </c>
      <c r="H29" s="360">
        <v>2097.1</v>
      </c>
      <c r="L29" t="s">
        <v>253</v>
      </c>
    </row>
    <row r="30" spans="1:12" ht="3" customHeight="1" x14ac:dyDescent="0.25">
      <c r="A30" s="224"/>
      <c r="B30" s="354"/>
      <c r="C30" s="354"/>
      <c r="D30" s="354"/>
      <c r="E30" s="354"/>
      <c r="F30" s="354"/>
      <c r="G30" s="354"/>
      <c r="H30" s="354"/>
    </row>
    <row r="31" spans="1:12" ht="3" customHeight="1" x14ac:dyDescent="0.25">
      <c r="A31" s="356"/>
      <c r="B31" s="359"/>
      <c r="C31" s="359"/>
      <c r="D31" s="359"/>
      <c r="E31" s="359"/>
      <c r="F31" s="359"/>
      <c r="G31" s="359"/>
      <c r="H31" s="359"/>
    </row>
    <row r="32" spans="1:12" x14ac:dyDescent="0.25">
      <c r="B32" s="350"/>
      <c r="C32" s="350"/>
      <c r="D32" s="350"/>
      <c r="E32" s="350"/>
      <c r="F32" s="350"/>
      <c r="G32" s="350"/>
      <c r="H32" s="350"/>
      <c r="I32" s="350"/>
      <c r="J32" s="350"/>
    </row>
    <row r="36" spans="1:10" x14ac:dyDescent="0.25">
      <c r="A36" s="351" t="s">
        <v>254</v>
      </c>
      <c r="B36" s="352" t="s">
        <v>203</v>
      </c>
      <c r="C36" s="352" t="s">
        <v>207</v>
      </c>
      <c r="D36" s="361"/>
    </row>
    <row r="37" spans="1:10" x14ac:dyDescent="0.25">
      <c r="A37" s="224" t="s">
        <v>246</v>
      </c>
      <c r="B37" s="360">
        <v>735.4</v>
      </c>
      <c r="C37" s="360" t="s">
        <v>208</v>
      </c>
      <c r="D37" s="360"/>
      <c r="J37" t="s">
        <v>255</v>
      </c>
    </row>
    <row r="38" spans="1:10" x14ac:dyDescent="0.25">
      <c r="A38" s="224" t="s">
        <v>256</v>
      </c>
      <c r="B38" s="360">
        <v>2600</v>
      </c>
      <c r="C38" s="360" t="s">
        <v>208</v>
      </c>
      <c r="D38" s="360"/>
      <c r="J38" t="s">
        <v>257</v>
      </c>
    </row>
    <row r="39" spans="1:10" x14ac:dyDescent="0.25">
      <c r="A39" s="224" t="s">
        <v>258</v>
      </c>
      <c r="B39" s="360">
        <v>2100</v>
      </c>
      <c r="C39" s="360">
        <v>2900</v>
      </c>
      <c r="D39" s="360"/>
      <c r="J39" t="s">
        <v>259</v>
      </c>
    </row>
    <row r="40" spans="1:10" x14ac:dyDescent="0.25">
      <c r="A40" s="224" t="s">
        <v>260</v>
      </c>
      <c r="B40" s="360">
        <v>1882</v>
      </c>
      <c r="C40" s="360">
        <v>3026</v>
      </c>
      <c r="D40" s="360"/>
      <c r="J40" t="s">
        <v>261</v>
      </c>
    </row>
    <row r="41" spans="1:10" ht="3" customHeight="1" x14ac:dyDescent="0.25">
      <c r="A41" s="224"/>
      <c r="B41" s="360"/>
      <c r="C41" s="360"/>
      <c r="D41" s="360"/>
    </row>
    <row r="42" spans="1:10" ht="3" customHeight="1" x14ac:dyDescent="0.25">
      <c r="A42" s="356"/>
      <c r="B42" s="357"/>
      <c r="C42" s="357"/>
      <c r="D42" s="353"/>
    </row>
    <row r="43" spans="1:10" x14ac:dyDescent="0.25">
      <c r="D43" s="224"/>
    </row>
  </sheetData>
  <hyperlinks>
    <hyperlink ref="L26" r:id="rId1" xr:uid="{00000000-0004-0000-05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46"/>
  <sheetViews>
    <sheetView topLeftCell="A19" workbookViewId="0">
      <selection activeCell="B44" sqref="B44"/>
    </sheetView>
  </sheetViews>
  <sheetFormatPr defaultColWidth="9.140625" defaultRowHeight="15" x14ac:dyDescent="0.25"/>
  <cols>
    <col min="1" max="1" width="38.28515625" style="224" bestFit="1" customWidth="1"/>
    <col min="2" max="2" width="9.85546875" style="224" bestFit="1" customWidth="1"/>
    <col min="3" max="3" width="11" style="224" bestFit="1" customWidth="1"/>
    <col min="4" max="5" width="9.140625" style="224"/>
    <col min="6" max="6" width="41" style="224" bestFit="1" customWidth="1"/>
    <col min="7" max="7" width="19.28515625" style="224" bestFit="1" customWidth="1"/>
    <col min="8" max="16384" width="9.140625" style="224"/>
  </cols>
  <sheetData>
    <row r="1" spans="1:7" x14ac:dyDescent="0.25">
      <c r="A1" s="239" t="s">
        <v>163</v>
      </c>
      <c r="B1" s="263" t="s">
        <v>165</v>
      </c>
      <c r="C1" s="263" t="s">
        <v>164</v>
      </c>
      <c r="F1" s="232" t="s">
        <v>170</v>
      </c>
      <c r="G1" s="220" t="s">
        <v>171</v>
      </c>
    </row>
    <row r="2" spans="1:7" x14ac:dyDescent="0.25">
      <c r="A2" s="300"/>
      <c r="B2" s="233"/>
      <c r="C2" s="299"/>
    </row>
    <row r="3" spans="1:7" x14ac:dyDescent="0.25">
      <c r="A3" s="132"/>
      <c r="B3" s="233"/>
      <c r="C3" s="299"/>
    </row>
    <row r="4" spans="1:7" x14ac:dyDescent="0.25">
      <c r="A4" s="226"/>
      <c r="B4" s="233"/>
      <c r="C4" s="299"/>
    </row>
    <row r="5" spans="1:7" x14ac:dyDescent="0.25">
      <c r="A5" s="132"/>
      <c r="B5" s="233"/>
      <c r="C5" s="299"/>
    </row>
    <row r="6" spans="1:7" x14ac:dyDescent="0.25">
      <c r="A6" s="132"/>
      <c r="B6" s="229"/>
      <c r="C6" s="229"/>
    </row>
    <row r="7" spans="1:7" x14ac:dyDescent="0.25">
      <c r="A7" s="227" t="s">
        <v>161</v>
      </c>
      <c r="B7" s="229">
        <v>0</v>
      </c>
      <c r="C7" s="229"/>
      <c r="G7" s="227"/>
    </row>
    <row r="8" spans="1:7" x14ac:dyDescent="0.25">
      <c r="A8" s="132"/>
      <c r="B8" s="225"/>
      <c r="C8" s="225"/>
    </row>
    <row r="9" spans="1:7" x14ac:dyDescent="0.25">
      <c r="A9" s="239" t="s">
        <v>166</v>
      </c>
      <c r="B9" s="263" t="s">
        <v>165</v>
      </c>
      <c r="C9" s="263" t="s">
        <v>164</v>
      </c>
    </row>
    <row r="10" spans="1:7" x14ac:dyDescent="0.25">
      <c r="A10" s="132" t="s">
        <v>199</v>
      </c>
      <c r="B10" s="311"/>
      <c r="C10" s="299"/>
    </row>
    <row r="11" spans="1:7" x14ac:dyDescent="0.25">
      <c r="A11" s="132" t="s">
        <v>200</v>
      </c>
      <c r="B11" s="311"/>
      <c r="C11" s="312"/>
    </row>
    <row r="12" spans="1:7" x14ac:dyDescent="0.25">
      <c r="A12" s="132" t="s">
        <v>201</v>
      </c>
      <c r="B12" s="311"/>
      <c r="C12" s="299"/>
    </row>
    <row r="13" spans="1:7" x14ac:dyDescent="0.25">
      <c r="A13" s="132" t="s">
        <v>200</v>
      </c>
      <c r="B13" s="311"/>
      <c r="C13" s="299"/>
    </row>
    <row r="14" spans="1:7" x14ac:dyDescent="0.25">
      <c r="A14" s="226"/>
      <c r="B14" s="229"/>
      <c r="C14" s="229"/>
    </row>
    <row r="15" spans="1:7" x14ac:dyDescent="0.25">
      <c r="A15" s="132"/>
      <c r="B15" s="229"/>
      <c r="C15" s="229"/>
    </row>
    <row r="16" spans="1:7" x14ac:dyDescent="0.25">
      <c r="A16" s="132"/>
      <c r="B16" s="229"/>
      <c r="C16" s="229"/>
    </row>
    <row r="17" spans="1:7" x14ac:dyDescent="0.25">
      <c r="A17" s="132"/>
      <c r="B17" s="229"/>
      <c r="C17" s="229"/>
    </row>
    <row r="18" spans="1:7" x14ac:dyDescent="0.25">
      <c r="A18" s="227" t="s">
        <v>162</v>
      </c>
      <c r="B18" s="229">
        <v>0</v>
      </c>
      <c r="C18" s="229"/>
    </row>
    <row r="19" spans="1:7" x14ac:dyDescent="0.25">
      <c r="B19" s="230"/>
      <c r="C19" s="230"/>
    </row>
    <row r="20" spans="1:7" x14ac:dyDescent="0.25">
      <c r="A20" s="239" t="s">
        <v>195</v>
      </c>
      <c r="B20" s="263" t="s">
        <v>165</v>
      </c>
      <c r="C20" s="263"/>
    </row>
    <row r="21" spans="1:7" x14ac:dyDescent="0.25">
      <c r="A21" s="132" t="s">
        <v>167</v>
      </c>
      <c r="B21" s="229"/>
      <c r="C21" s="230"/>
    </row>
    <row r="22" spans="1:7" x14ac:dyDescent="0.25">
      <c r="A22" s="132" t="s">
        <v>168</v>
      </c>
      <c r="B22" s="231">
        <v>0.7</v>
      </c>
      <c r="C22" s="230"/>
    </row>
    <row r="23" spans="1:7" x14ac:dyDescent="0.25">
      <c r="B23" s="230"/>
      <c r="C23" s="230"/>
      <c r="G23" s="224">
        <f>90.5083+2.600004+22</f>
        <v>115.108304</v>
      </c>
    </row>
    <row r="24" spans="1:7" x14ac:dyDescent="0.25">
      <c r="A24" s="227" t="s">
        <v>169</v>
      </c>
      <c r="B24" s="229">
        <f>B22*B21</f>
        <v>0</v>
      </c>
      <c r="C24" s="230"/>
    </row>
    <row r="25" spans="1:7" x14ac:dyDescent="0.25">
      <c r="B25" s="230"/>
      <c r="C25" s="230"/>
    </row>
    <row r="26" spans="1:7" x14ac:dyDescent="0.25">
      <c r="A26" s="239" t="s">
        <v>173</v>
      </c>
      <c r="B26" s="263"/>
      <c r="C26" s="263"/>
    </row>
    <row r="27" spans="1:7" x14ac:dyDescent="0.25">
      <c r="A27" s="132" t="s">
        <v>167</v>
      </c>
      <c r="B27" s="299"/>
      <c r="C27" s="230"/>
    </row>
    <row r="28" spans="1:7" x14ac:dyDescent="0.25">
      <c r="B28" s="230"/>
      <c r="C28" s="230"/>
    </row>
    <row r="29" spans="1:7" x14ac:dyDescent="0.25">
      <c r="B29" s="230"/>
      <c r="C29" s="230"/>
    </row>
    <row r="30" spans="1:7" x14ac:dyDescent="0.25">
      <c r="A30" s="132" t="s">
        <v>196</v>
      </c>
      <c r="B30" s="230"/>
      <c r="C30" s="230"/>
    </row>
    <row r="31" spans="1:7" x14ac:dyDescent="0.25">
      <c r="B31" s="230"/>
      <c r="C31" s="230"/>
    </row>
    <row r="32" spans="1:7" x14ac:dyDescent="0.25">
      <c r="A32" s="239" t="s">
        <v>172</v>
      </c>
      <c r="B32" s="264"/>
      <c r="C32" s="264"/>
    </row>
    <row r="33" spans="1:7" x14ac:dyDescent="0.25">
      <c r="A33" s="132" t="s">
        <v>182</v>
      </c>
      <c r="B33" s="234">
        <v>0</v>
      </c>
      <c r="C33" s="230"/>
    </row>
    <row r="34" spans="1:7" x14ac:dyDescent="0.25">
      <c r="A34" s="132" t="s">
        <v>180</v>
      </c>
      <c r="B34" s="233">
        <v>0</v>
      </c>
      <c r="C34" s="230"/>
    </row>
    <row r="35" spans="1:7" x14ac:dyDescent="0.25">
      <c r="A35" s="132" t="s">
        <v>181</v>
      </c>
      <c r="B35" s="234">
        <v>0</v>
      </c>
      <c r="C35" s="230"/>
    </row>
    <row r="36" spans="1:7" x14ac:dyDescent="0.25">
      <c r="A36" s="132" t="s">
        <v>1</v>
      </c>
      <c r="B36" s="233"/>
      <c r="C36" s="230"/>
    </row>
    <row r="37" spans="1:7" x14ac:dyDescent="0.25">
      <c r="B37" s="230"/>
      <c r="C37" s="230"/>
    </row>
    <row r="38" spans="1:7" x14ac:dyDescent="0.25">
      <c r="A38" s="132" t="s">
        <v>176</v>
      </c>
      <c r="B38" s="235">
        <f>SUM(B33:B37)</f>
        <v>0</v>
      </c>
      <c r="C38" s="230"/>
    </row>
    <row r="39" spans="1:7" x14ac:dyDescent="0.25">
      <c r="B39" s="230"/>
      <c r="C39" s="230"/>
      <c r="F39" s="227" t="s">
        <v>177</v>
      </c>
      <c r="G39" s="224">
        <f>0</f>
        <v>0</v>
      </c>
    </row>
    <row r="40" spans="1:7" x14ac:dyDescent="0.25">
      <c r="A40" s="228" t="s">
        <v>174</v>
      </c>
      <c r="B40" s="234">
        <v>124.555094</v>
      </c>
      <c r="C40" s="230"/>
    </row>
    <row r="41" spans="1:7" x14ac:dyDescent="0.25">
      <c r="A41" s="132" t="s">
        <v>175</v>
      </c>
      <c r="B41" s="229">
        <f>B7+B18+B24+B30+B38</f>
        <v>0</v>
      </c>
      <c r="C41" s="230"/>
    </row>
    <row r="42" spans="1:7" x14ac:dyDescent="0.25">
      <c r="A42" s="132" t="s">
        <v>178</v>
      </c>
      <c r="B42" s="229">
        <f>G39</f>
        <v>0</v>
      </c>
      <c r="C42" s="230"/>
    </row>
    <row r="43" spans="1:7" x14ac:dyDescent="0.25">
      <c r="A43" s="132" t="s">
        <v>194</v>
      </c>
      <c r="B43" s="229"/>
      <c r="C43" s="230"/>
    </row>
    <row r="44" spans="1:7" x14ac:dyDescent="0.25">
      <c r="A44" s="132" t="s">
        <v>179</v>
      </c>
      <c r="B44" s="229">
        <v>146.16671199999999</v>
      </c>
      <c r="C44" s="230"/>
    </row>
    <row r="46" spans="1:7" x14ac:dyDescent="0.25">
      <c r="A46" s="224" t="s">
        <v>193</v>
      </c>
    </row>
  </sheetData>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FdsFormulaCache xmlns="urn:fdsformulacache" version="2" timestamp="1622459762"><![CDATA[{"FLWR-CA^FG_VOLUME(44345)":0.41194,"FLWR-CA^FG_PRICE(44345)":0.24,"FLWR-CA^FG_VOLUME(44344)":0.41194,"FLWR-CA^FG_PRICE(44344)":0.24,"FLWR-CA^FG_VOLUME(44343)":0.514686,"FLWR-CA^FG_PRICE(44343)":0.235,"FLWR-CA^FG_VOLUME(44342)":1.095675,"FLWR-CA^FG_PRICE(44342)":0.215,"FLWR-CA^FG_VOLUME(44341)":0.591984,"FLWR-CA^FG_PRICE(44341)":0.225,"FLWR-CA^FG_VOLUME(44340)":0.135757,"FLWR-CA^FG_PRICE(44340)":0.235,"FLWR-CA^FG_VOLUME(44337)":0.135757,"FLWR-CA^FG_PRICE(44337)":0.235,"FLWR-CA^FG_VOLUME(44336)":0.169972,"FLWR-CA^FG_PRICE(44336)":0.24,"FLWR-CA^FG_VOLUME(44335)":0.227656,"FLWR-CA^FG_PRICE(44335)":0.245,"FLWR-CA^FG_VOLUME(44334)":0.169118,"FLWR-CA^FG_PRICE(44334)":0.245,"FLWR-CA^FG_VOLUME(44333)":0.330979,"FLWR-CA^FG_PRICE(44333)":0.24,"FLWR-CA^FG_VOLUME(44330)":0.087863,"FLWR-CA^FG_PRICE(44330)":0.245,"FLWR-CA^FG_VOLUME(44329)":0.239663,"FLWR-CA^FG_PRICE(44329)":0.24,"FLWR-CA^FG_VOLUME(44328)":0.355236,"FLWR-CA^FG_PRICE(44328)":0.245,"FLWR-CA^FG_VOLUME(44327)":1.053197,"FLWR-CA^FG_PRICE(44327)":0.25,"FLWR-CA^FG_VOLUME(44326)":0.413615,"FLWR-CA^FG_PRICE(44326)":0.26,"FLWR-CA^FG_VOLUME(44323)":0.161772,"FLWR-CA^FG_PRICE(44323)":0.27,"FLWR-CA^FG_VOLUME(44322)":0.061033,"FLWR-CA^FG_PRICE(44322)":0.27,"FLWR-CA^FG_VOLUME(44321)":0.104582,"FLWR-CA^FG_PRICE(44321)":0.265,"FLWR-CA^FG_VOLUME(44320)":0.349864,"FLWR-CA^FG_PRICE(44320)":0.27,"FLWR-CA^FG_VOLUME(44319)":0.343752,"FLWR-CA^FG_PRICE(44319)":0.27,"FLWR-CA^FG_VOLUME(44316)":0.164322,"FLWR-CA^FG_PRICE(44316)":0.28,"FLWR-CA^FG_VOLUME(44315)":0.630629,"FLWR-CA^FG_PRICE(44315)":0.28,"FLWR-CA^FG_VOLUME(44314)":0.82588,"FLWR-CA^FG_PRICE(44314)":0.295,"FLWR-CA^FG_VOLUME(44313)":0.921486,"FLWR-CA^FG_PRICE(44313)":0.31,"FLWR-CA^FG_VOLUME(44312)":0.178955,"FLWR-CA^FG_PRICE(44312)":0.275,"FLWR-CA^FG_VOLUME(44309)":0.079033,"FLWR-CA^FG_PRICE(44309)":0.28,"FLWR-CA^FG_VOLUME(44308)":0.235891,"FLWR-CA^FG_PRICE(44308)":0.27,"FLWR-CA^FG_VOLUME(44307)":0.155134,"FLWR-CA^FG_PRICE(44307)":0.285,"FLWR-CA^FG_VOLUME(44306)":0.422312,"FLWR-CA^FG_PRICE(44306)":0.28,"FLWR-CA^FG_VOLUME(44305)":1.190782,"FLWR-CA^FG_PRICE(44305)":0.285,"FLWR-CA^FG_VOLUME(44302)":0.273857,"FLWR-CA^FG_PRICE(44302)":0.31,"FLWR-CA^FG_VOLUME(44301)":1.058232,"FLWR-CA^FG_PRICE(44301)":0.315,"FLWR-CA^FG_VOLUME(44300)":0.274737,"FLWR-CA^FG_PRICE(44300)":0.315,"FLWR-CA^FG_VOLUME(44299)":0.269901,"FLWR-CA^FG_PRICE(44299)":0.315,"FLWR-CA^FG_VOLUME(44298)":0.226239,"FLWR-CA^FG_PRICE(44298)":0.315,"FLWR-CA^FG_VOLUME(44295)":0.208287,"FLWR-CA^FG_PRICE(44295)":0.325,"FLWR-CA^FG_VOLUME(44294)":0.269959,"FLWR-CA^FG_PRICE(44294)":0.318,"FLWR-CA^FG_VOLUME(44293)":0.646759,"FLWR-CA^FG_PRICE(44293)":0.305,"FLWR-CA^FG_VOLUME(44292)":0.233745,"FLWR-CA^FG_PRICE(44292)":0.33,"FLWR-CA^FG_VOLUME(44291)":0.258588,"FLWR-CA^FG_PRICE(44291)":0.335,"FLWR-CA^FG_VOLUME(44288)":0.206804,"FLWR-CA^FG_PRICE(44288)":0.315,"FLWR-CA^FG_VOLUME(44287)":0.206804,"FLWR-CA^FG_PRICE(44287)":0.315,"FLWR-CA^FG_VOLUME(44286)":0.51585,"FLWR-CA^FG_PRICE(44286)":0.31,"FLWR-CA^FG_VOLUME(44285)":0.542429,"FLWR-CA^FG_PRICE(44285)":0.305,"FLWR-CA^FG_VOLUME(44284)":0.116657,"FLWR-CA^FG_PRICE(44284)":0.32,"FLWR-CA^FG_VOLUME(44281)":0.281126,"FLWR-CA^FG_PRICE(44281)":0.32,"FLWR-CA^FG_VOLUME(44280)":0.891196,"FLWR-CA^FG_PRICE(44280)":0.32,"FLWR-CA^FG_VOLUME(44279)":0.33481,"FLWR-CA^FG_PRICE(44279)":0.335,"FLWR-CA^FG_VOLUME(44278)":0.235003,"FLWR-CA^FG_PRICE(44278)":0.35,"FLWR-CA^FG_VOLUME(44277)":0.534071,"FLWR-CA^FG_PRICE(44277)":0.365,"FLWR-CA^FG_VOLUME(44274)":0.577849,"FLWR-CA^FG_PRICE(44274)":0.36,"FLWR-CA^FG_VOLUME(44273)":0.933534,"FLWR-CA^FG_PRICE(44273)":0.345,"FLWR-CA^FG_VOLUME(44272)":1.470931,"FLWR-CA^FG_PRICE(44272)":0.335,"FLWR-CA^FG_VOLUME(44271)":0.508737,"FLWR-CA^FG_PRICE(44271)":0.315,"FLWR-CA^FG_VOLUME(44270)":0.331849,"FLWR-CA^FG_PRICE(44270)":0.318,"FLWR-CA^FG_VOLUME(44267)":0.511182,"FLWR-CA^FG_PRICE(44267)":0.31,"FLWR-CA^FG_VOLUME(44266)":0.521262,"FLWR-CA^FG_PRICE(44266)":0.325,"FLWR-CA^FG_VOLUME(44265)":0.316591,"FLWR-CA^FG_PRICE(44265)":0.32,"FLWR-CA^FG_VOLUME(44264)":0.576308,"FLWR-CA^FG_PRICE(44264)":0.32,"FLWR-CA^FG_VOLUME(44263)":0.675262,"FLWR-CA^FG_PRICE(44263)":0.325,"FLWR-CA^FG_VOLUME(44260)":1.21038,"FLWR-CA^FG_PRICE(44260)":0.31,"FLWR-CA^FG_VOLUME(44259)":0.610817,"FLWR-CA^FG_PRICE(44259)":0.34,"FLWR-CA^FG_VOLUME(44258)":0.337785,"FLWR-CA^FG_PRICE(44258)":0.35,"FLWR-CA^FG_VOLUME(44257)":0.656658,"FLWR-CA^FG_PRICE(44257)":0.36,"FLWR-CA^FG_VOLUME(44256)":0.252656,"FLWR-CA^FG_PRICE(44256)":0.375,"FLWR-CA^FG_VOLUME(44253)":0.506244,"FLWR-CA^FG_PRICE(44253)":0.365,"FLWR-CA^FG_VOLUME(44252)":0.331063,"FLWR-CA^FG_PRICE(44252)":0.37,"FLWR-CA^FG_VOLUME(44251)":0.302219,"FLWR-CA^FG_PRICE(44251)":0.39,"FLWR-CA^FG_VOLUME(44250)":1.17397,"FLWR-CA^FG_PRICE(44250)":0.37,"FLWR-CA^FG_VOLUME(44249)":0.726919,"FLWR-CA^FG_PRICE(44249)":0.405,"FLWR-CA^FG_VOLUME(44246)":0.519728,"FLWR-CA^FG_PRICE(44246)":0.425,"FLWR-CA^FG_VOLUME(44245)":0.741417,"FLWR-CA^FG_PRICE(44245)":0.425,"FLWR-CA^FG_VOLUME(44244)":0.345598,"FLWR-CA^FG_PRICE(44244)":0.465,"FLWR-CA^FG_VOLUME(44243)":0.564702,"FLWR-CA^FG_PRICE(44243)":0.48,"FLWR-CA^FG_VOLUME(44242)":1.136262,"FLWR-CA^FG_PRICE(44242)":0.48,"FLWR-CA^FG_VOLUME(44239)":1.136262,"FLWR-CA^FG_PRICE(44239)":0.48,"FLWR-CA^FG_VOLUME(44238)":4.04585,"FLWR-CA^FG_PRICE(44238)":0.49,"FLWR-CA^FG_VOLUME(44237)":3.82092,"FLWR-CA^FG_PRICE(44237)":0.6,"FLWR-CA^FG_VOLUME(44236)":1.449467,"FLWR-CA^FG_PRICE(44236)":0.49,"FLWR-CA^FG_VOLUME(44235)":0.977672,"FLWR-CA^FG_PRICE(44235)":0.4,"FLWR-CA^FG_VOLUME(44232)":0.395081,"FLWR-CA^FG_PRICE(44232)":0.375,"FLWR-CA^FG_VOLUME(44231)":0.535323,"FLWR-CA^FG_PRICE(44231)":0.385,"FLWR-CA^FG_VOLUME(44230)":0.404225,"FLWR-CA^FG_PRICE(44230)":0.38,"FLWR-CA^FG_VOLUME(44229)":0.332084,"FLWR-CA^FG_PRICE(44229)":0.35,"FLWR-CA^FG_VOLUME(44228)":0.162988,"FLWR-CA^FG_PRICE(44228)":0.35,"FLWR-CA^FG_VOLUME(44225)":0.248857,"FLWR-CA^FG_PRICE(44225)":0.355,"FLWR-CA^FG_VOLUME(44224)":0.077624,"FLWR-CA^FG_PRICE(44224)":0.38,"FLWR-CA^FG_VOLUME(44223)":0.484209,"FLWR-CA^FG_PRICE(44223)":0.355,"FLWR-CA^FG_VOLUME(44222)":0.388046,"FLWR-CA^FG_PRICE(44222)":0.36,"FLWR-CA^FG_VOLUME(44221)":0.670029,"FLWR-CA^FG_PRICE(44221)":0.37,"FLWR-CA^FG_VOLUME(44218)":0.383737,"FLWR-CA^FG_PRICE(44218)":0.4,"FLWR-CA^FG_VOLUME(44217)":0.184254,"FLWR-CA^FG_PRICE(44217)":0.405,"FLWR-CA^FG_VOLUME(44216)":0.207872,"FLWR-CA^FG_PRICE(44216)":0.42,"FLWR-CA^FG_VOLUME(44215)":0.565972,"FLWR-CA^FG_PRICE(44215)":0.41,"FLWR-CA^FG_VOLUME(44214)":0.183416,"FLWR-CA^FG_PRICE(44214)":0.41,"FLWR-CA^FG_VOLUME(44211)":0.467756,"FLWR-CA^FG_PRICE(44211)":0.405,"FLWR-CA^FG_VOLUME(44210)":0.339909,"FLWR-CA^FG_PRICE(44210)":0.41,"FLWR-CA^FG_VOLUME(44209)":0.127386,"FLWR-CA^FG_PRICE(44209)":0.38,"FLWR-CA^FG_VOLUME(44208)":0.362416,"FLWR-CA^FG_PRICE(44208)":0.38,"FLWR-CA^FG_VOLUME(44207)":0.254882,"FLWR-CA^FG_PRICE(44207)":0.38,"FLWR-CA^FG_VOLUME(44204)":0.415715,"FLWR-CA^FG_PRICE(44204)":0.37,"FLWR-CA^FG_VOLUME(44203)":0.306721,"FLWR-CA^FG_PRICE(44203)":0.4,"FLWR-CA^FG_VOLUME(44202)":0.339178,"FLWR-CA^FG_PRICE(44202)":0.38,"FLWR-CA^FG_VOLUME(44201)":0.108687,"FLWR-CA^FG_PRICE(44201)":0.35,"FLWR-CA^FG_VOLUME(44200)":0.079176,"FLWR-CA^FG_PRICE(44200)":0.335,"FLWR-CA^FG_VOLUME(44197)":0.722203,"FLWR-CA^FG_PRICE(44197)":0.325,"FLWR-CA^FG_VOLUME(44196)":0.722203,"FLWR-CA^FG_PRICE(44196)":0.325,"FLWR-CA^FG_VOLUME(44195)":0.660617,"FLWR-CA^FG_PRICE(44195)":0.345,"FLWR-CA^FG_VOLUME(44194)":0.565852,"FLWR-CA^FG_PRICE(44194)":0.375,"FLWR-CA^FG_VOLUME(44193)":0.137717,"FLWR-CA^FG_PRICE(44193)":0.42,"FLWR-CA^FG_VOLUME(44190)":0.137717,"FLWR-CA^FG_PRICE(44190)":0.42,"FLWR-CA^FG_VOLUME(44189)":0.137717,"FLWR-CA^FG_PRICE(44189)":0.42,"FLWR-CA^FG_VOLUME(44188)":0.219556,"FLWR-CA^FG_PRICE(44188)":0.415,"FLWR-CA^FG_VOLUME(44187)":0.188105,"FLWR-CA^FG_PRICE(44187)":0.41,"FLWR-CA^FG_VOLUME(44186)":0.112961,"FLWR-CA^FG_PRICE(44186)":0.385,"FLWR-CA^FG_VOLUME(44183)":0.129573,"FLWR-CA^FG_PRICE(44183)":0.415,"FLWR-CA^FG_VOLUME(44182)":1.418345,"FLWR-CA^FG_PRICE(44182)":0.39,"FLWR-CA^FG_VOLUME(44181)":0.544106,"FLWR-CA^FG_PRICE(44181)":0.33,"FLWR-CA^FG_VOLUME(44180)":0.167964,"FLWR-CA^FG_PRICE(44180)":0.33,"FLWR-CA^FG_VOLUME(44179)":0.377641,"FLWR-CA^FG_PRICE(44179)":0.335,"FLWR-CA^FG_VOLUME(44176)":1.538886,"FLWR-CA^FG_PRICE(44176)":0.355,"FLWR-CA^FG_VOLUME(44175)":0.392432,"FLWR-CA^FG_PRICE(44175)":0.39,"FLWR-CA^FG_VOLUME(44174)":0.249543,"FLWR-CA^FG_PRICE(44174)":0.415,"FLWR-CA^FG_VOLUME(44173)":0.118158,"FLWR-CA^FG_PRICE(44173)":0.455,"FLWR-CA^FG_VOLUME(44172)":0.083289,"FLWR-CA^FG_PRICE(44172)":0.46,"FLWR-CA^FG_VOLUME(44169)":0.166987,"FLWR-CA^FG_PRICE(44169)":0.49,"FLWR-CA^FG_VOLUME(44168)":0.169831,"FLWR-CA^FG_PRICE(44168)":0.485,"FLWR-CA^FG_VOLUME(44167)":0.105176,"FLWR-CA^FG_PRICE(44167)":0.455,"FLWR-CA^FG_VOLUME(44166)":0.156053,"FLWR-CA^FG_PRICE(44166)":0.46,"FLWR-CA^FG_VOLUME(44165)":0.057697,"FLWR-CA^FG_PRICE(44165)":0.475,"FLWR-CA^FG_VOLUME(44162)":0.176772,"FLWR-CA^FG_PRICE(44162)":0.45,"FLWR-CA^FG_VOLUME(44161)":0.047762,"FLWR-CA^FG_PRICE(44161)":0.465,"FLWR-CA^FG_VOLUME(44160)":0.072505,"FLWR-CA^FG_PRICE(44160)":0.44,"FLWR-CA^FG_VOLUME(44159)":0.189901,"FLWR-CA^FG_PRICE(44159)":0.45,"FLWR-CA^FG_VOLUME(44158)":0.197091,"FLWR-CA^FG_PRICE(44158)":0.41,"FLWR-CA^FG_VOLUME(44155)":0.014108,"FLWR-CA^FG_PRICE(44155)":0.43,"FLWR-CA^FG_VOLUME(44154)":0.045414,"FLWR-CA^FG_PRICE(44154)":0.43,"FLWR-CA^FG_VOLUME(44153)":0.021353,"FLWR-CA^FG_PRICE(44153)":0.43,"FLWR-CA^FG_VOLUME(44152)":0.021525,"FLWR-CA^FG_PRICE(44152)":0.435,"FLWR-CA^FG_VOLUME(44151)":0.0454,"FLWR-CA^FG_PRICE(44151)":0.425,"FLWR-CA^FG_VOLUME(44148)":0.207641,"FLWR-CA^FG_PRICE(44148)":0.42,"FLWR-CA^FG_VOLUME(44147)":0.036255,"FLWR-CA^FG_PRICE(44147)":0.45,"FLWR-CA^FG_VOLUME(44146)":0.055349,"FLWR-CA^FG_PRICE(44146)":0.46,"FLWR-CA^FG_VOLUME(44145)":0.329421,"FLWR-CA^FG_PRICE(44145)":0.47,"FLWR-CA^FG_VOLUME(44144)":0.254843,"FLWR-CA^FG_PRICE(44144)":0.485,"FLWR-CA^FG_VOLUME(44141)":0.291545,"FLWR-CA^FG_PRICE(44141)":0.42,"FLWR-CA^FG_VOLUME(44140)":0.533196,"FLWR-CA^FG_PRICE(44140)":0.415,"FLWR-CA^FG_VOLUME(44139)":0.052288,"FLWR-CA^FG_PRICE(44139)":0.42,"FLWR-CA^FG_VOLUME(44138)":0.017094,"FLWR-CA^FG_PRICE(44138)":0.44,"FLWR-CA^FG_VOLUME(44137)":0.019157,"FLWR-CA^FG_PRICE(44137)":0.455,"FLWR-CA^FG_VOLUME(44134)":0.052781,"FLWR-CA^FG_PRICE(44134)":0.44,"FLWR-CA^FG_VOLUME(44133)":0.009736,"FLWR-CA^FG_PRICE(44133)":0.47,"FLWR-CA^FG_VOLUME(44132)":0.04619,"FLWR-CA^FG_PRICE(44132)":0.46,"FLWR-CA^FG_VOLUME(44131)":0.0096,"FLWR-CA^FG_PRICE(44131)":0.475,"FLWR-CA^FG_VOLUME(44130)":0.074515,"FLWR-CA^FG_PRICE(44130)":0.485,"FLWR-CA^FG_VOLUME(44127)":0.021881,"FLWR-CA^FG_PRICE(44127)":0.49,"FLWR-CA^FG_VOLUME(44126)":0.020571,"FLWR-CA^FG_PRICE(44126)":0.485,"FLWR-CA^FG_VOLUME(44125)":0.047083,"FLWR-CA^FG_PRICE(44125)":0.475,"FLWR-CA^FG_VOLUME(44124)":0.2504,"FLWR-CA^FG_PRICE(44124)":0.475,"FLWR-CA^FG_VOLUME(44123)":0.073761,"FLWR-CA^FG_PRICE(44123)":0.48,"FLWR-CA^FG_VOLUME(44120)":0.007359,"FLWR-CA^FG_PRICE(44120)":0.465,"FLWR-CA^FG_VOLUME(44119)":0.001055,"FLWR-CA^FG_PRICE(44119)":0.46,"FLWR-CA^FG_VOLUME(44118)":0.00256,"FLWR-CA^FG_PRICE(44118)":0.465,"FLWR-CA^FG_VOLUME(44117)":0.02725,"FLWR-CA^FG_PRICE(44117)":0.46,"FLWR-CA^FG_VOLUME(44116)":0.087975,"FLWR-CA^FG_PRICE(44116)":0.46,"FLWR-CA^FG_VOLUME(44113)":0.087975,"FLWR-CA^FG_PRICE(44113)":0.46,"FLWR-CA^FG_VOLUME(44112)":0.07996,"FLWR-CA^FG_PRICE(44112)":0.44,"FLWR-CA^FG_VOLUME(44111)":0.003475,"FLWR-CA^FG_PRICE(44111)":0.42,"FLWR-CA^FG_VOLUME(44110)":0.006945,"FLWR-CA^FG_PRICE(44110)":0.41,"FLWR-CA^FG_VOLUME(44109)":0.010685,"FLWR-CA^FG_PRICE(44109)":0.43,"FLWR-CA^FG_VOLUME(44106)":0.007381,"FLWR-CA^FG_PRICE(44106)":0.415,"FLWR-CA^FG_VOLUME(44105)":0.030491,"FLWR-CA^FG_PRICE(44105)":0.395,"FLWR-CA^FG_VOLUME(44104)":0.026074,"FLWR-CA^FG_PRICE(44104)":0.39,"FLWR-CA^FG_VOLUME(44103)":0.1664,"FLWR-CA^FG_PRICE(44103)":0.43,"FLWR-CA^FG_VOLUME(44102)":0.063715,"FLWR-CA^FG_PRICE(44102)":0.425,"FLWR-CA^FG_VOLUME(44099)":0.009722,"FLWR-CA^FG_PRICE(44099)":0.44,"FLWR-CA^FG_VOLUME(44098)":0.122174,"FLWR-CA^FG_PRICE(44098)":0.42,"FLWR-CA^FG_VOLUME(44097)":0.019942,"FLWR-CA^FG_PRICE(44097)":0.44,"FLWR-CA^FG_VOLUME(44096)":0.042375,"FLWR-CA^FG_PRICE(44096)":0.44,"FLWR-CA^FG_VOLUME(44095)":0.020202,"FLWR-CA^FG_PRICE(44095)":0.45,"FLWR-CA^FG_VOLUME(44092)":0.060072,"FLWR-CA^FG_PRICE(44092)":0.455,"FLWR-CA^FG_VOLUME(44091)":0.166428,"FLWR-CA^FG_PRICE(44091)":0.46,"FLWR-CA^FG_VOLUME(44090)":0.02651,"FLWR-CA^FG_PRICE(44090)":0.47,"FLWR-CA^FG_VOLUME(44089)":0.030758,"FLWR-CA^FG_PRICE(44089)":0.49,"FLWR-CA^FG_VOLUME(44088)":0.044839,"FLWR-CA^FG_PRICE(44088)":0.485,"FLWR-CA^FG_VOLUME(44085)":0.120957,"FLWR-CA^FG_PRICE(44085)":0.48,"FLWR-CA^FG_VOLUME(44084)":0.020088,"FLWR-CA^FG_PRICE(44084)":0.44,"FLWR-CA^FG_VOLUME(44083)":0.005183,"FLWR-CA^FG_PRICE(44083)":0.435,"FLWR-CA^FG_VOLUME(44082)":0.027594,"FLWR-CA^FG_PRICE(44082)":0.445,"FLWR-CA^FG_VOLUME(44081)":0.017142,"FLWR-CA^FG_PRICE(44081)":0.44,"FLWR-CA^FG_VOLUME(44078)":0.017142,"FLWR-CA^FG_PRICE(44078)":0.44,"FLWR-CA^FG_VOLUME(44077)":0.047325,"FLWR-CA^FG_PRICE(44077)":0.445,"FLWR-CA^FG_VOLUME(44076)":0.043545,"FLWR-CA^FG_PRICE(44076)":0.46,"FLWR-CA^FG_VOLUME(44075)":0.021568,"FLWR-CA^FG_PRICE(44075)":0.47,"FLWR-CA^FG_VOLUME(44074)":0.070746,"FLWR-CA^FG_PRICE(44074)":0.49,"FLWR-CA^FG_VOLUME(44071)":0.040458,"FLWR-CA^FG_PRICE(44071)":0.465,"FLWR-CA^FG_VOLUME(44070)":0.243752,"FLWR-CA^FG_PRICE(44070)":0.465,"FLWR-CA^FG_VOLUME(44069)":0.0771,"FLWR-CA^FG_PRICE(44069)":0.45,"FLWR-CA^FG_VOLUME(44068)":0.149035,"FLWR-CA^FG_PRICE(44068)":0.45,"FLWR-CA^FG_VOLUME(44067)":0.016812,"FLWR-CA^FG_PRICE(44067)":0.425,"FLWR-CA^FG_VOLUME(44064)":0.022067,"FLWR-CA^FG_PRICE(44064)":0.425,"FLWR-CA^FG_VOLUME(44063)":0.019637,"FLWR-CA^FG_PRICE(44063)":0.415,"FLWR-CA^FG_VOLUME(44062)":0.057048,"FLWR-CA^FG_PRICE(44062)":0.425,"FLWR-CA^FG_VOLUME(44061)":0.069459,"FLWR-CA^FG_PRICE(44061)":0.42,"FLWR-CA^FG_VOLUME(44060)":0.159883,"FLWR-CA^FG_PRICE(44060)":0.405,"FLWR-CA^FG_VOLUME(44057)":0.225096,"FLWR-CA^FG_PRICE(44057)":0.425,"FLWR-CA^FG_VOLUME(44056)":0.277933,"FLWR-CA^FG_PRICE(44056)":0.445,"FLWR-CA^FG_VOLUME(44055)":0.016138,"FLWR-CA^FG_PRICE(44055)":0.46,"FLWR-CA^FG_VOLUME(44054)":0.060268,"FLWR-CA^FG_PRICE(44054)":0.47,"FLWR-CA^FG_VOLUME(44053)":0.126449,"FLWR-CA^FG_PRICE(44053)":0.47,"FLWR-CA^FG_VOLUME(44050)":0.146196,"FLWR-CA^FG_PRICE(44050)":0.47,"FLWR-CA^FG_VOLUME(44049)":0.068776,"FLWR-CA^FG_PRICE(44049)":0.48,"FLWR-CA^FG_VOLUME(44048)":0.244818,"FLWR-CA^FG_PRICE(44048)":0.465,"FLWR-CA^FG_VOLUME(44047)":0.217682,"FLWR-CA^FG_PRICE(44047)":0.485,"FLWR-CA^FG_VOLUME(44046)":0.04337,"FLWR-CA^FG_PRICE(44046)":0.5,"FLWR-CA^FG_VOLUME(44043)":0.04337,"FLWR-CA^FG_PRICE(44043)":0.5,"FLWR-CA^FG_VOLUME(44042)":0.078029,"FLWR-CA^FG_PRICE(44042)":0.52,"FLWR-CA^FG_VOLUME(44041)":0.031703,"FLWR-CA^FG_PRICE(44041)":0.54,"FLWR-CA^FG_VOLUME(44040)":0.041448,"FLWR-CA^FG_PRICE(44040)":0.53,"FLWR-CA^FG_VOLUME(44039)":0.061235,"FLWR-CA^FG_PRICE(44039)":0.53,"FLWR-CA^FG_VOLUME(44036)":0.078813,"FLWR-CA^FG_PRICE(44036)":0.53,"FLWR-CA^FG_VOLUME(44035)":0.008648,"FLWR-CA^FG_PRICE(44035)":0.55,"FLWR-CA^FG_VOLUME(44034)":0.071294,"FLWR-CA^FG_PRICE(44034)":0.55,"FLWR-CA^FG_VOLUME(44033)":0.016048,"FLWR-CA^FG_PRICE(44033)":0.56,"FLWR-CA^FG_VOLUME(44032)":0.04918,"FLWR-CA^FG_PRICE(44032)":0.57,"FLWR-CA^FG_VOLUME(44029)":0.052731,"FLWR-CA^FG_PRICE(44029)":0.55,"FLWR-CA^FG_VOLUME(44028)":0.072503,"FLWR-CA^FG_PRICE(44028)":0.56,"FLWR-CA^FG_VOLUME(44027)":0.050582,"FLWR-CA^FG_PRICE(44027)":0.54,"FLWR-CA^FG_VOLUME(44026)":0.019585,"FLWR-CA^FG_PRICE(44026)":0.57,"FLWR-CA^FG_VOLUME(44025)":0.04913,"FLWR-CA^FG_PRICE(44025)":0.56,"FLWR-CA^FG_VOLUME(44022)":0.117445,"FLWR-CA^FG_PRICE(44022)":0.58,"FLWR-CA^FG_VOLUME(44021)":0.025826,"FLWR-CA^FG_PRICE(44021)":0.56,"FLWR-CA^FG_VOLUME(44020)":0.134569,"FLWR-CA^FG_PRICE(44020)":0.55,"FLWR-CA^FG_VOLUME(44019)":0.083854,"FLWR-CA^FG_PRICE(44019)":0.55,"FLWR-CA^FG_VOLUME(44018)":0.099546,"FLWR-CA^FG_PRICE(44018)":0.55,"FLWR-CA^FG_VOLUME(44015)":0.027554,"FLWR-CA^FG_PRICE(44015)":0.57,"FLWR-CA^FG_VOLUME(44014)":0.191785,"FLWR-CA^FG_PRICE(44014)":0.58,"FLWR-CA^FG_VOLUME(44013)":0.067942,"FLWR-CA^FG_PRICE(44013)":0.55,"FLWR-CA^FG_VOLUME(44012)":0.067942,"FLWR-CA^FG_PRICE(44012)":0.55,"FLWR-CA^FG_VOLUME(44011)":0.214073,"FLWR-CA^FG_PRICE(44011)":0.51,"FLWR-CA^FG_VOLUME(44008)":0.03696,"FLWR-CA^FG_PRICE(44008)":0.56,"FLWR-CA^FG_VOLUME(44007)":0.140838,"FLWR-CA^FG_PRICE(44007)":0.58,"FLWR-CA^FG_VOLUME(44006)":0.150838,"FLWR-CA^FG_PRICE(44006)":0.57,"FLWR-CA^FG_VOLUME(44005)":0.04681,"FLWR-CA^FG_PRICE(44005)":0.57,"FLWR-CA^FG_VOLUME(44004)":0.067948,"FLWR-CA^FG_PRICE(44004)":0.57,"FLWR-CA^FG_VOLUME(44001)":0.087021,"FLWR-CA^FG_PRICE(44001)":0.57,"FLWR-CA^FG_VOLUME(44000)":0.044451,"FLWR-CA^FG_PRICE(44000)":0.6,"FLWR-CA^FG_VOLUME(43999)":0.051998,"FLWR-CA^FG_PRICE(43999)":0.57,"FLWR-CA^FG_VOLUME(43998)":0.029127,"FLWR-CA^FG_PRICE(43998)":0.58,"FLWR-CA^FG_VOLUME(43997)":0.083448,"FLWR-CA^FG_PRICE(43997)":0.57,"FLWR-CA^FG_VOLUME(43994)":0.157644,"FLWR-CA^FG_PRICE(43994)":0.63,"FLWR-CA^FG_VOLUME(43993)":0.141532,"FLWR-CA^FG_PRICE(43993)":0.63,"FLWR-CA^FG_VOLUME(43992)":0.060356,"FLWR-CA^FG_PRICE(43992)":0.61,"FLWR-CA^FG_VOLUME(43991)":0.189384,"FLWR-CA^FG_PRICE(43991)":0.63,"FLWR-CA^FG_VOLUME(43990)":0.083648,"FLWR-CA^FG_PRICE(43990)":0.6,"FLWR-CA^FG_VOLUME(43987)":0.133059,"FLWR-CA^FG_PRICE(43987)":0.59,"FLWR-CA^FG_VOLUME(43986)":0.097178,"FLWR-CA^FG_PRICE(43986)":0.58,"FLWR-CA^FG_VOLUME(43985)":0.191898,"FLWR-CA^FG_PRICE(43985)":0.59,"FLWR-CA^FG_VOLUME(43984)":0.03935,"FLWR-CA^FG_PRICE(43984)":0.57,"FLWR-CA^FG_VOLUME(43983)":0.047707,"FLWR-CA^FG_PRICE(43983)":0.58,"FLWR-CA^FG_VOLUME(43980)":0.29692,"FLWR-CA^FG_PRICE(43980)":0.59,"FLWR-CA^FG_VOLUME(43979)":0.071683,"FLWR-CA^FG_PRICE(43979)":0.61}]]></FdsFormulaCache>
</file>

<file path=customXml/itemProps1.xml><?xml version="1.0" encoding="utf-8"?>
<ds:datastoreItem xmlns:ds="http://schemas.openxmlformats.org/officeDocument/2006/customXml" ds:itemID="{790A8194-517B-4083-8A1C-5A023E84230B}">
  <ds:schemaRefs>
    <ds:schemaRef ds:uri="urn:fdsformulacach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Inputs</vt:lpstr>
      <vt:lpstr>Model</vt:lpstr>
      <vt:lpstr>Notes</vt:lpstr>
      <vt:lpstr>Front Page</vt:lpstr>
      <vt:lpstr>Competition</vt:lpstr>
      <vt:lpstr>Charts</vt:lpstr>
      <vt:lpstr>Charts 2 </vt:lpstr>
      <vt:lpstr>Diluted Share count</vt:lpstr>
      <vt:lpstr>Post Results Workbook</vt:lpstr>
      <vt:lpstr>Tear Sheet</vt:lpstr>
      <vt:lpstr>Standardized FS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Venkata Prasad Velagapudi</dc:creator>
  <cp:lastModifiedBy>Venkata</cp:lastModifiedBy>
  <cp:lastPrinted>2022-08-11T17:03:32Z</cp:lastPrinted>
  <dcterms:created xsi:type="dcterms:W3CDTF">2019-09-17T13:27:12Z</dcterms:created>
  <dcterms:modified xsi:type="dcterms:W3CDTF">2024-03-20T19:36:05Z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dsSearchOrder">
    <vt:i4>0</vt:i4>
  </property>
  <property fmtid="{D5CDD505-2E9C-101B-9397-08002B2CF9AE}" pid="3" name="Id">
    <vt:lpwstr>aff7c529-4008-4d4b-9550-682745c34bb1</vt:lpwstr>
  </property>
</Properties>
</file>