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era-\work\M13\Anhang_Masterarbeit\Anhang_final\03_Isotherme_Simulation_Kap5\"/>
    </mc:Choice>
  </mc:AlternateContent>
  <xr:revisionPtr revIDLastSave="0" documentId="13_ncr:1_{4E8E077C-8108-468A-97E0-02C2BE489F27}" xr6:coauthVersionLast="47" xr6:coauthVersionMax="47" xr10:uidLastSave="{00000000-0000-0000-0000-000000000000}"/>
  <bookViews>
    <workbookView xWindow="-98" yWindow="-98" windowWidth="22695" windowHeight="14476" xr2:uid="{555ED553-DA1B-4FEC-896F-0B6CD0BD4629}"/>
  </bookViews>
  <sheets>
    <sheet name="Übersicht" sheetId="15" r:id="rId1"/>
    <sheet name="4.6.2 Wetter" sheetId="5" r:id="rId2"/>
    <sheet name="5.1.1 DIN 16798" sheetId="11" r:id="rId3"/>
    <sheet name="5.1.1 DIN 1991" sheetId="10" r:id="rId4"/>
    <sheet name="5.1 C_P" sheetId="12" r:id="rId5"/>
    <sheet name="5.2.1 DFR" sheetId="1" r:id="rId6"/>
    <sheet name="5.2.2 WSOA" sheetId="2" r:id="rId7"/>
    <sheet name="5.2.3 AFN_1Zone" sheetId="3" r:id="rId8"/>
    <sheet name="5.2.3 AFN_2Zonen" sheetId="4" r:id="rId9"/>
    <sheet name="5.2.4 C_W-Nachweis" sheetId="7" r:id="rId10"/>
    <sheet name="5.3 CFD" sheetId="6" r:id="rId11"/>
    <sheet name="5.4 Ergebnis" sheetId="8" r:id="rId12"/>
    <sheet name="Sim vs. Hand" sheetId="13" r:id="rId13"/>
  </sheets>
  <definedNames>
    <definedName name="solver_adj" localSheetId="8" hidden="1">'5.2.3 AFN_2Zonen'!$H$34:$H$35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2</definedName>
    <definedName name="solver_nod" localSheetId="8" hidden="1">2147483647</definedName>
    <definedName name="solver_num" localSheetId="8" hidden="1">0</definedName>
    <definedName name="solver_nwt" localSheetId="8" hidden="1">1</definedName>
    <definedName name="solver_opt" localSheetId="8" hidden="1">'5.2.3 AFN_2Zonen'!$H$54</definedName>
    <definedName name="solver_pre" localSheetId="8" hidden="1">0.000001</definedName>
    <definedName name="solver_rbv" localSheetId="8" hidden="1">1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8" l="1"/>
  <c r="O6" i="8"/>
  <c r="O7" i="8"/>
  <c r="O8" i="8"/>
  <c r="O9" i="8"/>
  <c r="O10" i="8"/>
  <c r="O11" i="8"/>
  <c r="O4" i="8"/>
  <c r="D18" i="8"/>
  <c r="E18" i="8"/>
  <c r="F18" i="8"/>
  <c r="G18" i="8"/>
  <c r="H18" i="8"/>
  <c r="D19" i="8"/>
  <c r="E19" i="8"/>
  <c r="F19" i="8"/>
  <c r="G19" i="8"/>
  <c r="H19" i="8"/>
  <c r="D20" i="8"/>
  <c r="E20" i="8"/>
  <c r="F20" i="8"/>
  <c r="G20" i="8"/>
  <c r="H20" i="8"/>
  <c r="D21" i="8"/>
  <c r="E21" i="8"/>
  <c r="F21" i="8"/>
  <c r="G21" i="8"/>
  <c r="H21" i="8"/>
  <c r="D22" i="8"/>
  <c r="E22" i="8"/>
  <c r="F22" i="8"/>
  <c r="G22" i="8"/>
  <c r="H22" i="8"/>
  <c r="D23" i="8"/>
  <c r="E23" i="8"/>
  <c r="F23" i="8"/>
  <c r="G23" i="8"/>
  <c r="H23" i="8"/>
  <c r="D24" i="8"/>
  <c r="E24" i="8"/>
  <c r="F24" i="8"/>
  <c r="G24" i="8"/>
  <c r="H24" i="8"/>
  <c r="D25" i="8"/>
  <c r="E25" i="8"/>
  <c r="F25" i="8"/>
  <c r="G25" i="8"/>
  <c r="H25" i="8"/>
  <c r="D26" i="8"/>
  <c r="E26" i="8"/>
  <c r="F26" i="8"/>
  <c r="G26" i="8"/>
  <c r="H26" i="8"/>
  <c r="C26" i="8"/>
  <c r="C25" i="8"/>
  <c r="C24" i="8"/>
  <c r="C20" i="8"/>
  <c r="C19" i="8"/>
  <c r="C23" i="8"/>
  <c r="C22" i="8"/>
  <c r="C21" i="8"/>
  <c r="C18" i="8"/>
  <c r="N20" i="1"/>
  <c r="O20" i="1"/>
  <c r="P20" i="1"/>
  <c r="Q20" i="1"/>
  <c r="E40" i="4"/>
  <c r="E30" i="4" s="1"/>
  <c r="E26" i="4"/>
  <c r="E25" i="4"/>
  <c r="F8" i="1"/>
  <c r="L4" i="10"/>
  <c r="AA5" i="12" s="1"/>
  <c r="P7" i="10"/>
  <c r="L8" i="10" s="1"/>
  <c r="AA6" i="12" s="1"/>
  <c r="Q7" i="10"/>
  <c r="L10" i="10" s="1"/>
  <c r="AA8" i="12" s="1"/>
  <c r="R7" i="10"/>
  <c r="O7" i="10"/>
  <c r="L9" i="10" s="1"/>
  <c r="AB7" i="12" s="1"/>
  <c r="E8" i="10"/>
  <c r="Q8" i="1"/>
  <c r="Q27" i="1" s="1"/>
  <c r="Q28" i="1" s="1"/>
  <c r="P8" i="1"/>
  <c r="O8" i="1"/>
  <c r="N8" i="1"/>
  <c r="M8" i="1"/>
  <c r="M24" i="1" s="1"/>
  <c r="L8" i="1"/>
  <c r="L24" i="1" s="1"/>
  <c r="K8" i="1"/>
  <c r="K24" i="1" s="1"/>
  <c r="J8" i="1"/>
  <c r="J24" i="1" s="1"/>
  <c r="J25" i="1" s="1"/>
  <c r="O24" i="1"/>
  <c r="P24" i="1"/>
  <c r="Q13" i="1"/>
  <c r="Q10" i="1"/>
  <c r="P13" i="1"/>
  <c r="P10" i="1"/>
  <c r="O13" i="1"/>
  <c r="O10" i="1"/>
  <c r="N13" i="1"/>
  <c r="N10" i="1"/>
  <c r="M13" i="1"/>
  <c r="M10" i="1"/>
  <c r="L13" i="1"/>
  <c r="L10" i="1"/>
  <c r="K13" i="1"/>
  <c r="K10" i="1"/>
  <c r="J13" i="1"/>
  <c r="J10" i="1"/>
  <c r="C5" i="12"/>
  <c r="D10" i="12"/>
  <c r="D9" i="12"/>
  <c r="D8" i="12"/>
  <c r="C10" i="12"/>
  <c r="C9" i="12"/>
  <c r="C8" i="12"/>
  <c r="D7" i="12"/>
  <c r="D6" i="12"/>
  <c r="C7" i="12"/>
  <c r="C6" i="12"/>
  <c r="D5" i="12"/>
  <c r="F12" i="3"/>
  <c r="G12" i="3"/>
  <c r="H12" i="3"/>
  <c r="I12" i="3"/>
  <c r="J12" i="3"/>
  <c r="K12" i="3"/>
  <c r="L12" i="3"/>
  <c r="M12" i="3"/>
  <c r="N12" i="3"/>
  <c r="W12" i="3"/>
  <c r="X12" i="3"/>
  <c r="Y12" i="3"/>
  <c r="Z12" i="3"/>
  <c r="AA12" i="3"/>
  <c r="AB12" i="3"/>
  <c r="E12" i="3"/>
  <c r="J5" i="4"/>
  <c r="J4" i="4"/>
  <c r="I5" i="4"/>
  <c r="I4" i="4"/>
  <c r="G5" i="4"/>
  <c r="G4" i="4"/>
  <c r="F5" i="4"/>
  <c r="F4" i="4"/>
  <c r="N5" i="3"/>
  <c r="N4" i="3"/>
  <c r="M5" i="3"/>
  <c r="M4" i="3"/>
  <c r="L5" i="3"/>
  <c r="L4" i="3"/>
  <c r="K5" i="3"/>
  <c r="K4" i="3"/>
  <c r="M16" i="3"/>
  <c r="N16" i="3"/>
  <c r="M17" i="3"/>
  <c r="N17" i="3"/>
  <c r="M18" i="3"/>
  <c r="N18" i="3"/>
  <c r="I5" i="3"/>
  <c r="I4" i="3"/>
  <c r="H5" i="3"/>
  <c r="H4" i="3"/>
  <c r="G5" i="3"/>
  <c r="G4" i="3"/>
  <c r="F5" i="3"/>
  <c r="F4" i="3"/>
  <c r="F7" i="10"/>
  <c r="E7" i="10"/>
  <c r="M10" i="4"/>
  <c r="N10" i="4"/>
  <c r="L10" i="4"/>
  <c r="M13" i="4"/>
  <c r="N13" i="4"/>
  <c r="L13" i="4"/>
  <c r="M19" i="4"/>
  <c r="N19" i="4"/>
  <c r="L19" i="4"/>
  <c r="M20" i="4"/>
  <c r="N20" i="4"/>
  <c r="L20" i="4"/>
  <c r="M21" i="4"/>
  <c r="N21" i="4"/>
  <c r="L21" i="4"/>
  <c r="Z9" i="12"/>
  <c r="Z10" i="12"/>
  <c r="Z8" i="12"/>
  <c r="Y10" i="12"/>
  <c r="Y9" i="12"/>
  <c r="Y8" i="12"/>
  <c r="AB8" i="12"/>
  <c r="AB9" i="12"/>
  <c r="AB10" i="12"/>
  <c r="AA16" i="3"/>
  <c r="AB16" i="3"/>
  <c r="W16" i="3"/>
  <c r="X16" i="3"/>
  <c r="AA17" i="3"/>
  <c r="AB17" i="3"/>
  <c r="W17" i="3"/>
  <c r="X17" i="3"/>
  <c r="AA18" i="3"/>
  <c r="AB18" i="3"/>
  <c r="W18" i="3"/>
  <c r="X18" i="3"/>
  <c r="H50" i="12"/>
  <c r="H51" i="12"/>
  <c r="W17" i="12"/>
  <c r="U17" i="12"/>
  <c r="S17" i="12"/>
  <c r="Q17" i="12"/>
  <c r="O17" i="12"/>
  <c r="M17" i="12"/>
  <c r="K17" i="12"/>
  <c r="I17" i="12"/>
  <c r="G17" i="12"/>
  <c r="E17" i="12"/>
  <c r="W16" i="12"/>
  <c r="U16" i="12"/>
  <c r="S16" i="12"/>
  <c r="Q16" i="12"/>
  <c r="O16" i="12"/>
  <c r="M16" i="12"/>
  <c r="K16" i="12"/>
  <c r="I16" i="12"/>
  <c r="G16" i="12"/>
  <c r="E16" i="12"/>
  <c r="W15" i="12"/>
  <c r="U15" i="12"/>
  <c r="S15" i="12"/>
  <c r="Q15" i="12"/>
  <c r="O15" i="12"/>
  <c r="M15" i="12"/>
  <c r="K15" i="12"/>
  <c r="I15" i="12"/>
  <c r="G15" i="12"/>
  <c r="E15" i="12"/>
  <c r="W14" i="12"/>
  <c r="U14" i="12"/>
  <c r="S14" i="12"/>
  <c r="Q14" i="12"/>
  <c r="O14" i="12"/>
  <c r="M14" i="12"/>
  <c r="K14" i="12"/>
  <c r="I14" i="12"/>
  <c r="G14" i="12"/>
  <c r="E14" i="12"/>
  <c r="W13" i="12"/>
  <c r="U13" i="12"/>
  <c r="S13" i="12"/>
  <c r="Q13" i="12"/>
  <c r="O13" i="12"/>
  <c r="M13" i="12"/>
  <c r="K13" i="12"/>
  <c r="I13" i="12"/>
  <c r="G13" i="12"/>
  <c r="E13" i="12"/>
  <c r="W12" i="12"/>
  <c r="U12" i="12"/>
  <c r="S12" i="12"/>
  <c r="Q12" i="12"/>
  <c r="O12" i="12"/>
  <c r="M12" i="12"/>
  <c r="K12" i="12"/>
  <c r="I12" i="12"/>
  <c r="G12" i="12"/>
  <c r="E12" i="12"/>
  <c r="F13" i="1"/>
  <c r="G13" i="1"/>
  <c r="H13" i="1"/>
  <c r="I13" i="1"/>
  <c r="G8" i="1"/>
  <c r="G24" i="1" s="1"/>
  <c r="H8" i="1"/>
  <c r="H24" i="1" s="1"/>
  <c r="I8" i="1"/>
  <c r="I24" i="1" s="1"/>
  <c r="J27" i="1" l="1"/>
  <c r="J28" i="1" s="1"/>
  <c r="N27" i="1"/>
  <c r="N28" i="1" s="1"/>
  <c r="Q24" i="1"/>
  <c r="Q25" i="1" s="1"/>
  <c r="O27" i="1"/>
  <c r="O28" i="1" s="1"/>
  <c r="P25" i="1"/>
  <c r="P27" i="1"/>
  <c r="P28" i="1" s="1"/>
  <c r="M27" i="1"/>
  <c r="M28" i="1" s="1"/>
  <c r="L27" i="1"/>
  <c r="L28" i="1" s="1"/>
  <c r="K27" i="1"/>
  <c r="K28" i="1" s="1"/>
  <c r="N24" i="1"/>
  <c r="N25" i="1" s="1"/>
  <c r="L12" i="10"/>
  <c r="AA9" i="12" s="1"/>
  <c r="AA16" i="12" s="1"/>
  <c r="L14" i="10"/>
  <c r="AA10" i="12" s="1"/>
  <c r="AA17" i="12" s="1"/>
  <c r="L5" i="10"/>
  <c r="AB5" i="12" s="1"/>
  <c r="L6" i="10"/>
  <c r="AA7" i="12" s="1"/>
  <c r="AA14" i="12" s="1"/>
  <c r="L7" i="10"/>
  <c r="AB6" i="12" s="1"/>
  <c r="AA13" i="12" s="1"/>
  <c r="F24" i="1"/>
  <c r="K25" i="1"/>
  <c r="L25" i="1"/>
  <c r="O25" i="1"/>
  <c r="M25" i="1"/>
  <c r="C16" i="12"/>
  <c r="C23" i="12" s="1"/>
  <c r="C17" i="12"/>
  <c r="C24" i="12" s="1"/>
  <c r="C12" i="12"/>
  <c r="C19" i="12" s="1"/>
  <c r="C15" i="12"/>
  <c r="C22" i="12" s="1"/>
  <c r="C14" i="12"/>
  <c r="C21" i="12" s="1"/>
  <c r="C13" i="12"/>
  <c r="C20" i="12" s="1"/>
  <c r="N14" i="4"/>
  <c r="N28" i="4" s="1"/>
  <c r="N26" i="4"/>
  <c r="L24" i="4"/>
  <c r="L14" i="4"/>
  <c r="L28" i="4" s="1"/>
  <c r="M24" i="4"/>
  <c r="M14" i="4"/>
  <c r="M28" i="4" s="1"/>
  <c r="AB23" i="3"/>
  <c r="AB25" i="3"/>
  <c r="N23" i="3"/>
  <c r="N38" i="3" s="1"/>
  <c r="N39" i="3" s="1"/>
  <c r="AA21" i="3"/>
  <c r="AA23" i="3"/>
  <c r="X22" i="3"/>
  <c r="X25" i="3"/>
  <c r="W25" i="3"/>
  <c r="M21" i="3"/>
  <c r="M22" i="3"/>
  <c r="M32" i="3" s="1"/>
  <c r="M33" i="3" s="1"/>
  <c r="M23" i="3"/>
  <c r="M38" i="3" s="1"/>
  <c r="N25" i="3"/>
  <c r="N21" i="3"/>
  <c r="M25" i="3"/>
  <c r="N22" i="3"/>
  <c r="N32" i="3" s="1"/>
  <c r="AA22" i="3"/>
  <c r="AA25" i="3"/>
  <c r="AB22" i="3"/>
  <c r="AA12" i="12"/>
  <c r="AA15" i="12"/>
  <c r="Q21" i="12"/>
  <c r="U19" i="12"/>
  <c r="U21" i="12"/>
  <c r="G22" i="12"/>
  <c r="O21" i="12"/>
  <c r="L25" i="4"/>
  <c r="L26" i="4"/>
  <c r="N25" i="4"/>
  <c r="M26" i="4"/>
  <c r="M25" i="4"/>
  <c r="N24" i="4"/>
  <c r="Y16" i="12"/>
  <c r="Y17" i="12"/>
  <c r="Y15" i="12"/>
  <c r="X21" i="3"/>
  <c r="X23" i="3"/>
  <c r="W21" i="3"/>
  <c r="W23" i="3"/>
  <c r="W22" i="3"/>
  <c r="AB21" i="3"/>
  <c r="M22" i="12"/>
  <c r="K19" i="12"/>
  <c r="Q19" i="12"/>
  <c r="Q22" i="12"/>
  <c r="S22" i="12"/>
  <c r="M24" i="12"/>
  <c r="W22" i="12"/>
  <c r="S24" i="12"/>
  <c r="G19" i="12"/>
  <c r="O24" i="12"/>
  <c r="W19" i="12"/>
  <c r="W24" i="12"/>
  <c r="I21" i="12"/>
  <c r="Q23" i="12"/>
  <c r="K21" i="12"/>
  <c r="I24" i="12"/>
  <c r="G23" i="12"/>
  <c r="K20" i="12"/>
  <c r="S23" i="12"/>
  <c r="S19" i="12"/>
  <c r="M20" i="12"/>
  <c r="G21" i="12"/>
  <c r="W21" i="12"/>
  <c r="O22" i="12"/>
  <c r="E23" i="12"/>
  <c r="U23" i="12"/>
  <c r="K24" i="12"/>
  <c r="Q20" i="12"/>
  <c r="W23" i="12"/>
  <c r="I23" i="12"/>
  <c r="I19" i="12"/>
  <c r="S20" i="12"/>
  <c r="M21" i="12"/>
  <c r="E22" i="12"/>
  <c r="U22" i="12"/>
  <c r="K23" i="12"/>
  <c r="Q24" i="12"/>
  <c r="O20" i="12"/>
  <c r="U20" i="12"/>
  <c r="M19" i="12"/>
  <c r="G20" i="12"/>
  <c r="W20" i="12"/>
  <c r="I22" i="12"/>
  <c r="O23" i="12"/>
  <c r="E24" i="12"/>
  <c r="U24" i="12"/>
  <c r="M23" i="12"/>
  <c r="O19" i="12"/>
  <c r="I20" i="12"/>
  <c r="S21" i="12"/>
  <c r="K22" i="12"/>
  <c r="G24" i="12"/>
  <c r="H11" i="7"/>
  <c r="F26" i="7"/>
  <c r="F27" i="7" s="1"/>
  <c r="F6" i="2"/>
  <c r="F7" i="2" s="1"/>
  <c r="G6" i="2"/>
  <c r="G7" i="2" s="1"/>
  <c r="H6" i="2"/>
  <c r="H7" i="2" s="1"/>
  <c r="I6" i="2"/>
  <c r="I7" i="2" s="1"/>
  <c r="E15" i="7"/>
  <c r="E16" i="7"/>
  <c r="E17" i="7"/>
  <c r="E18" i="7"/>
  <c r="E19" i="7"/>
  <c r="E20" i="7"/>
  <c r="E21" i="7"/>
  <c r="E22" i="7"/>
  <c r="E23" i="7"/>
  <c r="E24" i="7"/>
  <c r="D16" i="7"/>
  <c r="D17" i="7"/>
  <c r="D18" i="7"/>
  <c r="D19" i="7"/>
  <c r="D20" i="7"/>
  <c r="D21" i="7"/>
  <c r="D22" i="7"/>
  <c r="D23" i="7"/>
  <c r="D24" i="7"/>
  <c r="D15" i="7"/>
  <c r="H10" i="7"/>
  <c r="H5" i="7"/>
  <c r="C18" i="7" s="1"/>
  <c r="H6" i="7"/>
  <c r="C19" i="7" s="1"/>
  <c r="H7" i="7"/>
  <c r="C22" i="7" s="1"/>
  <c r="H8" i="7"/>
  <c r="C24" i="7" s="1"/>
  <c r="H4" i="7"/>
  <c r="C15" i="7" s="1"/>
  <c r="G9" i="5"/>
  <c r="H9" i="5"/>
  <c r="F9" i="5"/>
  <c r="E9" i="5"/>
  <c r="I48" i="4"/>
  <c r="J48" i="4"/>
  <c r="J50" i="4" s="1"/>
  <c r="I10" i="4"/>
  <c r="J10" i="4"/>
  <c r="I13" i="4"/>
  <c r="J13" i="4"/>
  <c r="I20" i="4"/>
  <c r="J20" i="4"/>
  <c r="I21" i="4"/>
  <c r="J21" i="4"/>
  <c r="E13" i="4"/>
  <c r="E48" i="4"/>
  <c r="Z18" i="3"/>
  <c r="Y18" i="3"/>
  <c r="Z17" i="3"/>
  <c r="Y17" i="3"/>
  <c r="L18" i="3"/>
  <c r="L17" i="3"/>
  <c r="I18" i="3"/>
  <c r="I17" i="3"/>
  <c r="G18" i="3"/>
  <c r="G17" i="3"/>
  <c r="F18" i="3"/>
  <c r="F17" i="3"/>
  <c r="K8" i="6"/>
  <c r="J8" i="6"/>
  <c r="K7" i="6"/>
  <c r="J7" i="6"/>
  <c r="K10" i="6"/>
  <c r="J10" i="6"/>
  <c r="L10" i="6" s="1"/>
  <c r="K9" i="6"/>
  <c r="J9" i="6"/>
  <c r="K6" i="6"/>
  <c r="J6" i="6"/>
  <c r="K5" i="6"/>
  <c r="J5" i="6"/>
  <c r="L5" i="6" s="1"/>
  <c r="I14" i="4" l="1"/>
  <c r="J24" i="4"/>
  <c r="I24" i="4"/>
  <c r="M41" i="3"/>
  <c r="N40" i="3"/>
  <c r="M35" i="3"/>
  <c r="M36" i="3"/>
  <c r="M39" i="3"/>
  <c r="M40" i="3"/>
  <c r="M42" i="3"/>
  <c r="N36" i="3"/>
  <c r="M34" i="3"/>
  <c r="N35" i="3"/>
  <c r="N42" i="3"/>
  <c r="N41" i="3"/>
  <c r="N33" i="3"/>
  <c r="N34" i="3"/>
  <c r="L9" i="6"/>
  <c r="G4" i="8" s="1"/>
  <c r="G30" i="12"/>
  <c r="G37" i="12" s="1"/>
  <c r="W30" i="12"/>
  <c r="W37" i="12" s="1"/>
  <c r="M30" i="12"/>
  <c r="M37" i="12" s="1"/>
  <c r="Q30" i="12"/>
  <c r="Q37" i="12" s="1"/>
  <c r="E30" i="12"/>
  <c r="E37" i="12" s="1"/>
  <c r="U30" i="12"/>
  <c r="U37" i="12" s="1"/>
  <c r="I30" i="12"/>
  <c r="I37" i="12" s="1"/>
  <c r="K30" i="12"/>
  <c r="K37" i="12" s="1"/>
  <c r="O30" i="12"/>
  <c r="O37" i="12" s="1"/>
  <c r="S30" i="12"/>
  <c r="S37" i="12" s="1"/>
  <c r="H4" i="8"/>
  <c r="U31" i="12"/>
  <c r="U38" i="12" s="1"/>
  <c r="E31" i="12"/>
  <c r="E38" i="12" s="1"/>
  <c r="G31" i="12"/>
  <c r="G38" i="12" s="1"/>
  <c r="W31" i="12"/>
  <c r="W38" i="12" s="1"/>
  <c r="M31" i="12"/>
  <c r="M38" i="12" s="1"/>
  <c r="Q31" i="12"/>
  <c r="Q38" i="12" s="1"/>
  <c r="I31" i="12"/>
  <c r="I38" i="12" s="1"/>
  <c r="K31" i="12"/>
  <c r="K38" i="12" s="1"/>
  <c r="O31" i="12"/>
  <c r="O38" i="12" s="1"/>
  <c r="S31" i="12"/>
  <c r="S38" i="12" s="1"/>
  <c r="L6" i="6"/>
  <c r="D4" i="8" s="1"/>
  <c r="M27" i="12"/>
  <c r="M34" i="12" s="1"/>
  <c r="U27" i="12"/>
  <c r="U34" i="12" s="1"/>
  <c r="G27" i="12"/>
  <c r="G34" i="12" s="1"/>
  <c r="W27" i="12"/>
  <c r="W34" i="12" s="1"/>
  <c r="O27" i="12"/>
  <c r="O34" i="12" s="1"/>
  <c r="S27" i="12"/>
  <c r="S34" i="12" s="1"/>
  <c r="Q27" i="12"/>
  <c r="Q34" i="12" s="1"/>
  <c r="E27" i="12"/>
  <c r="I27" i="12"/>
  <c r="I34" i="12" s="1"/>
  <c r="K27" i="12"/>
  <c r="K34" i="12" s="1"/>
  <c r="L8" i="6"/>
  <c r="F4" i="8" s="1"/>
  <c r="I29" i="12"/>
  <c r="I36" i="12" s="1"/>
  <c r="Q29" i="12"/>
  <c r="Q36" i="12" s="1"/>
  <c r="E29" i="12"/>
  <c r="E36" i="12" s="1"/>
  <c r="U29" i="12"/>
  <c r="U36" i="12" s="1"/>
  <c r="G29" i="12"/>
  <c r="G36" i="12" s="1"/>
  <c r="K29" i="12"/>
  <c r="K36" i="12" s="1"/>
  <c r="S29" i="12"/>
  <c r="S36" i="12" s="1"/>
  <c r="M29" i="12"/>
  <c r="M36" i="12" s="1"/>
  <c r="O29" i="12"/>
  <c r="O36" i="12" s="1"/>
  <c r="W29" i="12"/>
  <c r="W36" i="12" s="1"/>
  <c r="O26" i="12"/>
  <c r="O33" i="12" s="1"/>
  <c r="K26" i="12"/>
  <c r="K33" i="12" s="1"/>
  <c r="M26" i="12"/>
  <c r="M33" i="12" s="1"/>
  <c r="Q26" i="12"/>
  <c r="Q33" i="12" s="1"/>
  <c r="E26" i="12"/>
  <c r="S26" i="12"/>
  <c r="S33" i="12" s="1"/>
  <c r="U26" i="12"/>
  <c r="U33" i="12" s="1"/>
  <c r="W26" i="12"/>
  <c r="W33" i="12" s="1"/>
  <c r="I26" i="12"/>
  <c r="I33" i="12" s="1"/>
  <c r="G26" i="12"/>
  <c r="G33" i="12" s="1"/>
  <c r="L7" i="6"/>
  <c r="E4" i="8" s="1"/>
  <c r="K28" i="12"/>
  <c r="K35" i="12" s="1"/>
  <c r="Q28" i="12"/>
  <c r="Q35" i="12" s="1"/>
  <c r="M28" i="12"/>
  <c r="M35" i="12" s="1"/>
  <c r="E28" i="12"/>
  <c r="S28" i="12"/>
  <c r="S35" i="12" s="1"/>
  <c r="G28" i="12"/>
  <c r="G35" i="12" s="1"/>
  <c r="I28" i="12"/>
  <c r="I35" i="12" s="1"/>
  <c r="O28" i="12"/>
  <c r="O35" i="12" s="1"/>
  <c r="U28" i="12"/>
  <c r="U35" i="12" s="1"/>
  <c r="W28" i="12"/>
  <c r="W35" i="12" s="1"/>
  <c r="J14" i="4"/>
  <c r="I49" i="4"/>
  <c r="G11" i="2"/>
  <c r="H11" i="2"/>
  <c r="I11" i="2"/>
  <c r="F11" i="2"/>
  <c r="E19" i="4"/>
  <c r="I10" i="2"/>
  <c r="F10" i="1"/>
  <c r="G10" i="1"/>
  <c r="G27" i="1" s="1"/>
  <c r="G28" i="1" s="1"/>
  <c r="H10" i="1"/>
  <c r="H27" i="1" s="1"/>
  <c r="H28" i="1" s="1"/>
  <c r="F10" i="2"/>
  <c r="F17" i="2" s="1"/>
  <c r="I10" i="1"/>
  <c r="G10" i="2"/>
  <c r="H10" i="2"/>
  <c r="G19" i="4"/>
  <c r="G16" i="3"/>
  <c r="G23" i="3" s="1"/>
  <c r="G38" i="3" s="1"/>
  <c r="G39" i="3" s="1"/>
  <c r="H19" i="4"/>
  <c r="C26" i="7"/>
  <c r="C27" i="7" s="1"/>
  <c r="D26" i="7"/>
  <c r="D27" i="7" s="1"/>
  <c r="C4" i="8"/>
  <c r="E26" i="7"/>
  <c r="E27" i="7" s="1"/>
  <c r="F19" i="4"/>
  <c r="E16" i="3"/>
  <c r="E25" i="3" s="1"/>
  <c r="Y16" i="3"/>
  <c r="Y23" i="3" s="1"/>
  <c r="K16" i="3"/>
  <c r="Z16" i="3"/>
  <c r="Z23" i="3" s="1"/>
  <c r="J19" i="4"/>
  <c r="J16" i="3"/>
  <c r="I19" i="4"/>
  <c r="H16" i="3"/>
  <c r="I16" i="3"/>
  <c r="I23" i="3" s="1"/>
  <c r="I38" i="3" s="1"/>
  <c r="L16" i="3"/>
  <c r="L25" i="3" s="1"/>
  <c r="F16" i="3"/>
  <c r="F23" i="3" s="1"/>
  <c r="F38" i="3" s="1"/>
  <c r="F39" i="3" s="1"/>
  <c r="J49" i="4"/>
  <c r="J51" i="4" s="1"/>
  <c r="I50" i="4"/>
  <c r="Y21" i="3"/>
  <c r="L21" i="3"/>
  <c r="Z21" i="3"/>
  <c r="I21" i="3"/>
  <c r="G21" i="3"/>
  <c r="F21" i="3"/>
  <c r="H13" i="4"/>
  <c r="G13" i="4"/>
  <c r="F13" i="4"/>
  <c r="F48" i="4"/>
  <c r="G48" i="4"/>
  <c r="G50" i="4" s="1"/>
  <c r="H48" i="4"/>
  <c r="H50" i="4" s="1"/>
  <c r="E50" i="4"/>
  <c r="H21" i="4"/>
  <c r="G21" i="4"/>
  <c r="F21" i="4"/>
  <c r="E21" i="4"/>
  <c r="E49" i="4" s="1"/>
  <c r="H20" i="4"/>
  <c r="G20" i="4"/>
  <c r="F20" i="4"/>
  <c r="E20" i="4"/>
  <c r="H10" i="4"/>
  <c r="G10" i="4"/>
  <c r="F10" i="4"/>
  <c r="E10" i="4"/>
  <c r="E14" i="4" s="1"/>
  <c r="J18" i="3"/>
  <c r="J17" i="3"/>
  <c r="H18" i="3"/>
  <c r="H17" i="3"/>
  <c r="K18" i="3"/>
  <c r="K17" i="3"/>
  <c r="E18" i="3"/>
  <c r="E17" i="3"/>
  <c r="F27" i="1" l="1"/>
  <c r="F28" i="1" s="1"/>
  <c r="F21" i="1"/>
  <c r="F22" i="1" s="1"/>
  <c r="I21" i="1"/>
  <c r="I27" i="1"/>
  <c r="I28" i="1" s="1"/>
  <c r="I22" i="1"/>
  <c r="L12" i="13" s="1"/>
  <c r="L13" i="13" s="1"/>
  <c r="M21" i="1"/>
  <c r="M22" i="1" s="1"/>
  <c r="M26" i="1" s="1"/>
  <c r="Q21" i="1"/>
  <c r="Q22" i="1" s="1"/>
  <c r="Q26" i="1" s="1"/>
  <c r="I23" i="1"/>
  <c r="G9" i="8" s="1"/>
  <c r="I4" i="8"/>
  <c r="N4" i="8"/>
  <c r="J4" i="8"/>
  <c r="L4" i="8"/>
  <c r="M4" i="8"/>
  <c r="K4" i="8"/>
  <c r="I51" i="4"/>
  <c r="I28" i="4"/>
  <c r="J28" i="4"/>
  <c r="M37" i="3"/>
  <c r="M26" i="3"/>
  <c r="M43" i="3"/>
  <c r="M27" i="3"/>
  <c r="N37" i="3"/>
  <c r="N26" i="3"/>
  <c r="N27" i="3"/>
  <c r="N43" i="3"/>
  <c r="F14" i="4"/>
  <c r="F28" i="4" s="1"/>
  <c r="G14" i="4"/>
  <c r="G28" i="4" s="1"/>
  <c r="E28" i="4"/>
  <c r="G26" i="4"/>
  <c r="G42" i="4" s="1"/>
  <c r="G43" i="4" s="1"/>
  <c r="E22" i="3"/>
  <c r="E32" i="3" s="1"/>
  <c r="G21" i="1"/>
  <c r="G25" i="1"/>
  <c r="F22" i="3"/>
  <c r="F32" i="3" s="1"/>
  <c r="F33" i="3" s="1"/>
  <c r="F25" i="3"/>
  <c r="I25" i="1"/>
  <c r="G22" i="3"/>
  <c r="G32" i="3" s="1"/>
  <c r="G33" i="3" s="1"/>
  <c r="G25" i="3"/>
  <c r="L23" i="3"/>
  <c r="L38" i="3" s="1"/>
  <c r="L39" i="3" s="1"/>
  <c r="L22" i="3"/>
  <c r="L32" i="3" s="1"/>
  <c r="L33" i="3" s="1"/>
  <c r="I22" i="3"/>
  <c r="I32" i="3" s="1"/>
  <c r="I34" i="3" s="1"/>
  <c r="H25" i="3"/>
  <c r="K25" i="3"/>
  <c r="Z22" i="3"/>
  <c r="Y25" i="3"/>
  <c r="H22" i="3"/>
  <c r="H32" i="3" s="1"/>
  <c r="H33" i="3" s="1"/>
  <c r="I25" i="3"/>
  <c r="F26" i="4"/>
  <c r="F42" i="4" s="1"/>
  <c r="F43" i="4" s="1"/>
  <c r="J25" i="3"/>
  <c r="Z25" i="3"/>
  <c r="I26" i="4"/>
  <c r="I42" i="4" s="1"/>
  <c r="I45" i="4" s="1"/>
  <c r="J26" i="4"/>
  <c r="J42" i="4" s="1"/>
  <c r="J45" i="4" s="1"/>
  <c r="J23" i="3"/>
  <c r="J38" i="3" s="1"/>
  <c r="J39" i="3" s="1"/>
  <c r="Y22" i="3"/>
  <c r="J25" i="4"/>
  <c r="J36" i="4" s="1"/>
  <c r="J39" i="4" s="1"/>
  <c r="I25" i="4"/>
  <c r="I36" i="4" s="1"/>
  <c r="F24" i="4"/>
  <c r="H14" i="4"/>
  <c r="H28" i="4" s="1"/>
  <c r="I42" i="3"/>
  <c r="G24" i="4"/>
  <c r="F49" i="4"/>
  <c r="I41" i="3"/>
  <c r="I40" i="3"/>
  <c r="I39" i="3"/>
  <c r="F40" i="3"/>
  <c r="J21" i="3"/>
  <c r="H21" i="3"/>
  <c r="G42" i="3"/>
  <c r="G41" i="3"/>
  <c r="G40" i="3"/>
  <c r="E23" i="3"/>
  <c r="E38" i="3" s="1"/>
  <c r="E39" i="3" s="1"/>
  <c r="F42" i="3"/>
  <c r="F41" i="3"/>
  <c r="E21" i="3"/>
  <c r="G49" i="4"/>
  <c r="G51" i="4" s="1"/>
  <c r="F50" i="4"/>
  <c r="H49" i="4"/>
  <c r="H51" i="4" s="1"/>
  <c r="E51" i="4"/>
  <c r="H24" i="4"/>
  <c r="F25" i="4"/>
  <c r="F36" i="4" s="1"/>
  <c r="G25" i="4"/>
  <c r="G36" i="4" s="1"/>
  <c r="E36" i="4"/>
  <c r="E42" i="4"/>
  <c r="E24" i="4"/>
  <c r="H25" i="4"/>
  <c r="H36" i="4" s="1"/>
  <c r="H26" i="4"/>
  <c r="H42" i="4" s="1"/>
  <c r="J22" i="3"/>
  <c r="K22" i="3"/>
  <c r="K21" i="3"/>
  <c r="K23" i="3"/>
  <c r="K38" i="3" s="1"/>
  <c r="H23" i="3"/>
  <c r="H38" i="3" s="1"/>
  <c r="I26" i="1" l="1"/>
  <c r="G22" i="1"/>
  <c r="F12" i="13" s="1"/>
  <c r="F13" i="13" s="1"/>
  <c r="K21" i="1"/>
  <c r="K22" i="1" s="1"/>
  <c r="K26" i="1" s="1"/>
  <c r="O21" i="1"/>
  <c r="O22" i="1" s="1"/>
  <c r="O26" i="1" s="1"/>
  <c r="L14" i="13"/>
  <c r="L15" i="13" s="1"/>
  <c r="Q23" i="1"/>
  <c r="G10" i="8" s="1"/>
  <c r="L10" i="13"/>
  <c r="L11" i="13" s="1"/>
  <c r="M23" i="1"/>
  <c r="G8" i="8" s="1"/>
  <c r="F40" i="4"/>
  <c r="M28" i="3"/>
  <c r="M44" i="3"/>
  <c r="N44" i="3"/>
  <c r="N28" i="3"/>
  <c r="G34" i="3"/>
  <c r="G46" i="4"/>
  <c r="F34" i="3"/>
  <c r="F35" i="3" s="1"/>
  <c r="F36" i="3"/>
  <c r="F27" i="3" s="1"/>
  <c r="G26" i="1"/>
  <c r="G36" i="3"/>
  <c r="G27" i="3" s="1"/>
  <c r="G35" i="3"/>
  <c r="G26" i="3" s="1"/>
  <c r="H21" i="1"/>
  <c r="L36" i="3"/>
  <c r="F45" i="4"/>
  <c r="L41" i="3"/>
  <c r="L34" i="3"/>
  <c r="L42" i="3"/>
  <c r="L40" i="3"/>
  <c r="L35" i="3"/>
  <c r="J38" i="4"/>
  <c r="I43" i="3"/>
  <c r="I33" i="3"/>
  <c r="J43" i="4"/>
  <c r="J46" i="4"/>
  <c r="J47" i="4" s="1"/>
  <c r="J53" i="4" s="1"/>
  <c r="I35" i="3"/>
  <c r="I26" i="3" s="1"/>
  <c r="I36" i="3"/>
  <c r="I27" i="3" s="1"/>
  <c r="J44" i="4"/>
  <c r="I46" i="4"/>
  <c r="I47" i="4" s="1"/>
  <c r="I53" i="4" s="1"/>
  <c r="H35" i="3"/>
  <c r="I43" i="4"/>
  <c r="H34" i="3"/>
  <c r="I44" i="4"/>
  <c r="J37" i="4"/>
  <c r="J40" i="4"/>
  <c r="J41" i="4" s="1"/>
  <c r="J52" i="4" s="1"/>
  <c r="I38" i="4"/>
  <c r="I37" i="4"/>
  <c r="I40" i="4"/>
  <c r="I39" i="4"/>
  <c r="J41" i="3"/>
  <c r="J29" i="4"/>
  <c r="F46" i="4"/>
  <c r="F44" i="4"/>
  <c r="G45" i="4"/>
  <c r="G38" i="4"/>
  <c r="G44" i="4"/>
  <c r="E39" i="4"/>
  <c r="F51" i="4"/>
  <c r="J40" i="3"/>
  <c r="J42" i="3"/>
  <c r="H36" i="3"/>
  <c r="H41" i="3"/>
  <c r="G43" i="3"/>
  <c r="F43" i="3"/>
  <c r="K32" i="3"/>
  <c r="K34" i="3" s="1"/>
  <c r="J32" i="3"/>
  <c r="J36" i="3" s="1"/>
  <c r="E45" i="4"/>
  <c r="E44" i="4"/>
  <c r="G39" i="4"/>
  <c r="F39" i="4"/>
  <c r="G37" i="4"/>
  <c r="G40" i="4"/>
  <c r="F37" i="4"/>
  <c r="F38" i="4"/>
  <c r="E43" i="4"/>
  <c r="H44" i="4"/>
  <c r="H43" i="4"/>
  <c r="H37" i="4"/>
  <c r="H38" i="4"/>
  <c r="E38" i="4"/>
  <c r="E37" i="4"/>
  <c r="E46" i="4"/>
  <c r="E40" i="3"/>
  <c r="H42" i="3"/>
  <c r="K39" i="3"/>
  <c r="K40" i="3"/>
  <c r="K41" i="3" s="1"/>
  <c r="H39" i="3"/>
  <c r="H40" i="3"/>
  <c r="E42" i="3"/>
  <c r="E41" i="3"/>
  <c r="E33" i="3"/>
  <c r="E35" i="3" s="1"/>
  <c r="E34" i="3"/>
  <c r="G17" i="8" l="1"/>
  <c r="G23" i="1"/>
  <c r="D9" i="8" s="1"/>
  <c r="F14" i="13"/>
  <c r="F15" i="13" s="1"/>
  <c r="O23" i="1"/>
  <c r="D10" i="8" s="1"/>
  <c r="F23" i="1"/>
  <c r="N21" i="1"/>
  <c r="N22" i="1" s="1"/>
  <c r="N26" i="1" s="1"/>
  <c r="J21" i="1"/>
  <c r="J22" i="1" s="1"/>
  <c r="J26" i="1" s="1"/>
  <c r="K23" i="1"/>
  <c r="D8" i="8" s="1"/>
  <c r="F10" i="13"/>
  <c r="F11" i="13" s="1"/>
  <c r="L21" i="1"/>
  <c r="L22" i="1" s="1"/>
  <c r="L26" i="1" s="1"/>
  <c r="P21" i="1"/>
  <c r="P22" i="1" s="1"/>
  <c r="P26" i="1" s="1"/>
  <c r="N29" i="3"/>
  <c r="H6" i="8" s="1"/>
  <c r="N6" i="13"/>
  <c r="N7" i="13" s="1"/>
  <c r="M29" i="3"/>
  <c r="H7" i="8" s="1"/>
  <c r="N8" i="13"/>
  <c r="N9" i="13" s="1"/>
  <c r="F30" i="4"/>
  <c r="G30" i="4"/>
  <c r="G47" i="4"/>
  <c r="G53" i="4" s="1"/>
  <c r="F37" i="3"/>
  <c r="F44" i="3" s="1"/>
  <c r="F26" i="3"/>
  <c r="F28" i="3" s="1"/>
  <c r="L37" i="3"/>
  <c r="G37" i="3"/>
  <c r="G44" i="3" s="1"/>
  <c r="F25" i="1"/>
  <c r="H25" i="1"/>
  <c r="H22" i="1"/>
  <c r="L43" i="3"/>
  <c r="L27" i="3"/>
  <c r="I41" i="4"/>
  <c r="I52" i="4" s="1"/>
  <c r="I54" i="4" s="1"/>
  <c r="F29" i="4"/>
  <c r="L26" i="3"/>
  <c r="J43" i="3"/>
  <c r="I37" i="3"/>
  <c r="I44" i="3" s="1"/>
  <c r="I28" i="3"/>
  <c r="I30" i="4"/>
  <c r="I29" i="4"/>
  <c r="H37" i="3"/>
  <c r="H26" i="3"/>
  <c r="J30" i="4"/>
  <c r="J31" i="4" s="1"/>
  <c r="J54" i="4"/>
  <c r="F47" i="4"/>
  <c r="F53" i="4" s="1"/>
  <c r="G29" i="4"/>
  <c r="G28" i="3"/>
  <c r="J27" i="3"/>
  <c r="H27" i="3"/>
  <c r="K33" i="3"/>
  <c r="E36" i="3"/>
  <c r="E27" i="3" s="1"/>
  <c r="J35" i="3"/>
  <c r="J37" i="3" s="1"/>
  <c r="J33" i="3"/>
  <c r="J34" i="3"/>
  <c r="K42" i="3"/>
  <c r="K43" i="3" s="1"/>
  <c r="E47" i="4"/>
  <c r="E53" i="4" s="1"/>
  <c r="G41" i="4"/>
  <c r="F41" i="4"/>
  <c r="H45" i="4"/>
  <c r="H46" i="4"/>
  <c r="E29" i="4"/>
  <c r="E41" i="4"/>
  <c r="E52" i="4" s="1"/>
  <c r="H40" i="4"/>
  <c r="H39" i="4"/>
  <c r="K36" i="3"/>
  <c r="H43" i="3"/>
  <c r="E26" i="3"/>
  <c r="K35" i="3"/>
  <c r="E43" i="3"/>
  <c r="D17" i="8" l="1"/>
  <c r="F26" i="1"/>
  <c r="D12" i="13"/>
  <c r="D13" i="13" s="1"/>
  <c r="H12" i="13"/>
  <c r="H13" i="13" s="1"/>
  <c r="C9" i="8"/>
  <c r="E9" i="8"/>
  <c r="H14" i="13"/>
  <c r="H15" i="13" s="1"/>
  <c r="D14" i="13"/>
  <c r="D15" i="13" s="1"/>
  <c r="N23" i="1"/>
  <c r="N10" i="13"/>
  <c r="N11" i="13" s="1"/>
  <c r="J10" i="13"/>
  <c r="J11" i="13" s="1"/>
  <c r="L23" i="1"/>
  <c r="D10" i="13"/>
  <c r="D11" i="13" s="1"/>
  <c r="H10" i="13"/>
  <c r="H11" i="13" s="1"/>
  <c r="J23" i="1"/>
  <c r="P23" i="1"/>
  <c r="J14" i="13"/>
  <c r="J15" i="13" s="1"/>
  <c r="N14" i="13"/>
  <c r="N15" i="13" s="1"/>
  <c r="H23" i="1"/>
  <c r="F9" i="8" s="1"/>
  <c r="N12" i="13"/>
  <c r="N13" i="13" s="1"/>
  <c r="J12" i="13"/>
  <c r="J13" i="13" s="1"/>
  <c r="I29" i="3"/>
  <c r="E6" i="8" s="1"/>
  <c r="H6" i="13"/>
  <c r="H7" i="13" s="1"/>
  <c r="F29" i="3"/>
  <c r="C7" i="8" s="1"/>
  <c r="D8" i="13"/>
  <c r="D9" i="13" s="1"/>
  <c r="J32" i="4"/>
  <c r="G6" i="8" s="1"/>
  <c r="L6" i="13"/>
  <c r="L7" i="13" s="1"/>
  <c r="G29" i="3"/>
  <c r="C6" i="8" s="1"/>
  <c r="D6" i="13"/>
  <c r="D7" i="13" s="1"/>
  <c r="G31" i="4"/>
  <c r="F31" i="4"/>
  <c r="L44" i="3"/>
  <c r="L28" i="3"/>
  <c r="J44" i="3"/>
  <c r="H26" i="1"/>
  <c r="I31" i="4"/>
  <c r="H44" i="3"/>
  <c r="H28" i="3"/>
  <c r="J26" i="3"/>
  <c r="J28" i="3" s="1"/>
  <c r="E37" i="3"/>
  <c r="E44" i="3" s="1"/>
  <c r="K27" i="3"/>
  <c r="E54" i="4"/>
  <c r="F52" i="4"/>
  <c r="F54" i="4" s="1"/>
  <c r="G52" i="4"/>
  <c r="G54" i="4" s="1"/>
  <c r="E31" i="4"/>
  <c r="F4" i="13" s="1"/>
  <c r="F5" i="13" s="1"/>
  <c r="H47" i="4"/>
  <c r="H53" i="4" s="1"/>
  <c r="H30" i="4"/>
  <c r="H29" i="4"/>
  <c r="H41" i="4"/>
  <c r="H52" i="4" s="1"/>
  <c r="K37" i="3"/>
  <c r="K44" i="3" s="1"/>
  <c r="K26" i="3"/>
  <c r="E28" i="3"/>
  <c r="I9" i="8" l="1"/>
  <c r="M9" i="8"/>
  <c r="K9" i="8"/>
  <c r="E8" i="8"/>
  <c r="C8" i="8"/>
  <c r="E10" i="8"/>
  <c r="C10" i="8"/>
  <c r="H10" i="8"/>
  <c r="F10" i="8"/>
  <c r="F8" i="8"/>
  <c r="F17" i="8" s="1"/>
  <c r="H8" i="8"/>
  <c r="H9" i="8"/>
  <c r="N9" i="8" s="1"/>
  <c r="L29" i="3"/>
  <c r="F6" i="8" s="1"/>
  <c r="J6" i="8" s="1"/>
  <c r="J6" i="13"/>
  <c r="J7" i="13" s="1"/>
  <c r="F32" i="4"/>
  <c r="D7" i="8" s="1"/>
  <c r="K7" i="8" s="1"/>
  <c r="F8" i="13"/>
  <c r="F9" i="13" s="1"/>
  <c r="G32" i="4"/>
  <c r="D6" i="8" s="1"/>
  <c r="I6" i="8" s="1"/>
  <c r="F6" i="13"/>
  <c r="F7" i="13" s="1"/>
  <c r="H29" i="3"/>
  <c r="E7" i="8" s="1"/>
  <c r="M7" i="8" s="1"/>
  <c r="H8" i="13"/>
  <c r="H9" i="13" s="1"/>
  <c r="I32" i="4"/>
  <c r="G7" i="8" s="1"/>
  <c r="L8" i="13"/>
  <c r="L9" i="13" s="1"/>
  <c r="M6" i="8"/>
  <c r="J4" i="13"/>
  <c r="J5" i="13" s="1"/>
  <c r="N4" i="13"/>
  <c r="N5" i="13" s="1"/>
  <c r="H4" i="13"/>
  <c r="H5" i="13" s="1"/>
  <c r="D4" i="13"/>
  <c r="D5" i="13" s="1"/>
  <c r="J9" i="8"/>
  <c r="L9" i="8"/>
  <c r="E32" i="4"/>
  <c r="D5" i="8" s="1"/>
  <c r="D16" i="8" s="1"/>
  <c r="J29" i="3"/>
  <c r="F5" i="8" s="1"/>
  <c r="E29" i="3"/>
  <c r="C5" i="8" s="1"/>
  <c r="C16" i="8" s="1"/>
  <c r="K28" i="3"/>
  <c r="F19" i="2"/>
  <c r="H54" i="4"/>
  <c r="H31" i="4"/>
  <c r="L4" i="13" s="1"/>
  <c r="L5" i="13" s="1"/>
  <c r="C17" i="8" l="1"/>
  <c r="E17" i="8"/>
  <c r="H17" i="8"/>
  <c r="N8" i="8"/>
  <c r="L10" i="8"/>
  <c r="J10" i="8"/>
  <c r="N10" i="8"/>
  <c r="K10" i="8"/>
  <c r="I10" i="8"/>
  <c r="L8" i="8"/>
  <c r="J8" i="8"/>
  <c r="M10" i="8"/>
  <c r="I8" i="8"/>
  <c r="K8" i="8"/>
  <c r="M8" i="8"/>
  <c r="I7" i="8"/>
  <c r="K6" i="8"/>
  <c r="N6" i="8"/>
  <c r="K29" i="3"/>
  <c r="F7" i="8" s="1"/>
  <c r="L7" i="8" s="1"/>
  <c r="J8" i="13"/>
  <c r="J9" i="13" s="1"/>
  <c r="L6" i="8"/>
  <c r="K5" i="8"/>
  <c r="H5" i="8"/>
  <c r="H16" i="8" s="1"/>
  <c r="H32" i="4"/>
  <c r="G5" i="8" s="1"/>
  <c r="G16" i="8" s="1"/>
  <c r="E5" i="8"/>
  <c r="E16" i="8" s="1"/>
  <c r="G17" i="2"/>
  <c r="G19" i="2" s="1"/>
  <c r="F20" i="2" s="1"/>
  <c r="F21" i="2" s="1"/>
  <c r="F16" i="8" l="1"/>
  <c r="F16" i="13"/>
  <c r="F17" i="13" s="1"/>
  <c r="H16" i="13"/>
  <c r="H17" i="13" s="1"/>
  <c r="D16" i="13"/>
  <c r="D17" i="13" s="1"/>
  <c r="M5" i="8"/>
  <c r="L5" i="8"/>
  <c r="N5" i="8"/>
  <c r="N7" i="8"/>
  <c r="J7" i="8"/>
  <c r="J5" i="8"/>
  <c r="I5" i="8"/>
  <c r="E11" i="8"/>
  <c r="D11" i="8"/>
  <c r="C11" i="8"/>
  <c r="I17" i="2"/>
  <c r="I19" i="2" s="1"/>
  <c r="H17" i="2"/>
  <c r="H19" i="2" s="1"/>
  <c r="D14" i="8" l="1"/>
  <c r="D13" i="8"/>
  <c r="D12" i="8"/>
  <c r="D15" i="8"/>
  <c r="E14" i="8"/>
  <c r="E12" i="8"/>
  <c r="E15" i="8"/>
  <c r="E13" i="8"/>
  <c r="C15" i="8"/>
  <c r="C14" i="8"/>
  <c r="C13" i="8"/>
  <c r="C12" i="8"/>
  <c r="K11" i="8"/>
  <c r="I11" i="8"/>
  <c r="M11" i="8"/>
  <c r="H20" i="2"/>
  <c r="L16" i="13" l="1"/>
  <c r="L17" i="13" s="1"/>
  <c r="N16" i="13"/>
  <c r="N17" i="13" s="1"/>
  <c r="H21" i="2"/>
  <c r="J16" i="13"/>
  <c r="J17" i="13" s="1"/>
  <c r="G11" i="8"/>
  <c r="F11" i="8"/>
  <c r="H11" i="8"/>
  <c r="G14" i="8" l="1"/>
  <c r="G12" i="8"/>
  <c r="G13" i="8"/>
  <c r="G15" i="8"/>
  <c r="H12" i="8"/>
  <c r="H15" i="8"/>
  <c r="H13" i="8"/>
  <c r="H14" i="8"/>
  <c r="F15" i="8"/>
  <c r="F13" i="8"/>
  <c r="F12" i="8"/>
  <c r="F14" i="8"/>
  <c r="N11" i="8"/>
  <c r="J11" i="8"/>
  <c r="L1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tc={683B2F57-4699-488E-A144-FF01E10C4260}</author>
    <author>tc={1C2905FB-3A57-4D03-810B-DE77C35721D9}</author>
  </authors>
  <commentList>
    <comment ref="E6" authorId="0" shapeId="0" xr:uid="{683B2F57-4699-488E-A144-FF01E10C426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Wie Flowdesk, Halbe Torhöhe + Bodenaufbau</t>
      </text>
    </comment>
    <comment ref="G6" authorId="1" shapeId="0" xr:uid="{1C2905FB-3A57-4D03-810B-DE77C35721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Wie Flowdesk, Halbe Torhöhe + Bodenaufbau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tc={AF5C9588-0CA0-4F15-BB0B-C0C02A7E7899}</author>
  </authors>
  <commentList>
    <comment ref="B25" authorId="0" shapeId="0" xr:uid="{AF5C9588-0CA0-4F15-BB0B-C0C02A7E7899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Reihenschaltung wird in der Formel am Ende berücksichtigt (1/2 unter der Wurzel) -&gt; Funktioniert nur mit gleich großen Öffnungen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tc={FC0DFDF2-E30F-49A1-BABF-CFBC707ECE62}</author>
  </authors>
  <commentList>
    <comment ref="B28" authorId="0" shapeId="0" xr:uid="{FC0DFDF2-E30F-49A1-BABF-CFBC707ECE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Reihenschaltung wird über die Berechnung der effektiven Fläche berücksichtigt -&gt; Formel am Ende ohne 1/2</t>
      </text>
    </comment>
  </commentList>
</comments>
</file>

<file path=xl/sharedStrings.xml><?xml version="1.0" encoding="utf-8"?>
<sst xmlns="http://schemas.openxmlformats.org/spreadsheetml/2006/main" count="856" uniqueCount="459">
  <si>
    <t>Symbol</t>
  </si>
  <si>
    <t>Einheit</t>
  </si>
  <si>
    <t>Quelle</t>
  </si>
  <si>
    <t>V_design</t>
  </si>
  <si>
    <t>F_Schedule</t>
  </si>
  <si>
    <t>A</t>
  </si>
  <si>
    <t>B</t>
  </si>
  <si>
    <t>C</t>
  </si>
  <si>
    <t>D</t>
  </si>
  <si>
    <t>T_zone</t>
  </si>
  <si>
    <t>T_odb</t>
  </si>
  <si>
    <t>Auslegungs-Volumenstrom</t>
  </si>
  <si>
    <t>Zeitplanwert</t>
  </si>
  <si>
    <t>Constant Term Coefficient</t>
  </si>
  <si>
    <t>Temperature Term Coefficient</t>
  </si>
  <si>
    <t>Velocity Term Coefficient</t>
  </si>
  <si>
    <t>Velocity Squared Term Coefficient</t>
  </si>
  <si>
    <t>Innentemperatur</t>
  </si>
  <si>
    <t>Außentemperatur</t>
  </si>
  <si>
    <t>m³/s</t>
  </si>
  <si>
    <t>-</t>
  </si>
  <si>
    <t>1/K</t>
  </si>
  <si>
    <t>s/m</t>
  </si>
  <si>
    <t>s²/m²</t>
  </si>
  <si>
    <t>°C</t>
  </si>
  <si>
    <t>m/s</t>
  </si>
  <si>
    <t>Annahme</t>
  </si>
  <si>
    <t>Schedule</t>
  </si>
  <si>
    <t>BLAST</t>
  </si>
  <si>
    <t>ASR A3.5</t>
  </si>
  <si>
    <t>Wetterdatei</t>
  </si>
  <si>
    <t>Bedeutung</t>
  </si>
  <si>
    <t>C_D</t>
  </si>
  <si>
    <t>ϑ</t>
  </si>
  <si>
    <t>Toröffnungsfläche</t>
  </si>
  <si>
    <t>Windgeschwindigkeit</t>
  </si>
  <si>
    <t>Durchflusskoeffizient</t>
  </si>
  <si>
    <t>Geometrie</t>
  </si>
  <si>
    <t>m²</t>
  </si>
  <si>
    <t>°</t>
  </si>
  <si>
    <t>g</t>
  </si>
  <si>
    <t>Opening Effectiveness (windabhängig)</t>
  </si>
  <si>
    <t>Öffnungsfläche</t>
  </si>
  <si>
    <t>Öffnungsanteil</t>
  </si>
  <si>
    <t>Discharge Coefficient (Stack)</t>
  </si>
  <si>
    <t>Erdbeschleunigung</t>
  </si>
  <si>
    <t>Höhe Öffnungsmitte -&gt; neutrale Ebene</t>
  </si>
  <si>
    <t>m/s²</t>
  </si>
  <si>
    <t>m</t>
  </si>
  <si>
    <t>Windanteil</t>
  </si>
  <si>
    <t>Thermikanteil</t>
  </si>
  <si>
    <t>Quelle: Engineering Reference, ASHRAE Gleichung 37</t>
  </si>
  <si>
    <t>Interpolationsformel für C_w von EnergyPlus (Quelle: Engineering Reference): Die Engineering Reference formuliert es so: Es ist eine lineare Interpolation zwischen den vom ASHRAE Handbook 2009 (S. 16.13) empfohlenen Werten – 0,5–0,6 für senkrechte und 0,25–0,35 für diagonale Anströmung. EnergyPlus hat daraus 0,55 (senkrecht) und 0,30 (diagonal, = 0,55−0,25) als Endpunkte gewählt und linear dazwischen interpoliert. [Sicher]</t>
  </si>
  <si>
    <t>WindDirection</t>
  </si>
  <si>
    <t>EffectiveAngle</t>
  </si>
  <si>
    <t>autocal.</t>
  </si>
  <si>
    <t>Wind only</t>
  </si>
  <si>
    <t>Thermal Force only</t>
  </si>
  <si>
    <t>C_W/C_v*²</t>
  </si>
  <si>
    <t>C_p,2</t>
  </si>
  <si>
    <t>C_p,5</t>
  </si>
  <si>
    <t>v_wind (U)</t>
  </si>
  <si>
    <t>Winddruckkoeff. Luv (Tor 2)</t>
  </si>
  <si>
    <t>Winddruckkoeff. Lee (Tor 5)</t>
  </si>
  <si>
    <t>Windgeschwindigkeit auf Torhöhe</t>
  </si>
  <si>
    <t>Öffnungsfläche pro Tor</t>
  </si>
  <si>
    <t>Flowdesk</t>
  </si>
  <si>
    <t>kg/m³</t>
  </si>
  <si>
    <t>p</t>
  </si>
  <si>
    <t>Stationsdruck</t>
  </si>
  <si>
    <t>R</t>
  </si>
  <si>
    <t>spez. Gaskonstante</t>
  </si>
  <si>
    <t>J/kgK</t>
  </si>
  <si>
    <t>Pa</t>
  </si>
  <si>
    <t>absolute Temperatur außen</t>
  </si>
  <si>
    <t>T_a, odb</t>
  </si>
  <si>
    <t>K</t>
  </si>
  <si>
    <t>α</t>
  </si>
  <si>
    <t>δ</t>
  </si>
  <si>
    <t>Höhe Wind</t>
  </si>
  <si>
    <t>ρ_a</t>
  </si>
  <si>
    <t>Luftdichte außen</t>
  </si>
  <si>
    <t>ρ_i</t>
  </si>
  <si>
    <t>T_i</t>
  </si>
  <si>
    <t>absolute Temperatur innen</t>
  </si>
  <si>
    <t>b_tor</t>
  </si>
  <si>
    <t>h_tor</t>
  </si>
  <si>
    <t>Breite Tor</t>
  </si>
  <si>
    <t>Höhe Tor</t>
  </si>
  <si>
    <t>p_w,2</t>
  </si>
  <si>
    <t>Winddruck außen an Tor 2</t>
  </si>
  <si>
    <t>Winddruck außen an Tor 5</t>
  </si>
  <si>
    <t>p_w,5</t>
  </si>
  <si>
    <t>Tor 2</t>
  </si>
  <si>
    <t>a_2</t>
  </si>
  <si>
    <t>Konstanten</t>
  </si>
  <si>
    <t>Gleichung 8.7 im Engineering Reference S. 453</t>
  </si>
  <si>
    <t>EngRef: Gleichungen 8.6 (453), 8.8 (454), 8.10 (454)</t>
  </si>
  <si>
    <t>Eingabewerte</t>
  </si>
  <si>
    <t>t_außen</t>
  </si>
  <si>
    <t>t_innen</t>
  </si>
  <si>
    <t>b</t>
  </si>
  <si>
    <t>Luftdichte innen</t>
  </si>
  <si>
    <t>= (ρ_i - ρ_a) * g</t>
  </si>
  <si>
    <t>Pa/m</t>
  </si>
  <si>
    <t>Zielwertsuche</t>
  </si>
  <si>
    <t>p_z</t>
  </si>
  <si>
    <t>Druck Zone innen</t>
  </si>
  <si>
    <t xml:space="preserve"> = p_w,2 - p_z</t>
  </si>
  <si>
    <t>h_wind</t>
  </si>
  <si>
    <t>Δh_NPL*³</t>
  </si>
  <si>
    <t>z = 0</t>
  </si>
  <si>
    <t>z = h_tor</t>
  </si>
  <si>
    <t>Q_w</t>
  </si>
  <si>
    <t>Q_s</t>
  </si>
  <si>
    <t>Q_vent (V_total)</t>
  </si>
  <si>
    <t>Q_vent,gesamt</t>
  </si>
  <si>
    <t>Q_vent</t>
  </si>
  <si>
    <t>Q_ein,2</t>
  </si>
  <si>
    <t>Q_aus,2</t>
  </si>
  <si>
    <t>kg/s</t>
  </si>
  <si>
    <t>Tor 5</t>
  </si>
  <si>
    <t>a_5</t>
  </si>
  <si>
    <t>Q_ein,5</t>
  </si>
  <si>
    <t>Q_aus,5</t>
  </si>
  <si>
    <t>mpunkt_ges</t>
  </si>
  <si>
    <t>mpunkt_5 → zone</t>
  </si>
  <si>
    <t>mpunkt_2 → zone</t>
  </si>
  <si>
    <t>→ 0</t>
  </si>
  <si>
    <t>Q_ein</t>
  </si>
  <si>
    <t>Q_aus</t>
  </si>
  <si>
    <t>Q_mittel</t>
  </si>
  <si>
    <t>ACH</t>
  </si>
  <si>
    <t>V = 10 800 m³</t>
  </si>
  <si>
    <t>1/h</t>
  </si>
  <si>
    <t>Methode: Knoten-Drucknetzwerk</t>
  </si>
  <si>
    <t>Jede Öffnung verbindet zwei Knoten. Druckdifferenz über die Torhöhe z:  ΔP(z) = a + b·z</t>
  </si>
  <si>
    <t xml:space="preserve">   a = p_w − P_z   (Wind P_W + Knotendruck P_n−P_m, mit P_n=0 außen, P_m=P_z Zone)</t>
  </si>
  <si>
    <t xml:space="preserve">   b = (ρ_innen − ρ_außen)·g   (Stack/Auftrieb P_S; isotherm = 0)</t>
  </si>
  <si>
    <t xml:space="preserve">   p_w = Cp · ½ · ρ_außen · U²   (Winddruck, Außendichte)</t>
  </si>
  <si>
    <t>Zuordnung zu den AFN-Gleichungen (Engineering Reference)</t>
  </si>
  <si>
    <t>AFN-Gleichung</t>
  </si>
  <si>
    <t>in dieser Rechnung</t>
  </si>
  <si>
    <t>P_n (Knoten außen)</t>
  </si>
  <si>
    <t>0 (Bezugsdruck)</t>
  </si>
  <si>
    <t>P_m (Knoten Zone)</t>
  </si>
  <si>
    <t>P_z  (Unbekannte, Zielwertsuche)</t>
  </si>
  <si>
    <t>P_W (Winddruck)</t>
  </si>
  <si>
    <t>p_w = Cp·½·ρ_außen·U²</t>
  </si>
  <si>
    <t>P_S (Stack)</t>
  </si>
  <si>
    <t>(ρ_in−ρ_out)·g·z   = b·z</t>
  </si>
  <si>
    <t>ΔP = P_n−P_m+P_S+P_W</t>
  </si>
  <si>
    <t>a + b·z</t>
  </si>
  <si>
    <t>Strömung pro Öffnung (Orifice, über Höhe integriert – geschlossene Lösung)</t>
  </si>
  <si>
    <t>(Für isotherm b=0 → einfache Form Q = Cd·A·√(2|a|/ρ); im Blatt automatisch per WENN.)</t>
  </si>
  <si>
    <t>Offenland-Standardwert</t>
  </si>
  <si>
    <t>AFN - Vereinfacht: iso</t>
  </si>
  <si>
    <t>Q_wind</t>
  </si>
  <si>
    <t>b_spalt</t>
  </si>
  <si>
    <t>h_spalt</t>
  </si>
  <si>
    <t>A_spalt</t>
  </si>
  <si>
    <t>Öffnungsfläche Spalt</t>
  </si>
  <si>
    <t>A_eff</t>
  </si>
  <si>
    <t>effektive Fläche</t>
  </si>
  <si>
    <t>beide Zonen gleiche Temperatur → Spalt ohne Stack</t>
  </si>
  <si>
    <t>außen →Tor 2 → Zone A → Spalt → Zone B → Tor 5 → außen</t>
  </si>
  <si>
    <t>Druck Zone A</t>
  </si>
  <si>
    <t>Druck Zone B</t>
  </si>
  <si>
    <t>p_z,A</t>
  </si>
  <si>
    <t>p_z,B</t>
  </si>
  <si>
    <t>mpunkt_2 → zone A</t>
  </si>
  <si>
    <t>mpunkt_5 → zone B</t>
  </si>
  <si>
    <t>mpunkt_Spalt → Zonen A/B</t>
  </si>
  <si>
    <t>ΔP_Spalt</t>
  </si>
  <si>
    <t>= p_z,A - p_z,B</t>
  </si>
  <si>
    <t>= p_w,2 - p_z,B</t>
  </si>
  <si>
    <t>= p_w,2 - p_z,A</t>
  </si>
  <si>
    <t>Q_Spalt, A→B</t>
  </si>
  <si>
    <t>Q_Spalt, B→A</t>
  </si>
  <si>
    <t>= mpunkt_2 - mpunkt_Spalt</t>
  </si>
  <si>
    <t>= mpunkt_5 + mpunkt_Spalt</t>
  </si>
  <si>
    <t>ZIELFUNKTION</t>
  </si>
  <si>
    <t>= Res_A^2 + Res_B^2</t>
  </si>
  <si>
    <t>Residuum Zone A</t>
  </si>
  <si>
    <t>Residuum Zone B</t>
  </si>
  <si>
    <t>Ergebnisse aus der CFD-Simulation</t>
  </si>
  <si>
    <t>Ausrichtung (Flowdesk)</t>
  </si>
  <si>
    <t>Windrichtung (ich)</t>
  </si>
  <si>
    <t>Tore</t>
  </si>
  <si>
    <t>Barriere</t>
  </si>
  <si>
    <t>5 (1-90)</t>
  </si>
  <si>
    <t>3-90</t>
  </si>
  <si>
    <t>4-90</t>
  </si>
  <si>
    <t>0°</t>
  </si>
  <si>
    <t>90°</t>
  </si>
  <si>
    <t>2 + 5</t>
  </si>
  <si>
    <t>2 +5</t>
  </si>
  <si>
    <t>2 + 4</t>
  </si>
  <si>
    <t>nein</t>
  </si>
  <si>
    <t>ja</t>
  </si>
  <si>
    <t>247,5°</t>
  </si>
  <si>
    <t>157,5°</t>
  </si>
  <si>
    <t>Q_in [m³/s]</t>
  </si>
  <si>
    <t>Q_out [m³/s]</t>
  </si>
  <si>
    <t>Q_mean [m³/s]</t>
  </si>
  <si>
    <t>mass imbalance</t>
  </si>
  <si>
    <t>ACH [1/h]</t>
  </si>
  <si>
    <t>Tor 4/5</t>
  </si>
  <si>
    <t>1/2/3</t>
  </si>
  <si>
    <t>4/5/6</t>
  </si>
  <si>
    <t>Variante</t>
  </si>
  <si>
    <t>AFN</t>
  </si>
  <si>
    <t>1/3</t>
  </si>
  <si>
    <t>Höhe Spalt</t>
  </si>
  <si>
    <t>Breite Spalt</t>
  </si>
  <si>
    <t>Tor</t>
  </si>
  <si>
    <t>Berechnung Windgeschwindigkeit</t>
  </si>
  <si>
    <t>DOE-2</t>
  </si>
  <si>
    <t>u_ref</t>
  </si>
  <si>
    <t>Normierungsgeschwindigkeit</t>
  </si>
  <si>
    <t>Eng.Ref</t>
  </si>
  <si>
    <t>Normierungspunkt der Koeffizienten</t>
  </si>
  <si>
    <t>k</t>
  </si>
  <si>
    <t>v_wind (Tor)</t>
  </si>
  <si>
    <t>Anströmwinkel an die Fassadennormale</t>
  </si>
  <si>
    <t>Q_soll</t>
  </si>
  <si>
    <t>= k * v_wind (tor)</t>
  </si>
  <si>
    <t>= C_D * A * cosϑ * u_ref</t>
  </si>
  <si>
    <t>ΔT</t>
  </si>
  <si>
    <t>v_wind Zonenschwerpunkt</t>
  </si>
  <si>
    <t>v_wind Torhöhe</t>
  </si>
  <si>
    <t>Country</t>
  </si>
  <si>
    <t>Suburbs</t>
  </si>
  <si>
    <t>Lauf</t>
  </si>
  <si>
    <t>Opening Effectiveness</t>
  </si>
  <si>
    <t>Effective Angle [°]</t>
  </si>
  <si>
    <t>Windrichtung 247,5 °</t>
  </si>
  <si>
    <t>Δ = |EffAngle - 247,5| [°]</t>
  </si>
  <si>
    <t>u_Zone [m/s]</t>
  </si>
  <si>
    <t>Q_vent [m³/s]</t>
  </si>
  <si>
    <t>C_w</t>
  </si>
  <si>
    <t>E</t>
  </si>
  <si>
    <t>autocalculate</t>
  </si>
  <si>
    <t>Kontrolle der Grundgleichung</t>
  </si>
  <si>
    <t>Test_A1</t>
  </si>
  <si>
    <t>Test_A2</t>
  </si>
  <si>
    <t>fest 1,0</t>
  </si>
  <si>
    <t>2. Gegenüberstellung</t>
  </si>
  <si>
    <t>Δ  [°]</t>
  </si>
  <si>
    <t>Eng Ref Gl. 8.7</t>
  </si>
  <si>
    <t>= 0,55 - (Δ /180)*0,25</t>
  </si>
  <si>
    <t>InputOutput S. 642</t>
  </si>
  <si>
    <t>linear interpoliert zwischen 0,3 und 0,55</t>
  </si>
  <si>
    <t>= 0,55 - (Δ/45) * 0,25</t>
  </si>
  <si>
    <t>ASHRAE 2009 S. 16.13</t>
  </si>
  <si>
    <t>0,5 - 0,6</t>
  </si>
  <si>
    <t>0,25 - 0,35</t>
  </si>
  <si>
    <t>3. Fehler: Steigung berechnen</t>
  </si>
  <si>
    <t>delta</t>
  </si>
  <si>
    <t>Steigung</t>
  </si>
  <si>
    <t>Bruch</t>
  </si>
  <si>
    <t>ganze Fassade gemittelt</t>
  </si>
  <si>
    <t>Torfläche (3 x 3 m) mit Abstand d von der Fassade</t>
  </si>
  <si>
    <t xml:space="preserve">C, d = 1,00 m </t>
  </si>
  <si>
    <t>C, d = 0,50 m</t>
  </si>
  <si>
    <t>C, d = 0,25 m</t>
  </si>
  <si>
    <t>C, d = 0,05 m</t>
  </si>
  <si>
    <t>C, d = 2,00 m</t>
  </si>
  <si>
    <t>Tor +  1 m Rand, minus Torloch</t>
  </si>
  <si>
    <t>C, d = 4,00 m</t>
  </si>
  <si>
    <t>–</t>
  </si>
  <si>
    <t>m³</t>
  </si>
  <si>
    <t xml:space="preserve">C_D </t>
  </si>
  <si>
    <t>U</t>
  </si>
  <si>
    <t>Bezugsgeschwindigkeit der C_p</t>
  </si>
  <si>
    <t>Toroeffnungsflaeche</t>
  </si>
  <si>
    <t>A_Spalt</t>
  </si>
  <si>
    <t>Barrierenspalt (nur Szenario 2 und 5)</t>
  </si>
  <si>
    <t>V</t>
  </si>
  <si>
    <t>Hallenvolumen</t>
  </si>
  <si>
    <t>A_eff_2/5</t>
  </si>
  <si>
    <t>Δ C_p = C_p,Süd - C_p,Nord</t>
  </si>
  <si>
    <t>CFD</t>
  </si>
  <si>
    <t>Konfigurationseffekte</t>
  </si>
  <si>
    <t>Barriere (schräge Anströmung)</t>
  </si>
  <si>
    <t>Barriere (frontale Anströmung)</t>
  </si>
  <si>
    <t>Diagonale Tore (schräge Anströmung)</t>
  </si>
  <si>
    <t>Diagonale Tore (frontale Anströmung)</t>
  </si>
  <si>
    <t>Windrichtung frontal statt diagonal</t>
  </si>
  <si>
    <t>5/4</t>
  </si>
  <si>
    <t>3/1</t>
  </si>
  <si>
    <t>6/4</t>
  </si>
  <si>
    <t>4/1</t>
  </si>
  <si>
    <t xml:space="preserve">1. Messung: </t>
  </si>
  <si>
    <t>C_W = Q_vent/(A * u_Zone), abgelesen aus .csv</t>
  </si>
  <si>
    <t>Effektiver C_D = Q_CFD/(A_eff. * U * √ΔC_p)</t>
  </si>
  <si>
    <t>vert. Streifen, Torbreite</t>
  </si>
  <si>
    <t>= C_D * A * cosϑ</t>
  </si>
  <si>
    <t>Vorfaktor, nur Torgeometrie</t>
  </si>
  <si>
    <t>Abweichung von Q_soll</t>
  </si>
  <si>
    <t>EngRef: Gleichung 8.5 (452) Verweis auf Kap. 26 ASHRAE</t>
  </si>
  <si>
    <t>A_Tor</t>
  </si>
  <si>
    <t>Luftwechsel</t>
  </si>
  <si>
    <t>DIN EN 1991-1-4</t>
  </si>
  <si>
    <t>d</t>
  </si>
  <si>
    <t>h</t>
  </si>
  <si>
    <t>Höhe</t>
  </si>
  <si>
    <t>h/d</t>
  </si>
  <si>
    <t>Zone A</t>
  </si>
  <si>
    <t>Zone B</t>
  </si>
  <si>
    <t>Lage</t>
  </si>
  <si>
    <t>6 - 9 m</t>
  </si>
  <si>
    <t>1 - 4 m</t>
  </si>
  <si>
    <t>Zone</t>
  </si>
  <si>
    <t>C_pe,10</t>
  </si>
  <si>
    <t>Luv</t>
  </si>
  <si>
    <t>Lee</t>
  </si>
  <si>
    <t xml:space="preserve">ACH </t>
  </si>
  <si>
    <t>DIN EN 1991-1-4:2010-12 S. 36 - 38</t>
  </si>
  <si>
    <t>„Die angegebenen Winddruck-Koeffizienten gelten für einen Windvektor von etwa ± 60 ° zur Fassadenachse. Die Windrichtung wird nicht spezifischer betrachtet."</t>
  </si>
  <si>
    <t>C_p1</t>
  </si>
  <si>
    <t>C_p2</t>
  </si>
  <si>
    <t>DIN EN 16798-7</t>
  </si>
  <si>
    <t>To2</t>
  </si>
  <si>
    <t>AFN_E+</t>
  </si>
  <si>
    <t>AFN_CFD_D</t>
  </si>
  <si>
    <t>AFN_CFD_C1,00</t>
  </si>
  <si>
    <t>WSOA</t>
  </si>
  <si>
    <t>DFR_BLAST</t>
  </si>
  <si>
    <t>DFR_DOE-2</t>
  </si>
  <si>
    <t>DFR_DEFAULT</t>
  </si>
  <si>
    <t>Spaltfläche</t>
  </si>
  <si>
    <t>Bezugshöhe</t>
  </si>
  <si>
    <t>v_wind,h</t>
  </si>
  <si>
    <t>Volumenstrom Q [m³/s]</t>
  </si>
  <si>
    <t>1 - 3</t>
  </si>
  <si>
    <t>4 - 6</t>
  </si>
  <si>
    <t>0 - 4,8</t>
  </si>
  <si>
    <t>4,8 - 15</t>
  </si>
  <si>
    <t>Fälle</t>
  </si>
  <si>
    <t>Fall</t>
  </si>
  <si>
    <t>Tor 4</t>
  </si>
  <si>
    <r>
      <rPr>
        <b/>
        <sz val="11"/>
        <color theme="1"/>
        <rFont val="Cambria"/>
        <family val="1"/>
      </rPr>
      <t>quer</t>
    </r>
    <r>
      <rPr>
        <sz val="11"/>
        <color theme="1"/>
        <rFont val="Cambria"/>
        <family val="1"/>
      </rPr>
      <t xml:space="preserve"> zum Wind</t>
    </r>
  </si>
  <si>
    <r>
      <rPr>
        <b/>
        <sz val="11"/>
        <color theme="1"/>
        <rFont val="Cambria"/>
        <family val="1"/>
      </rPr>
      <t>in</t>
    </r>
    <r>
      <rPr>
        <sz val="11"/>
        <color theme="1"/>
        <rFont val="Cambria"/>
        <family val="1"/>
      </rPr>
      <t xml:space="preserve"> Windrichtung</t>
    </r>
  </si>
  <si>
    <t>gemessen (Simulation)</t>
  </si>
  <si>
    <t>4/6</t>
  </si>
  <si>
    <t>ΔP_unten,2</t>
  </si>
  <si>
    <t>ΔP_oben,2</t>
  </si>
  <si>
    <t>ΔP_unten,5</t>
  </si>
  <si>
    <t>ΔP_oben,5</t>
  </si>
  <si>
    <t>AFN_DIN_2</t>
  </si>
  <si>
    <t>AFN_DIN_1</t>
  </si>
  <si>
    <t>ΔP_2,unten,2</t>
  </si>
  <si>
    <t>ΔP_2,oben,2</t>
  </si>
  <si>
    <t>ΔP_5,unten,5</t>
  </si>
  <si>
    <t>ΔP_5,oben,5</t>
  </si>
  <si>
    <t>Modell</t>
  </si>
  <si>
    <t>ausgewertete Variable</t>
  </si>
  <si>
    <t>Δ [%]</t>
  </si>
  <si>
    <t>AFN Linkage Volume Flow Rate (Tor 2, gerichtet)</t>
  </si>
  <si>
    <t>Zone Ventilation Current Density Volume Flow Rate</t>
  </si>
  <si>
    <t>DRF_DEFAULT</t>
  </si>
  <si>
    <t>2 / 1</t>
  </si>
  <si>
    <t>Mittelwerte</t>
  </si>
  <si>
    <t>ACH der Modelle und Varianten</t>
  </si>
  <si>
    <t>2/1</t>
  </si>
  <si>
    <t>Q_design ohne cos</t>
  </si>
  <si>
    <t>Q_vent ohne cos</t>
  </si>
  <si>
    <t>e* [MIN(h; 2*b)]</t>
  </si>
  <si>
    <t>* → d ≤ e ≤ 5d → zwei Zonen A und B</t>
  </si>
  <si>
    <t>c_pe,1</t>
  </si>
  <si>
    <t>c_pe,10</t>
  </si>
  <si>
    <t>c_pe,9</t>
  </si>
  <si>
    <t>Bereich</t>
  </si>
  <si>
    <r>
      <rPr>
        <sz val="11"/>
        <color theme="1"/>
        <rFont val="Aptos Narrow"/>
        <family val="2"/>
      </rPr>
      <t>≤</t>
    </r>
    <r>
      <rPr>
        <sz val="11"/>
        <color theme="1"/>
        <rFont val="Cambria"/>
        <family val="1"/>
      </rPr>
      <t xml:space="preserve"> 0,25</t>
    </r>
  </si>
  <si>
    <t>Formel ASHRAE S. 24.3 (4)</t>
  </si>
  <si>
    <t>Eigenschaft</t>
  </si>
  <si>
    <t xml:space="preserve">Begründung </t>
  </si>
  <si>
    <t>vgl. mit künstlichem Windkanal der CFD</t>
  </si>
  <si>
    <t xml:space="preserve">offen </t>
  </si>
  <si>
    <t>Tabelle B.7</t>
  </si>
  <si>
    <t>niedig</t>
  </si>
  <si>
    <t>Tor Höhe 3m &lt; 15 m</t>
  </si>
  <si>
    <t>Tabelle B.6</t>
  </si>
  <si>
    <t>zugeordnete Werte nach Tabelle B.7</t>
  </si>
  <si>
    <t>DIN EN 16798-7:2017 S. 55 - 56</t>
  </si>
  <si>
    <t>Anmerkungen:</t>
  </si>
  <si>
    <t>- f_cros: Tabelle B.10 listet keine Industie- und Logistikgebäude.</t>
  </si>
  <si>
    <t>- Bezugsgeschwindigkeit Gl. (4) und (2): Mit den Standardwerten aus B.3.4.2 (C_top = C_rgh;met = C_top;met = 1, C_rgh;site = C_rgh;10;site) und Tabelle B.13 (Offenes Gelände = 1,0) folgt u_site = u_10 = 6,5 m/s.  Es gibt keine Höhenkorrektur auf die Öffnungshöhe</t>
  </si>
  <si>
    <t>Interpolation nach Bild 7.2</t>
  </si>
  <si>
    <t>Zonenzuordnung nach Bild 7.5</t>
  </si>
  <si>
    <t>horiz. Streifen gemittelt (z = 0 - 3 m)</t>
  </si>
  <si>
    <t>Default</t>
  </si>
  <si>
    <t>90 °</t>
  </si>
  <si>
    <t>*³ ΔH_NPL ist die Höhe von der Mitte der unteren Öffnung zur neutralen Druckzone. Deine Tore 2 und 5 sitzen auf gleicher Höhe (Sturz 0, Oberkante 3 m, Mitte 1,5 m). Bei zwei gleich hohen Öffnungen liegt die neutrale Ebene auf Toröffnungsmitte → ΔH_NPL = 0 → Qs = 0. -&gt; WindandStackOpenArea bildet für symmetrische Tor-gegen-Tor-Geometrie den Auftrieb nicht ab.</t>
  </si>
  <si>
    <t xml:space="preserve">*² wird in EnergyPlus automatisch für jeden Zeitschritt über Windrichtung berechnet [autocalculate] </t>
  </si>
  <si>
    <t>Legende</t>
  </si>
  <si>
    <t>Q_sim</t>
  </si>
  <si>
    <t>[m³/s]</t>
  </si>
  <si>
    <t>Q_hand</t>
  </si>
  <si>
    <t>Spanne_ges</t>
  </si>
  <si>
    <t>Median ACH_ges</t>
  </si>
  <si>
    <t>Band_ges max</t>
  </si>
  <si>
    <t>Band_ges min</t>
  </si>
  <si>
    <t>Mittel ACH_AFN</t>
  </si>
  <si>
    <t>Mittel ACH_DFR</t>
  </si>
  <si>
    <t>Spanne_AFN</t>
  </si>
  <si>
    <t>Band_AFN min</t>
  </si>
  <si>
    <t>Band_AFN max</t>
  </si>
  <si>
    <t>Spanne_DFR</t>
  </si>
  <si>
    <t>Band_DFR min</t>
  </si>
  <si>
    <t>Band_DFR max</t>
  </si>
  <si>
    <t>Spanne_zwischen</t>
  </si>
  <si>
    <t>Band_zwischen min</t>
  </si>
  <si>
    <t>Band_zwischen max</t>
  </si>
  <si>
    <t>DFR</t>
  </si>
  <si>
    <t>zwischen</t>
  </si>
  <si>
    <t>4-6/1-3</t>
  </si>
  <si>
    <t>Zuordnung der Excel Seiten zum Kapitel 5</t>
  </si>
  <si>
    <t>Kapitel der Arbeit</t>
  </si>
  <si>
    <t>Excel Seite</t>
  </si>
  <si>
    <t>Inhalt</t>
  </si>
  <si>
    <t>Auswertung der Wetterdatei von EnergyPlus + Herleitung der Konstruierten Wetterdatei</t>
  </si>
  <si>
    <t>5.3.4 Befunde zur EnergyPlus-Dokumentation</t>
  </si>
  <si>
    <t>5.5 Ergebnisspannen im Luftwechsel</t>
  </si>
  <si>
    <t>Abweichung der Handrechnung</t>
  </si>
  <si>
    <t>Sim vs. Hand'!A1</t>
  </si>
  <si>
    <t>Abweichung zwischen der Handrechnung und der Simulation</t>
  </si>
  <si>
    <t>Herleitung der Werte aus DIN EN 16798-7</t>
  </si>
  <si>
    <t>Herleitung der Werte aus DIN EN 1991-1-4</t>
  </si>
  <si>
    <t>Berechnung der C_P-Wert aus E+ und CFD und C_P-Vergleich</t>
  </si>
  <si>
    <t>Berechnung für ZoneVentilation:DesignFlowRate</t>
  </si>
  <si>
    <t>Berechnung für ZoneVentilation:WindandStackOpenArea</t>
  </si>
  <si>
    <t>Nachweis des Fehlers in der EngineeringReference</t>
  </si>
  <si>
    <t>5.4 Ergebnisse der CFD-Simulation</t>
  </si>
  <si>
    <t>Ergebnisse der CFD-Simulation</t>
  </si>
  <si>
    <t>Vergleich der Luftwechselraten der Modellen</t>
  </si>
  <si>
    <t>4.6.2 Isotherme Simulation: Anströmrandbedingungen</t>
  </si>
  <si>
    <t>4.6.2 Wetter'!A1</t>
  </si>
  <si>
    <t>5.1 Bestimmung der Winddruckbeiwerte</t>
  </si>
  <si>
    <t>5.1.1 Normwerte nach DIN EN 16798-7 und DIN EN 1991-1-4</t>
  </si>
  <si>
    <t>5.1.2 SurfaceAverageCalculation</t>
  </si>
  <si>
    <t>5.1.3 CFD-Simulation</t>
  </si>
  <si>
    <t>5.1.4 Ergebnisspanne der cp-Quellen</t>
  </si>
  <si>
    <t>5.1.1 DIN 16798'!A1</t>
  </si>
  <si>
    <t>5.1.1 DIN 1991'!A1</t>
  </si>
  <si>
    <t>5.1 C_P'!A1</t>
  </si>
  <si>
    <t>5.2 Analytische Handrechnung und EnergyPlus-Simulation</t>
  </si>
  <si>
    <t>5.2.2 WindandStackOpenArea</t>
  </si>
  <si>
    <t>5.2.3 AirflowNetwork</t>
  </si>
  <si>
    <t>5.2.1 DesignFlowRate: BLAST- und DOE-2-Koeffizientensatz</t>
  </si>
  <si>
    <t>5.2.1 DFR'!A1</t>
  </si>
  <si>
    <t>5.2.2 WSOA'!A1</t>
  </si>
  <si>
    <t>5.2.3 AFN_1Zone'!A1</t>
  </si>
  <si>
    <t>Berechnung des AirflowNetworks</t>
  </si>
  <si>
    <t>5.2.3 AFN_2Zonen'!A1</t>
  </si>
  <si>
    <t>5.2.4 C_W-Nachweis'!A1</t>
  </si>
  <si>
    <t>5.3 CFD'!A1</t>
  </si>
  <si>
    <t>5.4 Ergebnis'!A1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</si>
</sst>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0"/>
    <numFmt numFmtId="166" formatCode="0.00000000%"/>
    <numFmt numFmtId="167" formatCode="0.0%"/>
    <numFmt numFmtId="168" formatCode="0.0"/>
    <numFmt numFmtId="169" formatCode="#\ ???/???"/>
    <numFmt numFmtId="170" formatCode="\+0.0%;\-0.0%"/>
    <numFmt numFmtId="171" formatCode="0.000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sz val="11"/>
      <color rgb="FF9C0006"/>
      <name val="Aptos Narrow"/>
      <family val="2"/>
      <scheme val="minor"/>
    </font>
    <font>
      <sz val="11"/>
      <color theme="0"/>
      <name val="Cambria"/>
      <family val="1"/>
    </font>
    <font>
      <sz val="11"/>
      <color theme="0" tint="-0.499984740745262"/>
      <name val="Cambria"/>
      <family val="1"/>
    </font>
    <font>
      <b/>
      <sz val="11"/>
      <color theme="9"/>
      <name val="Cambria"/>
      <family val="1"/>
    </font>
    <font>
      <b/>
      <sz val="11"/>
      <color theme="5" tint="-0.249977111117893"/>
      <name val="Cambria"/>
      <family val="1"/>
    </font>
    <font>
      <sz val="9"/>
      <color theme="1"/>
      <name val="Cambria"/>
      <family val="1"/>
    </font>
    <font>
      <b/>
      <sz val="10"/>
      <name val="Cambria"/>
      <family val="1"/>
    </font>
    <font>
      <b/>
      <sz val="11"/>
      <color theme="4"/>
      <name val="Cambria"/>
      <family val="1"/>
    </font>
    <font>
      <sz val="10"/>
      <name val="Cambria"/>
      <family val="1"/>
    </font>
    <font>
      <sz val="11"/>
      <color rgb="FF9C5700"/>
      <name val="Aptos Narrow"/>
      <family val="2"/>
      <scheme val="minor"/>
    </font>
    <font>
      <sz val="11"/>
      <color rgb="FF9C5700"/>
      <name val="Cambria"/>
      <family val="1"/>
    </font>
    <font>
      <sz val="11"/>
      <color rgb="FF9C0006"/>
      <name val="Cambria"/>
      <family val="1"/>
    </font>
    <font>
      <sz val="11"/>
      <color theme="1"/>
      <name val="Aptos Narrow"/>
      <family val="2"/>
    </font>
    <font>
      <sz val="11"/>
      <color theme="1"/>
      <name val="Cambria"/>
      <family val="2"/>
    </font>
    <font>
      <u/>
      <sz val="11"/>
      <color theme="10"/>
      <name val="Aptos Narrow"/>
      <family val="2"/>
      <scheme val="minor"/>
    </font>
    <font>
      <b/>
      <sz val="11"/>
      <color theme="0" tint="-0.499984740745262"/>
      <name val="Cambria"/>
      <family val="1"/>
    </font>
    <font>
      <sz val="11"/>
      <color theme="4" tint="-0.249977111117893"/>
      <name val="Cambria"/>
      <family val="1"/>
    </font>
    <font>
      <sz val="11"/>
      <color theme="1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rgb="FFCCFFFF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9" fillId="3" borderId="0" applyNumberFormat="0" applyBorder="0" applyAlignment="0" applyProtection="0"/>
    <xf numFmtId="0" fontId="18" fillId="5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 readingOrder="1"/>
    </xf>
    <xf numFmtId="164" fontId="3" fillId="2" borderId="0" xfId="0" applyNumberFormat="1" applyFont="1" applyFill="1" applyAlignment="1">
      <alignment horizontal="center" vertical="center" wrapText="1" readingOrder="1"/>
    </xf>
    <xf numFmtId="164" fontId="3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164" fontId="3" fillId="2" borderId="1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2" fontId="5" fillId="2" borderId="0" xfId="0" applyNumberFormat="1" applyFont="1" applyFill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3" xfId="0" applyFont="1" applyFill="1" applyBorder="1"/>
    <xf numFmtId="164" fontId="5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167" fontId="5" fillId="2" borderId="0" xfId="0" applyNumberFormat="1" applyFont="1" applyFill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49" fontId="3" fillId="2" borderId="0" xfId="0" applyNumberFormat="1" applyFont="1" applyFill="1" applyAlignment="1">
      <alignment horizontal="center" vertical="center" wrapText="1" readingOrder="1"/>
    </xf>
    <xf numFmtId="2" fontId="3" fillId="2" borderId="0" xfId="0" applyNumberFormat="1" applyFont="1" applyFill="1" applyAlignment="1">
      <alignment horizontal="center" vertical="center" wrapText="1" readingOrder="1"/>
    </xf>
    <xf numFmtId="49" fontId="3" fillId="2" borderId="0" xfId="0" quotePrefix="1" applyNumberFormat="1" applyFont="1" applyFill="1" applyAlignment="1">
      <alignment horizontal="center" vertical="center" wrapText="1" readingOrder="1"/>
    </xf>
    <xf numFmtId="49" fontId="3" fillId="2" borderId="1" xfId="0" quotePrefix="1" applyNumberFormat="1" applyFont="1" applyFill="1" applyBorder="1" applyAlignment="1">
      <alignment horizontal="center" vertical="center" wrapText="1" readingOrder="1"/>
    </xf>
    <xf numFmtId="2" fontId="3" fillId="2" borderId="1" xfId="0" applyNumberFormat="1" applyFont="1" applyFill="1" applyBorder="1" applyAlignment="1">
      <alignment horizontal="center" vertical="center" wrapText="1" readingOrder="1"/>
    </xf>
    <xf numFmtId="164" fontId="3" fillId="2" borderId="0" xfId="0" quotePrefix="1" applyNumberFormat="1" applyFont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10" fillId="2" borderId="3" xfId="0" applyNumberFormat="1" applyFont="1" applyFill="1" applyBorder="1" applyAlignment="1">
      <alignment horizontal="center"/>
    </xf>
    <xf numFmtId="0" fontId="10" fillId="2" borderId="3" xfId="0" applyFont="1" applyFill="1" applyBorder="1"/>
    <xf numFmtId="2" fontId="7" fillId="2" borderId="0" xfId="0" applyNumberFormat="1" applyFont="1" applyFill="1"/>
    <xf numFmtId="168" fontId="7" fillId="2" borderId="0" xfId="0" applyNumberFormat="1" applyFont="1" applyFill="1"/>
    <xf numFmtId="1" fontId="7" fillId="2" borderId="0" xfId="0" applyNumberFormat="1" applyFont="1" applyFill="1"/>
    <xf numFmtId="2" fontId="3" fillId="2" borderId="0" xfId="0" applyNumberFormat="1" applyFont="1" applyFill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2" fontId="7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7" fillId="2" borderId="0" xfId="0" quotePrefix="1" applyFont="1" applyFill="1"/>
    <xf numFmtId="0" fontId="4" fillId="2" borderId="0" xfId="0" applyFont="1" applyFill="1"/>
    <xf numFmtId="0" fontId="4" fillId="2" borderId="3" xfId="0" applyFont="1" applyFill="1" applyBorder="1"/>
    <xf numFmtId="0" fontId="3" fillId="2" borderId="1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4" fillId="2" borderId="0" xfId="0" quotePrefix="1" applyFont="1" applyFill="1" applyAlignment="1">
      <alignment horizontal="center"/>
    </xf>
    <xf numFmtId="2" fontId="3" fillId="2" borderId="0" xfId="0" quotePrefix="1" applyNumberFormat="1" applyFont="1" applyFill="1" applyAlignment="1">
      <alignment horizontal="center"/>
    </xf>
    <xf numFmtId="0" fontId="3" fillId="2" borderId="0" xfId="0" quotePrefix="1" applyFont="1" applyFill="1"/>
    <xf numFmtId="2" fontId="4" fillId="2" borderId="0" xfId="0" applyNumberFormat="1" applyFont="1" applyFill="1" applyAlignment="1">
      <alignment horizontal="center"/>
    </xf>
    <xf numFmtId="167" fontId="3" fillId="2" borderId="1" xfId="1" applyNumberFormat="1" applyFont="1" applyFill="1" applyBorder="1" applyAlignment="1">
      <alignment horizontal="center"/>
    </xf>
    <xf numFmtId="0" fontId="0" fillId="2" borderId="0" xfId="0" applyFill="1"/>
    <xf numFmtId="0" fontId="11" fillId="2" borderId="0" xfId="0" applyFont="1" applyFill="1"/>
    <xf numFmtId="0" fontId="11" fillId="2" borderId="0" xfId="0" quotePrefix="1" applyFont="1" applyFill="1" applyAlignment="1">
      <alignment horizontal="center"/>
    </xf>
    <xf numFmtId="0" fontId="11" fillId="2" borderId="1" xfId="0" applyFont="1" applyFill="1" applyBorder="1"/>
    <xf numFmtId="0" fontId="4" fillId="2" borderId="2" xfId="0" applyFont="1" applyFill="1" applyBorder="1"/>
    <xf numFmtId="2" fontId="3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165" fontId="3" fillId="2" borderId="2" xfId="0" applyNumberFormat="1" applyFont="1" applyFill="1" applyBorder="1" applyAlignment="1">
      <alignment horizontal="center"/>
    </xf>
    <xf numFmtId="164" fontId="12" fillId="2" borderId="2" xfId="0" applyNumberFormat="1" applyFont="1" applyFill="1" applyBorder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/>
    </xf>
    <xf numFmtId="168" fontId="3" fillId="2" borderId="2" xfId="0" applyNumberFormat="1" applyFont="1" applyFill="1" applyBorder="1" applyAlignment="1">
      <alignment horizontal="left"/>
    </xf>
    <xf numFmtId="168" fontId="3" fillId="2" borderId="1" xfId="0" applyNumberFormat="1" applyFont="1" applyFill="1" applyBorder="1" applyAlignment="1">
      <alignment horizontal="left"/>
    </xf>
    <xf numFmtId="169" fontId="12" fillId="2" borderId="1" xfId="0" applyNumberFormat="1" applyFont="1" applyFill="1" applyBorder="1" applyAlignment="1">
      <alignment horizontal="center"/>
    </xf>
    <xf numFmtId="169" fontId="13" fillId="2" borderId="1" xfId="0" applyNumberFormat="1" applyFont="1" applyFill="1" applyBorder="1" applyAlignment="1">
      <alignment horizontal="center"/>
    </xf>
    <xf numFmtId="0" fontId="14" fillId="2" borderId="2" xfId="0" applyFont="1" applyFill="1" applyBorder="1"/>
    <xf numFmtId="0" fontId="14" fillId="2" borderId="0" xfId="0" quotePrefix="1" applyFont="1" applyFill="1"/>
    <xf numFmtId="0" fontId="15" fillId="2" borderId="0" xfId="0" applyFont="1" applyFill="1" applyAlignment="1">
      <alignment vertical="top"/>
    </xf>
    <xf numFmtId="0" fontId="17" fillId="2" borderId="0" xfId="0" applyFont="1" applyFill="1" applyAlignment="1">
      <alignment vertical="top"/>
    </xf>
    <xf numFmtId="2" fontId="4" fillId="2" borderId="0" xfId="0" applyNumberFormat="1" applyFont="1" applyFill="1"/>
    <xf numFmtId="165" fontId="3" fillId="2" borderId="0" xfId="0" applyNumberFormat="1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8" fillId="2" borderId="0" xfId="0" applyNumberFormat="1" applyFont="1" applyFill="1"/>
    <xf numFmtId="165" fontId="7" fillId="2" borderId="0" xfId="0" applyNumberFormat="1" applyFont="1" applyFill="1"/>
    <xf numFmtId="2" fontId="8" fillId="2" borderId="0" xfId="0" applyNumberFormat="1" applyFont="1" applyFill="1" applyAlignment="1">
      <alignment horizontal="center"/>
    </xf>
    <xf numFmtId="1" fontId="7" fillId="2" borderId="0" xfId="0" applyNumberFormat="1" applyFont="1" applyFill="1" applyAlignment="1">
      <alignment horizontal="center"/>
    </xf>
    <xf numFmtId="0" fontId="8" fillId="2" borderId="1" xfId="0" applyFont="1" applyFill="1" applyBorder="1"/>
    <xf numFmtId="0" fontId="7" fillId="2" borderId="1" xfId="0" quotePrefix="1" applyFont="1" applyFill="1" applyBorder="1" applyAlignment="1">
      <alignment horizontal="center"/>
    </xf>
    <xf numFmtId="0" fontId="7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1" xfId="0" quotePrefix="1" applyFont="1" applyFill="1" applyBorder="1"/>
    <xf numFmtId="2" fontId="8" fillId="2" borderId="1" xfId="0" applyNumberFormat="1" applyFont="1" applyFill="1" applyBorder="1" applyAlignment="1">
      <alignment horizontal="center"/>
    </xf>
    <xf numFmtId="0" fontId="8" fillId="2" borderId="3" xfId="0" applyFont="1" applyFill="1" applyBorder="1"/>
    <xf numFmtId="0" fontId="8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2" fontId="8" fillId="2" borderId="2" xfId="0" applyNumberFormat="1" applyFont="1" applyFill="1" applyBorder="1" applyAlignment="1">
      <alignment horizontal="center"/>
    </xf>
    <xf numFmtId="0" fontId="15" fillId="4" borderId="4" xfId="0" applyFont="1" applyFill="1" applyBorder="1" applyAlignment="1">
      <alignment vertical="top"/>
    </xf>
    <xf numFmtId="0" fontId="15" fillId="4" borderId="3" xfId="0" applyFont="1" applyFill="1" applyBorder="1" applyAlignment="1">
      <alignment vertical="top"/>
    </xf>
    <xf numFmtId="0" fontId="7" fillId="2" borderId="5" xfId="0" applyFont="1" applyFill="1" applyBorder="1"/>
    <xf numFmtId="0" fontId="17" fillId="2" borderId="4" xfId="0" applyFont="1" applyFill="1" applyBorder="1" applyAlignment="1">
      <alignment vertical="top"/>
    </xf>
    <xf numFmtId="0" fontId="17" fillId="2" borderId="3" xfId="0" applyFont="1" applyFill="1" applyBorder="1" applyAlignment="1">
      <alignment vertical="top"/>
    </xf>
    <xf numFmtId="166" fontId="3" fillId="2" borderId="0" xfId="1" applyNumberFormat="1" applyFont="1" applyFill="1" applyAlignment="1">
      <alignment horizontal="center"/>
    </xf>
    <xf numFmtId="164" fontId="7" fillId="2" borderId="3" xfId="0" applyNumberFormat="1" applyFont="1" applyFill="1" applyBorder="1" applyAlignment="1">
      <alignment horizontal="center"/>
    </xf>
    <xf numFmtId="0" fontId="3" fillId="2" borderId="1" xfId="0" quotePrefix="1" applyFont="1" applyFill="1" applyBorder="1"/>
    <xf numFmtId="165" fontId="3" fillId="2" borderId="1" xfId="0" applyNumberFormat="1" applyFont="1" applyFill="1" applyBorder="1" applyAlignment="1">
      <alignment horizontal="center"/>
    </xf>
    <xf numFmtId="2" fontId="16" fillId="2" borderId="0" xfId="0" applyNumberFormat="1" applyFont="1" applyFill="1"/>
    <xf numFmtId="165" fontId="7" fillId="2" borderId="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16" fontId="3" fillId="2" borderId="1" xfId="0" quotePrefix="1" applyNumberFormat="1" applyFont="1" applyFill="1" applyBorder="1" applyAlignment="1">
      <alignment horizontal="center"/>
    </xf>
    <xf numFmtId="167" fontId="3" fillId="2" borderId="0" xfId="1" applyNumberFormat="1" applyFont="1" applyFill="1" applyAlignment="1">
      <alignment horizontal="center"/>
    </xf>
    <xf numFmtId="170" fontId="3" fillId="2" borderId="0" xfId="0" applyNumberFormat="1" applyFont="1" applyFill="1" applyAlignment="1">
      <alignment horizontal="center"/>
    </xf>
    <xf numFmtId="170" fontId="19" fillId="5" borderId="0" xfId="3" applyNumberFormat="1" applyFont="1" applyBorder="1" applyAlignment="1">
      <alignment horizontal="center"/>
    </xf>
    <xf numFmtId="0" fontId="3" fillId="2" borderId="0" xfId="0" applyFont="1" applyFill="1" applyAlignment="1">
      <alignment wrapText="1"/>
    </xf>
    <xf numFmtId="9" fontId="3" fillId="2" borderId="0" xfId="1" applyFont="1" applyFill="1" applyBorder="1" applyAlignment="1">
      <alignment horizontal="center"/>
    </xf>
    <xf numFmtId="167" fontId="3" fillId="2" borderId="0" xfId="1" applyNumberFormat="1" applyFont="1" applyFill="1" applyBorder="1" applyAlignment="1">
      <alignment horizontal="center"/>
    </xf>
    <xf numFmtId="2" fontId="7" fillId="2" borderId="0" xfId="1" applyNumberFormat="1" applyFont="1" applyFill="1" applyAlignment="1">
      <alignment horizontal="center"/>
    </xf>
    <xf numFmtId="171" fontId="4" fillId="2" borderId="1" xfId="0" applyNumberFormat="1" applyFont="1" applyFill="1" applyBorder="1" applyAlignment="1">
      <alignment horizontal="center"/>
    </xf>
    <xf numFmtId="2" fontId="3" fillId="2" borderId="0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center"/>
    </xf>
    <xf numFmtId="2" fontId="11" fillId="2" borderId="0" xfId="0" applyNumberFormat="1" applyFont="1" applyFill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0" xfId="0" quotePrefix="1" applyFont="1" applyFill="1"/>
    <xf numFmtId="167" fontId="3" fillId="2" borderId="0" xfId="1" applyNumberFormat="1" applyFont="1" applyFill="1"/>
    <xf numFmtId="0" fontId="24" fillId="2" borderId="0" xfId="0" applyFont="1" applyFill="1"/>
    <xf numFmtId="9" fontId="24" fillId="2" borderId="0" xfId="1" applyFont="1" applyFill="1"/>
    <xf numFmtId="0" fontId="4" fillId="2" borderId="1" xfId="0" quotePrefix="1" applyFont="1" applyFill="1" applyBorder="1" applyAlignment="1">
      <alignment horizontal="center" wrapText="1"/>
    </xf>
    <xf numFmtId="0" fontId="3" fillId="2" borderId="0" xfId="0" quotePrefix="1" applyFont="1" applyFill="1" applyAlignment="1">
      <alignment horizontal="left"/>
    </xf>
    <xf numFmtId="0" fontId="3" fillId="2" borderId="1" xfId="0" quotePrefix="1" applyFont="1" applyFill="1" applyBorder="1" applyAlignment="1">
      <alignment horizontal="left"/>
    </xf>
    <xf numFmtId="2" fontId="3" fillId="2" borderId="1" xfId="0" quotePrefix="1" applyNumberFormat="1" applyFont="1" applyFill="1" applyBorder="1" applyAlignment="1">
      <alignment horizontal="center"/>
    </xf>
    <xf numFmtId="0" fontId="11" fillId="2" borderId="0" xfId="0" quotePrefix="1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left"/>
    </xf>
    <xf numFmtId="164" fontId="11" fillId="2" borderId="0" xfId="0" applyNumberFormat="1" applyFont="1" applyFill="1"/>
    <xf numFmtId="2" fontId="11" fillId="2" borderId="0" xfId="0" applyNumberFormat="1" applyFont="1" applyFill="1"/>
    <xf numFmtId="167" fontId="7" fillId="6" borderId="0" xfId="1" applyNumberFormat="1" applyFont="1" applyFill="1" applyAlignment="1">
      <alignment horizontal="center"/>
    </xf>
    <xf numFmtId="2" fontId="7" fillId="7" borderId="0" xfId="0" applyNumberFormat="1" applyFont="1" applyFill="1" applyAlignment="1">
      <alignment horizontal="center"/>
    </xf>
    <xf numFmtId="2" fontId="7" fillId="7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2" xfId="0" applyFont="1" applyFill="1" applyBorder="1" applyAlignment="1">
      <alignment horizontal="center" wrapText="1"/>
    </xf>
    <xf numFmtId="167" fontId="19" fillId="5" borderId="0" xfId="3" applyNumberFormat="1" applyFont="1" applyAlignment="1">
      <alignment horizontal="center"/>
    </xf>
    <xf numFmtId="0" fontId="25" fillId="2" borderId="0" xfId="4" quotePrefix="1" applyFont="1" applyFill="1"/>
    <xf numFmtId="0" fontId="25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0" xfId="0" quotePrefix="1" applyFont="1" applyFill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/>
    </xf>
    <xf numFmtId="164" fontId="20" fillId="3" borderId="0" xfId="2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164" fontId="9" fillId="3" borderId="0" xfId="2" applyNumberFormat="1" applyAlignment="1">
      <alignment horizontal="center"/>
    </xf>
    <xf numFmtId="164" fontId="7" fillId="2" borderId="0" xfId="2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10" fillId="2" borderId="2" xfId="0" applyNumberFormat="1" applyFont="1" applyFill="1" applyBorder="1" applyAlignment="1">
      <alignment horizontal="center"/>
    </xf>
    <xf numFmtId="0" fontId="3" fillId="2" borderId="0" xfId="0" quotePrefix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4" fontId="10" fillId="2" borderId="0" xfId="0" quotePrefix="1" applyNumberFormat="1" applyFont="1" applyFill="1" applyAlignment="1">
      <alignment horizontal="center"/>
    </xf>
    <xf numFmtId="14" fontId="4" fillId="2" borderId="2" xfId="0" quotePrefix="1" applyNumberFormat="1" applyFont="1" applyFill="1" applyBorder="1" applyAlignment="1">
      <alignment horizontal="center"/>
    </xf>
    <xf numFmtId="0" fontId="4" fillId="2" borderId="2" xfId="0" quotePrefix="1" applyFont="1" applyFill="1" applyBorder="1" applyAlignment="1">
      <alignment horizontal="center"/>
    </xf>
    <xf numFmtId="0" fontId="3" fillId="2" borderId="0" xfId="0" applyFont="1" applyFill="1" applyAlignment="1">
      <alignment horizontal="left" vertical="top" wrapText="1"/>
    </xf>
    <xf numFmtId="0" fontId="8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vertical="center" textRotation="90"/>
    </xf>
    <xf numFmtId="167" fontId="7" fillId="6" borderId="1" xfId="1" applyNumberFormat="1" applyFont="1" applyFill="1" applyBorder="1" applyAlignment="1">
      <alignment horizontal="center"/>
    </xf>
    <xf numFmtId="167" fontId="7" fillId="6" borderId="0" xfId="1" applyNumberFormat="1" applyFont="1" applyFill="1" applyAlignment="1">
      <alignment horizontal="center"/>
    </xf>
    <xf numFmtId="167" fontId="7" fillId="6" borderId="0" xfId="1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6" fillId="2" borderId="0" xfId="4" quotePrefix="1" applyFont="1" applyFill="1"/>
    <xf numFmtId="0" fontId="26" fillId="2" borderId="1" xfId="4" quotePrefix="1" applyFont="1" applyFill="1" applyBorder="1"/>
  </cellXfs>
  <cellStyles count="5">
    <cellStyle name="Link" xfId="4" builtinId="8"/>
    <cellStyle name="Neutral" xfId="3" builtinId="28"/>
    <cellStyle name="Prozent" xfId="1" builtinId="5"/>
    <cellStyle name="Schlecht" xfId="2" builtinId="27"/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42863</xdr:colOff>
      <xdr:row>10</xdr:row>
      <xdr:rowOff>28575</xdr:rowOff>
    </xdr:from>
    <xdr:to>
      <xdr:col>8</xdr:col>
      <xdr:colOff>447675</xdr:colOff>
      <xdr:row>15</xdr:row>
      <xdr:rowOff>92634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726D0F8-AD6F-61A8-6EC6-AF92C8E5E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863" y="2124075"/>
          <a:ext cx="6462712" cy="92130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15</xdr:row>
      <xdr:rowOff>161924</xdr:rowOff>
    </xdr:from>
    <xdr:to>
      <xdr:col>8</xdr:col>
      <xdr:colOff>460746</xdr:colOff>
      <xdr:row>25</xdr:row>
      <xdr:rowOff>128587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8B2E1284-5D2A-116E-756F-8EFF46F64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" y="3209924"/>
          <a:ext cx="6490071" cy="1681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314323</xdr:colOff>
      <xdr:row>17</xdr:row>
      <xdr:rowOff>61912</xdr:rowOff>
    </xdr:from>
    <xdr:to>
      <xdr:col>10</xdr:col>
      <xdr:colOff>351278</xdr:colOff>
      <xdr:row>27</xdr:row>
      <xdr:rowOff>119063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A59303F-E1B2-8023-F683-20D2F6598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3" y="2814637"/>
          <a:ext cx="6223443" cy="1771651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18</xdr:row>
      <xdr:rowOff>91125</xdr:rowOff>
    </xdr:from>
    <xdr:to>
      <xdr:col>15</xdr:col>
      <xdr:colOff>604838</xdr:colOff>
      <xdr:row>27</xdr:row>
      <xdr:rowOff>96771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EBEFDF3-4456-2315-9BE1-000C6CB42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1288" y="3015300"/>
          <a:ext cx="3686175" cy="15486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439615</xdr:colOff>
      <xdr:row>56</xdr:row>
      <xdr:rowOff>41869</xdr:rowOff>
    </xdr:from>
    <xdr:to>
      <xdr:col>32</xdr:col>
      <xdr:colOff>74523</xdr:colOff>
      <xdr:row>58</xdr:row>
      <xdr:rowOff>6894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B07B7D4-BE3B-2F30-E620-65A1D1017961}"/>
            </a:ext>
          </a:extLst>
        </xdr:cNvPr>
        <xdr:cNvSpPr>
          <a:spLocks noChangeAspect="1" noChangeArrowheads="1"/>
        </xdr:cNvSpPr>
      </xdr:nvSpPr>
      <xdr:spPr bwMode="auto">
        <a:xfrm>
          <a:off x="14078159" y="9347061"/>
          <a:ext cx="304800" cy="301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304800</xdr:colOff>
      <xdr:row>48</xdr:row>
      <xdr:rowOff>133446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C7F95C9-239E-FC94-2699-3B234EC2C818}"/>
            </a:ext>
          </a:extLst>
        </xdr:cNvPr>
        <xdr:cNvSpPr>
          <a:spLocks noChangeAspect="1" noChangeArrowheads="1"/>
        </xdr:cNvSpPr>
      </xdr:nvSpPr>
      <xdr:spPr bwMode="auto">
        <a:xfrm>
          <a:off x="10144125" y="76247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304800</xdr:colOff>
      <xdr:row>46</xdr:row>
      <xdr:rowOff>133447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2AC816D0-A55D-0A6E-F5CA-1B22C78C393D}"/>
            </a:ext>
          </a:extLst>
        </xdr:cNvPr>
        <xdr:cNvSpPr>
          <a:spLocks noChangeAspect="1" noChangeArrowheads="1"/>
        </xdr:cNvSpPr>
      </xdr:nvSpPr>
      <xdr:spPr bwMode="auto">
        <a:xfrm>
          <a:off x="8710613" y="72628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136072</xdr:colOff>
      <xdr:row>38</xdr:row>
      <xdr:rowOff>20934</xdr:rowOff>
    </xdr:from>
    <xdr:to>
      <xdr:col>8</xdr:col>
      <xdr:colOff>343502</xdr:colOff>
      <xdr:row>60</xdr:row>
      <xdr:rowOff>132618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87BB1A3-CED2-0AA0-42EF-9BCA3C832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2" y="6123214"/>
          <a:ext cx="5862680" cy="3814790"/>
        </a:xfrm>
        <a:prstGeom prst="rect">
          <a:avLst/>
        </a:prstGeom>
      </xdr:spPr>
    </xdr:pic>
    <xdr:clientData/>
  </xdr:twoCellAnchor>
  <xdr:twoCellAnchor editAs="oneCell">
    <xdr:from>
      <xdr:col>7</xdr:col>
      <xdr:colOff>451462</xdr:colOff>
      <xdr:row>38</xdr:row>
      <xdr:rowOff>58839</xdr:rowOff>
    </xdr:from>
    <xdr:to>
      <xdr:col>19</xdr:col>
      <xdr:colOff>552425</xdr:colOff>
      <xdr:row>62</xdr:row>
      <xdr:rowOff>100587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1B11AC64-F82C-6D7B-9339-1C345751E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8659" y="6033612"/>
          <a:ext cx="6431432" cy="4198112"/>
        </a:xfrm>
        <a:prstGeom prst="rect">
          <a:avLst/>
        </a:prstGeom>
      </xdr:spPr>
    </xdr:pic>
    <xdr:clientData/>
  </xdr:twoCellAnchor>
  <xdr:twoCellAnchor editAs="oneCell">
    <xdr:from>
      <xdr:col>0</xdr:col>
      <xdr:colOff>254963</xdr:colOff>
      <xdr:row>30</xdr:row>
      <xdr:rowOff>48819</xdr:rowOff>
    </xdr:from>
    <xdr:to>
      <xdr:col>5</xdr:col>
      <xdr:colOff>370416</xdr:colOff>
      <xdr:row>32</xdr:row>
      <xdr:rowOff>60692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9BC6C098-99D1-D173-89D3-50EB5426E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963" y="4387986"/>
          <a:ext cx="4810605" cy="358236"/>
        </a:xfrm>
        <a:prstGeom prst="rect">
          <a:avLst/>
        </a:prstGeom>
      </xdr:spPr>
    </xdr:pic>
    <xdr:clientData/>
  </xdr:twoCellAnchor>
  <xdr:twoCellAnchor editAs="oneCell">
    <xdr:from>
      <xdr:col>5</xdr:col>
      <xdr:colOff>331435</xdr:colOff>
      <xdr:row>29</xdr:row>
      <xdr:rowOff>91401</xdr:rowOff>
    </xdr:from>
    <xdr:to>
      <xdr:col>14</xdr:col>
      <xdr:colOff>248145</xdr:colOff>
      <xdr:row>32</xdr:row>
      <xdr:rowOff>151151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2761B6BA-F194-77E1-D14D-B71A0AD1D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6587" y="4257386"/>
          <a:ext cx="4414627" cy="5792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69533</xdr:colOff>
      <xdr:row>7</xdr:row>
      <xdr:rowOff>66675</xdr:rowOff>
    </xdr:from>
    <xdr:to>
      <xdr:col>17</xdr:col>
      <xdr:colOff>704875</xdr:colOff>
      <xdr:row>18</xdr:row>
      <xdr:rowOff>123825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B260421D-9154-BDC4-F421-2897648E8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9471" y="1609725"/>
          <a:ext cx="5969342" cy="19431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409576</xdr:colOff>
      <xdr:row>44</xdr:row>
      <xdr:rowOff>95251</xdr:rowOff>
    </xdr:from>
    <xdr:to>
      <xdr:col>19</xdr:col>
      <xdr:colOff>576262</xdr:colOff>
      <xdr:row>47</xdr:row>
      <xdr:rowOff>157133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E2DB3C9-2D2B-4BF8-1665-644684C44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68276" y="7639051"/>
          <a:ext cx="3252786" cy="576232"/>
        </a:xfrm>
        <a:prstGeom prst="rect">
          <a:avLst/>
        </a:prstGeom>
      </xdr:spPr>
    </xdr:pic>
    <xdr:clientData/>
  </xdr:twoCellAnchor>
  <xdr:twoCellAnchor editAs="oneCell">
    <xdr:from>
      <xdr:col>14</xdr:col>
      <xdr:colOff>461963</xdr:colOff>
      <xdr:row>53</xdr:row>
      <xdr:rowOff>95250</xdr:rowOff>
    </xdr:from>
    <xdr:to>
      <xdr:col>28</xdr:col>
      <xdr:colOff>23813</xdr:colOff>
      <xdr:row>61</xdr:row>
      <xdr:rowOff>131241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452A6E3-873B-43FD-1354-B7400CEDA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0663" y="9182100"/>
          <a:ext cx="4714875" cy="1407591"/>
        </a:xfrm>
        <a:prstGeom prst="rect">
          <a:avLst/>
        </a:prstGeom>
      </xdr:spPr>
    </xdr:pic>
    <xdr:clientData/>
  </xdr:twoCellAnchor>
  <xdr:twoCellAnchor editAs="oneCell">
    <xdr:from>
      <xdr:col>14</xdr:col>
      <xdr:colOff>471488</xdr:colOff>
      <xdr:row>62</xdr:row>
      <xdr:rowOff>47626</xdr:rowOff>
    </xdr:from>
    <xdr:to>
      <xdr:col>28</xdr:col>
      <xdr:colOff>557263</xdr:colOff>
      <xdr:row>77</xdr:row>
      <xdr:rowOff>153810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181749BC-492B-65FE-F366-614EE9A17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30188" y="10677526"/>
          <a:ext cx="5238800" cy="2677934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390526</xdr:colOff>
      <xdr:row>48</xdr:row>
      <xdr:rowOff>57602</xdr:rowOff>
    </xdr:from>
    <xdr:to>
      <xdr:col>28</xdr:col>
      <xdr:colOff>76248</xdr:colOff>
      <xdr:row>51</xdr:row>
      <xdr:rowOff>85729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AE454238-632F-6B75-F812-D3276F030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49226" y="8287202"/>
          <a:ext cx="4838747" cy="542477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57151</xdr:colOff>
      <xdr:row>44</xdr:row>
      <xdr:rowOff>19049</xdr:rowOff>
    </xdr:from>
    <xdr:to>
      <xdr:col>29</xdr:col>
      <xdr:colOff>28587</xdr:colOff>
      <xdr:row>48</xdr:row>
      <xdr:rowOff>76204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782AF289-41A9-2F99-FCD2-24F19A264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06876" y="7562849"/>
          <a:ext cx="1495436" cy="7429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342900</xdr:colOff>
      <xdr:row>4</xdr:row>
      <xdr:rowOff>116828</xdr:rowOff>
    </xdr:from>
    <xdr:to>
      <xdr:col>25</xdr:col>
      <xdr:colOff>142875</xdr:colOff>
      <xdr:row>15</xdr:row>
      <xdr:rowOff>152418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95B8CEFB-AA5B-6367-A7FB-B602AA40E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9050" y="659753"/>
          <a:ext cx="4371975" cy="1916778"/>
        </a:xfrm>
        <a:prstGeom prst="rect">
          <a:avLst/>
        </a:prstGeom>
      </xdr:spPr>
    </xdr:pic>
    <xdr:clientData/>
  </xdr:twoCellAnchor>
  <xdr:twoCellAnchor editAs="oneCell">
    <xdr:from>
      <xdr:col>19</xdr:col>
      <xdr:colOff>318569</xdr:colOff>
      <xdr:row>14</xdr:row>
      <xdr:rowOff>0</xdr:rowOff>
    </xdr:from>
    <xdr:to>
      <xdr:col>26</xdr:col>
      <xdr:colOff>468721</xdr:colOff>
      <xdr:row>38</xdr:row>
      <xdr:rowOff>16967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C2E0776A-1B8B-71FD-F4E2-F809564A6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14719" y="2857500"/>
          <a:ext cx="5479390" cy="41317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233362</xdr:colOff>
      <xdr:row>3</xdr:row>
      <xdr:rowOff>147638</xdr:rowOff>
    </xdr:from>
    <xdr:to>
      <xdr:col>16</xdr:col>
      <xdr:colOff>128620</xdr:colOff>
      <xdr:row>7</xdr:row>
      <xdr:rowOff>80969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522183F-D9CC-43C1-B30B-4B83F7392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1362" y="509588"/>
          <a:ext cx="4467258" cy="8667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180974</xdr:rowOff>
    </xdr:from>
    <xdr:to>
      <xdr:col>17</xdr:col>
      <xdr:colOff>133350</xdr:colOff>
      <xdr:row>17</xdr:row>
      <xdr:rowOff>80689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F069354-54AC-EEFD-116E-38F6405AF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2352674"/>
          <a:ext cx="5467350" cy="10665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75</xdr:row>
      <xdr:rowOff>119063</xdr:rowOff>
    </xdr:from>
    <xdr:to>
      <xdr:col>7</xdr:col>
      <xdr:colOff>57150</xdr:colOff>
      <xdr:row>79</xdr:row>
      <xdr:rowOff>42863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9B61160E-2BD7-AFA4-6D44-19A37C53236B}"/>
            </a:ext>
          </a:extLst>
        </xdr:cNvPr>
        <xdr:cNvSpPr/>
      </xdr:nvSpPr>
      <xdr:spPr>
        <a:xfrm>
          <a:off x="3390900" y="11091863"/>
          <a:ext cx="1423988" cy="6096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</xdr:col>
      <xdr:colOff>642937</xdr:colOff>
      <xdr:row>76</xdr:row>
      <xdr:rowOff>109539</xdr:rowOff>
    </xdr:from>
    <xdr:to>
      <xdr:col>6</xdr:col>
      <xdr:colOff>23813</xdr:colOff>
      <xdr:row>79</xdr:row>
      <xdr:rowOff>80963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704A7DFD-A0E4-4B95-AF66-A5F3C78026A3}"/>
            </a:ext>
          </a:extLst>
        </xdr:cNvPr>
        <xdr:cNvSpPr/>
      </xdr:nvSpPr>
      <xdr:spPr>
        <a:xfrm>
          <a:off x="2676525" y="11253789"/>
          <a:ext cx="1423988" cy="48577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509587</xdr:colOff>
      <xdr:row>65</xdr:row>
      <xdr:rowOff>166688</xdr:rowOff>
    </xdr:from>
    <xdr:to>
      <xdr:col>13</xdr:col>
      <xdr:colOff>166687</xdr:colOff>
      <xdr:row>67</xdr:row>
      <xdr:rowOff>9525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A7D08F1D-8D87-42CD-BD7B-BD285E53C180}"/>
            </a:ext>
          </a:extLst>
        </xdr:cNvPr>
        <xdr:cNvSpPr/>
      </xdr:nvSpPr>
      <xdr:spPr>
        <a:xfrm>
          <a:off x="7991475" y="9082088"/>
          <a:ext cx="1019175" cy="18573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76199</xdr:colOff>
      <xdr:row>67</xdr:row>
      <xdr:rowOff>57150</xdr:rowOff>
    </xdr:from>
    <xdr:to>
      <xdr:col>13</xdr:col>
      <xdr:colOff>600074</xdr:colOff>
      <xdr:row>68</xdr:row>
      <xdr:rowOff>9525</xdr:rowOff>
    </xdr:to>
    <xdr:sp macro="" textlink="">
      <xdr:nvSpPr>
        <xdr:cNvPr id="7" name="Rechteck 6">
          <a:extLst>
            <a:ext uri="{FF2B5EF4-FFF2-40B4-BE49-F238E27FC236}">
              <a16:creationId xmlns:a16="http://schemas.microsoft.com/office/drawing/2014/main" id="{A156BE31-1F2F-46E8-A118-879D0647D31E}"/>
            </a:ext>
          </a:extLst>
        </xdr:cNvPr>
        <xdr:cNvSpPr/>
      </xdr:nvSpPr>
      <xdr:spPr>
        <a:xfrm>
          <a:off x="8296274" y="9315450"/>
          <a:ext cx="1209675" cy="1238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era Kohler" id="{42149A22-97CB-4A89-B628-1412E19F4BAB}" userId="S::vera.kohler1@tha.de::5b8b8b07-af21-4b68-a072-612cbab97490" providerId="AD"/>
</personList>
</file>

<file path=xl/theme/theme1.xml><?xml version="1.0" encoding="utf-8"?>
<a:theme xmlns:a="http://schemas.openxmlformats.org/drawingml/2006/main" name="Office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6-07-27T09:09:03.00" personId="{42149A22-97CB-4A89-B628-1412E19F4BAB}" id="{683B2F57-4699-488E-A144-FF01E10C4260}">
    <text>Wie Flowdesk, Halbe Torhöhe + Bodenaufbau</text>
  </threadedComment>
  <threadedComment ref="G6" dT="2026-07-27T09:09:03.00" personId="{42149A22-97CB-4A89-B628-1412E19F4BAB}" id="{1C2905FB-3A57-4D03-810B-DE77C35721D9}">
    <text>Wie Flowdesk, Halbe Torhöhe + Bodenaufbau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5" dT="2026-07-27T11:29:54.20" personId="{42149A22-97CB-4A89-B628-1412E19F4BAB}" id="{AF5C9588-0CA0-4F15-BB0B-C0C02A7E7899}">
    <text xml:space="preserve">Reihenschaltung wird in der Formel am Ende berücksichtigt (1/2 unter der Wurzel) -&gt; Funktioniert nur mit gleich großen Öffnungen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8" dT="2026-07-27T11:32:12.29" personId="{42149A22-97CB-4A89-B628-1412E19F4BAB}" id="{FC0DFDF2-E30F-49A1-BABF-CFBC707ECE62}">
    <text>Reihenschaltung wird über die Berechnung der effektiven Fläche berücksichtigt -&gt; Formel am Ende ohne 1/2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687B-90B5-4B3A-AB59-C4BAE29C2B99}">
  <dimension ref="B2:E21"/>
  <sheetViews>
    <sheetView tabSelected="1" workbookViewId="0">
      <selection activeCell="E26" sqref="E26"/>
    </sheetView>
  </sheetViews>
  <sheetFormatPr baseColWidth="10" defaultRowHeight="13.5" x14ac:dyDescent="0.35"/>
  <cols>
    <col min="1" max="1" width="3.06640625" style="1" customWidth="1"/>
    <col min="2" max="2" width="2.59765625" style="1" customWidth="1"/>
    <col min="3" max="3" width="52.265625" style="1" customWidth="1"/>
    <col min="4" max="4" width="21.19921875" style="1" customWidth="1"/>
    <col min="5" max="5" width="74.3984375" style="1" bestFit="1" customWidth="1"/>
    <col min="6" max="16384" width="10.6640625" style="1"/>
  </cols>
  <sheetData>
    <row r="2" spans="2:5" x14ac:dyDescent="0.35">
      <c r="B2" s="1" t="s">
        <v>418</v>
      </c>
    </row>
    <row r="3" spans="2:5" x14ac:dyDescent="0.35">
      <c r="B3" s="17"/>
      <c r="C3" s="17"/>
      <c r="D3" s="17"/>
      <c r="E3" s="17"/>
    </row>
    <row r="4" spans="2:5" x14ac:dyDescent="0.35">
      <c r="B4" s="17" t="s">
        <v>419</v>
      </c>
      <c r="C4" s="17"/>
      <c r="D4" s="17" t="s">
        <v>420</v>
      </c>
      <c r="E4" s="17" t="s">
        <v>421</v>
      </c>
    </row>
    <row r="5" spans="2:5" x14ac:dyDescent="0.35">
      <c r="B5" s="1" t="s">
        <v>437</v>
      </c>
      <c r="D5" s="187" t="s">
        <v>438</v>
      </c>
      <c r="E5" s="1" t="s">
        <v>422</v>
      </c>
    </row>
    <row r="6" spans="2:5" x14ac:dyDescent="0.35">
      <c r="B6" s="1" t="s">
        <v>439</v>
      </c>
      <c r="D6" s="153"/>
    </row>
    <row r="7" spans="2:5" x14ac:dyDescent="0.35">
      <c r="C7" s="1" t="s">
        <v>440</v>
      </c>
      <c r="D7" s="187" t="s">
        <v>444</v>
      </c>
      <c r="E7" s="1" t="s">
        <v>428</v>
      </c>
    </row>
    <row r="8" spans="2:5" x14ac:dyDescent="0.35">
      <c r="D8" s="187" t="s">
        <v>445</v>
      </c>
      <c r="E8" s="1" t="s">
        <v>429</v>
      </c>
    </row>
    <row r="9" spans="2:5" x14ac:dyDescent="0.35">
      <c r="C9" s="1" t="s">
        <v>441</v>
      </c>
      <c r="D9" s="187" t="s">
        <v>446</v>
      </c>
      <c r="E9" s="1" t="s">
        <v>430</v>
      </c>
    </row>
    <row r="10" spans="2:5" x14ac:dyDescent="0.35">
      <c r="C10" s="1" t="s">
        <v>442</v>
      </c>
      <c r="D10" s="187" t="s">
        <v>446</v>
      </c>
    </row>
    <row r="11" spans="2:5" x14ac:dyDescent="0.35">
      <c r="C11" s="1" t="s">
        <v>443</v>
      </c>
      <c r="D11" s="187" t="s">
        <v>446</v>
      </c>
    </row>
    <row r="12" spans="2:5" x14ac:dyDescent="0.35">
      <c r="B12" s="1" t="s">
        <v>447</v>
      </c>
      <c r="D12" s="154"/>
    </row>
    <row r="13" spans="2:5" x14ac:dyDescent="0.35">
      <c r="C13" s="1" t="s">
        <v>450</v>
      </c>
      <c r="D13" s="187" t="s">
        <v>451</v>
      </c>
      <c r="E13" s="1" t="s">
        <v>431</v>
      </c>
    </row>
    <row r="14" spans="2:5" x14ac:dyDescent="0.35">
      <c r="C14" s="1" t="s">
        <v>448</v>
      </c>
      <c r="D14" s="187" t="s">
        <v>452</v>
      </c>
      <c r="E14" s="1" t="s">
        <v>432</v>
      </c>
    </row>
    <row r="15" spans="2:5" x14ac:dyDescent="0.35">
      <c r="C15" s="1" t="s">
        <v>449</v>
      </c>
      <c r="D15" s="187" t="s">
        <v>453</v>
      </c>
      <c r="E15" s="1" t="s">
        <v>454</v>
      </c>
    </row>
    <row r="16" spans="2:5" x14ac:dyDescent="0.35">
      <c r="D16" s="187" t="s">
        <v>455</v>
      </c>
    </row>
    <row r="17" spans="2:5" x14ac:dyDescent="0.35">
      <c r="C17" s="1" t="s">
        <v>423</v>
      </c>
      <c r="D17" s="187" t="s">
        <v>456</v>
      </c>
      <c r="E17" s="1" t="s">
        <v>433</v>
      </c>
    </row>
    <row r="18" spans="2:5" x14ac:dyDescent="0.35">
      <c r="B18" s="1" t="s">
        <v>434</v>
      </c>
      <c r="D18" s="187" t="s">
        <v>457</v>
      </c>
      <c r="E18" s="1" t="s">
        <v>435</v>
      </c>
    </row>
    <row r="19" spans="2:5" x14ac:dyDescent="0.35">
      <c r="B19" s="1" t="s">
        <v>424</v>
      </c>
      <c r="D19" s="187" t="s">
        <v>458</v>
      </c>
      <c r="E19" s="1" t="s">
        <v>436</v>
      </c>
    </row>
    <row r="20" spans="2:5" x14ac:dyDescent="0.35">
      <c r="D20" s="154"/>
    </row>
    <row r="21" spans="2:5" x14ac:dyDescent="0.35">
      <c r="B21" s="17" t="s">
        <v>425</v>
      </c>
      <c r="C21" s="17"/>
      <c r="D21" s="188" t="s">
        <v>426</v>
      </c>
      <c r="E21" s="17" t="s">
        <v>427</v>
      </c>
    </row>
  </sheetData>
  <hyperlinks>
    <hyperlink ref="D5" location="'4.6.2 Wetter'!A1" display="'4.6.2 Wetter'!A1" xr:uid="{AE1887B2-05ED-4717-8B29-0BC6396316AA}"/>
    <hyperlink ref="D7" location="'5.1.1 DIN 16798'!A1" display="'5.1.1 DIN 16798'!A1" xr:uid="{C93B6D11-9353-4ABC-B18B-B17A971B7A7D}"/>
    <hyperlink ref="D8" location="'5.1.1 DIN 1991'!A1" display="'5.1.1 DIN 1991'!A1" xr:uid="{209C5A5B-6B22-465B-9BE8-29687E56ECD7}"/>
    <hyperlink ref="D9" location="'5.1 C_P'!A1" display="'5.1 C_P'!A1" xr:uid="{C28C39B3-BB63-46C3-9392-714406F355EC}"/>
    <hyperlink ref="D13" location="'5.2.1 DFR'!A1" display="'5.2.1 DFR'!A1" xr:uid="{6E9CF30F-F328-4DAB-8B2B-D92C249B37E1}"/>
    <hyperlink ref="D14" location="'5.2.2 WSOA'!A1" display="'5.2.2 WSOA'!A1" xr:uid="{65A5B5AB-BA48-4E72-8C77-1EB149FC680A}"/>
    <hyperlink ref="D15" location="'5.2.3 AFN_1Zone'!A1" display="'5.2.3 AFN_1Zone'!A1" xr:uid="{E52339D7-40B4-4441-B99A-4417D5D55A47}"/>
    <hyperlink ref="D16" location="'5.2.3 AFN_2Zonen'!A1" display="'5.2.3 AFN_2Zonen'!A1" xr:uid="{AB017ED7-8DC3-4CAC-9071-8F53EEA1F628}"/>
    <hyperlink ref="D17" location="'5.2.4 C_W-Nachweis'!A1" display="'5.2.4 C_W-Nachweis'!A1" xr:uid="{846774C8-9C6D-490A-A578-3F9A931D2E6B}"/>
    <hyperlink ref="D18" location="'5.3 CFD'!A1" display="'5.3 CFD'!A1" xr:uid="{58CF45C9-7D8E-4148-838F-9C3DC1BBF463}"/>
    <hyperlink ref="D19" location="'5.4 Ergebnis'!A1" display="'5.4 Ergebnis'!A1" xr:uid="{44F47254-B849-4D33-89D5-348404F704E3}"/>
    <hyperlink ref="D21" location="'Sim vs. Hand'!A1" display="'Sim vs. Hand'!A1" xr:uid="{826C3F9D-99F4-47D1-ACD4-C0A469E8C7D5}"/>
    <hyperlink ref="D10" location="'5.1 C_P'!A1" display="'5.1 C_P'!A1" xr:uid="{24DD079C-E2BB-4AEE-99FD-FBFE3E2CD4E5}"/>
    <hyperlink ref="D11" location="'5.1 C_P'!A1" display="'5.1 C_P'!A1" xr:uid="{0128F02A-A8AA-44CC-A3E6-84C173DF017F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DF84-69D4-49A6-A610-F5A419B891BB}">
  <dimension ref="B2:H28"/>
  <sheetViews>
    <sheetView workbookViewId="0">
      <selection activeCell="J10" sqref="J10"/>
    </sheetView>
  </sheetViews>
  <sheetFormatPr baseColWidth="10" defaultRowHeight="13.5" x14ac:dyDescent="0.35"/>
  <cols>
    <col min="1" max="1" width="10.6640625" style="1"/>
    <col min="2" max="2" width="10.53125" style="1" customWidth="1"/>
    <col min="3" max="3" width="31.6640625" style="1" bestFit="1" customWidth="1"/>
    <col min="4" max="4" width="4.46484375" style="1" bestFit="1" customWidth="1"/>
    <col min="5" max="8" width="9.53125" style="1" customWidth="1"/>
    <col min="9" max="16384" width="10.6640625" style="1"/>
  </cols>
  <sheetData>
    <row r="2" spans="2:8" x14ac:dyDescent="0.35">
      <c r="B2" s="44"/>
      <c r="C2" s="44"/>
      <c r="D2" s="45"/>
      <c r="E2" s="155" t="s">
        <v>231</v>
      </c>
      <c r="F2" s="155"/>
      <c r="G2" s="155" t="s">
        <v>232</v>
      </c>
      <c r="H2" s="155"/>
    </row>
    <row r="3" spans="2:8" x14ac:dyDescent="0.35">
      <c r="B3" s="25" t="s">
        <v>216</v>
      </c>
      <c r="C3" s="17"/>
      <c r="D3" s="16"/>
      <c r="E3" s="16" t="s">
        <v>215</v>
      </c>
      <c r="F3" s="16" t="s">
        <v>313</v>
      </c>
      <c r="G3" s="16" t="s">
        <v>215</v>
      </c>
      <c r="H3" s="16" t="s">
        <v>313</v>
      </c>
    </row>
    <row r="4" spans="2:8" x14ac:dyDescent="0.35">
      <c r="B4" s="46" t="s">
        <v>333</v>
      </c>
      <c r="C4" s="46" t="s">
        <v>30</v>
      </c>
      <c r="D4" s="47" t="s">
        <v>25</v>
      </c>
      <c r="E4" s="48">
        <v>6.5</v>
      </c>
      <c r="F4" s="48">
        <v>6.5</v>
      </c>
      <c r="G4" s="48">
        <v>6.5</v>
      </c>
      <c r="H4" s="48">
        <v>6.5</v>
      </c>
    </row>
    <row r="5" spans="2:8" x14ac:dyDescent="0.35">
      <c r="B5" s="46" t="s">
        <v>109</v>
      </c>
      <c r="C5" s="46" t="s">
        <v>79</v>
      </c>
      <c r="D5" s="47" t="s">
        <v>48</v>
      </c>
      <c r="E5" s="48">
        <v>10</v>
      </c>
      <c r="F5" s="3">
        <v>10</v>
      </c>
      <c r="G5" s="48">
        <v>10</v>
      </c>
      <c r="H5" s="3">
        <v>10</v>
      </c>
    </row>
    <row r="6" spans="2:8" x14ac:dyDescent="0.35">
      <c r="B6" s="46" t="s">
        <v>305</v>
      </c>
      <c r="C6" s="46" t="s">
        <v>332</v>
      </c>
      <c r="D6" s="47" t="s">
        <v>48</v>
      </c>
      <c r="E6" s="48">
        <v>1.7</v>
      </c>
      <c r="F6" s="3">
        <v>6</v>
      </c>
      <c r="G6" s="48">
        <v>1.7</v>
      </c>
      <c r="H6" s="3">
        <v>6</v>
      </c>
    </row>
    <row r="7" spans="2:8" x14ac:dyDescent="0.35">
      <c r="B7" s="46" t="s">
        <v>77</v>
      </c>
      <c r="C7" s="46" t="s">
        <v>155</v>
      </c>
      <c r="D7" s="49" t="s">
        <v>20</v>
      </c>
      <c r="E7" s="48">
        <v>0.14000000000000001</v>
      </c>
      <c r="F7" s="3">
        <v>0.14000000000000001</v>
      </c>
      <c r="G7" s="48">
        <v>0.22</v>
      </c>
      <c r="H7" s="3">
        <v>0.22</v>
      </c>
    </row>
    <row r="8" spans="2:8" x14ac:dyDescent="0.35">
      <c r="B8" s="50" t="s">
        <v>78</v>
      </c>
      <c r="C8" s="50" t="s">
        <v>155</v>
      </c>
      <c r="D8" s="51" t="s">
        <v>48</v>
      </c>
      <c r="E8" s="52">
        <v>270</v>
      </c>
      <c r="F8" s="16">
        <v>270</v>
      </c>
      <c r="G8" s="52">
        <v>370</v>
      </c>
      <c r="H8" s="16">
        <v>370</v>
      </c>
    </row>
    <row r="9" spans="2:8" x14ac:dyDescent="0.35">
      <c r="B9" s="25" t="s">
        <v>61</v>
      </c>
      <c r="C9" s="25" t="s">
        <v>64</v>
      </c>
      <c r="D9" s="53" t="s">
        <v>25</v>
      </c>
      <c r="E9" s="54">
        <f>E4*(E8/E5)^E7*(E6/E8)^E7</f>
        <v>5.0719645057417431</v>
      </c>
      <c r="F9" s="54">
        <f>F4*(F8/F5)^F7*(F6/F8)^F7</f>
        <v>6.0513814787681062</v>
      </c>
      <c r="G9" s="54">
        <f>G4*(G8/G5)^G7*(G6/G8)^G7</f>
        <v>4.4016156718736665</v>
      </c>
      <c r="H9" s="54">
        <f>H4*(H8/H5)^H7*(H6/H8)^H7</f>
        <v>5.8090702931747922</v>
      </c>
    </row>
    <row r="12" spans="2:8" x14ac:dyDescent="0.35">
      <c r="B12" s="46"/>
      <c r="C12" s="46"/>
      <c r="D12" s="55"/>
      <c r="E12" s="46"/>
    </row>
    <row r="16" spans="2:8" x14ac:dyDescent="0.35">
      <c r="B16" s="56"/>
    </row>
    <row r="28" spans="2:2" x14ac:dyDescent="0.35">
      <c r="B28" s="1" t="s">
        <v>375</v>
      </c>
    </row>
  </sheetData>
  <mergeCells count="2">
    <mergeCell ref="E2:F2"/>
    <mergeCell ref="G2:H2"/>
  </mergeCells>
  <pageMargins left="0.7" right="0.7" top="0.78740157499999996" bottom="0.78740157499999996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C990-57C8-45F7-ABCE-37F0A30B1430}">
  <dimension ref="B1:K11"/>
  <sheetViews>
    <sheetView workbookViewId="0">
      <selection activeCell="N8" sqref="N8"/>
    </sheetView>
  </sheetViews>
  <sheetFormatPr baseColWidth="10" defaultRowHeight="13.5" x14ac:dyDescent="0.35"/>
  <cols>
    <col min="1" max="1" width="3.6640625" style="1" customWidth="1"/>
    <col min="2" max="2" width="10.6640625" style="1"/>
    <col min="3" max="3" width="33.9296875" style="1" bestFit="1" customWidth="1"/>
    <col min="4" max="16384" width="10.6640625" style="1"/>
  </cols>
  <sheetData>
    <row r="1" spans="2:11" x14ac:dyDescent="0.35">
      <c r="B1" s="1" t="s">
        <v>319</v>
      </c>
    </row>
    <row r="3" spans="2:11" x14ac:dyDescent="0.35">
      <c r="B3" s="18" t="s">
        <v>376</v>
      </c>
      <c r="C3" s="18" t="s">
        <v>377</v>
      </c>
      <c r="D3" s="18" t="s">
        <v>2</v>
      </c>
      <c r="F3" s="17" t="s">
        <v>384</v>
      </c>
      <c r="G3" s="17"/>
      <c r="H3" s="17"/>
    </row>
    <row r="4" spans="2:11" x14ac:dyDescent="0.35">
      <c r="B4" s="1" t="s">
        <v>379</v>
      </c>
      <c r="C4" s="1" t="s">
        <v>378</v>
      </c>
      <c r="D4" s="118" t="s">
        <v>383</v>
      </c>
      <c r="F4" s="1" t="s">
        <v>315</v>
      </c>
      <c r="G4" s="1" t="s">
        <v>320</v>
      </c>
      <c r="H4" s="36">
        <v>0.5</v>
      </c>
    </row>
    <row r="5" spans="2:11" x14ac:dyDescent="0.35">
      <c r="B5" s="17" t="s">
        <v>381</v>
      </c>
      <c r="C5" s="17" t="s">
        <v>382</v>
      </c>
      <c r="D5" s="17" t="s">
        <v>380</v>
      </c>
      <c r="F5" s="17" t="s">
        <v>316</v>
      </c>
      <c r="G5" s="17" t="s">
        <v>321</v>
      </c>
      <c r="H5" s="53">
        <v>-0.7</v>
      </c>
    </row>
    <row r="7" spans="2:11" x14ac:dyDescent="0.35">
      <c r="B7" s="1" t="s">
        <v>386</v>
      </c>
    </row>
    <row r="8" spans="2:11" ht="27.4" customHeight="1" x14ac:dyDescent="0.35">
      <c r="B8" s="156" t="s">
        <v>388</v>
      </c>
      <c r="C8" s="156"/>
      <c r="D8" s="156"/>
      <c r="E8" s="156"/>
      <c r="F8" s="156"/>
      <c r="G8" s="156"/>
      <c r="H8" s="156"/>
      <c r="I8" s="156"/>
      <c r="J8" s="156"/>
      <c r="K8" s="156"/>
    </row>
    <row r="9" spans="2:11" x14ac:dyDescent="0.35">
      <c r="B9" s="64" t="s">
        <v>387</v>
      </c>
    </row>
    <row r="11" spans="2:11" x14ac:dyDescent="0.35">
      <c r="B11" s="1" t="s">
        <v>385</v>
      </c>
    </row>
  </sheetData>
  <mergeCells count="1">
    <mergeCell ref="B8:K8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5C2F-3889-4283-82E8-FCBF66408930}">
  <dimension ref="B2:R29"/>
  <sheetViews>
    <sheetView workbookViewId="0">
      <selection activeCell="S26" sqref="S26"/>
    </sheetView>
  </sheetViews>
  <sheetFormatPr baseColWidth="10" defaultRowHeight="13.5" x14ac:dyDescent="0.35"/>
  <cols>
    <col min="1" max="1" width="4.3984375" style="1" customWidth="1"/>
    <col min="2" max="2" width="5.46484375" style="1" customWidth="1"/>
    <col min="3" max="3" width="14.86328125" style="1" customWidth="1"/>
    <col min="4" max="4" width="6.86328125" style="1" bestFit="1" customWidth="1"/>
    <col min="5" max="6" width="10.6640625" style="1"/>
    <col min="7" max="7" width="4.73046875" style="1" customWidth="1"/>
    <col min="8" max="8" width="7.59765625" style="1" customWidth="1"/>
    <col min="9" max="10" width="10.6640625" style="1"/>
    <col min="11" max="11" width="8.53125" style="1" customWidth="1"/>
    <col min="12" max="13" width="10.6640625" style="1"/>
    <col min="14" max="14" width="6.86328125" style="1" bestFit="1" customWidth="1"/>
    <col min="15" max="16384" width="10.6640625" style="1"/>
  </cols>
  <sheetData>
    <row r="2" spans="2:18" x14ac:dyDescent="0.35">
      <c r="B2" s="1" t="s">
        <v>390</v>
      </c>
      <c r="N2" s="17" t="s">
        <v>389</v>
      </c>
      <c r="O2" s="17"/>
      <c r="P2" s="17"/>
      <c r="Q2" s="17"/>
      <c r="R2" s="17"/>
    </row>
    <row r="3" spans="2:18" x14ac:dyDescent="0.35">
      <c r="B3" s="18" t="s">
        <v>339</v>
      </c>
      <c r="C3" s="18"/>
      <c r="D3" s="11"/>
      <c r="E3" s="59" t="s">
        <v>335</v>
      </c>
      <c r="F3" s="59" t="s">
        <v>336</v>
      </c>
      <c r="H3" s="11" t="s">
        <v>340</v>
      </c>
      <c r="I3" s="11" t="s">
        <v>215</v>
      </c>
      <c r="J3" s="11" t="s">
        <v>310</v>
      </c>
      <c r="K3" s="11" t="s">
        <v>313</v>
      </c>
      <c r="L3" s="11" t="s">
        <v>314</v>
      </c>
      <c r="M3" s="3"/>
      <c r="N3" s="3" t="s">
        <v>313</v>
      </c>
      <c r="O3" s="3" t="s">
        <v>5</v>
      </c>
      <c r="P3" s="3" t="s">
        <v>6</v>
      </c>
      <c r="Q3" s="3" t="s">
        <v>8</v>
      </c>
      <c r="R3" s="3" t="s">
        <v>241</v>
      </c>
    </row>
    <row r="4" spans="2:18" ht="14.25" x14ac:dyDescent="0.45">
      <c r="B4" s="1" t="s">
        <v>305</v>
      </c>
      <c r="C4" s="1" t="s">
        <v>306</v>
      </c>
      <c r="D4" s="3" t="s">
        <v>48</v>
      </c>
      <c r="E4" s="3">
        <v>12</v>
      </c>
      <c r="F4" s="3">
        <v>12</v>
      </c>
      <c r="H4" s="157">
        <v>1</v>
      </c>
      <c r="I4" s="3" t="s">
        <v>93</v>
      </c>
      <c r="J4" s="3" t="s">
        <v>311</v>
      </c>
      <c r="K4" s="3" t="s">
        <v>6</v>
      </c>
      <c r="L4" s="6">
        <f>P7</f>
        <v>-0.81372724716820266</v>
      </c>
      <c r="M4" s="6"/>
      <c r="N4" s="17" t="s">
        <v>373</v>
      </c>
      <c r="O4" s="16">
        <v>1</v>
      </c>
      <c r="P4" s="16">
        <v>1</v>
      </c>
      <c r="Q4" s="130" t="s">
        <v>374</v>
      </c>
      <c r="R4" s="130" t="s">
        <v>374</v>
      </c>
    </row>
    <row r="5" spans="2:18" x14ac:dyDescent="0.35">
      <c r="B5" s="1" t="s">
        <v>101</v>
      </c>
      <c r="C5" s="1" t="s">
        <v>342</v>
      </c>
      <c r="D5" s="3" t="s">
        <v>48</v>
      </c>
      <c r="E5" s="3">
        <v>60</v>
      </c>
      <c r="F5" s="3">
        <v>15</v>
      </c>
      <c r="H5" s="157"/>
      <c r="I5" s="3" t="s">
        <v>121</v>
      </c>
      <c r="J5" s="3" t="s">
        <v>311</v>
      </c>
      <c r="K5" s="3" t="s">
        <v>6</v>
      </c>
      <c r="L5" s="6">
        <f>P7</f>
        <v>-0.81372724716820266</v>
      </c>
      <c r="M5" s="6"/>
      <c r="N5" s="118" t="s">
        <v>370</v>
      </c>
      <c r="O5" s="6">
        <v>-1.4</v>
      </c>
      <c r="P5" s="6">
        <v>-1.1000000000000001</v>
      </c>
      <c r="Q5" s="6">
        <v>1</v>
      </c>
      <c r="R5" s="6">
        <v>-0.3</v>
      </c>
    </row>
    <row r="6" spans="2:18" x14ac:dyDescent="0.35">
      <c r="B6" s="1" t="s">
        <v>304</v>
      </c>
      <c r="C6" s="1" t="s">
        <v>343</v>
      </c>
      <c r="D6" s="3" t="s">
        <v>48</v>
      </c>
      <c r="E6" s="3">
        <v>15</v>
      </c>
      <c r="F6" s="3">
        <v>60</v>
      </c>
      <c r="H6" s="157">
        <v>2</v>
      </c>
      <c r="I6" s="3" t="s">
        <v>93</v>
      </c>
      <c r="J6" s="3" t="s">
        <v>311</v>
      </c>
      <c r="K6" s="3" t="s">
        <v>6</v>
      </c>
      <c r="L6" s="6">
        <f>P7</f>
        <v>-0.81372724716820266</v>
      </c>
      <c r="M6" s="6"/>
      <c r="N6" s="118" t="s">
        <v>371</v>
      </c>
      <c r="O6" s="6">
        <v>-1.2</v>
      </c>
      <c r="P6" s="6">
        <v>-0.8</v>
      </c>
      <c r="Q6" s="6">
        <v>0.7</v>
      </c>
      <c r="R6" s="6">
        <v>-0.3</v>
      </c>
    </row>
    <row r="7" spans="2:18" x14ac:dyDescent="0.35">
      <c r="B7" s="17" t="s">
        <v>307</v>
      </c>
      <c r="C7" s="17"/>
      <c r="D7" s="16"/>
      <c r="E7" s="16">
        <f>E4/E6</f>
        <v>0.8</v>
      </c>
      <c r="F7" s="16">
        <f>F4/F6</f>
        <v>0.2</v>
      </c>
      <c r="H7" s="157"/>
      <c r="I7" s="3" t="s">
        <v>121</v>
      </c>
      <c r="J7" s="3" t="s">
        <v>311</v>
      </c>
      <c r="K7" s="3" t="s">
        <v>6</v>
      </c>
      <c r="L7" s="6">
        <f>P7</f>
        <v>-0.81372724716820266</v>
      </c>
      <c r="M7" s="6"/>
      <c r="N7" s="129" t="s">
        <v>372</v>
      </c>
      <c r="O7" s="9">
        <f>O5-(O5-O6)*LOG10(9)</f>
        <v>-1.209151498112135</v>
      </c>
      <c r="P7" s="9">
        <f t="shared" ref="P7:R7" si="0">P5-(P5-P6)*LOG10(9)</f>
        <v>-0.81372724716820266</v>
      </c>
      <c r="Q7" s="9">
        <f t="shared" si="0"/>
        <v>0.71372724716820257</v>
      </c>
      <c r="R7" s="9">
        <f t="shared" si="0"/>
        <v>-0.3</v>
      </c>
    </row>
    <row r="8" spans="2:18" x14ac:dyDescent="0.35">
      <c r="B8" s="1" t="s">
        <v>368</v>
      </c>
      <c r="D8" s="3" t="s">
        <v>48</v>
      </c>
      <c r="E8" s="3">
        <f>MIN(E5,2*E4)</f>
        <v>24</v>
      </c>
      <c r="F8" s="3"/>
      <c r="H8" s="157">
        <v>3</v>
      </c>
      <c r="I8" s="3" t="s">
        <v>93</v>
      </c>
      <c r="J8" s="3" t="s">
        <v>311</v>
      </c>
      <c r="K8" s="3" t="s">
        <v>6</v>
      </c>
      <c r="L8" s="6">
        <f>P7</f>
        <v>-0.81372724716820266</v>
      </c>
      <c r="M8" s="6"/>
    </row>
    <row r="9" spans="2:18" x14ac:dyDescent="0.35">
      <c r="B9" s="1" t="s">
        <v>308</v>
      </c>
      <c r="D9" s="3" t="s">
        <v>48</v>
      </c>
      <c r="E9" s="32" t="s">
        <v>337</v>
      </c>
      <c r="F9" s="3"/>
      <c r="H9" s="157"/>
      <c r="I9" s="3" t="s">
        <v>341</v>
      </c>
      <c r="J9" s="3" t="s">
        <v>312</v>
      </c>
      <c r="K9" s="3" t="s">
        <v>5</v>
      </c>
      <c r="L9" s="6">
        <f>O7</f>
        <v>-1.209151498112135</v>
      </c>
      <c r="M9" s="6"/>
    </row>
    <row r="10" spans="2:18" x14ac:dyDescent="0.35">
      <c r="B10" s="17" t="s">
        <v>309</v>
      </c>
      <c r="C10" s="17"/>
      <c r="D10" s="16" t="s">
        <v>48</v>
      </c>
      <c r="E10" s="58" t="s">
        <v>338</v>
      </c>
      <c r="F10" s="16"/>
      <c r="H10" s="157">
        <v>4</v>
      </c>
      <c r="I10" s="3" t="s">
        <v>93</v>
      </c>
      <c r="J10" s="3" t="s">
        <v>315</v>
      </c>
      <c r="K10" s="3" t="s">
        <v>8</v>
      </c>
      <c r="L10" s="6">
        <f>Q7</f>
        <v>0.71372724716820257</v>
      </c>
      <c r="M10" s="6"/>
    </row>
    <row r="11" spans="2:18" x14ac:dyDescent="0.35">
      <c r="B11" s="1" t="s">
        <v>369</v>
      </c>
      <c r="H11" s="157"/>
      <c r="I11" s="3" t="s">
        <v>121</v>
      </c>
      <c r="J11" s="3" t="s">
        <v>316</v>
      </c>
      <c r="K11" s="3" t="s">
        <v>241</v>
      </c>
      <c r="L11" s="6">
        <v>-0.3</v>
      </c>
      <c r="M11" s="6"/>
    </row>
    <row r="12" spans="2:18" x14ac:dyDescent="0.35">
      <c r="H12" s="157">
        <v>5</v>
      </c>
      <c r="I12" s="3" t="s">
        <v>93</v>
      </c>
      <c r="J12" s="3" t="s">
        <v>315</v>
      </c>
      <c r="K12" s="3" t="s">
        <v>8</v>
      </c>
      <c r="L12" s="6">
        <f>Q7</f>
        <v>0.71372724716820257</v>
      </c>
      <c r="M12" s="6"/>
    </row>
    <row r="13" spans="2:18" x14ac:dyDescent="0.35">
      <c r="H13" s="157"/>
      <c r="I13" s="3" t="s">
        <v>121</v>
      </c>
      <c r="J13" s="3" t="s">
        <v>316</v>
      </c>
      <c r="K13" s="3" t="s">
        <v>241</v>
      </c>
      <c r="L13" s="6">
        <v>-0.3</v>
      </c>
      <c r="M13" s="6"/>
    </row>
    <row r="14" spans="2:18" x14ac:dyDescent="0.35">
      <c r="H14" s="157">
        <v>6</v>
      </c>
      <c r="I14" s="3" t="s">
        <v>93</v>
      </c>
      <c r="J14" s="3" t="s">
        <v>315</v>
      </c>
      <c r="K14" s="3" t="s">
        <v>8</v>
      </c>
      <c r="L14" s="6">
        <f>Q7</f>
        <v>0.71372724716820257</v>
      </c>
      <c r="M14" s="6"/>
    </row>
    <row r="15" spans="2:18" x14ac:dyDescent="0.35">
      <c r="H15" s="158"/>
      <c r="I15" s="16" t="s">
        <v>341</v>
      </c>
      <c r="J15" s="16" t="s">
        <v>316</v>
      </c>
      <c r="K15" s="16" t="s">
        <v>241</v>
      </c>
      <c r="L15" s="9">
        <v>-0.3</v>
      </c>
      <c r="M15" s="6"/>
    </row>
    <row r="29" spans="2:2" x14ac:dyDescent="0.35">
      <c r="B29" s="1" t="s">
        <v>318</v>
      </c>
    </row>
  </sheetData>
  <mergeCells count="6">
    <mergeCell ref="H12:H13"/>
    <mergeCell ref="H14:H15"/>
    <mergeCell ref="H4:H5"/>
    <mergeCell ref="H6:H7"/>
    <mergeCell ref="H8:H9"/>
    <mergeCell ref="H10:H11"/>
  </mergeCells>
  <phoneticPr fontId="2" type="noConversion"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9F78-7B80-4792-925E-6DDCE16557BE}">
  <dimension ref="B2:AB51"/>
  <sheetViews>
    <sheetView zoomScale="81" workbookViewId="0">
      <pane xSplit="2" topLeftCell="C1" activePane="topRight" state="frozen"/>
      <selection pane="topRight" activeCell="N32" sqref="N32"/>
    </sheetView>
  </sheetViews>
  <sheetFormatPr baseColWidth="10" defaultRowHeight="13.5" x14ac:dyDescent="0.35"/>
  <cols>
    <col min="1" max="1" width="3.6640625" style="1" customWidth="1"/>
    <col min="2" max="2" width="5.59765625" style="1" customWidth="1"/>
    <col min="3" max="4" width="7.59765625" style="1" customWidth="1"/>
    <col min="5" max="24" width="7.53125" style="1" customWidth="1"/>
    <col min="25" max="26" width="10.6640625" style="1"/>
    <col min="27" max="28" width="8.59765625" style="1" customWidth="1"/>
    <col min="29" max="16384" width="10.6640625" style="1"/>
  </cols>
  <sheetData>
    <row r="2" spans="2:28" ht="43.5" customHeight="1" x14ac:dyDescent="0.35">
      <c r="B2" s="17"/>
      <c r="C2" s="17"/>
      <c r="D2" s="17"/>
      <c r="E2" s="163" t="s">
        <v>261</v>
      </c>
      <c r="F2" s="163"/>
      <c r="G2" s="163" t="s">
        <v>391</v>
      </c>
      <c r="H2" s="163"/>
      <c r="I2" s="164" t="s">
        <v>262</v>
      </c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3" t="s">
        <v>268</v>
      </c>
      <c r="V2" s="163"/>
      <c r="W2" s="163" t="s">
        <v>296</v>
      </c>
      <c r="X2" s="163"/>
      <c r="AA2" s="17"/>
      <c r="AB2" s="17"/>
    </row>
    <row r="3" spans="2:28" s="3" customFormat="1" ht="15.85" customHeight="1" x14ac:dyDescent="0.35">
      <c r="B3" s="2"/>
      <c r="C3" s="161" t="s">
        <v>211</v>
      </c>
      <c r="D3" s="161"/>
      <c r="E3" s="161" t="s">
        <v>5</v>
      </c>
      <c r="F3" s="161"/>
      <c r="G3" s="161" t="s">
        <v>6</v>
      </c>
      <c r="H3" s="161"/>
      <c r="I3" s="161" t="s">
        <v>266</v>
      </c>
      <c r="J3" s="161"/>
      <c r="K3" s="161" t="s">
        <v>265</v>
      </c>
      <c r="L3" s="161"/>
      <c r="M3" s="161" t="s">
        <v>264</v>
      </c>
      <c r="N3" s="161"/>
      <c r="O3" s="161" t="s">
        <v>263</v>
      </c>
      <c r="P3" s="161"/>
      <c r="Q3" s="161" t="s">
        <v>267</v>
      </c>
      <c r="R3" s="161"/>
      <c r="S3" s="161" t="s">
        <v>269</v>
      </c>
      <c r="T3" s="161"/>
      <c r="U3" s="161" t="s">
        <v>8</v>
      </c>
      <c r="V3" s="161"/>
      <c r="W3" s="161" t="s">
        <v>241</v>
      </c>
      <c r="X3" s="161"/>
      <c r="Y3" s="162" t="s">
        <v>322</v>
      </c>
      <c r="Z3" s="162"/>
      <c r="AA3" s="162" t="s">
        <v>303</v>
      </c>
      <c r="AB3" s="162"/>
    </row>
    <row r="4" spans="2:28" s="2" customFormat="1" ht="15.85" customHeight="1" x14ac:dyDescent="0.35">
      <c r="B4" s="14"/>
      <c r="C4" s="14" t="s">
        <v>93</v>
      </c>
      <c r="D4" s="14" t="s">
        <v>207</v>
      </c>
      <c r="E4" s="14" t="s">
        <v>93</v>
      </c>
      <c r="F4" s="14" t="s">
        <v>207</v>
      </c>
      <c r="G4" s="14" t="s">
        <v>93</v>
      </c>
      <c r="H4" s="14" t="s">
        <v>207</v>
      </c>
      <c r="I4" s="14" t="s">
        <v>93</v>
      </c>
      <c r="J4" s="14" t="s">
        <v>207</v>
      </c>
      <c r="K4" s="14" t="s">
        <v>93</v>
      </c>
      <c r="L4" s="14" t="s">
        <v>207</v>
      </c>
      <c r="M4" s="14" t="s">
        <v>93</v>
      </c>
      <c r="N4" s="14" t="s">
        <v>207</v>
      </c>
      <c r="O4" s="14" t="s">
        <v>93</v>
      </c>
      <c r="P4" s="14" t="s">
        <v>207</v>
      </c>
      <c r="Q4" s="14" t="s">
        <v>93</v>
      </c>
      <c r="R4" s="14" t="s">
        <v>207</v>
      </c>
      <c r="S4" s="14" t="s">
        <v>93</v>
      </c>
      <c r="T4" s="14" t="s">
        <v>207</v>
      </c>
      <c r="U4" s="14" t="s">
        <v>93</v>
      </c>
      <c r="V4" s="14" t="s">
        <v>207</v>
      </c>
      <c r="W4" s="14" t="s">
        <v>93</v>
      </c>
      <c r="X4" s="14" t="s">
        <v>207</v>
      </c>
      <c r="Y4" s="14" t="s">
        <v>323</v>
      </c>
      <c r="Z4" s="14" t="s">
        <v>207</v>
      </c>
      <c r="AA4" s="14" t="s">
        <v>93</v>
      </c>
      <c r="AB4" s="14" t="s">
        <v>207</v>
      </c>
    </row>
    <row r="5" spans="2:28" ht="15.85" customHeight="1" x14ac:dyDescent="0.35">
      <c r="B5" s="3">
        <v>1</v>
      </c>
      <c r="C5" s="6">
        <f>'5.2.3 AFN_1Zone'!E4</f>
        <v>3.2500000000000001E-2</v>
      </c>
      <c r="D5" s="6">
        <f>'5.2.3 AFN_1Zone'!E5</f>
        <v>-0.44</v>
      </c>
      <c r="E5" s="4">
        <v>-0.54900000000000004</v>
      </c>
      <c r="F5" s="4">
        <v>-0.51500000000000001</v>
      </c>
      <c r="G5" s="4">
        <v>-0.42899999999999999</v>
      </c>
      <c r="H5" s="5">
        <v>-0.52100000000000002</v>
      </c>
      <c r="I5" s="6">
        <v>-0.26290201105867922</v>
      </c>
      <c r="J5" s="6">
        <v>-0.50658661994053633</v>
      </c>
      <c r="K5" s="6">
        <v>-0.26286818242622462</v>
      </c>
      <c r="L5" s="6">
        <v>-0.51399204853199443</v>
      </c>
      <c r="M5" s="6">
        <v>-0.25357826102475078</v>
      </c>
      <c r="N5" s="6">
        <v>-0.51359774661996804</v>
      </c>
      <c r="O5" s="6">
        <v>-0.25123518472423062</v>
      </c>
      <c r="P5" s="6">
        <v>-0.50969666751842002</v>
      </c>
      <c r="Q5" s="6">
        <v>-0.23783021893159731</v>
      </c>
      <c r="R5" s="6">
        <v>-0.49157547166085869</v>
      </c>
      <c r="S5" s="6">
        <v>-0.22977997907920819</v>
      </c>
      <c r="T5" s="6">
        <v>-0.47957305149614271</v>
      </c>
      <c r="U5" s="6">
        <v>-0.2431584293223846</v>
      </c>
      <c r="V5" s="6">
        <v>-0.52995596932972122</v>
      </c>
      <c r="W5" s="6">
        <v>-0.49121451804923638</v>
      </c>
      <c r="X5" s="6">
        <v>-0.51064083247808112</v>
      </c>
      <c r="Y5" s="31" t="s">
        <v>20</v>
      </c>
      <c r="Z5" s="31" t="s">
        <v>20</v>
      </c>
      <c r="AA5" s="6">
        <f>'5.1.1 DIN 1991'!L4</f>
        <v>-0.81372724716820266</v>
      </c>
      <c r="AB5" s="6">
        <f>'5.1.1 DIN 1991'!L5</f>
        <v>-0.81372724716820266</v>
      </c>
    </row>
    <row r="6" spans="2:28" ht="15.85" customHeight="1" x14ac:dyDescent="0.35">
      <c r="B6" s="3">
        <v>2</v>
      </c>
      <c r="C6" s="6">
        <f>'5.2.3 AFN_1Zone'!E4</f>
        <v>3.2500000000000001E-2</v>
      </c>
      <c r="D6" s="6">
        <f>'5.2.3 AFN_1Zone'!E5</f>
        <v>-0.44</v>
      </c>
      <c r="E6" s="4">
        <v>-0.55200000000000005</v>
      </c>
      <c r="F6" s="4">
        <v>-0.50700000000000001</v>
      </c>
      <c r="G6" s="4">
        <v>-0.42699999999999999</v>
      </c>
      <c r="H6" s="5">
        <v>-0.50900000000000001</v>
      </c>
      <c r="I6" s="6">
        <v>-0.23372457711152081</v>
      </c>
      <c r="J6" s="6">
        <v>-0.50380387454467512</v>
      </c>
      <c r="K6" s="6">
        <v>-0.23618040076488411</v>
      </c>
      <c r="L6" s="6">
        <v>-0.51292804609055154</v>
      </c>
      <c r="M6" s="6">
        <v>-0.23084258457856591</v>
      </c>
      <c r="N6" s="6">
        <v>-0.51493137762759389</v>
      </c>
      <c r="O6" s="6">
        <v>-0.2353006699661164</v>
      </c>
      <c r="P6" s="6">
        <v>-0.51768242614937265</v>
      </c>
      <c r="Q6" s="6">
        <v>-0.2311423268764374</v>
      </c>
      <c r="R6" s="6">
        <v>-0.51584587031802109</v>
      </c>
      <c r="S6" s="6">
        <v>-0.2274261906541441</v>
      </c>
      <c r="T6" s="6">
        <v>-0.49386799112376872</v>
      </c>
      <c r="U6" s="6">
        <v>-0.23870749509421541</v>
      </c>
      <c r="V6" s="6">
        <v>-0.52160550951834472</v>
      </c>
      <c r="W6" s="6">
        <v>-0.49017198001552231</v>
      </c>
      <c r="X6" s="6">
        <v>-0.51237739682059091</v>
      </c>
      <c r="Y6" s="31" t="s">
        <v>20</v>
      </c>
      <c r="Z6" s="31" t="s">
        <v>20</v>
      </c>
      <c r="AA6" s="6">
        <f>'5.1.1 DIN 1991'!L8</f>
        <v>-0.81372724716820266</v>
      </c>
      <c r="AB6" s="6">
        <f>'5.1.1 DIN 1991'!L7</f>
        <v>-0.81372724716820266</v>
      </c>
    </row>
    <row r="7" spans="2:28" ht="15.85" customHeight="1" x14ac:dyDescent="0.35">
      <c r="B7" s="3">
        <v>3</v>
      </c>
      <c r="C7" s="6">
        <f>'5.2.3 AFN_1Zone'!E4</f>
        <v>3.2500000000000001E-2</v>
      </c>
      <c r="D7" s="6">
        <f>'5.2.3 AFN_1Zone'!E5</f>
        <v>-0.44</v>
      </c>
      <c r="E7" s="4">
        <v>-0.54600000000000004</v>
      </c>
      <c r="F7" s="4">
        <v>-0.504</v>
      </c>
      <c r="G7" s="4">
        <v>-0.42399999999999999</v>
      </c>
      <c r="H7" s="5">
        <v>-0.502</v>
      </c>
      <c r="I7" s="6">
        <v>-0.24624179237384219</v>
      </c>
      <c r="J7" s="6">
        <v>-0.49519961905179111</v>
      </c>
      <c r="K7" s="6">
        <v>-0.2470042667569802</v>
      </c>
      <c r="L7" s="6">
        <v>-0.50749166269396051</v>
      </c>
      <c r="M7" s="6">
        <v>-0.23952307253722821</v>
      </c>
      <c r="N7" s="6">
        <v>-0.50592865926634556</v>
      </c>
      <c r="O7" s="6">
        <v>-0.23996620998310991</v>
      </c>
      <c r="P7" s="6">
        <v>-0.49721708114082008</v>
      </c>
      <c r="Q7" s="6">
        <v>-0.23058059068709011</v>
      </c>
      <c r="R7" s="6">
        <v>-0.48625528745641922</v>
      </c>
      <c r="S7" s="6">
        <v>-0.22414223737501759</v>
      </c>
      <c r="T7" s="6">
        <v>-0.50365407187749689</v>
      </c>
      <c r="U7" s="6">
        <v>-0.2391843953647283</v>
      </c>
      <c r="V7" s="6">
        <v>-0.52309889882645688</v>
      </c>
      <c r="W7" s="6">
        <v>-0.48807585395982278</v>
      </c>
      <c r="X7" s="6">
        <v>-0.50679703792157627</v>
      </c>
      <c r="Y7" s="31" t="s">
        <v>20</v>
      </c>
      <c r="Z7" s="31" t="s">
        <v>20</v>
      </c>
      <c r="AA7" s="6">
        <f>'5.1.1 DIN 1991'!L6</f>
        <v>-0.81372724716820266</v>
      </c>
      <c r="AB7" s="6">
        <f>'5.1.1 DIN 1991'!L9</f>
        <v>-1.209151498112135</v>
      </c>
    </row>
    <row r="8" spans="2:28" ht="15.85" customHeight="1" x14ac:dyDescent="0.35">
      <c r="B8" s="3">
        <v>4</v>
      </c>
      <c r="C8" s="6">
        <f>'5.2.3 AFN_1Zone'!J4</f>
        <v>0.48</v>
      </c>
      <c r="D8" s="6">
        <f>'5.2.3 AFN_1Zone'!J5</f>
        <v>-0.315</v>
      </c>
      <c r="E8" s="4">
        <v>0.91200000000000003</v>
      </c>
      <c r="F8" s="4">
        <v>-0.34</v>
      </c>
      <c r="G8" s="4">
        <v>0.91200000000000003</v>
      </c>
      <c r="H8" s="5">
        <v>-0.33300000000000002</v>
      </c>
      <c r="I8" s="6">
        <v>0.6867964069213145</v>
      </c>
      <c r="J8" s="6">
        <v>-0.237785283719402</v>
      </c>
      <c r="K8" s="6">
        <v>0.81771026528553947</v>
      </c>
      <c r="L8" s="6">
        <v>-0.24813158351044881</v>
      </c>
      <c r="M8" s="6">
        <v>0.90297781264349608</v>
      </c>
      <c r="N8" s="6">
        <v>-0.3290956703259536</v>
      </c>
      <c r="O8" s="6">
        <v>0.95811779296630151</v>
      </c>
      <c r="P8" s="6">
        <v>-0.39064243705719631</v>
      </c>
      <c r="Q8" s="6">
        <v>0.92701076495811474</v>
      </c>
      <c r="R8" s="6">
        <v>-0.43096897302241621</v>
      </c>
      <c r="S8" s="6">
        <v>0.78832067950432161</v>
      </c>
      <c r="T8" s="6">
        <v>-0.43385345850372009</v>
      </c>
      <c r="U8" s="6">
        <v>1.059034516033871</v>
      </c>
      <c r="V8" s="6">
        <v>-0.38361724356518029</v>
      </c>
      <c r="W8" s="6">
        <v>0.8936829769499135</v>
      </c>
      <c r="X8" s="6">
        <v>-0.28164995627557499</v>
      </c>
      <c r="Y8" s="6">
        <f>'5.1.1 DIN 16798'!H4</f>
        <v>0.5</v>
      </c>
      <c r="Z8" s="6">
        <f>'5.1.1 DIN 16798'!H$5</f>
        <v>-0.7</v>
      </c>
      <c r="AA8" s="6">
        <f>'5.1.1 DIN 1991'!L10</f>
        <v>0.71372724716820257</v>
      </c>
      <c r="AB8" s="6">
        <f>'5.1.1 DIN 1991'!L11</f>
        <v>-0.3</v>
      </c>
    </row>
    <row r="9" spans="2:28" ht="15.85" customHeight="1" x14ac:dyDescent="0.35">
      <c r="B9" s="3">
        <v>5</v>
      </c>
      <c r="C9" s="6">
        <f>'5.2.3 AFN_1Zone'!J4</f>
        <v>0.48</v>
      </c>
      <c r="D9" s="6">
        <f>'5.2.3 AFN_1Zone'!J5</f>
        <v>-0.315</v>
      </c>
      <c r="E9" s="4">
        <v>0.91200000000000003</v>
      </c>
      <c r="F9" s="4">
        <v>-0.35899999999999999</v>
      </c>
      <c r="G9" s="4">
        <v>0.92400000000000004</v>
      </c>
      <c r="H9" s="5">
        <v>-0.307</v>
      </c>
      <c r="I9" s="6">
        <v>0.74518875709374977</v>
      </c>
      <c r="J9" s="6">
        <v>-0.2130681467328375</v>
      </c>
      <c r="K9" s="6">
        <v>0.85714564779145563</v>
      </c>
      <c r="L9" s="6">
        <v>-0.22547622998439709</v>
      </c>
      <c r="M9" s="6">
        <v>0.92898973405216378</v>
      </c>
      <c r="N9" s="6">
        <v>-0.30330113459283442</v>
      </c>
      <c r="O9" s="6">
        <v>0.97236047051584307</v>
      </c>
      <c r="P9" s="6">
        <v>-0.3630380760607449</v>
      </c>
      <c r="Q9" s="6">
        <v>0.93305097477982657</v>
      </c>
      <c r="R9" s="6">
        <v>-0.39138891288378191</v>
      </c>
      <c r="S9" s="6">
        <v>0.79044251366408957</v>
      </c>
      <c r="T9" s="6">
        <v>-0.37765723634160231</v>
      </c>
      <c r="U9" s="6">
        <v>1.0676863215239909</v>
      </c>
      <c r="V9" s="6">
        <v>-0.36579889907159768</v>
      </c>
      <c r="W9" s="6">
        <v>0.90925243333220618</v>
      </c>
      <c r="X9" s="6">
        <v>-0.33471472944190872</v>
      </c>
      <c r="Y9" s="6">
        <f>'5.1.1 DIN 16798'!H4</f>
        <v>0.5</v>
      </c>
      <c r="Z9" s="6">
        <f>'5.1.1 DIN 16798'!H$5</f>
        <v>-0.7</v>
      </c>
      <c r="AA9" s="6">
        <f>'5.1.1 DIN 1991'!L12</f>
        <v>0.71372724716820257</v>
      </c>
      <c r="AB9" s="6">
        <f>'5.1.1 DIN 1991'!L13</f>
        <v>-0.3</v>
      </c>
    </row>
    <row r="10" spans="2:28" ht="15.85" customHeight="1" x14ac:dyDescent="0.35">
      <c r="B10" s="16">
        <v>6</v>
      </c>
      <c r="C10" s="9">
        <f>'5.2.3 AFN_1Zone'!J4</f>
        <v>0.48</v>
      </c>
      <c r="D10" s="9">
        <f>'5.2.3 AFN_1Zone'!J5</f>
        <v>-0.315</v>
      </c>
      <c r="E10" s="7">
        <v>0.91100000000000003</v>
      </c>
      <c r="F10" s="7">
        <v>-0.33600000000000002</v>
      </c>
      <c r="G10" s="7">
        <v>0.90200000000000002</v>
      </c>
      <c r="H10" s="8">
        <v>-0.28000000000000003</v>
      </c>
      <c r="I10" s="9">
        <v>0.63958686765834716</v>
      </c>
      <c r="J10" s="9">
        <v>-0.258255606120318</v>
      </c>
      <c r="K10" s="9">
        <v>0.78561668609339441</v>
      </c>
      <c r="L10" s="9">
        <v>-0.26826820059315543</v>
      </c>
      <c r="M10" s="9">
        <v>0.88130083214371113</v>
      </c>
      <c r="N10" s="9">
        <v>-0.31841152371339121</v>
      </c>
      <c r="O10" s="9">
        <v>0.94607639005798938</v>
      </c>
      <c r="P10" s="9">
        <v>-0.33482962234548791</v>
      </c>
      <c r="Q10" s="9">
        <v>0.92175637833138002</v>
      </c>
      <c r="R10" s="9">
        <v>-0.31692296713089452</v>
      </c>
      <c r="S10" s="9">
        <v>0.78665039757951283</v>
      </c>
      <c r="T10" s="9">
        <v>-0.32224661376939351</v>
      </c>
      <c r="U10" s="9">
        <v>1.0504675731277791</v>
      </c>
      <c r="V10" s="9">
        <v>-0.40710816148866169</v>
      </c>
      <c r="W10" s="9">
        <v>0.88069798622947693</v>
      </c>
      <c r="X10" s="9">
        <v>-0.38118617324120407</v>
      </c>
      <c r="Y10" s="9">
        <f>'5.1.1 DIN 16798'!H4</f>
        <v>0.5</v>
      </c>
      <c r="Z10" s="9">
        <f>'5.1.1 DIN 16798'!H$5</f>
        <v>-0.7</v>
      </c>
      <c r="AA10" s="9">
        <f>'5.1.1 DIN 1991'!L14</f>
        <v>0.71372724716820257</v>
      </c>
      <c r="AB10" s="9">
        <f>'5.1.1 DIN 1991'!L15</f>
        <v>-0.3</v>
      </c>
    </row>
    <row r="11" spans="2:28" ht="15.85" customHeight="1" x14ac:dyDescent="0.35">
      <c r="B11" s="15" t="s">
        <v>281</v>
      </c>
      <c r="C11" s="17"/>
      <c r="D11" s="17"/>
      <c r="E11" s="17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7"/>
      <c r="Z11" s="17"/>
      <c r="AA11" s="17"/>
      <c r="AB11" s="17"/>
    </row>
    <row r="12" spans="2:28" ht="15.85" customHeight="1" x14ac:dyDescent="0.35">
      <c r="B12" s="3">
        <v>1</v>
      </c>
      <c r="C12" s="159">
        <f t="shared" ref="C12:C17" si="0">C5-D5</f>
        <v>0.47250000000000003</v>
      </c>
      <c r="D12" s="159"/>
      <c r="E12" s="159">
        <f>E5-F5</f>
        <v>-3.400000000000003E-2</v>
      </c>
      <c r="F12" s="159"/>
      <c r="G12" s="159">
        <f>G5-H5</f>
        <v>9.2000000000000026E-2</v>
      </c>
      <c r="H12" s="159"/>
      <c r="I12" s="159">
        <f t="shared" ref="I12:I17" si="1">I5-J5</f>
        <v>0.24368460888185711</v>
      </c>
      <c r="J12" s="159"/>
      <c r="K12" s="159">
        <f t="shared" ref="K12:K17" si="2">K5-L5</f>
        <v>0.25112386610576981</v>
      </c>
      <c r="L12" s="159"/>
      <c r="M12" s="159">
        <f t="shared" ref="M12:M17" si="3">M5-N5</f>
        <v>0.26001948559521726</v>
      </c>
      <c r="N12" s="159"/>
      <c r="O12" s="159">
        <f t="shared" ref="O12:O17" si="4">O5-P5</f>
        <v>0.2584614827941894</v>
      </c>
      <c r="P12" s="159"/>
      <c r="Q12" s="159">
        <f t="shared" ref="Q12:Q17" si="5">Q5-R5</f>
        <v>0.25374525272926141</v>
      </c>
      <c r="R12" s="159"/>
      <c r="S12" s="159">
        <f t="shared" ref="S12:S17" si="6">S5-T5</f>
        <v>0.24979307241693452</v>
      </c>
      <c r="T12" s="159"/>
      <c r="U12" s="159">
        <f t="shared" ref="U12:U17" si="7">U5-V5</f>
        <v>0.28679754000733659</v>
      </c>
      <c r="V12" s="159"/>
      <c r="W12" s="159">
        <f t="shared" ref="W12:W17" si="8">W5-X5</f>
        <v>1.9426314428844738E-2</v>
      </c>
      <c r="X12" s="159"/>
      <c r="Y12" s="160" t="s">
        <v>20</v>
      </c>
      <c r="Z12" s="160"/>
      <c r="AA12" s="160">
        <f t="shared" ref="AA12:AA17" si="9">AA5-AB5</f>
        <v>0</v>
      </c>
      <c r="AB12" s="160"/>
    </row>
    <row r="13" spans="2:28" ht="15.85" customHeight="1" x14ac:dyDescent="0.45">
      <c r="B13" s="3">
        <v>2</v>
      </c>
      <c r="C13" s="159">
        <f t="shared" si="0"/>
        <v>0.47250000000000003</v>
      </c>
      <c r="D13" s="159"/>
      <c r="E13" s="159">
        <f t="shared" ref="E13:G17" si="10">E6-F6</f>
        <v>-4.500000000000004E-2</v>
      </c>
      <c r="F13" s="159"/>
      <c r="G13" s="159">
        <f t="shared" si="10"/>
        <v>8.2000000000000017E-2</v>
      </c>
      <c r="H13" s="159"/>
      <c r="I13" s="159">
        <f t="shared" si="1"/>
        <v>0.27007929743315429</v>
      </c>
      <c r="J13" s="159"/>
      <c r="K13" s="159">
        <f t="shared" si="2"/>
        <v>0.27674764532566742</v>
      </c>
      <c r="L13" s="159"/>
      <c r="M13" s="159">
        <f t="shared" si="3"/>
        <v>0.28408879304902801</v>
      </c>
      <c r="N13" s="159"/>
      <c r="O13" s="159">
        <f t="shared" si="4"/>
        <v>0.28238175618325623</v>
      </c>
      <c r="P13" s="159"/>
      <c r="Q13" s="159">
        <f t="shared" si="5"/>
        <v>0.28470354344158366</v>
      </c>
      <c r="R13" s="159"/>
      <c r="S13" s="159">
        <f t="shared" si="6"/>
        <v>0.26644180046962462</v>
      </c>
      <c r="T13" s="159"/>
      <c r="U13" s="159">
        <f t="shared" si="7"/>
        <v>0.28289801442412932</v>
      </c>
      <c r="V13" s="159"/>
      <c r="W13" s="159">
        <f t="shared" si="8"/>
        <v>2.2205416805068601E-2</v>
      </c>
      <c r="X13" s="159"/>
      <c r="Y13" s="160" t="s">
        <v>20</v>
      </c>
      <c r="Z13" s="160"/>
      <c r="AA13" s="165">
        <f t="shared" si="9"/>
        <v>0</v>
      </c>
      <c r="AB13" s="165"/>
    </row>
    <row r="14" spans="2:28" ht="15.85" customHeight="1" x14ac:dyDescent="0.35">
      <c r="B14" s="3">
        <v>3</v>
      </c>
      <c r="C14" s="159">
        <f t="shared" si="0"/>
        <v>0.47250000000000003</v>
      </c>
      <c r="D14" s="159"/>
      <c r="E14" s="159">
        <f t="shared" si="10"/>
        <v>-4.2000000000000037E-2</v>
      </c>
      <c r="F14" s="159"/>
      <c r="G14" s="159">
        <f t="shared" si="10"/>
        <v>7.8000000000000014E-2</v>
      </c>
      <c r="H14" s="159"/>
      <c r="I14" s="159">
        <f t="shared" si="1"/>
        <v>0.24895782667794891</v>
      </c>
      <c r="J14" s="159"/>
      <c r="K14" s="159">
        <f t="shared" si="2"/>
        <v>0.26048739593698034</v>
      </c>
      <c r="L14" s="159"/>
      <c r="M14" s="159">
        <f t="shared" si="3"/>
        <v>0.26640558672911735</v>
      </c>
      <c r="N14" s="159"/>
      <c r="O14" s="159">
        <f t="shared" si="4"/>
        <v>0.25725087115771017</v>
      </c>
      <c r="P14" s="159"/>
      <c r="Q14" s="159">
        <f t="shared" si="5"/>
        <v>0.25567469676932908</v>
      </c>
      <c r="R14" s="159"/>
      <c r="S14" s="159">
        <f t="shared" si="6"/>
        <v>0.27951183450247929</v>
      </c>
      <c r="T14" s="159"/>
      <c r="U14" s="159">
        <f t="shared" si="7"/>
        <v>0.28391450346172858</v>
      </c>
      <c r="V14" s="159"/>
      <c r="W14" s="159">
        <f t="shared" si="8"/>
        <v>1.8721183961753485E-2</v>
      </c>
      <c r="X14" s="159"/>
      <c r="Y14" s="160" t="s">
        <v>20</v>
      </c>
      <c r="Z14" s="160"/>
      <c r="AA14" s="166">
        <f t="shared" si="9"/>
        <v>0.3954242509439323</v>
      </c>
      <c r="AB14" s="166"/>
    </row>
    <row r="15" spans="2:28" ht="15.85" customHeight="1" x14ac:dyDescent="0.35">
      <c r="B15" s="3">
        <v>4</v>
      </c>
      <c r="C15" s="159">
        <f t="shared" si="0"/>
        <v>0.79499999999999993</v>
      </c>
      <c r="D15" s="159"/>
      <c r="E15" s="159">
        <f t="shared" si="10"/>
        <v>1.252</v>
      </c>
      <c r="F15" s="159"/>
      <c r="G15" s="159">
        <f t="shared" si="10"/>
        <v>1.2450000000000001</v>
      </c>
      <c r="H15" s="159"/>
      <c r="I15" s="159">
        <f t="shared" si="1"/>
        <v>0.92458169064071649</v>
      </c>
      <c r="J15" s="159"/>
      <c r="K15" s="159">
        <f t="shared" si="2"/>
        <v>1.0658418487959882</v>
      </c>
      <c r="L15" s="159"/>
      <c r="M15" s="159">
        <f t="shared" si="3"/>
        <v>1.2320734829694497</v>
      </c>
      <c r="N15" s="159"/>
      <c r="O15" s="159">
        <f t="shared" si="4"/>
        <v>1.3487602300234978</v>
      </c>
      <c r="P15" s="159"/>
      <c r="Q15" s="159">
        <f t="shared" si="5"/>
        <v>1.357979737980531</v>
      </c>
      <c r="R15" s="159"/>
      <c r="S15" s="159">
        <f t="shared" si="6"/>
        <v>1.2221741380080418</v>
      </c>
      <c r="T15" s="159"/>
      <c r="U15" s="159">
        <f t="shared" si="7"/>
        <v>1.4426517595990513</v>
      </c>
      <c r="V15" s="159"/>
      <c r="W15" s="159">
        <f t="shared" si="8"/>
        <v>1.1753329332254885</v>
      </c>
      <c r="X15" s="159"/>
      <c r="Y15" s="159">
        <f>Y8-Z8</f>
        <v>1.2</v>
      </c>
      <c r="Z15" s="159"/>
      <c r="AA15" s="159">
        <f t="shared" si="9"/>
        <v>1.0137272471682026</v>
      </c>
      <c r="AB15" s="159"/>
    </row>
    <row r="16" spans="2:28" ht="15.85" customHeight="1" x14ac:dyDescent="0.35">
      <c r="B16" s="3">
        <v>5</v>
      </c>
      <c r="C16" s="159">
        <f t="shared" si="0"/>
        <v>0.79499999999999993</v>
      </c>
      <c r="D16" s="159"/>
      <c r="E16" s="159">
        <f t="shared" si="10"/>
        <v>1.2709999999999999</v>
      </c>
      <c r="F16" s="159"/>
      <c r="G16" s="159">
        <f t="shared" si="10"/>
        <v>1.2310000000000001</v>
      </c>
      <c r="H16" s="159"/>
      <c r="I16" s="159">
        <f t="shared" si="1"/>
        <v>0.95825690382658724</v>
      </c>
      <c r="J16" s="159"/>
      <c r="K16" s="159">
        <f t="shared" si="2"/>
        <v>1.0826218777758527</v>
      </c>
      <c r="L16" s="159"/>
      <c r="M16" s="159">
        <f t="shared" si="3"/>
        <v>1.2322908686449983</v>
      </c>
      <c r="N16" s="159"/>
      <c r="O16" s="159">
        <f t="shared" si="4"/>
        <v>1.3353985465765881</v>
      </c>
      <c r="P16" s="159"/>
      <c r="Q16" s="159">
        <f t="shared" si="5"/>
        <v>1.3244398876636085</v>
      </c>
      <c r="R16" s="159"/>
      <c r="S16" s="159">
        <f t="shared" si="6"/>
        <v>1.168099750005692</v>
      </c>
      <c r="T16" s="159"/>
      <c r="U16" s="159">
        <f t="shared" si="7"/>
        <v>1.4334852205955886</v>
      </c>
      <c r="V16" s="159"/>
      <c r="W16" s="159">
        <f t="shared" si="8"/>
        <v>1.2439671627741149</v>
      </c>
      <c r="X16" s="159"/>
      <c r="Y16" s="159">
        <f>Y9-Z9</f>
        <v>1.2</v>
      </c>
      <c r="Z16" s="159"/>
      <c r="AA16" s="159">
        <f t="shared" si="9"/>
        <v>1.0137272471682026</v>
      </c>
      <c r="AB16" s="159"/>
    </row>
    <row r="17" spans="2:28" ht="15.85" customHeight="1" x14ac:dyDescent="0.35">
      <c r="B17" s="16">
        <v>6</v>
      </c>
      <c r="C17" s="167">
        <f t="shared" si="0"/>
        <v>0.79499999999999993</v>
      </c>
      <c r="D17" s="167"/>
      <c r="E17" s="167">
        <f t="shared" si="10"/>
        <v>1.2470000000000001</v>
      </c>
      <c r="F17" s="167"/>
      <c r="G17" s="167">
        <f t="shared" si="10"/>
        <v>1.1819999999999999</v>
      </c>
      <c r="H17" s="167"/>
      <c r="I17" s="167">
        <f t="shared" si="1"/>
        <v>0.89784247377866522</v>
      </c>
      <c r="J17" s="167"/>
      <c r="K17" s="167">
        <f t="shared" si="2"/>
        <v>1.0538848866865498</v>
      </c>
      <c r="L17" s="167"/>
      <c r="M17" s="167">
        <f t="shared" si="3"/>
        <v>1.1997123558571023</v>
      </c>
      <c r="N17" s="167"/>
      <c r="O17" s="167">
        <f t="shared" si="4"/>
        <v>1.2809060124034772</v>
      </c>
      <c r="P17" s="167"/>
      <c r="Q17" s="167">
        <f t="shared" si="5"/>
        <v>1.2386793454622747</v>
      </c>
      <c r="R17" s="167"/>
      <c r="S17" s="167">
        <f t="shared" si="6"/>
        <v>1.1088970113489063</v>
      </c>
      <c r="T17" s="167"/>
      <c r="U17" s="167">
        <f t="shared" si="7"/>
        <v>1.4575757346164409</v>
      </c>
      <c r="V17" s="167"/>
      <c r="W17" s="167">
        <f t="shared" si="8"/>
        <v>1.2618841594706809</v>
      </c>
      <c r="X17" s="167"/>
      <c r="Y17" s="167">
        <f>Y10-Z10</f>
        <v>1.2</v>
      </c>
      <c r="Z17" s="167"/>
      <c r="AA17" s="167">
        <f t="shared" si="9"/>
        <v>1.0137272471682026</v>
      </c>
      <c r="AB17" s="167"/>
    </row>
    <row r="18" spans="2:28" ht="15.85" customHeight="1" x14ac:dyDescent="0.35">
      <c r="B18" s="15" t="s">
        <v>317</v>
      </c>
      <c r="C18" s="17"/>
      <c r="D18" s="17"/>
      <c r="E18" s="17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8"/>
      <c r="Z18" s="18"/>
      <c r="AA18" s="18"/>
      <c r="AB18" s="18"/>
    </row>
    <row r="19" spans="2:28" ht="15.85" customHeight="1" x14ac:dyDescent="0.35">
      <c r="B19" s="3">
        <v>1</v>
      </c>
      <c r="C19" s="168">
        <f>$H$44*$H$50*$H$45*SQRT(C12)*3600/$H$48</f>
        <v>4.6107229698822714</v>
      </c>
      <c r="D19" s="168"/>
      <c r="E19" s="172" t="s">
        <v>20</v>
      </c>
      <c r="F19" s="172"/>
      <c r="G19" s="168">
        <f>$H$44*$H$50*$H$45*SQRT(G12)*3600/$H$48</f>
        <v>2.0345203405225512</v>
      </c>
      <c r="H19" s="168"/>
      <c r="I19" s="168">
        <f>$H$44*$H$50*$H$45*SQRT(I12)*3600/$H$48</f>
        <v>3.3111752904224483</v>
      </c>
      <c r="J19" s="168"/>
      <c r="K19" s="168">
        <f>$H$44*$H$50*$H$45*SQRT(K12)*3600/$H$48</f>
        <v>3.3613374710031225</v>
      </c>
      <c r="L19" s="168"/>
      <c r="M19" s="168">
        <f>$H$44*$H$50*$H$45*SQRT(M12)*3600/$H$48</f>
        <v>3.4203541012312741</v>
      </c>
      <c r="N19" s="168"/>
      <c r="O19" s="168">
        <f>$H$44*$H$50*$H$45*SQRT(O12)*3600/$H$48</f>
        <v>3.4100915476129781</v>
      </c>
      <c r="P19" s="168"/>
      <c r="Q19" s="168">
        <f>$H$44*$H$50*$H$45*SQRT(Q12)*3600/$H$48</f>
        <v>3.3788357873429846</v>
      </c>
      <c r="R19" s="168"/>
      <c r="S19" s="168">
        <f>$H$44*$H$50*$H$45*SQRT(S12)*3600/$H$48</f>
        <v>3.3524191852904988</v>
      </c>
      <c r="T19" s="168"/>
      <c r="U19" s="168">
        <f>$H$44*$H$50*$H$45*SQRT(U12)*3600/$H$48</f>
        <v>3.5921613307546485</v>
      </c>
      <c r="V19" s="168"/>
      <c r="W19" s="168">
        <f>$H$44*$H$50*$H$45*SQRT(W12)*3600/$H$48</f>
        <v>0.93489605976354195</v>
      </c>
      <c r="X19" s="168"/>
      <c r="Y19" s="169"/>
      <c r="Z19" s="169"/>
      <c r="AA19" s="169"/>
      <c r="AB19" s="169"/>
    </row>
    <row r="20" spans="2:28" ht="15.85" customHeight="1" x14ac:dyDescent="0.35">
      <c r="B20" s="3">
        <v>2</v>
      </c>
      <c r="C20" s="159">
        <f>$H$44*$H$51*$H$45*SQRT(C13)*3600/$H$48</f>
        <v>4.5103566420270482</v>
      </c>
      <c r="D20" s="159"/>
      <c r="E20" s="170" t="s">
        <v>20</v>
      </c>
      <c r="F20" s="170"/>
      <c r="G20" s="159">
        <f>$H$44*$H$51*$H$45*SQRT(G13)*3600/$H$48</f>
        <v>1.8789572686000284</v>
      </c>
      <c r="H20" s="159"/>
      <c r="I20" s="159">
        <f>$H$44*$H$51*$H$45*SQRT(I13)*3600/$H$48</f>
        <v>3.410009782343463</v>
      </c>
      <c r="J20" s="159"/>
      <c r="K20" s="159">
        <f>$H$44*$H$51*$H$45*SQRT(K13)*3600/$H$48</f>
        <v>3.4518502326259846</v>
      </c>
      <c r="L20" s="159"/>
      <c r="M20" s="159">
        <f>$H$44*$H$51*$H$45*SQRT(M13)*3600/$H$48</f>
        <v>3.497333340600544</v>
      </c>
      <c r="N20" s="159"/>
      <c r="O20" s="159">
        <f>$H$44*$H$51*$H$45*SQRT(O13)*3600/$H$48</f>
        <v>3.4868100950382206</v>
      </c>
      <c r="P20" s="159"/>
      <c r="Q20" s="159">
        <f>$H$44*$H$51*$H$45*SQRT(Q13)*3600/$H$48</f>
        <v>3.5011153011071885</v>
      </c>
      <c r="R20" s="159"/>
      <c r="S20" s="159">
        <f>$H$44*$H$51*$H$45*SQRT(S13)*3600/$H$48</f>
        <v>3.3869684964872255</v>
      </c>
      <c r="T20" s="159"/>
      <c r="U20" s="159">
        <f>$H$44*$H$51*$H$45*SQRT(U13)*3600/$H$48</f>
        <v>3.4899959815411039</v>
      </c>
      <c r="V20" s="159"/>
      <c r="W20" s="159">
        <f>$H$44*$H$51*$H$45*SQRT(W13)*3600/$H$48</f>
        <v>0.97777615515659655</v>
      </c>
      <c r="X20" s="159"/>
      <c r="Y20" s="171"/>
      <c r="Z20" s="171"/>
      <c r="AA20" s="171"/>
      <c r="AB20" s="171"/>
    </row>
    <row r="21" spans="2:28" ht="15.85" customHeight="1" x14ac:dyDescent="0.35">
      <c r="B21" s="3">
        <v>3</v>
      </c>
      <c r="C21" s="159">
        <f>$H$44*$H$50*$H$45*SQRT(C14)*3600/$H$48</f>
        <v>4.6107229698822714</v>
      </c>
      <c r="D21" s="159"/>
      <c r="E21" s="170" t="s">
        <v>20</v>
      </c>
      <c r="F21" s="170"/>
      <c r="G21" s="159">
        <f>$H$44*$H$50*$H$45*SQRT(G14)*3600/$H$48</f>
        <v>1.8733348990503536</v>
      </c>
      <c r="H21" s="159"/>
      <c r="I21" s="159">
        <f>$H$44*$H$50*$H$45*SQRT(I14)*3600/$H$48</f>
        <v>3.3468096653023585</v>
      </c>
      <c r="J21" s="159"/>
      <c r="K21" s="159">
        <f>$H$44*$H$50*$H$45*SQRT(K14)*3600/$H$48</f>
        <v>3.4234302162832853</v>
      </c>
      <c r="L21" s="159"/>
      <c r="M21" s="159">
        <f>$H$44*$H$50*$H$45*SQRT(M14)*3600/$H$48</f>
        <v>3.4621014233935932</v>
      </c>
      <c r="N21" s="159"/>
      <c r="O21" s="159">
        <f>$H$44*$H$50*$H$45*SQRT(O14)*3600/$H$48</f>
        <v>3.4020958842620912</v>
      </c>
      <c r="P21" s="159"/>
      <c r="Q21" s="159">
        <f>$H$44*$H$50*$H$45*SQRT(Q14)*3600/$H$48</f>
        <v>3.3916575613062605</v>
      </c>
      <c r="R21" s="159"/>
      <c r="S21" s="159">
        <f>$H$44*$H$50*$H$45*SQRT(S14)*3600/$H$48</f>
        <v>3.5462408054297896</v>
      </c>
      <c r="T21" s="159"/>
      <c r="U21" s="159">
        <f>$H$44*$H$50*$H$45*SQRT(U14)*3600/$H$48</f>
        <v>3.5740605987268079</v>
      </c>
      <c r="V21" s="159"/>
      <c r="W21" s="159">
        <f>$H$44*$H$50*$H$45*SQRT(W14)*3600/$H$48</f>
        <v>0.917771945247424</v>
      </c>
      <c r="X21" s="159"/>
      <c r="Y21" s="171"/>
      <c r="Z21" s="171"/>
      <c r="AA21" s="171"/>
      <c r="AB21" s="171"/>
    </row>
    <row r="22" spans="2:28" ht="15.85" customHeight="1" x14ac:dyDescent="0.35">
      <c r="B22" s="3">
        <v>4</v>
      </c>
      <c r="C22" s="159">
        <f>$H$44*$H$50*$H$45*SQRT(C15)*3600/$H$48</f>
        <v>5.9806954369872392</v>
      </c>
      <c r="D22" s="159"/>
      <c r="E22" s="159">
        <f>$H$44*$H$50*$H$45*SQRT(E15)*3600/$H$48</f>
        <v>7.5053385463948254</v>
      </c>
      <c r="F22" s="159"/>
      <c r="G22" s="159">
        <f>$H$44*$H$50*$H$45*SQRT(G15)*3600/$H$48</f>
        <v>7.4843277593916211</v>
      </c>
      <c r="H22" s="159"/>
      <c r="I22" s="159">
        <f>$H$44*$H$50*$H$45*SQRT(I15)*3600/$H$48</f>
        <v>6.4497186011726724</v>
      </c>
      <c r="J22" s="159"/>
      <c r="K22" s="159">
        <f>$H$44*$H$50*$H$45*SQRT(K15)*3600/$H$48</f>
        <v>6.9249159499253317</v>
      </c>
      <c r="L22" s="159"/>
      <c r="M22" s="159">
        <f>$H$44*$H$50*$H$45*SQRT(M15)*3600/$H$48</f>
        <v>7.4453724479681194</v>
      </c>
      <c r="N22" s="159"/>
      <c r="O22" s="159">
        <f>$H$44*$H$50*$H$45*SQRT(O15)*3600/$H$48</f>
        <v>7.789964855358444</v>
      </c>
      <c r="P22" s="159"/>
      <c r="Q22" s="159">
        <f>$H$44*$H$50*$H$45*SQRT(Q15)*3600/$H$48</f>
        <v>7.8165438304428605</v>
      </c>
      <c r="R22" s="159"/>
      <c r="S22" s="159">
        <f>$H$44*$H$50*$H$45*SQRT(S15)*3600/$H$48</f>
        <v>7.4154014449875412</v>
      </c>
      <c r="T22" s="159"/>
      <c r="U22" s="159">
        <f>$H$44*$H$50*$H$45*SQRT(U15)*3600/$H$48</f>
        <v>8.0565457454018681</v>
      </c>
      <c r="V22" s="159"/>
      <c r="W22" s="159">
        <f>$H$44*$H$50*$H$45*SQRT(W15)*3600/$H$48</f>
        <v>7.2719113384521279</v>
      </c>
      <c r="X22" s="159"/>
      <c r="Y22" s="171"/>
      <c r="Z22" s="171"/>
      <c r="AA22" s="171"/>
      <c r="AB22" s="171"/>
    </row>
    <row r="23" spans="2:28" ht="15.85" customHeight="1" x14ac:dyDescent="0.35">
      <c r="B23" s="3">
        <v>5</v>
      </c>
      <c r="C23" s="159">
        <f>$H$44*$H$51*$H$45*SQRT(C16)*3600/$H$48</f>
        <v>5.8505075157107136</v>
      </c>
      <c r="D23" s="159"/>
      <c r="E23" s="159">
        <f>$H$44*$H$51*$H$45*SQRT(E16)*3600/$H$48</f>
        <v>7.3974621639441738</v>
      </c>
      <c r="F23" s="159"/>
      <c r="G23" s="159">
        <f>$H$44*$H$51*$H$45*SQRT(G16)*3600/$H$48</f>
        <v>7.280127807779726</v>
      </c>
      <c r="H23" s="159"/>
      <c r="I23" s="159">
        <f>$H$44*$H$51*$H$45*SQRT(I16)*3600/$H$48</f>
        <v>6.4231927643637272</v>
      </c>
      <c r="J23" s="159"/>
      <c r="K23" s="159">
        <f>$H$44*$H$51*$H$45*SQRT(K16)*3600/$H$48</f>
        <v>6.8272904123789759</v>
      </c>
      <c r="L23" s="159"/>
      <c r="M23" s="159">
        <f>$H$44*$H$51*$H$45*SQRT(M16)*3600/$H$48</f>
        <v>7.2839439029564961</v>
      </c>
      <c r="N23" s="159"/>
      <c r="O23" s="159">
        <f>$H$44*$H$51*$H$45*SQRT(O16)*3600/$H$48</f>
        <v>7.5825525159449789</v>
      </c>
      <c r="P23" s="159"/>
      <c r="Q23" s="159">
        <f>$H$44*$H$51*$H$45*SQRT(Q16)*3600/$H$48</f>
        <v>7.5513761362464127</v>
      </c>
      <c r="R23" s="159"/>
      <c r="S23" s="159">
        <f>$H$44*$H$51*$H$45*SQRT(S16)*3600/$H$48</f>
        <v>7.0916932622855331</v>
      </c>
      <c r="T23" s="159"/>
      <c r="U23" s="159">
        <f>$H$44*$H$51*$H$45*SQRT(U16)*3600/$H$48</f>
        <v>7.8560924778581045</v>
      </c>
      <c r="V23" s="159"/>
      <c r="W23" s="159">
        <f>$H$44*$H$51*$H$45*SQRT(W16)*3600/$H$48</f>
        <v>7.3183712267649783</v>
      </c>
      <c r="X23" s="159"/>
      <c r="Y23" s="171"/>
      <c r="Z23" s="171"/>
      <c r="AA23" s="171"/>
      <c r="AB23" s="171"/>
    </row>
    <row r="24" spans="2:28" ht="15.85" customHeight="1" x14ac:dyDescent="0.35">
      <c r="B24" s="16">
        <v>6</v>
      </c>
      <c r="C24" s="167">
        <f>$H$44*$H$50*$H$45*SQRT(C17)*3600/$H$48</f>
        <v>5.9806954369872392</v>
      </c>
      <c r="D24" s="167"/>
      <c r="E24" s="167">
        <f>$H$44*$H$50*$H$45*SQRT(E17)*3600/$H$48</f>
        <v>7.4903368553089775</v>
      </c>
      <c r="F24" s="167"/>
      <c r="G24" s="167">
        <f>$H$44*$H$50*$H$45*SQRT(G17)*3600/$H$48</f>
        <v>7.2925071022248567</v>
      </c>
      <c r="H24" s="167"/>
      <c r="I24" s="167">
        <f>$H$44*$H$50*$H$45*SQRT(I17)*3600/$H$48</f>
        <v>6.3557703363803295</v>
      </c>
      <c r="J24" s="167"/>
      <c r="K24" s="167">
        <f>$H$44*$H$50*$H$45*SQRT(K17)*3600/$H$48</f>
        <v>6.8859634113550241</v>
      </c>
      <c r="L24" s="167"/>
      <c r="M24" s="167">
        <f>$H$44*$H$50*$H$45*SQRT(M17)*3600/$H$48</f>
        <v>7.3469433022539103</v>
      </c>
      <c r="N24" s="167"/>
      <c r="O24" s="167">
        <f>$H$44*$H$50*$H$45*SQRT(O17)*3600/$H$48</f>
        <v>7.5914852854264581</v>
      </c>
      <c r="P24" s="167"/>
      <c r="Q24" s="167">
        <f>$H$44*$H$50*$H$45*SQRT(Q17)*3600/$H$48</f>
        <v>7.4653052517371652</v>
      </c>
      <c r="R24" s="167"/>
      <c r="S24" s="167">
        <f>$H$44*$H$50*$H$45*SQRT(S17)*3600/$H$48</f>
        <v>7.0633988282212323</v>
      </c>
      <c r="T24" s="167"/>
      <c r="U24" s="167">
        <f>$H$44*$H$50*$H$45*SQRT(U17)*3600/$H$48</f>
        <v>8.0981102915609195</v>
      </c>
      <c r="V24" s="167"/>
      <c r="W24" s="167">
        <f>$H$44*$H$50*$H$45*SQRT(W17)*3600/$H$48</f>
        <v>7.5349064869812734</v>
      </c>
      <c r="X24" s="167"/>
      <c r="Y24" s="173"/>
      <c r="Z24" s="173"/>
      <c r="AA24" s="173"/>
      <c r="AB24" s="173"/>
    </row>
    <row r="25" spans="2:28" ht="15.85" customHeight="1" x14ac:dyDescent="0.35">
      <c r="B25" s="10" t="s">
        <v>334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8"/>
      <c r="Z25" s="38"/>
      <c r="AA25" s="38"/>
      <c r="AB25" s="38"/>
    </row>
    <row r="26" spans="2:28" ht="15.85" customHeight="1" x14ac:dyDescent="0.35">
      <c r="B26" s="3">
        <v>1</v>
      </c>
      <c r="C26" s="159"/>
      <c r="D26" s="159"/>
      <c r="E26" s="159">
        <f>'5.3 CFD'!$J5</f>
        <v>9.8069999999999986</v>
      </c>
      <c r="F26" s="159"/>
      <c r="G26" s="159">
        <f>'5.3 CFD'!$J5</f>
        <v>9.8069999999999986</v>
      </c>
      <c r="H26" s="159"/>
      <c r="I26" s="159">
        <f>'5.3 CFD'!$J5</f>
        <v>9.8069999999999986</v>
      </c>
      <c r="J26" s="159"/>
      <c r="K26" s="159">
        <f>'5.3 CFD'!$J5</f>
        <v>9.8069999999999986</v>
      </c>
      <c r="L26" s="159"/>
      <c r="M26" s="159">
        <f>'5.3 CFD'!$J5</f>
        <v>9.8069999999999986</v>
      </c>
      <c r="N26" s="159"/>
      <c r="O26" s="159">
        <f>'5.3 CFD'!$J5</f>
        <v>9.8069999999999986</v>
      </c>
      <c r="P26" s="159"/>
      <c r="Q26" s="159">
        <f>'5.3 CFD'!$J5</f>
        <v>9.8069999999999986</v>
      </c>
      <c r="R26" s="159"/>
      <c r="S26" s="159">
        <f>'5.3 CFD'!$J5</f>
        <v>9.8069999999999986</v>
      </c>
      <c r="T26" s="159"/>
      <c r="U26" s="159">
        <f>'5.3 CFD'!$J5</f>
        <v>9.8069999999999986</v>
      </c>
      <c r="V26" s="159"/>
      <c r="W26" s="159">
        <f>'5.3 CFD'!$J5</f>
        <v>9.8069999999999986</v>
      </c>
      <c r="X26" s="159"/>
      <c r="Y26" s="174"/>
      <c r="Z26" s="171"/>
      <c r="AA26" s="171"/>
      <c r="AB26" s="171"/>
    </row>
    <row r="27" spans="2:28" ht="15.85" customHeight="1" x14ac:dyDescent="0.35">
      <c r="B27" s="3">
        <v>2</v>
      </c>
      <c r="C27" s="159"/>
      <c r="D27" s="159"/>
      <c r="E27" s="159">
        <f>'5.3 CFD'!$J6</f>
        <v>8.5715000000000003</v>
      </c>
      <c r="F27" s="159"/>
      <c r="G27" s="159">
        <f>'5.3 CFD'!$J6</f>
        <v>8.5715000000000003</v>
      </c>
      <c r="H27" s="159"/>
      <c r="I27" s="159">
        <f>'5.3 CFD'!$J6</f>
        <v>8.5715000000000003</v>
      </c>
      <c r="J27" s="159"/>
      <c r="K27" s="159">
        <f>'5.3 CFD'!$J6</f>
        <v>8.5715000000000003</v>
      </c>
      <c r="L27" s="159"/>
      <c r="M27" s="159">
        <f>'5.3 CFD'!$J6</f>
        <v>8.5715000000000003</v>
      </c>
      <c r="N27" s="159"/>
      <c r="O27" s="159">
        <f>'5.3 CFD'!$J6</f>
        <v>8.5715000000000003</v>
      </c>
      <c r="P27" s="159"/>
      <c r="Q27" s="159">
        <f>'5.3 CFD'!$J6</f>
        <v>8.5715000000000003</v>
      </c>
      <c r="R27" s="159"/>
      <c r="S27" s="159">
        <f>'5.3 CFD'!$J6</f>
        <v>8.5715000000000003</v>
      </c>
      <c r="T27" s="159"/>
      <c r="U27" s="159">
        <f>'5.3 CFD'!$J6</f>
        <v>8.5715000000000003</v>
      </c>
      <c r="V27" s="159"/>
      <c r="W27" s="159">
        <f>'5.3 CFD'!$J6</f>
        <v>8.5715000000000003</v>
      </c>
      <c r="X27" s="159"/>
      <c r="Y27" s="174"/>
      <c r="Z27" s="171"/>
      <c r="AA27" s="171"/>
      <c r="AB27" s="171"/>
    </row>
    <row r="28" spans="2:28" ht="15.85" customHeight="1" x14ac:dyDescent="0.35">
      <c r="B28" s="3">
        <v>3</v>
      </c>
      <c r="C28" s="159"/>
      <c r="D28" s="159"/>
      <c r="E28" s="159">
        <f>'5.3 CFD'!$J7</f>
        <v>9.1589999999999989</v>
      </c>
      <c r="F28" s="159"/>
      <c r="G28" s="159">
        <f>'5.3 CFD'!$J7</f>
        <v>9.1589999999999989</v>
      </c>
      <c r="H28" s="159"/>
      <c r="I28" s="159">
        <f>'5.3 CFD'!$J7</f>
        <v>9.1589999999999989</v>
      </c>
      <c r="J28" s="159"/>
      <c r="K28" s="159">
        <f>'5.3 CFD'!$J7</f>
        <v>9.1589999999999989</v>
      </c>
      <c r="L28" s="159"/>
      <c r="M28" s="159">
        <f>'5.3 CFD'!$J7</f>
        <v>9.1589999999999989</v>
      </c>
      <c r="N28" s="159"/>
      <c r="O28" s="159">
        <f>'5.3 CFD'!$J7</f>
        <v>9.1589999999999989</v>
      </c>
      <c r="P28" s="159"/>
      <c r="Q28" s="159">
        <f>'5.3 CFD'!$J7</f>
        <v>9.1589999999999989</v>
      </c>
      <c r="R28" s="159"/>
      <c r="S28" s="159">
        <f>'5.3 CFD'!$J7</f>
        <v>9.1589999999999989</v>
      </c>
      <c r="T28" s="159"/>
      <c r="U28" s="159">
        <f>'5.3 CFD'!$J7</f>
        <v>9.1589999999999989</v>
      </c>
      <c r="V28" s="159"/>
      <c r="W28" s="159">
        <f>'5.3 CFD'!$J7</f>
        <v>9.1589999999999989</v>
      </c>
      <c r="X28" s="159"/>
      <c r="Y28" s="174"/>
      <c r="Z28" s="171"/>
      <c r="AA28" s="171"/>
      <c r="AB28" s="171"/>
    </row>
    <row r="29" spans="2:28" ht="15.85" customHeight="1" x14ac:dyDescent="0.35">
      <c r="B29" s="3">
        <v>4</v>
      </c>
      <c r="C29" s="159"/>
      <c r="D29" s="159"/>
      <c r="E29" s="159">
        <f>'5.3 CFD'!$J8</f>
        <v>24.08</v>
      </c>
      <c r="F29" s="159"/>
      <c r="G29" s="159">
        <f>'5.3 CFD'!$J8</f>
        <v>24.08</v>
      </c>
      <c r="H29" s="159"/>
      <c r="I29" s="159">
        <f>'5.3 CFD'!$J8</f>
        <v>24.08</v>
      </c>
      <c r="J29" s="159"/>
      <c r="K29" s="159">
        <f>'5.3 CFD'!$J8</f>
        <v>24.08</v>
      </c>
      <c r="L29" s="159"/>
      <c r="M29" s="159">
        <f>'5.3 CFD'!$J8</f>
        <v>24.08</v>
      </c>
      <c r="N29" s="159"/>
      <c r="O29" s="159">
        <f>'5.3 CFD'!$J8</f>
        <v>24.08</v>
      </c>
      <c r="P29" s="159"/>
      <c r="Q29" s="159">
        <f>'5.3 CFD'!$J8</f>
        <v>24.08</v>
      </c>
      <c r="R29" s="159"/>
      <c r="S29" s="159">
        <f>'5.3 CFD'!$J8</f>
        <v>24.08</v>
      </c>
      <c r="T29" s="159"/>
      <c r="U29" s="159">
        <f>'5.3 CFD'!$J8</f>
        <v>24.08</v>
      </c>
      <c r="V29" s="159"/>
      <c r="W29" s="159">
        <f>'5.3 CFD'!$J8</f>
        <v>24.08</v>
      </c>
      <c r="X29" s="159"/>
      <c r="Y29" s="171"/>
      <c r="Z29" s="171"/>
      <c r="AA29" s="171"/>
      <c r="AB29" s="171"/>
    </row>
    <row r="30" spans="2:28" ht="15.85" customHeight="1" x14ac:dyDescent="0.35">
      <c r="B30" s="3">
        <v>5</v>
      </c>
      <c r="C30" s="159"/>
      <c r="D30" s="159"/>
      <c r="E30" s="159">
        <f>'5.3 CFD'!$J9</f>
        <v>22.268999999999998</v>
      </c>
      <c r="F30" s="159"/>
      <c r="G30" s="159">
        <f>'5.3 CFD'!$J9</f>
        <v>22.268999999999998</v>
      </c>
      <c r="H30" s="159"/>
      <c r="I30" s="159">
        <f>'5.3 CFD'!$J9</f>
        <v>22.268999999999998</v>
      </c>
      <c r="J30" s="159"/>
      <c r="K30" s="159">
        <f>'5.3 CFD'!$J9</f>
        <v>22.268999999999998</v>
      </c>
      <c r="L30" s="159"/>
      <c r="M30" s="159">
        <f>'5.3 CFD'!$J9</f>
        <v>22.268999999999998</v>
      </c>
      <c r="N30" s="159"/>
      <c r="O30" s="159">
        <f>'5.3 CFD'!$J9</f>
        <v>22.268999999999998</v>
      </c>
      <c r="P30" s="159"/>
      <c r="Q30" s="159">
        <f>'5.3 CFD'!$J9</f>
        <v>22.268999999999998</v>
      </c>
      <c r="R30" s="159"/>
      <c r="S30" s="159">
        <f>'5.3 CFD'!$J9</f>
        <v>22.268999999999998</v>
      </c>
      <c r="T30" s="159"/>
      <c r="U30" s="159">
        <f>'5.3 CFD'!$J9</f>
        <v>22.268999999999998</v>
      </c>
      <c r="V30" s="159"/>
      <c r="W30" s="159">
        <f>'5.3 CFD'!$J9</f>
        <v>22.268999999999998</v>
      </c>
      <c r="X30" s="159"/>
      <c r="Y30" s="171"/>
      <c r="Z30" s="171"/>
      <c r="AA30" s="171"/>
      <c r="AB30" s="171"/>
    </row>
    <row r="31" spans="2:28" ht="15.85" customHeight="1" x14ac:dyDescent="0.35">
      <c r="B31" s="16">
        <v>6</v>
      </c>
      <c r="C31" s="167"/>
      <c r="D31" s="167"/>
      <c r="E31" s="159">
        <f>'5.3 CFD'!$J10</f>
        <v>25.1645</v>
      </c>
      <c r="F31" s="159"/>
      <c r="G31" s="159">
        <f>'5.3 CFD'!$J10</f>
        <v>25.1645</v>
      </c>
      <c r="H31" s="159"/>
      <c r="I31" s="159">
        <f>'5.3 CFD'!$J10</f>
        <v>25.1645</v>
      </c>
      <c r="J31" s="159"/>
      <c r="K31" s="159">
        <f>'5.3 CFD'!$J10</f>
        <v>25.1645</v>
      </c>
      <c r="L31" s="159"/>
      <c r="M31" s="159">
        <f>'5.3 CFD'!$J10</f>
        <v>25.1645</v>
      </c>
      <c r="N31" s="159"/>
      <c r="O31" s="159">
        <f>'5.3 CFD'!$J10</f>
        <v>25.1645</v>
      </c>
      <c r="P31" s="159"/>
      <c r="Q31" s="159">
        <f>'5.3 CFD'!$J10</f>
        <v>25.1645</v>
      </c>
      <c r="R31" s="159"/>
      <c r="S31" s="159">
        <f>'5.3 CFD'!$J10</f>
        <v>25.1645</v>
      </c>
      <c r="T31" s="159"/>
      <c r="U31" s="159">
        <f>'5.3 CFD'!$J10</f>
        <v>25.1645</v>
      </c>
      <c r="V31" s="159"/>
      <c r="W31" s="159">
        <f>'5.3 CFD'!$J10</f>
        <v>25.1645</v>
      </c>
      <c r="X31" s="159"/>
      <c r="Y31" s="173"/>
      <c r="Z31" s="173"/>
      <c r="AA31" s="173"/>
      <c r="AB31" s="173"/>
    </row>
    <row r="32" spans="2:28" ht="15.85" customHeight="1" x14ac:dyDescent="0.35">
      <c r="B32" s="10" t="s">
        <v>295</v>
      </c>
      <c r="C32" s="11"/>
      <c r="D32" s="11"/>
      <c r="E32" s="1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39"/>
      <c r="Z32" s="39"/>
      <c r="AA32" s="39"/>
      <c r="AB32" s="39"/>
    </row>
    <row r="33" spans="2:28" ht="15.85" customHeight="1" x14ac:dyDescent="0.35">
      <c r="B33" s="3">
        <v>1</v>
      </c>
      <c r="C33" s="159"/>
      <c r="D33" s="159"/>
      <c r="E33" s="170" t="s">
        <v>20</v>
      </c>
      <c r="F33" s="170"/>
      <c r="G33" s="159">
        <f>G26/($H$50*$H$45*SQRT(G12))</f>
        <v>0.99619549612339386</v>
      </c>
      <c r="H33" s="159"/>
      <c r="I33" s="159">
        <f>I26/($H$50*$H$45*SQRT(I12))</f>
        <v>0.61210290070188877</v>
      </c>
      <c r="J33" s="159"/>
      <c r="K33" s="159">
        <f>K26/($H$50*$H$45*SQRT(K12))</f>
        <v>0.60296831766646397</v>
      </c>
      <c r="L33" s="159"/>
      <c r="M33" s="159">
        <f>M26/($H$50*$H$45*SQRT(M12))</f>
        <v>0.59256437784333216</v>
      </c>
      <c r="N33" s="159"/>
      <c r="O33" s="159">
        <f>O26/($H$50*$H$45*SQRT(O12))</f>
        <v>0.59434768002598648</v>
      </c>
      <c r="P33" s="159"/>
      <c r="Q33" s="159">
        <f>Q26/($H$50*$H$45*SQRT(Q12))</f>
        <v>0.59984566506376391</v>
      </c>
      <c r="R33" s="159"/>
      <c r="S33" s="159">
        <f>S26/($H$50*$H$45*SQRT(S12))</f>
        <v>0.6045723663952759</v>
      </c>
      <c r="T33" s="159"/>
      <c r="U33" s="159">
        <f>U26/($H$50*$H$45*SQRT(U12))</f>
        <v>0.56422298816245253</v>
      </c>
      <c r="V33" s="159"/>
      <c r="W33" s="159">
        <f>W26/($H$50*$H$45*SQRT(W12))</f>
        <v>2.1679201434570405</v>
      </c>
      <c r="X33" s="159"/>
      <c r="Y33" s="174"/>
      <c r="Z33" s="171"/>
      <c r="AA33" s="174"/>
      <c r="AB33" s="171"/>
    </row>
    <row r="34" spans="2:28" ht="15.85" customHeight="1" x14ac:dyDescent="0.35">
      <c r="B34" s="3">
        <v>2</v>
      </c>
      <c r="C34" s="159"/>
      <c r="D34" s="159"/>
      <c r="E34" s="170" t="s">
        <v>20</v>
      </c>
      <c r="F34" s="170"/>
      <c r="G34" s="159">
        <f>G27/($H$51*$H$45*SQRT(G13))</f>
        <v>0.94277999980978733</v>
      </c>
      <c r="H34" s="159"/>
      <c r="I34" s="159">
        <f>I27/($H$51*$H$45*SQRT(I13))</f>
        <v>0.51948335823129033</v>
      </c>
      <c r="J34" s="159"/>
      <c r="K34" s="159">
        <f>K27/($H$51*$H$45*SQRT(K13))</f>
        <v>0.51318661412077349</v>
      </c>
      <c r="L34" s="159"/>
      <c r="M34" s="159">
        <f>M27/($H$51*$H$45*SQRT(M13))</f>
        <v>0.50651257996160881</v>
      </c>
      <c r="N34" s="159"/>
      <c r="O34" s="159">
        <f>O27/($H$51*$H$45*SQRT(O13))</f>
        <v>0.50804124258276129</v>
      </c>
      <c r="P34" s="159"/>
      <c r="Q34" s="159">
        <f>Q27/($H$51*$H$45*SQRT(Q13))</f>
        <v>0.505965437006069</v>
      </c>
      <c r="R34" s="159"/>
      <c r="S34" s="159">
        <f>S27/($H$51*$H$45*SQRT(S13))</f>
        <v>0.52301736351270334</v>
      </c>
      <c r="T34" s="159"/>
      <c r="U34" s="159">
        <f>U27/($H$51*$H$45*SQRT(U13))</f>
        <v>0.50757747077723103</v>
      </c>
      <c r="V34" s="159"/>
      <c r="W34" s="159">
        <f>W27/($H$51*$H$45*SQRT(W13))</f>
        <v>1.8117064156157772</v>
      </c>
      <c r="X34" s="159"/>
      <c r="Y34" s="174"/>
      <c r="Z34" s="171"/>
      <c r="AA34" s="174"/>
      <c r="AB34" s="171"/>
    </row>
    <row r="35" spans="2:28" ht="15.85" customHeight="1" x14ac:dyDescent="0.35">
      <c r="B35" s="3">
        <v>3</v>
      </c>
      <c r="C35" s="159"/>
      <c r="D35" s="159"/>
      <c r="E35" s="170" t="s">
        <v>20</v>
      </c>
      <c r="F35" s="170"/>
      <c r="G35" s="159">
        <f>G28/($H$50*$H$45*SQRT(G14))</f>
        <v>1.0104226430413183</v>
      </c>
      <c r="H35" s="159"/>
      <c r="I35" s="159">
        <f>I28/($H$50*$H$45*SQRT(I14))</f>
        <v>0.56557145141057608</v>
      </c>
      <c r="J35" s="159"/>
      <c r="K35" s="159">
        <f>K28/($H$50*$H$45*SQRT(K14))</f>
        <v>0.55291327131388723</v>
      </c>
      <c r="L35" s="159"/>
      <c r="M35" s="159">
        <f>M28/($H$50*$H$45*SQRT(M14))</f>
        <v>0.54673730446192292</v>
      </c>
      <c r="N35" s="159"/>
      <c r="O35" s="159">
        <f>O28/($H$50*$H$45*SQRT(O14))</f>
        <v>0.55638055610256787</v>
      </c>
      <c r="P35" s="159"/>
      <c r="Q35" s="159">
        <f>Q28/($H$50*$H$45*SQRT(Q14))</f>
        <v>0.55809289876274681</v>
      </c>
      <c r="R35" s="159"/>
      <c r="S35" s="159">
        <f>S28/($H$50*$H$45*SQRT(S14))</f>
        <v>0.53376521896137641</v>
      </c>
      <c r="T35" s="159"/>
      <c r="U35" s="159">
        <f>U28/($H$50*$H$45*SQRT(U14))</f>
        <v>0.52961049420211159</v>
      </c>
      <c r="V35" s="159"/>
      <c r="W35" s="159">
        <f>W28/($H$50*$H$45*SQRT(W14))</f>
        <v>2.0624513636551614</v>
      </c>
      <c r="X35" s="159"/>
      <c r="Y35" s="174"/>
      <c r="Z35" s="171"/>
      <c r="AA35" s="171"/>
      <c r="AB35" s="171"/>
    </row>
    <row r="36" spans="2:28" ht="15.85" customHeight="1" x14ac:dyDescent="0.35">
      <c r="B36" s="3">
        <v>4</v>
      </c>
      <c r="C36" s="159"/>
      <c r="D36" s="159"/>
      <c r="E36" s="159">
        <f>E29/($H$50*$H$45*SQRT(E15))</f>
        <v>0.66306580343718158</v>
      </c>
      <c r="F36" s="159"/>
      <c r="G36" s="159">
        <f>G29/($H$50*$H$45*SQRT(G15))</f>
        <v>0.66492723105139118</v>
      </c>
      <c r="H36" s="159"/>
      <c r="I36" s="159">
        <f>I29/($H$50*$H$45*SQRT(I15))</f>
        <v>0.77158921823791049</v>
      </c>
      <c r="J36" s="159"/>
      <c r="K36" s="159">
        <f>K29/($H$50*$H$45*SQRT(K15))</f>
        <v>0.71864169461681227</v>
      </c>
      <c r="L36" s="159"/>
      <c r="M36" s="159">
        <f>M29/($H$50*$H$45*SQRT(M15))</f>
        <v>0.66840623059648996</v>
      </c>
      <c r="N36" s="159"/>
      <c r="O36" s="159">
        <f>O29/($H$50*$H$45*SQRT(O15))</f>
        <v>0.63883899680370804</v>
      </c>
      <c r="P36" s="159"/>
      <c r="Q36" s="159">
        <f>Q29/($H$50*$H$45*SQRT(Q15))</f>
        <v>0.63666672141610414</v>
      </c>
      <c r="R36" s="159"/>
      <c r="S36" s="159">
        <f>S29/($H$50*$H$45*SQRT(S15))</f>
        <v>0.6711077438291938</v>
      </c>
      <c r="T36" s="159"/>
      <c r="U36" s="159">
        <f>U29/($H$50*$H$45*SQRT(U15))</f>
        <v>0.61770062389003411</v>
      </c>
      <c r="V36" s="159"/>
      <c r="W36" s="159">
        <f>W29/($H$50*$H$45*SQRT(W15))</f>
        <v>0.68435011123122669</v>
      </c>
      <c r="X36" s="159"/>
      <c r="Y36" s="171"/>
      <c r="Z36" s="171"/>
      <c r="AA36" s="171"/>
      <c r="AB36" s="171"/>
    </row>
    <row r="37" spans="2:28" ht="15.85" customHeight="1" x14ac:dyDescent="0.35">
      <c r="B37" s="3">
        <v>5</v>
      </c>
      <c r="C37" s="159"/>
      <c r="D37" s="159"/>
      <c r="E37" s="159">
        <f>E30/($H$51*$H$45*SQRT(E16))</f>
        <v>0.6221403905831091</v>
      </c>
      <c r="F37" s="159"/>
      <c r="G37" s="159">
        <f>G30/($H$51*$H$45*SQRT(G16))</f>
        <v>0.63216747308775401</v>
      </c>
      <c r="H37" s="159"/>
      <c r="I37" s="159">
        <f>I30/($H$51*$H$45*SQRT(I16))</f>
        <v>0.71650659863948429</v>
      </c>
      <c r="J37" s="159"/>
      <c r="K37" s="159">
        <f>K30/($H$51*$H$45*SQRT(K16))</f>
        <v>0.67409758806441888</v>
      </c>
      <c r="L37" s="159"/>
      <c r="M37" s="159">
        <f>M30/($H$51*$H$45*SQRT(M16))</f>
        <v>0.63183627734035386</v>
      </c>
      <c r="N37" s="159"/>
      <c r="O37" s="159">
        <f>O30/($H$51*$H$45*SQRT(O16))</f>
        <v>0.60695392353988087</v>
      </c>
      <c r="P37" s="159"/>
      <c r="Q37" s="159">
        <f>Q30/($H$51*$H$45*SQRT(Q16))</f>
        <v>0.60945977487590219</v>
      </c>
      <c r="R37" s="159"/>
      <c r="S37" s="159">
        <f>S30/($H$51*$H$45*SQRT(S16))</f>
        <v>0.64896489876054919</v>
      </c>
      <c r="T37" s="159"/>
      <c r="U37" s="159">
        <f>U30/($H$51*$H$45*SQRT(U16))</f>
        <v>0.58582049701822836</v>
      </c>
      <c r="V37" s="159"/>
      <c r="W37" s="159">
        <f>W30/($H$51*$H$45*SQRT(W16))</f>
        <v>0.62886397224131918</v>
      </c>
      <c r="X37" s="159"/>
      <c r="Y37" s="171"/>
      <c r="Z37" s="171"/>
      <c r="AA37" s="171"/>
      <c r="AB37" s="171"/>
    </row>
    <row r="38" spans="2:28" ht="15.85" customHeight="1" x14ac:dyDescent="0.35">
      <c r="B38" s="3">
        <v>6</v>
      </c>
      <c r="C38" s="159"/>
      <c r="D38" s="159"/>
      <c r="E38" s="159">
        <f>E31/($H$50*$H$45*SQRT(E17))</f>
        <v>0.69431634835584499</v>
      </c>
      <c r="F38" s="159"/>
      <c r="G38" s="159">
        <f>G31/($H$50*$H$45*SQRT(G17))</f>
        <v>0.71315163090436662</v>
      </c>
      <c r="H38" s="159"/>
      <c r="I38" s="159">
        <f>I31/($H$50*$H$45*SQRT(I17))</f>
        <v>0.81825853643024493</v>
      </c>
      <c r="J38" s="159"/>
      <c r="K38" s="159">
        <f>K31/($H$50*$H$45*SQRT(K17))</f>
        <v>0.75525573150118486</v>
      </c>
      <c r="L38" s="159"/>
      <c r="M38" s="159">
        <f>M31/($H$50*$H$45*SQRT(M17))</f>
        <v>0.70786762866917208</v>
      </c>
      <c r="N38" s="159"/>
      <c r="O38" s="159">
        <f>O31/($H$50*$H$45*SQRT(O17))</f>
        <v>0.68506532487353444</v>
      </c>
      <c r="P38" s="159"/>
      <c r="Q38" s="159">
        <f>Q31/($H$50*$H$45*SQRT(Q17))</f>
        <v>0.69664443153522049</v>
      </c>
      <c r="R38" s="159"/>
      <c r="S38" s="159">
        <f>S31/($H$50*$H$45*SQRT(S17))</f>
        <v>0.73628340403978154</v>
      </c>
      <c r="T38" s="159"/>
      <c r="U38" s="159">
        <f>U31/($H$50*$H$45*SQRT(U17))</f>
        <v>0.64220702683599784</v>
      </c>
      <c r="V38" s="159"/>
      <c r="W38" s="159">
        <f>W31/($H$50*$H$45*SQRT(W17))</f>
        <v>0.69020940635679828</v>
      </c>
      <c r="X38" s="159"/>
      <c r="Y38" s="171"/>
      <c r="Z38" s="171"/>
      <c r="AA38" s="171"/>
      <c r="AB38" s="171"/>
    </row>
    <row r="44" spans="2:28" x14ac:dyDescent="0.35">
      <c r="E44" s="1" t="s">
        <v>272</v>
      </c>
      <c r="F44" s="1" t="s">
        <v>36</v>
      </c>
      <c r="G44" s="1" t="s">
        <v>270</v>
      </c>
      <c r="H44" s="1">
        <v>0.62</v>
      </c>
    </row>
    <row r="45" spans="2:28" x14ac:dyDescent="0.35">
      <c r="E45" s="1" t="s">
        <v>273</v>
      </c>
      <c r="F45" s="1" t="s">
        <v>274</v>
      </c>
      <c r="G45" s="1" t="s">
        <v>25</v>
      </c>
      <c r="H45" s="40">
        <v>5.0999999999999996</v>
      </c>
    </row>
    <row r="46" spans="2:28" x14ac:dyDescent="0.35">
      <c r="E46" s="1" t="s">
        <v>5</v>
      </c>
      <c r="F46" s="1" t="s">
        <v>275</v>
      </c>
      <c r="G46" s="1" t="s">
        <v>38</v>
      </c>
      <c r="H46" s="41">
        <v>9</v>
      </c>
    </row>
    <row r="47" spans="2:28" x14ac:dyDescent="0.35">
      <c r="E47" s="1" t="s">
        <v>276</v>
      </c>
      <c r="F47" s="1" t="s">
        <v>277</v>
      </c>
      <c r="G47" s="1" t="s">
        <v>38</v>
      </c>
      <c r="H47" s="41">
        <v>30</v>
      </c>
    </row>
    <row r="48" spans="2:28" x14ac:dyDescent="0.35">
      <c r="E48" s="1" t="s">
        <v>278</v>
      </c>
      <c r="F48" s="1" t="s">
        <v>279</v>
      </c>
      <c r="G48" s="1" t="s">
        <v>271</v>
      </c>
      <c r="H48" s="42">
        <v>10800</v>
      </c>
    </row>
    <row r="50" spans="5:8" x14ac:dyDescent="0.35">
      <c r="E50" s="1" t="s">
        <v>162</v>
      </c>
      <c r="G50" s="1" t="s">
        <v>38</v>
      </c>
      <c r="H50" s="43">
        <f>H46/SQRT(2)</f>
        <v>6.3639610306789276</v>
      </c>
    </row>
    <row r="51" spans="5:8" x14ac:dyDescent="0.35">
      <c r="E51" s="1" t="s">
        <v>280</v>
      </c>
      <c r="G51" s="1" t="s">
        <v>38</v>
      </c>
      <c r="H51" s="43">
        <f>1/SQRT(1/H46^2+1/H47^2+1/H46^2)</f>
        <v>6.2254301747946714</v>
      </c>
    </row>
  </sheetData>
  <mergeCells count="330">
    <mergeCell ref="Y31:Z31"/>
    <mergeCell ref="Q31:R31"/>
    <mergeCell ref="S31:T31"/>
    <mergeCell ref="U31:V31"/>
    <mergeCell ref="W31:X31"/>
    <mergeCell ref="C31:D31"/>
    <mergeCell ref="AA31:AB31"/>
    <mergeCell ref="W30:X30"/>
    <mergeCell ref="C30:D30"/>
    <mergeCell ref="AA30:AB30"/>
    <mergeCell ref="Y30:Z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E31:F31"/>
    <mergeCell ref="G31:H31"/>
    <mergeCell ref="I31:J31"/>
    <mergeCell ref="K31:L31"/>
    <mergeCell ref="W29:X29"/>
    <mergeCell ref="E29:F29"/>
    <mergeCell ref="G29:H29"/>
    <mergeCell ref="I29:J29"/>
    <mergeCell ref="K29:L29"/>
    <mergeCell ref="M29:N29"/>
    <mergeCell ref="O29:P29"/>
    <mergeCell ref="C29:D29"/>
    <mergeCell ref="AA29:AB29"/>
    <mergeCell ref="Y29:Z29"/>
    <mergeCell ref="Q29:R29"/>
    <mergeCell ref="M31:N31"/>
    <mergeCell ref="O31:P31"/>
    <mergeCell ref="U28:V28"/>
    <mergeCell ref="Q27:R27"/>
    <mergeCell ref="S27:T27"/>
    <mergeCell ref="U27:V27"/>
    <mergeCell ref="Q28:R28"/>
    <mergeCell ref="S28:T28"/>
    <mergeCell ref="S29:T29"/>
    <mergeCell ref="U29:V29"/>
    <mergeCell ref="M28:N28"/>
    <mergeCell ref="O28:P28"/>
    <mergeCell ref="W27:X27"/>
    <mergeCell ref="C27:D27"/>
    <mergeCell ref="AA27:AB27"/>
    <mergeCell ref="E27:F27"/>
    <mergeCell ref="G27:H27"/>
    <mergeCell ref="I27:J27"/>
    <mergeCell ref="K27:L27"/>
    <mergeCell ref="M27:N27"/>
    <mergeCell ref="O27:P27"/>
    <mergeCell ref="S37:T37"/>
    <mergeCell ref="U37:V37"/>
    <mergeCell ref="W28:X28"/>
    <mergeCell ref="C28:D28"/>
    <mergeCell ref="AA28:AB28"/>
    <mergeCell ref="Y28:Z28"/>
    <mergeCell ref="C26:D26"/>
    <mergeCell ref="AA26:AB26"/>
    <mergeCell ref="Y26:Z26"/>
    <mergeCell ref="G26:H26"/>
    <mergeCell ref="I26:J26"/>
    <mergeCell ref="K26:L26"/>
    <mergeCell ref="M26:N26"/>
    <mergeCell ref="O26:P26"/>
    <mergeCell ref="Q26:R26"/>
    <mergeCell ref="E26:F26"/>
    <mergeCell ref="S26:T26"/>
    <mergeCell ref="U26:V26"/>
    <mergeCell ref="W26:X26"/>
    <mergeCell ref="Y27:Z27"/>
    <mergeCell ref="E28:F28"/>
    <mergeCell ref="G28:H28"/>
    <mergeCell ref="I28:J28"/>
    <mergeCell ref="K28:L28"/>
    <mergeCell ref="Y38:Z38"/>
    <mergeCell ref="Q38:R38"/>
    <mergeCell ref="S38:T38"/>
    <mergeCell ref="U38:V38"/>
    <mergeCell ref="W38:X38"/>
    <mergeCell ref="C38:D38"/>
    <mergeCell ref="AA38:AB38"/>
    <mergeCell ref="W37:X37"/>
    <mergeCell ref="C37:D37"/>
    <mergeCell ref="AA37:AB37"/>
    <mergeCell ref="Y37:Z37"/>
    <mergeCell ref="E38:F38"/>
    <mergeCell ref="G38:H38"/>
    <mergeCell ref="I38:J38"/>
    <mergeCell ref="K38:L38"/>
    <mergeCell ref="M38:N38"/>
    <mergeCell ref="O38:P38"/>
    <mergeCell ref="E37:F37"/>
    <mergeCell ref="G37:H37"/>
    <mergeCell ref="I37:J37"/>
    <mergeCell ref="K37:L37"/>
    <mergeCell ref="M37:N37"/>
    <mergeCell ref="O37:P37"/>
    <mergeCell ref="Q37:R37"/>
    <mergeCell ref="W35:X35"/>
    <mergeCell ref="C35:D35"/>
    <mergeCell ref="AA35:AB35"/>
    <mergeCell ref="Y35:Z35"/>
    <mergeCell ref="E36:F36"/>
    <mergeCell ref="G36:H36"/>
    <mergeCell ref="I36:J36"/>
    <mergeCell ref="K36:L36"/>
    <mergeCell ref="M36:N36"/>
    <mergeCell ref="O36:P36"/>
    <mergeCell ref="Y36:Z36"/>
    <mergeCell ref="Q36:R36"/>
    <mergeCell ref="S36:T36"/>
    <mergeCell ref="U36:V36"/>
    <mergeCell ref="W36:X36"/>
    <mergeCell ref="C36:D36"/>
    <mergeCell ref="AA36:AB36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3:X33"/>
    <mergeCell ref="C33:D33"/>
    <mergeCell ref="AA33:AB33"/>
    <mergeCell ref="Y33:Z33"/>
    <mergeCell ref="E34:F34"/>
    <mergeCell ref="G34:H34"/>
    <mergeCell ref="I34:J34"/>
    <mergeCell ref="K34:L34"/>
    <mergeCell ref="M34:N34"/>
    <mergeCell ref="O34:P34"/>
    <mergeCell ref="Y34:Z34"/>
    <mergeCell ref="Q34:R34"/>
    <mergeCell ref="S34:T34"/>
    <mergeCell ref="U34:V34"/>
    <mergeCell ref="W34:X34"/>
    <mergeCell ref="C34:D34"/>
    <mergeCell ref="AA34:AB34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23:X23"/>
    <mergeCell ref="C23:D23"/>
    <mergeCell ref="AA23:AB23"/>
    <mergeCell ref="Y23:Z23"/>
    <mergeCell ref="E24:F24"/>
    <mergeCell ref="G24:H24"/>
    <mergeCell ref="I24:J24"/>
    <mergeCell ref="K24:L24"/>
    <mergeCell ref="M24:N24"/>
    <mergeCell ref="O24:P24"/>
    <mergeCell ref="Y24:Z24"/>
    <mergeCell ref="Q24:R24"/>
    <mergeCell ref="S24:T24"/>
    <mergeCell ref="U24:V24"/>
    <mergeCell ref="W24:X24"/>
    <mergeCell ref="C24:D24"/>
    <mergeCell ref="AA24:AB24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1:X21"/>
    <mergeCell ref="C21:D21"/>
    <mergeCell ref="AA21:AB21"/>
    <mergeCell ref="C22:D22"/>
    <mergeCell ref="AA22:AB22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Y21:Z21"/>
    <mergeCell ref="E22:F22"/>
    <mergeCell ref="G22:H22"/>
    <mergeCell ref="I22:J22"/>
    <mergeCell ref="O19:P19"/>
    <mergeCell ref="Q19:R19"/>
    <mergeCell ref="S19:T19"/>
    <mergeCell ref="K22:L22"/>
    <mergeCell ref="M22:N22"/>
    <mergeCell ref="O22:P22"/>
    <mergeCell ref="Y22:Z22"/>
    <mergeCell ref="Q22:R22"/>
    <mergeCell ref="S22:T22"/>
    <mergeCell ref="U22:V22"/>
    <mergeCell ref="W22:X22"/>
    <mergeCell ref="W19:X19"/>
    <mergeCell ref="U19:V19"/>
    <mergeCell ref="W17:X17"/>
    <mergeCell ref="S16:T16"/>
    <mergeCell ref="U16:V16"/>
    <mergeCell ref="C19:D19"/>
    <mergeCell ref="AA19:AB19"/>
    <mergeCell ref="Y19:Z19"/>
    <mergeCell ref="E20:F20"/>
    <mergeCell ref="G20:H20"/>
    <mergeCell ref="I20:J20"/>
    <mergeCell ref="K20:L20"/>
    <mergeCell ref="M20:N20"/>
    <mergeCell ref="O20:P20"/>
    <mergeCell ref="Y20:Z20"/>
    <mergeCell ref="Q20:R20"/>
    <mergeCell ref="S20:T20"/>
    <mergeCell ref="U20:V20"/>
    <mergeCell ref="W20:X20"/>
    <mergeCell ref="C20:D20"/>
    <mergeCell ref="AA20:AB20"/>
    <mergeCell ref="E19:F19"/>
    <mergeCell ref="G19:H19"/>
    <mergeCell ref="I19:J19"/>
    <mergeCell ref="K19:L19"/>
    <mergeCell ref="M19:N19"/>
    <mergeCell ref="E14:F14"/>
    <mergeCell ref="G14:H14"/>
    <mergeCell ref="I14:J14"/>
    <mergeCell ref="C17:D17"/>
    <mergeCell ref="AA17:AB17"/>
    <mergeCell ref="E16:F16"/>
    <mergeCell ref="G16:H16"/>
    <mergeCell ref="I16:J16"/>
    <mergeCell ref="K16:L16"/>
    <mergeCell ref="M16:N16"/>
    <mergeCell ref="O16:P16"/>
    <mergeCell ref="Q16:R16"/>
    <mergeCell ref="AA16:AB16"/>
    <mergeCell ref="Y16:Z16"/>
    <mergeCell ref="E17:F17"/>
    <mergeCell ref="G17:H17"/>
    <mergeCell ref="I17:J17"/>
    <mergeCell ref="K17:L17"/>
    <mergeCell ref="M17:N17"/>
    <mergeCell ref="O17:P17"/>
    <mergeCell ref="Y17:Z17"/>
    <mergeCell ref="Q17:R17"/>
    <mergeCell ref="S17:T17"/>
    <mergeCell ref="U17:V17"/>
    <mergeCell ref="M15:N15"/>
    <mergeCell ref="O15:P15"/>
    <mergeCell ref="Y15:Z15"/>
    <mergeCell ref="Q15:R15"/>
    <mergeCell ref="S15:T15"/>
    <mergeCell ref="U15:V15"/>
    <mergeCell ref="W15:X15"/>
    <mergeCell ref="C15:D15"/>
    <mergeCell ref="AA15:AB15"/>
    <mergeCell ref="W12:X12"/>
    <mergeCell ref="W16:X16"/>
    <mergeCell ref="C16:D16"/>
    <mergeCell ref="C13:D13"/>
    <mergeCell ref="AA13:AB13"/>
    <mergeCell ref="K14:L14"/>
    <mergeCell ref="M14:N14"/>
    <mergeCell ref="O14:P14"/>
    <mergeCell ref="Q14:R14"/>
    <mergeCell ref="S14:T14"/>
    <mergeCell ref="U14:V14"/>
    <mergeCell ref="Y13:Z13"/>
    <mergeCell ref="Q13:R13"/>
    <mergeCell ref="S13:T13"/>
    <mergeCell ref="U13:V13"/>
    <mergeCell ref="W13:X13"/>
    <mergeCell ref="W14:X14"/>
    <mergeCell ref="C14:D14"/>
    <mergeCell ref="AA14:AB14"/>
    <mergeCell ref="Y14:Z14"/>
    <mergeCell ref="E15:F15"/>
    <mergeCell ref="G15:H15"/>
    <mergeCell ref="I15:J15"/>
    <mergeCell ref="K15:L15"/>
    <mergeCell ref="E3:F3"/>
    <mergeCell ref="G3:H3"/>
    <mergeCell ref="I3:J3"/>
    <mergeCell ref="K3:L3"/>
    <mergeCell ref="M3:N3"/>
    <mergeCell ref="O3:P3"/>
    <mergeCell ref="E13:F13"/>
    <mergeCell ref="G13:H13"/>
    <mergeCell ref="I13:J13"/>
    <mergeCell ref="K13:L13"/>
    <mergeCell ref="M13:N13"/>
    <mergeCell ref="O13:P13"/>
    <mergeCell ref="C12:D12"/>
    <mergeCell ref="AA12:AB12"/>
    <mergeCell ref="Y12:Z12"/>
    <mergeCell ref="C3:D3"/>
    <mergeCell ref="AA3:AB3"/>
    <mergeCell ref="E2:F2"/>
    <mergeCell ref="G2:H2"/>
    <mergeCell ref="I2:T2"/>
    <mergeCell ref="U2:V2"/>
    <mergeCell ref="W2:X2"/>
    <mergeCell ref="Y3:Z3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Q3:R3"/>
    <mergeCell ref="S3:T3"/>
    <mergeCell ref="U3:V3"/>
    <mergeCell ref="W3:X3"/>
  </mergeCells>
  <conditionalFormatting sqref="C33:D38">
    <cfRule type="cellIs" dxfId="4" priority="8" operator="lessThan">
      <formula>1</formula>
    </cfRule>
  </conditionalFormatting>
  <conditionalFormatting sqref="C12:X12">
    <cfRule type="colorScale" priority="6">
      <colorScale>
        <cfvo type="min"/>
        <cfvo type="max"/>
        <color rgb="FFFCFCFF"/>
        <color rgb="FF63BE7B"/>
      </colorScale>
    </cfRule>
  </conditionalFormatting>
  <conditionalFormatting sqref="C13:X13">
    <cfRule type="colorScale" priority="5">
      <colorScale>
        <cfvo type="min"/>
        <cfvo type="max"/>
        <color rgb="FFFCFCFF"/>
        <color rgb="FF63BE7B"/>
      </colorScale>
    </cfRule>
  </conditionalFormatting>
  <conditionalFormatting sqref="C14:X14 AA14:AB14">
    <cfRule type="colorScale" priority="4">
      <colorScale>
        <cfvo type="min"/>
        <cfvo type="max"/>
        <color rgb="FFFCFCFF"/>
        <color rgb="FF63BE7B"/>
      </colorScale>
    </cfRule>
  </conditionalFormatting>
  <conditionalFormatting sqref="C33:Z38">
    <cfRule type="cellIs" dxfId="3" priority="9" operator="greaterThan">
      <formula>0.9999</formula>
    </cfRule>
    <cfRule type="cellIs" dxfId="2" priority="10" operator="between">
      <formula>0.55</formula>
      <formula>0.7</formula>
    </cfRule>
  </conditionalFormatting>
  <conditionalFormatting sqref="C15:AB15">
    <cfRule type="colorScale" priority="3">
      <colorScale>
        <cfvo type="min"/>
        <cfvo type="max"/>
        <color rgb="FFFCFCFF"/>
        <color rgb="FF63BE7B"/>
      </colorScale>
    </cfRule>
  </conditionalFormatting>
  <conditionalFormatting sqref="C16:AB16">
    <cfRule type="colorScale" priority="2">
      <colorScale>
        <cfvo type="min"/>
        <cfvo type="max"/>
        <color rgb="FFFCFCFF"/>
        <color rgb="FF63BE7B"/>
      </colorScale>
    </cfRule>
  </conditionalFormatting>
  <conditionalFormatting sqref="C17:AB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E11FB57D-AFBF-4769-BD64-1CA79FDE7B1C}">
            <xm:f>NOT(ISERROR(SEARCH("-",E19)))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E19:E21</xm:sqref>
        </x14:conditionalFormatting>
        <x14:conditionalFormatting xmlns:xm="http://schemas.microsoft.com/office/excel/2006/main">
          <x14:cfRule type="containsText" priority="11" operator="containsText" id="{6F8B8389-A47D-448E-B373-AB669345095C}">
            <xm:f>NOT(ISERROR(SEARCH("-",E33)))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E33:E35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CBEF-BD89-4FFB-9077-1F9367ACA01A}">
  <dimension ref="B1:AP74"/>
  <sheetViews>
    <sheetView topLeftCell="A6" zoomScale="99" workbookViewId="0">
      <selection activeCell="S31" sqref="S31"/>
    </sheetView>
  </sheetViews>
  <sheetFormatPr baseColWidth="10" defaultRowHeight="13.5" x14ac:dyDescent="0.35"/>
  <cols>
    <col min="1" max="1" width="3.86328125" style="1" customWidth="1"/>
    <col min="2" max="2" width="10.06640625" style="1" bestFit="1" customWidth="1"/>
    <col min="3" max="3" width="24.73046875" style="1" customWidth="1"/>
    <col min="4" max="4" width="19.73046875" style="1" bestFit="1" customWidth="1"/>
    <col min="5" max="5" width="7.3984375" style="1" bestFit="1" customWidth="1"/>
    <col min="6" max="7" width="5.46484375" style="1" bestFit="1" customWidth="1"/>
    <col min="8" max="9" width="5.9296875" style="1" bestFit="1" customWidth="1"/>
    <col min="10" max="13" width="8.265625" style="1" bestFit="1" customWidth="1"/>
    <col min="14" max="16" width="7.06640625" style="1" bestFit="1" customWidth="1"/>
    <col min="17" max="17" width="6.53125" style="1" bestFit="1" customWidth="1"/>
    <col min="18" max="29" width="7.73046875" style="1" customWidth="1"/>
    <col min="30" max="30" width="7.73046875" style="1" bestFit="1" customWidth="1"/>
    <col min="31" max="42" width="9.265625" style="1" customWidth="1"/>
    <col min="43" max="16384" width="10.6640625" style="1"/>
  </cols>
  <sheetData>
    <row r="1" spans="2:26" x14ac:dyDescent="0.35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2:26" x14ac:dyDescent="0.35">
      <c r="F2" s="161" t="s">
        <v>392</v>
      </c>
      <c r="G2" s="161"/>
      <c r="H2" s="161"/>
      <c r="I2" s="161"/>
      <c r="J2" s="161" t="s">
        <v>28</v>
      </c>
      <c r="K2" s="161"/>
      <c r="L2" s="161"/>
      <c r="M2" s="161"/>
      <c r="N2" s="161" t="s">
        <v>217</v>
      </c>
      <c r="O2" s="161"/>
      <c r="P2" s="161"/>
      <c r="Q2" s="161"/>
    </row>
    <row r="3" spans="2:26" ht="14.25" customHeight="1" x14ac:dyDescent="0.35">
      <c r="F3" s="161" t="s">
        <v>193</v>
      </c>
      <c r="G3" s="161"/>
      <c r="H3" s="161" t="s">
        <v>393</v>
      </c>
      <c r="I3" s="161"/>
      <c r="J3" s="161" t="s">
        <v>193</v>
      </c>
      <c r="K3" s="161"/>
      <c r="L3" s="161" t="s">
        <v>393</v>
      </c>
      <c r="M3" s="161"/>
      <c r="N3" s="161" t="s">
        <v>193</v>
      </c>
      <c r="O3" s="161"/>
      <c r="P3" s="161" t="s">
        <v>393</v>
      </c>
      <c r="Q3" s="161"/>
    </row>
    <row r="4" spans="2:26" x14ac:dyDescent="0.35">
      <c r="B4" s="25"/>
      <c r="C4" s="17"/>
      <c r="D4" s="17" t="s">
        <v>2</v>
      </c>
      <c r="E4" s="129" t="s">
        <v>1</v>
      </c>
      <c r="F4" s="138" t="s">
        <v>212</v>
      </c>
      <c r="G4" s="138">
        <v>2</v>
      </c>
      <c r="H4" s="138" t="s">
        <v>345</v>
      </c>
      <c r="I4" s="133">
        <v>5</v>
      </c>
      <c r="J4" s="138" t="s">
        <v>212</v>
      </c>
      <c r="K4" s="138">
        <v>2</v>
      </c>
      <c r="L4" s="138" t="s">
        <v>345</v>
      </c>
      <c r="M4" s="133">
        <v>5</v>
      </c>
      <c r="N4" s="138" t="s">
        <v>212</v>
      </c>
      <c r="O4" s="138">
        <v>2</v>
      </c>
      <c r="P4" s="138" t="s">
        <v>345</v>
      </c>
      <c r="Q4" s="133">
        <v>5</v>
      </c>
      <c r="R4" s="56"/>
      <c r="S4" s="56"/>
      <c r="T4" s="56"/>
      <c r="U4" s="56"/>
      <c r="W4" s="87"/>
      <c r="X4" s="56"/>
      <c r="Y4" s="134"/>
      <c r="Z4" s="56"/>
    </row>
    <row r="5" spans="2:26" x14ac:dyDescent="0.35">
      <c r="B5" s="1" t="s">
        <v>32</v>
      </c>
      <c r="C5" s="1" t="s">
        <v>36</v>
      </c>
      <c r="E5" s="139" t="s">
        <v>20</v>
      </c>
      <c r="F5" s="3">
        <v>0.62</v>
      </c>
      <c r="G5" s="3">
        <v>0.62</v>
      </c>
      <c r="H5" s="3">
        <v>0.62</v>
      </c>
      <c r="I5" s="3">
        <v>0.62</v>
      </c>
      <c r="J5" s="3">
        <v>0.62</v>
      </c>
      <c r="K5" s="3">
        <v>0.62</v>
      </c>
      <c r="L5" s="3">
        <v>0.62</v>
      </c>
      <c r="M5" s="3">
        <v>0.62</v>
      </c>
      <c r="N5" s="3">
        <v>0.62</v>
      </c>
      <c r="O5" s="3">
        <v>0.62</v>
      </c>
      <c r="P5" s="3">
        <v>0.62</v>
      </c>
      <c r="Q5" s="3">
        <v>0.62</v>
      </c>
      <c r="R5" s="3"/>
    </row>
    <row r="6" spans="2:26" x14ac:dyDescent="0.35">
      <c r="B6" s="1" t="s">
        <v>301</v>
      </c>
      <c r="C6" s="1" t="s">
        <v>34</v>
      </c>
      <c r="D6" s="1" t="s">
        <v>37</v>
      </c>
      <c r="E6" s="118" t="s">
        <v>38</v>
      </c>
      <c r="F6" s="3">
        <v>9</v>
      </c>
      <c r="G6" s="3">
        <v>9</v>
      </c>
      <c r="H6" s="3">
        <v>9</v>
      </c>
      <c r="I6" s="3">
        <v>9</v>
      </c>
      <c r="J6" s="3">
        <v>9</v>
      </c>
      <c r="K6" s="3">
        <v>9</v>
      </c>
      <c r="L6" s="3">
        <v>9</v>
      </c>
      <c r="M6" s="3">
        <v>9</v>
      </c>
      <c r="N6" s="3">
        <v>9</v>
      </c>
      <c r="O6" s="3">
        <v>9</v>
      </c>
      <c r="P6" s="3">
        <v>9</v>
      </c>
      <c r="Q6" s="3">
        <v>9</v>
      </c>
      <c r="R6" s="3"/>
    </row>
    <row r="7" spans="2:26" x14ac:dyDescent="0.35">
      <c r="B7" s="1" t="s">
        <v>276</v>
      </c>
      <c r="C7" s="1" t="s">
        <v>331</v>
      </c>
      <c r="D7" s="1" t="s">
        <v>37</v>
      </c>
      <c r="E7" s="118" t="s">
        <v>38</v>
      </c>
      <c r="F7" s="3"/>
      <c r="G7" s="3">
        <v>30</v>
      </c>
      <c r="I7" s="3">
        <v>30</v>
      </c>
      <c r="J7" s="3"/>
      <c r="K7" s="3">
        <v>30</v>
      </c>
      <c r="M7" s="3">
        <v>30</v>
      </c>
      <c r="N7" s="3"/>
      <c r="O7" s="3">
        <v>30</v>
      </c>
      <c r="Q7" s="3">
        <v>30</v>
      </c>
      <c r="R7" s="3"/>
    </row>
    <row r="8" spans="2:26" x14ac:dyDescent="0.35">
      <c r="B8" s="1" t="s">
        <v>162</v>
      </c>
      <c r="C8" s="1" t="s">
        <v>34</v>
      </c>
      <c r="E8" s="118" t="s">
        <v>38</v>
      </c>
      <c r="F8" s="60">
        <f>1/(SQRT(1/F6^2+1/F6^2))</f>
        <v>6.3639610306789285</v>
      </c>
      <c r="G8" s="60">
        <f>1/(SQRT(1/G6^2+1/G7^2+1/G6^2))</f>
        <v>6.2254301747946714</v>
      </c>
      <c r="H8" s="60">
        <f>1/(SQRT(1/H6^2+1/H6^2))</f>
        <v>6.3639610306789285</v>
      </c>
      <c r="I8" s="60">
        <f>1/(SQRT(1/I6^2+1/I7^2+1/I6^2))</f>
        <v>6.2254301747946714</v>
      </c>
      <c r="J8" s="60">
        <f>1/(SQRT(1/J6^2+1/J6^2))</f>
        <v>6.3639610306789285</v>
      </c>
      <c r="K8" s="60">
        <f>1/(SQRT(1/K6^2+1/K7^2+1/K6^2))</f>
        <v>6.2254301747946714</v>
      </c>
      <c r="L8" s="60">
        <f>1/(SQRT(1/L6^2+1/L6^2))</f>
        <v>6.3639610306789285</v>
      </c>
      <c r="M8" s="60">
        <f>1/(SQRT(1/M6^2+1/M7^2+1/M6^2))</f>
        <v>6.2254301747946714</v>
      </c>
      <c r="N8" s="60">
        <f>1/(SQRT(1/N6^2+1/N6^2))</f>
        <v>6.3639610306789285</v>
      </c>
      <c r="O8" s="60">
        <f>1/(SQRT(1/O6^2+1/O7^2+1/O6^2))</f>
        <v>6.2254301747946714</v>
      </c>
      <c r="P8" s="60">
        <f>1/(SQRT(1/P6^2+1/P6^2))</f>
        <v>6.3639610306789285</v>
      </c>
      <c r="Q8" s="60">
        <f>1/(SQRT(1/Q6^2+1/Q7^2+1/Q6^2))</f>
        <v>6.2254301747946714</v>
      </c>
      <c r="R8" s="60"/>
    </row>
    <row r="9" spans="2:26" x14ac:dyDescent="0.35">
      <c r="B9" s="1" t="s">
        <v>33</v>
      </c>
      <c r="C9" s="1" t="s">
        <v>224</v>
      </c>
      <c r="E9" s="118" t="s">
        <v>39</v>
      </c>
      <c r="F9" s="3">
        <v>67.5</v>
      </c>
      <c r="G9" s="3">
        <v>67.5</v>
      </c>
      <c r="H9" s="3">
        <v>22.5</v>
      </c>
      <c r="I9" s="3">
        <v>22.5</v>
      </c>
      <c r="J9" s="3">
        <v>67.5</v>
      </c>
      <c r="K9" s="3">
        <v>67.5</v>
      </c>
      <c r="L9" s="3">
        <v>22.5</v>
      </c>
      <c r="M9" s="3">
        <v>22.5</v>
      </c>
      <c r="N9" s="3">
        <v>67.5</v>
      </c>
      <c r="O9" s="3">
        <v>67.5</v>
      </c>
      <c r="P9" s="3">
        <v>22.5</v>
      </c>
      <c r="Q9" s="3">
        <v>22.5</v>
      </c>
      <c r="R9" s="3"/>
    </row>
    <row r="10" spans="2:26" x14ac:dyDescent="0.35">
      <c r="B10" s="1" t="s">
        <v>223</v>
      </c>
      <c r="C10" s="1" t="s">
        <v>35</v>
      </c>
      <c r="D10" s="1" t="s">
        <v>30</v>
      </c>
      <c r="E10" s="118" t="s">
        <v>25</v>
      </c>
      <c r="F10" s="60">
        <f>'4.6.2 Wetter'!$E$9</f>
        <v>5.0719645057417431</v>
      </c>
      <c r="G10" s="60">
        <f>'4.6.2 Wetter'!$E$9</f>
        <v>5.0719645057417431</v>
      </c>
      <c r="H10" s="60">
        <f>'4.6.2 Wetter'!$E$9</f>
        <v>5.0719645057417431</v>
      </c>
      <c r="I10" s="60">
        <f>'4.6.2 Wetter'!$E$9</f>
        <v>5.0719645057417431</v>
      </c>
      <c r="J10" s="60">
        <f>'4.6.2 Wetter'!$E$9</f>
        <v>5.0719645057417431</v>
      </c>
      <c r="K10" s="60">
        <f>'4.6.2 Wetter'!$E$9</f>
        <v>5.0719645057417431</v>
      </c>
      <c r="L10" s="60">
        <f>'4.6.2 Wetter'!$E$9</f>
        <v>5.0719645057417431</v>
      </c>
      <c r="M10" s="60">
        <f>'4.6.2 Wetter'!$E$9</f>
        <v>5.0719645057417431</v>
      </c>
      <c r="N10" s="60">
        <f>'4.6.2 Wetter'!$E$9</f>
        <v>5.0719645057417431</v>
      </c>
      <c r="O10" s="60">
        <f>'4.6.2 Wetter'!$E$9</f>
        <v>5.0719645057417431</v>
      </c>
      <c r="P10" s="60">
        <f>'4.6.2 Wetter'!$E$9</f>
        <v>5.0719645057417431</v>
      </c>
      <c r="Q10" s="60">
        <f>'4.6.2 Wetter'!$E$9</f>
        <v>5.0719645057417431</v>
      </c>
      <c r="R10" s="60"/>
      <c r="S10" s="43"/>
      <c r="T10" s="43"/>
      <c r="U10" s="43"/>
      <c r="W10" s="43"/>
      <c r="X10" s="43"/>
      <c r="Y10" s="43"/>
      <c r="Z10" s="43"/>
    </row>
    <row r="11" spans="2:26" x14ac:dyDescent="0.35">
      <c r="B11" s="1" t="s">
        <v>9</v>
      </c>
      <c r="C11" s="1" t="s">
        <v>17</v>
      </c>
      <c r="D11" s="1" t="s">
        <v>29</v>
      </c>
      <c r="E11" s="118" t="s">
        <v>24</v>
      </c>
      <c r="F11" s="3">
        <v>17</v>
      </c>
      <c r="G11" s="3">
        <v>17</v>
      </c>
      <c r="H11" s="3">
        <v>17</v>
      </c>
      <c r="I11" s="3">
        <v>17</v>
      </c>
      <c r="J11" s="3">
        <v>17</v>
      </c>
      <c r="K11" s="3">
        <v>17</v>
      </c>
      <c r="L11" s="3">
        <v>17</v>
      </c>
      <c r="M11" s="3">
        <v>17</v>
      </c>
      <c r="N11" s="3">
        <v>17</v>
      </c>
      <c r="O11" s="3">
        <v>17</v>
      </c>
      <c r="P11" s="3">
        <v>17</v>
      </c>
      <c r="Q11" s="3">
        <v>17</v>
      </c>
      <c r="R11" s="3"/>
      <c r="S11" s="43"/>
      <c r="T11" s="43"/>
      <c r="U11" s="43"/>
      <c r="W11" s="43"/>
      <c r="X11" s="43"/>
      <c r="Y11" s="43"/>
      <c r="Z11" s="43"/>
    </row>
    <row r="12" spans="2:26" x14ac:dyDescent="0.35">
      <c r="B12" s="1" t="s">
        <v>10</v>
      </c>
      <c r="C12" s="1" t="s">
        <v>18</v>
      </c>
      <c r="D12" s="1" t="s">
        <v>26</v>
      </c>
      <c r="E12" s="118" t="s">
        <v>24</v>
      </c>
      <c r="F12" s="3">
        <v>17</v>
      </c>
      <c r="G12" s="3">
        <v>17</v>
      </c>
      <c r="H12" s="3">
        <v>17</v>
      </c>
      <c r="I12" s="3">
        <v>17</v>
      </c>
      <c r="J12" s="3">
        <v>17</v>
      </c>
      <c r="K12" s="3">
        <v>17</v>
      </c>
      <c r="L12" s="3">
        <v>17</v>
      </c>
      <c r="M12" s="3">
        <v>17</v>
      </c>
      <c r="N12" s="3">
        <v>17</v>
      </c>
      <c r="O12" s="3">
        <v>17</v>
      </c>
      <c r="P12" s="3">
        <v>17</v>
      </c>
      <c r="Q12" s="3">
        <v>17</v>
      </c>
      <c r="R12" s="3"/>
    </row>
    <row r="13" spans="2:26" x14ac:dyDescent="0.35">
      <c r="B13" s="1" t="s">
        <v>228</v>
      </c>
      <c r="E13" s="118" t="s">
        <v>76</v>
      </c>
      <c r="F13" s="60">
        <f t="shared" ref="F13:I13" si="0">F11-F12</f>
        <v>0</v>
      </c>
      <c r="G13" s="60">
        <f t="shared" si="0"/>
        <v>0</v>
      </c>
      <c r="H13" s="60">
        <f t="shared" si="0"/>
        <v>0</v>
      </c>
      <c r="I13" s="60">
        <f t="shared" si="0"/>
        <v>0</v>
      </c>
      <c r="J13" s="60">
        <f t="shared" ref="J13:Q13" si="1">J11-J12</f>
        <v>0</v>
      </c>
      <c r="K13" s="60">
        <f t="shared" si="1"/>
        <v>0</v>
      </c>
      <c r="L13" s="60">
        <f t="shared" si="1"/>
        <v>0</v>
      </c>
      <c r="M13" s="60">
        <f t="shared" si="1"/>
        <v>0</v>
      </c>
      <c r="N13" s="60">
        <f t="shared" si="1"/>
        <v>0</v>
      </c>
      <c r="O13" s="60">
        <f t="shared" si="1"/>
        <v>0</v>
      </c>
      <c r="P13" s="60">
        <f t="shared" si="1"/>
        <v>0</v>
      </c>
      <c r="Q13" s="60">
        <f t="shared" si="1"/>
        <v>0</v>
      </c>
      <c r="R13" s="60"/>
    </row>
    <row r="14" spans="2:26" x14ac:dyDescent="0.35">
      <c r="B14" s="17" t="s">
        <v>4</v>
      </c>
      <c r="C14" s="17" t="s">
        <v>12</v>
      </c>
      <c r="D14" s="17" t="s">
        <v>27</v>
      </c>
      <c r="E14" s="140" t="s">
        <v>20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  <c r="R14" s="3"/>
    </row>
    <row r="15" spans="2:26" x14ac:dyDescent="0.35">
      <c r="B15" s="56" t="s">
        <v>221</v>
      </c>
      <c r="E15" s="118"/>
      <c r="F15" s="62" t="s">
        <v>20</v>
      </c>
      <c r="G15" s="62" t="s">
        <v>20</v>
      </c>
      <c r="H15" s="62" t="s">
        <v>20</v>
      </c>
      <c r="I15" s="62" t="s">
        <v>20</v>
      </c>
      <c r="J15" s="36" t="s">
        <v>28</v>
      </c>
      <c r="K15" s="36" t="s">
        <v>28</v>
      </c>
      <c r="L15" s="36" t="s">
        <v>28</v>
      </c>
      <c r="M15" s="36" t="s">
        <v>28</v>
      </c>
      <c r="N15" s="36" t="s">
        <v>217</v>
      </c>
      <c r="O15" s="36" t="s">
        <v>217</v>
      </c>
      <c r="P15" s="36" t="s">
        <v>217</v>
      </c>
      <c r="Q15" s="36" t="s">
        <v>217</v>
      </c>
      <c r="R15" s="62"/>
      <c r="W15" s="43"/>
    </row>
    <row r="16" spans="2:26" x14ac:dyDescent="0.35">
      <c r="B16" s="1" t="s">
        <v>5</v>
      </c>
      <c r="C16" s="1" t="s">
        <v>13</v>
      </c>
      <c r="E16" s="139" t="s">
        <v>20</v>
      </c>
      <c r="F16" s="3">
        <v>1</v>
      </c>
      <c r="G16" s="3">
        <v>1</v>
      </c>
      <c r="H16" s="3">
        <v>1</v>
      </c>
      <c r="I16" s="3">
        <v>1</v>
      </c>
      <c r="J16" s="3">
        <v>0.60599999999999998</v>
      </c>
      <c r="K16" s="3">
        <v>0.60599999999999998</v>
      </c>
      <c r="L16" s="3">
        <v>0.60599999999999998</v>
      </c>
      <c r="M16" s="3">
        <v>0.60599999999999998</v>
      </c>
      <c r="N16" s="3">
        <v>0</v>
      </c>
      <c r="O16" s="3">
        <v>0</v>
      </c>
      <c r="P16" s="3">
        <v>0</v>
      </c>
      <c r="Q16" s="3">
        <v>0</v>
      </c>
      <c r="R16" s="3"/>
      <c r="S16" s="43"/>
      <c r="T16" s="43"/>
      <c r="U16" s="43"/>
      <c r="X16" s="43"/>
      <c r="Y16" s="43"/>
      <c r="Z16" s="43"/>
    </row>
    <row r="17" spans="2:42" x14ac:dyDescent="0.35">
      <c r="B17" s="1" t="s">
        <v>6</v>
      </c>
      <c r="C17" s="1" t="s">
        <v>14</v>
      </c>
      <c r="E17" s="118" t="s">
        <v>21</v>
      </c>
      <c r="F17" s="3">
        <v>0</v>
      </c>
      <c r="G17" s="3">
        <v>0</v>
      </c>
      <c r="H17" s="3">
        <v>0</v>
      </c>
      <c r="I17" s="3">
        <v>0</v>
      </c>
      <c r="J17" s="3">
        <v>3.6360000000000003E-2</v>
      </c>
      <c r="K17" s="3">
        <v>3.6360000000000003E-2</v>
      </c>
      <c r="L17" s="3">
        <v>3.6360000000000003E-2</v>
      </c>
      <c r="M17" s="3">
        <v>3.6360000000000003E-2</v>
      </c>
      <c r="N17" s="3">
        <v>0</v>
      </c>
      <c r="O17" s="3">
        <v>0</v>
      </c>
      <c r="P17" s="3">
        <v>0</v>
      </c>
      <c r="Q17" s="3">
        <v>0</v>
      </c>
      <c r="R17" s="3"/>
    </row>
    <row r="18" spans="2:42" x14ac:dyDescent="0.35">
      <c r="B18" s="1" t="s">
        <v>7</v>
      </c>
      <c r="C18" s="1" t="s">
        <v>15</v>
      </c>
      <c r="E18" s="118" t="s">
        <v>22</v>
      </c>
      <c r="F18" s="3">
        <v>0</v>
      </c>
      <c r="G18" s="3">
        <v>0</v>
      </c>
      <c r="H18" s="3">
        <v>0</v>
      </c>
      <c r="I18" s="3">
        <v>0</v>
      </c>
      <c r="J18" s="3">
        <v>0.1177</v>
      </c>
      <c r="K18" s="3">
        <v>0.1177</v>
      </c>
      <c r="L18" s="3">
        <v>0.1177</v>
      </c>
      <c r="M18" s="3">
        <v>0.1177</v>
      </c>
      <c r="N18" s="3">
        <v>0.224</v>
      </c>
      <c r="O18" s="3">
        <v>0.224</v>
      </c>
      <c r="P18" s="3">
        <v>0.224</v>
      </c>
      <c r="Q18" s="3">
        <v>0.224</v>
      </c>
      <c r="R18" s="3"/>
      <c r="S18" s="56"/>
      <c r="T18" s="56"/>
      <c r="U18" s="56"/>
      <c r="W18" s="56"/>
      <c r="X18" s="56"/>
      <c r="Y18" s="56"/>
      <c r="Z18" s="56"/>
    </row>
    <row r="19" spans="2:42" x14ac:dyDescent="0.35">
      <c r="B19" s="1" t="s">
        <v>8</v>
      </c>
      <c r="C19" s="1" t="s">
        <v>16</v>
      </c>
      <c r="E19" s="118" t="s">
        <v>23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/>
      <c r="S19" s="56"/>
      <c r="T19" s="56"/>
      <c r="U19" s="56"/>
      <c r="W19" s="56"/>
      <c r="X19" s="56"/>
    </row>
    <row r="20" spans="2:42" x14ac:dyDescent="0.35">
      <c r="B20" s="17" t="s">
        <v>218</v>
      </c>
      <c r="C20" s="17" t="s">
        <v>219</v>
      </c>
      <c r="D20" s="17" t="s">
        <v>220</v>
      </c>
      <c r="E20" s="129" t="s">
        <v>25</v>
      </c>
      <c r="F20" s="141" t="s">
        <v>20</v>
      </c>
      <c r="G20" s="141" t="s">
        <v>20</v>
      </c>
      <c r="H20" s="141" t="s">
        <v>20</v>
      </c>
      <c r="I20" s="141" t="s">
        <v>20</v>
      </c>
      <c r="J20" s="61">
        <v>3.3474930000000001</v>
      </c>
      <c r="K20" s="61">
        <v>3.3474930000000001</v>
      </c>
      <c r="L20" s="61">
        <v>3.3474930000000001</v>
      </c>
      <c r="M20" s="61">
        <v>3.3474930000000001</v>
      </c>
      <c r="N20" s="61">
        <f>1/N18</f>
        <v>4.4642857142857144</v>
      </c>
      <c r="O20" s="61">
        <f>1/O18</f>
        <v>4.4642857142857144</v>
      </c>
      <c r="P20" s="61">
        <f>1/P18</f>
        <v>4.4642857142857144</v>
      </c>
      <c r="Q20" s="61">
        <f>1/Q18</f>
        <v>4.4642857142857144</v>
      </c>
      <c r="R20" s="63"/>
    </row>
    <row r="21" spans="2:42" x14ac:dyDescent="0.35">
      <c r="B21" s="1" t="s">
        <v>3</v>
      </c>
      <c r="C21" s="1" t="s">
        <v>11</v>
      </c>
      <c r="D21" s="64" t="s">
        <v>227</v>
      </c>
      <c r="E21" s="118" t="s">
        <v>19</v>
      </c>
      <c r="F21" s="65">
        <f>F5*F8*F10*COS(RADIANS(F9))</f>
        <v>7.6583474755387506</v>
      </c>
      <c r="G21" s="65">
        <f>G5*G8*G10*COS(RADIANS(G9))</f>
        <v>7.491640384572757</v>
      </c>
      <c r="H21" s="65">
        <f>H5*H8*H10*COS(RADIANS(H9))</f>
        <v>18.488886340811405</v>
      </c>
      <c r="I21" s="65">
        <f>I5*I8*I10*COS(RADIANS(I9))</f>
        <v>18.086419820857536</v>
      </c>
      <c r="J21" s="65">
        <f>F21</f>
        <v>7.6583474755387506</v>
      </c>
      <c r="K21" s="65">
        <f>G21</f>
        <v>7.491640384572757</v>
      </c>
      <c r="L21" s="65">
        <f>H21</f>
        <v>18.488886340811405</v>
      </c>
      <c r="M21" s="65">
        <f>I21</f>
        <v>18.086419820857536</v>
      </c>
      <c r="N21" s="65">
        <f>F21</f>
        <v>7.6583474755387506</v>
      </c>
      <c r="O21" s="65">
        <f>G21</f>
        <v>7.491640384572757</v>
      </c>
      <c r="P21" s="65">
        <f>H21</f>
        <v>18.488886340811405</v>
      </c>
      <c r="Q21" s="65">
        <f>I21</f>
        <v>18.086419820857536</v>
      </c>
      <c r="R21" s="65"/>
    </row>
    <row r="22" spans="2:42" x14ac:dyDescent="0.35">
      <c r="B22" s="1" t="s">
        <v>117</v>
      </c>
      <c r="E22" s="118" t="s">
        <v>19</v>
      </c>
      <c r="F22" s="65">
        <f>F21*(F16+F17*F13+F18*F10)</f>
        <v>7.6583474755387506</v>
      </c>
      <c r="G22" s="65">
        <f>G21*(G16+G17*G13+G18*G10)</f>
        <v>7.491640384572757</v>
      </c>
      <c r="H22" s="65">
        <f t="shared" ref="H22" si="2">H21*(H16+H17*H13+H18*H10)</f>
        <v>18.488886340811405</v>
      </c>
      <c r="I22" s="65">
        <f>I21*(I16+I17*I13+I18*I10)</f>
        <v>18.086419820857536</v>
      </c>
      <c r="J22" s="65">
        <f>J21*(J16+J17*J13+J18*J10)</f>
        <v>9.2127639652971052</v>
      </c>
      <c r="K22" s="65">
        <f>K21*(K16+K17*K13+K18*K10)</f>
        <v>9.0122202990144551</v>
      </c>
      <c r="L22" s="65">
        <f t="shared" ref="L22" si="3">L21*(L16+L17*L13+L18*L10)</f>
        <v>22.241579711962402</v>
      </c>
      <c r="M22" s="65">
        <f>M21*(M16+M17*M13+M18*M10)</f>
        <v>21.757424472974805</v>
      </c>
      <c r="N22" s="65">
        <f>N21*(N16+N17*N13+N18*N10)</f>
        <v>8.7008021113595522</v>
      </c>
      <c r="O22" s="65">
        <f>O21*(O16+O17*O13+O18*O10)</f>
        <v>8.5114028429549169</v>
      </c>
      <c r="P22" s="65">
        <f t="shared" ref="P22" si="4">P21*(P16+P17*P13+P18*P10)</f>
        <v>21.005594460768688</v>
      </c>
      <c r="Q22" s="65">
        <f>Q21*(Q16+Q17*Q13+Q18*Q10)</f>
        <v>20.548344178282672</v>
      </c>
      <c r="R22" s="65"/>
    </row>
    <row r="23" spans="2:42" x14ac:dyDescent="0.35">
      <c r="B23" s="17" t="s">
        <v>132</v>
      </c>
      <c r="C23" s="17" t="s">
        <v>302</v>
      </c>
      <c r="D23" s="17"/>
      <c r="E23" s="129" t="s">
        <v>134</v>
      </c>
      <c r="F23" s="54">
        <f t="shared" ref="F23:I23" si="5">F22*3600/10800</f>
        <v>2.5527824918462501</v>
      </c>
      <c r="G23" s="54">
        <f t="shared" si="5"/>
        <v>2.4972134615242525</v>
      </c>
      <c r="H23" s="54">
        <f t="shared" si="5"/>
        <v>6.1629621136038013</v>
      </c>
      <c r="I23" s="54">
        <f t="shared" si="5"/>
        <v>6.0288066069525117</v>
      </c>
      <c r="J23" s="127">
        <f>J22*3600/10800</f>
        <v>3.0709213217657014</v>
      </c>
      <c r="K23" s="127">
        <f t="shared" ref="K23:Q23" si="6">K22*3600/10800</f>
        <v>3.0040734330048187</v>
      </c>
      <c r="L23" s="127">
        <f t="shared" si="6"/>
        <v>7.4138599039874666</v>
      </c>
      <c r="M23" s="127">
        <f t="shared" si="6"/>
        <v>7.2524748243249348</v>
      </c>
      <c r="N23" s="127">
        <f t="shared" si="6"/>
        <v>2.9002673704531841</v>
      </c>
      <c r="O23" s="127">
        <f t="shared" si="6"/>
        <v>2.837134280984972</v>
      </c>
      <c r="P23" s="127">
        <f t="shared" si="6"/>
        <v>7.0018648202562286</v>
      </c>
      <c r="Q23" s="54">
        <f t="shared" si="6"/>
        <v>6.8494480594275577</v>
      </c>
      <c r="R23" s="65"/>
    </row>
    <row r="24" spans="2:42" hidden="1" x14ac:dyDescent="0.35">
      <c r="B24" s="1" t="s">
        <v>222</v>
      </c>
      <c r="C24" s="1" t="s">
        <v>298</v>
      </c>
      <c r="D24" s="64" t="s">
        <v>297</v>
      </c>
      <c r="E24" s="32" t="s">
        <v>38</v>
      </c>
      <c r="F24" s="60">
        <f t="shared" ref="F24:H24" si="7">F5*F8*COS(RADIANS(F9))</f>
        <v>1.5099371194078901</v>
      </c>
      <c r="G24" s="60">
        <f t="shared" si="7"/>
        <v>1.477068772088568</v>
      </c>
      <c r="H24" s="60">
        <f t="shared" si="7"/>
        <v>3.645310672005091</v>
      </c>
      <c r="I24" s="60">
        <f>I5*I8*COS(RADIANS(I9))</f>
        <v>3.5659594621339945</v>
      </c>
      <c r="J24" s="60">
        <f t="shared" ref="J24:Q24" si="8">J5*J8*COS(RADIANS(J9))</f>
        <v>1.5099371194078901</v>
      </c>
      <c r="K24" s="60">
        <f t="shared" si="8"/>
        <v>1.477068772088568</v>
      </c>
      <c r="L24" s="60">
        <f t="shared" si="8"/>
        <v>3.645310672005091</v>
      </c>
      <c r="M24" s="60">
        <f t="shared" si="8"/>
        <v>3.5659594621339945</v>
      </c>
      <c r="N24" s="60">
        <f t="shared" si="8"/>
        <v>1.5099371194078901</v>
      </c>
      <c r="O24" s="60">
        <f t="shared" si="8"/>
        <v>1.477068772088568</v>
      </c>
      <c r="P24" s="60">
        <f t="shared" si="8"/>
        <v>3.645310672005091</v>
      </c>
      <c r="Q24" s="60">
        <f t="shared" si="8"/>
        <v>3.5659594621339945</v>
      </c>
      <c r="R24" s="60"/>
    </row>
    <row r="25" spans="2:42" hidden="1" x14ac:dyDescent="0.35">
      <c r="B25" s="1" t="s">
        <v>225</v>
      </c>
      <c r="D25" s="64" t="s">
        <v>226</v>
      </c>
      <c r="E25" s="3" t="s">
        <v>19</v>
      </c>
      <c r="F25" s="60">
        <f t="shared" ref="F25:H25" si="9">F10*F24</f>
        <v>7.6583474755387506</v>
      </c>
      <c r="G25" s="60">
        <f>G10*G24</f>
        <v>7.491640384572757</v>
      </c>
      <c r="H25" s="60">
        <f t="shared" si="9"/>
        <v>18.488886340811401</v>
      </c>
      <c r="I25" s="60">
        <f>I10*I24</f>
        <v>18.086419820857536</v>
      </c>
      <c r="J25" s="60">
        <f t="shared" ref="J25:Q25" si="10">J10*J24</f>
        <v>7.6583474755387506</v>
      </c>
      <c r="K25" s="60">
        <f t="shared" si="10"/>
        <v>7.491640384572757</v>
      </c>
      <c r="L25" s="60">
        <f t="shared" si="10"/>
        <v>18.488886340811401</v>
      </c>
      <c r="M25" s="60">
        <f t="shared" si="10"/>
        <v>18.086419820857536</v>
      </c>
      <c r="N25" s="60">
        <f t="shared" si="10"/>
        <v>7.6583474755387506</v>
      </c>
      <c r="O25" s="60">
        <f t="shared" si="10"/>
        <v>7.491640384572757</v>
      </c>
      <c r="P25" s="60">
        <f t="shared" si="10"/>
        <v>18.488886340811401</v>
      </c>
      <c r="Q25" s="60">
        <f t="shared" si="10"/>
        <v>18.086419820857536</v>
      </c>
      <c r="R25" s="60"/>
    </row>
    <row r="26" spans="2:42" hidden="1" x14ac:dyDescent="0.35">
      <c r="B26" s="17" t="s">
        <v>299</v>
      </c>
      <c r="C26" s="17"/>
      <c r="D26" s="17"/>
      <c r="E26" s="16"/>
      <c r="F26" s="66">
        <f t="shared" ref="F26:H26" si="11">(F22-F25)/F25</f>
        <v>0</v>
      </c>
      <c r="G26" s="66">
        <f>(G22-G25)/G25</f>
        <v>0</v>
      </c>
      <c r="H26" s="66">
        <f t="shared" si="11"/>
        <v>1.9215401151330712E-16</v>
      </c>
      <c r="I26" s="66">
        <f>(I22-I25)/I25</f>
        <v>0</v>
      </c>
      <c r="J26" s="66">
        <f t="shared" ref="J26:Q26" si="12">(J22-J25)/J25</f>
        <v>0.20297022232580328</v>
      </c>
      <c r="K26" s="66">
        <f t="shared" si="12"/>
        <v>0.20297022232580317</v>
      </c>
      <c r="L26" s="66">
        <f t="shared" si="12"/>
        <v>0.20297022232580345</v>
      </c>
      <c r="M26" s="66">
        <f t="shared" si="12"/>
        <v>0.20297022232580325</v>
      </c>
      <c r="N26" s="66">
        <f t="shared" si="12"/>
        <v>0.13612004928615057</v>
      </c>
      <c r="O26" s="66">
        <f t="shared" si="12"/>
        <v>0.1361200492861506</v>
      </c>
      <c r="P26" s="66">
        <f t="shared" si="12"/>
        <v>0.13612004928615068</v>
      </c>
      <c r="Q26" s="66">
        <f t="shared" si="12"/>
        <v>0.13612004928615046</v>
      </c>
      <c r="R26" s="125"/>
    </row>
    <row r="27" spans="2:42" hidden="1" x14ac:dyDescent="0.35">
      <c r="B27" s="1" t="s">
        <v>366</v>
      </c>
      <c r="E27" s="3"/>
      <c r="F27" s="128">
        <f>F5*F8*F10</f>
        <v>20.012226367386845</v>
      </c>
      <c r="G27" s="128">
        <f t="shared" ref="G27:Q27" si="13">G5*G8*G10</f>
        <v>19.576599745309956</v>
      </c>
      <c r="H27" s="128">
        <f t="shared" si="13"/>
        <v>20.012226367386845</v>
      </c>
      <c r="I27" s="128">
        <f t="shared" si="13"/>
        <v>19.576599745309956</v>
      </c>
      <c r="J27" s="128">
        <f t="shared" si="13"/>
        <v>20.012226367386845</v>
      </c>
      <c r="K27" s="128">
        <f t="shared" si="13"/>
        <v>19.576599745309956</v>
      </c>
      <c r="L27" s="128">
        <f t="shared" si="13"/>
        <v>20.012226367386845</v>
      </c>
      <c r="M27" s="128">
        <f t="shared" si="13"/>
        <v>19.576599745309956</v>
      </c>
      <c r="N27" s="128">
        <f t="shared" si="13"/>
        <v>20.012226367386845</v>
      </c>
      <c r="O27" s="128">
        <f t="shared" si="13"/>
        <v>19.576599745309956</v>
      </c>
      <c r="P27" s="128">
        <f t="shared" si="13"/>
        <v>20.012226367386845</v>
      </c>
      <c r="Q27" s="128">
        <f t="shared" si="13"/>
        <v>19.576599745309956</v>
      </c>
      <c r="R27" s="125"/>
    </row>
    <row r="28" spans="2:42" hidden="1" x14ac:dyDescent="0.35">
      <c r="B28" s="1" t="s">
        <v>367</v>
      </c>
      <c r="E28" s="3"/>
      <c r="F28" s="128">
        <f>F27*(F16+F17*F13+F18*F10)</f>
        <v>20.012226367386845</v>
      </c>
      <c r="G28" s="128">
        <f t="shared" ref="G28:Q28" si="14">G27*(G16+G17*G13+G18*G10)</f>
        <v>19.576599745309956</v>
      </c>
      <c r="H28" s="128">
        <f t="shared" si="14"/>
        <v>20.012226367386845</v>
      </c>
      <c r="I28" s="128">
        <f t="shared" si="14"/>
        <v>19.576599745309956</v>
      </c>
      <c r="J28" s="128">
        <f t="shared" si="14"/>
        <v>24.074112402409654</v>
      </c>
      <c r="K28" s="128">
        <f t="shared" si="14"/>
        <v>23.550066547998778</v>
      </c>
      <c r="L28" s="128">
        <f t="shared" si="14"/>
        <v>24.074112402409654</v>
      </c>
      <c r="M28" s="128">
        <f t="shared" si="14"/>
        <v>23.550066547998778</v>
      </c>
      <c r="N28" s="128">
        <f t="shared" si="14"/>
        <v>22.736291606841142</v>
      </c>
      <c r="O28" s="128">
        <f t="shared" si="14"/>
        <v>22.24136746749679</v>
      </c>
      <c r="P28" s="128">
        <f t="shared" si="14"/>
        <v>22.736291606841142</v>
      </c>
      <c r="Q28" s="128">
        <f t="shared" si="14"/>
        <v>22.24136746749679</v>
      </c>
      <c r="R28" s="125"/>
    </row>
    <row r="29" spans="2:42" x14ac:dyDescent="0.35"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</row>
    <row r="30" spans="2:42" x14ac:dyDescent="0.35"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</row>
    <row r="31" spans="2:42" x14ac:dyDescent="0.35"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</row>
    <row r="32" spans="2:42" x14ac:dyDescent="0.35"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</row>
    <row r="33" spans="2:42" x14ac:dyDescent="0.35"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2:42" x14ac:dyDescent="0.35">
      <c r="B34" s="1" t="s">
        <v>300</v>
      </c>
    </row>
    <row r="36" spans="2:42" x14ac:dyDescent="0.35"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</row>
    <row r="46" spans="2:42" x14ac:dyDescent="0.35">
      <c r="AD46" s="46"/>
    </row>
    <row r="50" spans="2:37" x14ac:dyDescent="0.35">
      <c r="AG50" s="43"/>
      <c r="AH50" s="43"/>
    </row>
    <row r="58" spans="2:37" x14ac:dyDescent="0.35"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</row>
    <row r="59" spans="2:37" x14ac:dyDescent="0.35"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K59" s="56"/>
    </row>
    <row r="60" spans="2:37" x14ac:dyDescent="0.35">
      <c r="E60" s="64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K60" s="43"/>
    </row>
    <row r="61" spans="2:37" x14ac:dyDescent="0.35">
      <c r="E61" s="64"/>
    </row>
    <row r="67" spans="2:37" x14ac:dyDescent="0.35"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</row>
    <row r="68" spans="2:37" x14ac:dyDescent="0.35"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K68" s="43"/>
    </row>
    <row r="69" spans="2:37" x14ac:dyDescent="0.35">
      <c r="E69" s="56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</row>
    <row r="70" spans="2:37" x14ac:dyDescent="0.35"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K70" s="87"/>
    </row>
    <row r="71" spans="2:37" x14ac:dyDescent="0.35"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</row>
    <row r="72" spans="2:37" x14ac:dyDescent="0.35"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K72" s="68"/>
    </row>
    <row r="73" spans="2:37" s="56" customFormat="1" x14ac:dyDescent="0.35">
      <c r="B73" s="136"/>
      <c r="C73" s="136"/>
      <c r="D73" s="136"/>
      <c r="E73" s="136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K73" s="136"/>
    </row>
    <row r="74" spans="2:37" s="56" customFormat="1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K74" s="137"/>
    </row>
  </sheetData>
  <mergeCells count="9">
    <mergeCell ref="N2:Q2"/>
    <mergeCell ref="N3:O3"/>
    <mergeCell ref="P3:Q3"/>
    <mergeCell ref="F2:I2"/>
    <mergeCell ref="F3:G3"/>
    <mergeCell ref="H3:I3"/>
    <mergeCell ref="J3:K3"/>
    <mergeCell ref="L3:M3"/>
    <mergeCell ref="J2:M2"/>
  </mergeCells>
  <phoneticPr fontId="2" type="noConversion"/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FF17-8CFC-4E40-B502-B034D2FE0C1F}">
  <dimension ref="B2:Z24"/>
  <sheetViews>
    <sheetView workbookViewId="0">
      <selection activeCell="P25" sqref="P25"/>
    </sheetView>
  </sheetViews>
  <sheetFormatPr baseColWidth="10" defaultRowHeight="13.5" x14ac:dyDescent="0.35"/>
  <cols>
    <col min="1" max="1" width="3.06640625" style="1" customWidth="1"/>
    <col min="2" max="2" width="10.6640625" style="1"/>
    <col min="3" max="3" width="32.59765625" style="1" customWidth="1"/>
    <col min="4" max="4" width="10.6640625" style="1"/>
    <col min="5" max="5" width="6.6640625" style="1" bestFit="1" customWidth="1"/>
    <col min="6" max="9" width="7.9296875" style="1" customWidth="1"/>
    <col min="10" max="10" width="4.265625" style="1" customWidth="1"/>
    <col min="11" max="16384" width="10.6640625" style="1"/>
  </cols>
  <sheetData>
    <row r="2" spans="2:26" x14ac:dyDescent="0.35">
      <c r="B2" s="44"/>
      <c r="C2" s="44"/>
      <c r="D2" s="44"/>
      <c r="E2" s="44"/>
      <c r="F2" s="175" t="s">
        <v>208</v>
      </c>
      <c r="G2" s="175"/>
      <c r="H2" s="176" t="s">
        <v>209</v>
      </c>
      <c r="I2" s="176"/>
      <c r="K2" s="1" t="s">
        <v>395</v>
      </c>
    </row>
    <row r="3" spans="2:26" x14ac:dyDescent="0.35">
      <c r="B3" s="17" t="s">
        <v>0</v>
      </c>
      <c r="C3" s="17" t="s">
        <v>31</v>
      </c>
      <c r="D3" s="17" t="s">
        <v>2</v>
      </c>
      <c r="E3" s="17" t="s">
        <v>1</v>
      </c>
      <c r="F3" s="16" t="s">
        <v>93</v>
      </c>
      <c r="G3" s="16" t="s">
        <v>207</v>
      </c>
      <c r="H3" s="16" t="s">
        <v>93</v>
      </c>
      <c r="I3" s="16" t="s">
        <v>207</v>
      </c>
      <c r="K3" s="177" t="s">
        <v>394</v>
      </c>
      <c r="L3" s="177"/>
      <c r="M3" s="177"/>
      <c r="N3" s="177"/>
      <c r="O3" s="177"/>
      <c r="P3" s="177"/>
      <c r="Q3" s="177"/>
      <c r="R3" s="177"/>
      <c r="S3" s="123"/>
    </row>
    <row r="4" spans="2:26" x14ac:dyDescent="0.35">
      <c r="B4" s="1" t="s">
        <v>54</v>
      </c>
      <c r="E4" s="118" t="s">
        <v>39</v>
      </c>
      <c r="F4" s="3">
        <v>180</v>
      </c>
      <c r="G4" s="3">
        <v>0</v>
      </c>
      <c r="H4" s="3">
        <v>180</v>
      </c>
      <c r="I4" s="3">
        <v>0</v>
      </c>
      <c r="K4" s="177"/>
      <c r="L4" s="177"/>
      <c r="M4" s="177"/>
      <c r="N4" s="177"/>
      <c r="O4" s="177"/>
      <c r="P4" s="177"/>
      <c r="Q4" s="177"/>
      <c r="R4" s="177"/>
    </row>
    <row r="5" spans="2:26" ht="13.5" customHeight="1" x14ac:dyDescent="0.35">
      <c r="B5" s="1" t="s">
        <v>53</v>
      </c>
      <c r="E5" s="118" t="s">
        <v>39</v>
      </c>
      <c r="F5" s="3">
        <v>247.5</v>
      </c>
      <c r="G5" s="3">
        <v>247.5</v>
      </c>
      <c r="H5" s="3">
        <v>157.5</v>
      </c>
      <c r="I5" s="3">
        <v>157.5</v>
      </c>
      <c r="K5" s="177"/>
      <c r="L5" s="177"/>
      <c r="M5" s="177"/>
      <c r="N5" s="177"/>
      <c r="O5" s="177"/>
      <c r="P5" s="177"/>
      <c r="Q5" s="177"/>
      <c r="R5" s="177"/>
      <c r="T5" s="123"/>
      <c r="U5" s="123"/>
      <c r="V5" s="123"/>
      <c r="W5" s="123"/>
      <c r="X5" s="123"/>
      <c r="Y5" s="123"/>
      <c r="Z5" s="123"/>
    </row>
    <row r="6" spans="2:26" x14ac:dyDescent="0.35">
      <c r="B6" s="1" t="s">
        <v>258</v>
      </c>
      <c r="E6" s="118"/>
      <c r="F6" s="3">
        <f>ABS(F4-F5)</f>
        <v>67.5</v>
      </c>
      <c r="G6" s="3">
        <f>ABS(G4-G5)</f>
        <v>247.5</v>
      </c>
      <c r="H6" s="3">
        <f>ABS(H4-H5)</f>
        <v>22.5</v>
      </c>
      <c r="I6" s="3">
        <f>ABS(I4-I5)</f>
        <v>157.5</v>
      </c>
      <c r="K6" s="177"/>
      <c r="L6" s="177"/>
      <c r="M6" s="177"/>
      <c r="N6" s="177"/>
      <c r="O6" s="177"/>
      <c r="P6" s="177"/>
      <c r="Q6" s="177"/>
      <c r="R6" s="177"/>
    </row>
    <row r="7" spans="2:26" x14ac:dyDescent="0.35">
      <c r="B7" s="1" t="s">
        <v>58</v>
      </c>
      <c r="C7" s="1" t="s">
        <v>41</v>
      </c>
      <c r="D7" s="1" t="s">
        <v>55</v>
      </c>
      <c r="E7" s="139" t="s">
        <v>20</v>
      </c>
      <c r="F7" s="60">
        <f>MAX(0,0.55-(F6/45)*0.25)</f>
        <v>0.17500000000000004</v>
      </c>
      <c r="G7" s="60">
        <f>MAX(0,0.55-(G6/45)*0.25)</f>
        <v>0</v>
      </c>
      <c r="H7" s="60">
        <f>MAX(0,0.55-(H6/45)*0.25)</f>
        <v>0.42500000000000004</v>
      </c>
      <c r="I7" s="60">
        <f>MAX(0,0.55-(I6/45)*0.25)</f>
        <v>0</v>
      </c>
      <c r="K7" s="177"/>
      <c r="L7" s="177"/>
      <c r="M7" s="177"/>
      <c r="N7" s="177"/>
      <c r="O7" s="177"/>
      <c r="P7" s="177"/>
      <c r="Q7" s="177"/>
      <c r="R7" s="177"/>
    </row>
    <row r="8" spans="2:26" x14ac:dyDescent="0.35">
      <c r="B8" s="1" t="s">
        <v>5</v>
      </c>
      <c r="C8" s="1" t="s">
        <v>42</v>
      </c>
      <c r="E8" s="118" t="s">
        <v>38</v>
      </c>
      <c r="F8" s="3">
        <v>9</v>
      </c>
      <c r="G8" s="3">
        <v>9</v>
      </c>
      <c r="H8" s="3">
        <v>9</v>
      </c>
      <c r="I8" s="3">
        <v>9</v>
      </c>
      <c r="K8" s="43"/>
      <c r="L8" s="43"/>
      <c r="M8" s="43"/>
      <c r="N8" s="43"/>
    </row>
    <row r="9" spans="2:26" x14ac:dyDescent="0.35">
      <c r="B9" s="1" t="s">
        <v>4</v>
      </c>
      <c r="C9" s="1" t="s">
        <v>43</v>
      </c>
      <c r="D9" s="1" t="s">
        <v>27</v>
      </c>
      <c r="E9" s="139" t="s">
        <v>20</v>
      </c>
      <c r="F9" s="3">
        <v>1</v>
      </c>
      <c r="G9" s="3">
        <v>1</v>
      </c>
      <c r="H9" s="3">
        <v>1</v>
      </c>
      <c r="I9" s="3">
        <v>1</v>
      </c>
      <c r="K9" s="43"/>
      <c r="L9" s="43"/>
      <c r="M9" s="43"/>
      <c r="N9" s="43"/>
    </row>
    <row r="10" spans="2:26" x14ac:dyDescent="0.35">
      <c r="B10" s="1" t="s">
        <v>230</v>
      </c>
      <c r="C10" s="1" t="s">
        <v>35</v>
      </c>
      <c r="D10" s="1" t="s">
        <v>30</v>
      </c>
      <c r="E10" s="118" t="s">
        <v>25</v>
      </c>
      <c r="F10" s="60">
        <f>'4.6.2 Wetter'!$E$9</f>
        <v>5.0719645057417431</v>
      </c>
      <c r="G10" s="60">
        <f>'4.6.2 Wetter'!$E$9</f>
        <v>5.0719645057417431</v>
      </c>
      <c r="H10" s="60">
        <f>'4.6.2 Wetter'!$E$9</f>
        <v>5.0719645057417431</v>
      </c>
      <c r="I10" s="60">
        <f>'4.6.2 Wetter'!$E$9</f>
        <v>5.0719645057417431</v>
      </c>
      <c r="K10" s="145"/>
      <c r="L10" s="145"/>
      <c r="M10" s="145"/>
      <c r="N10" s="145"/>
    </row>
    <row r="11" spans="2:26" x14ac:dyDescent="0.35">
      <c r="B11" s="1" t="s">
        <v>229</v>
      </c>
      <c r="C11" s="1" t="s">
        <v>35</v>
      </c>
      <c r="D11" s="1" t="s">
        <v>30</v>
      </c>
      <c r="E11" s="118" t="s">
        <v>25</v>
      </c>
      <c r="F11" s="60">
        <f>'4.6.2 Wetter'!$F$9</f>
        <v>6.0513814787681062</v>
      </c>
      <c r="G11" s="60">
        <f>'4.6.2 Wetter'!$F$9</f>
        <v>6.0513814787681062</v>
      </c>
      <c r="H11" s="60">
        <f>'4.6.2 Wetter'!$F$9</f>
        <v>6.0513814787681062</v>
      </c>
      <c r="I11" s="60">
        <f>'4.6.2 Wetter'!$F$9</f>
        <v>6.0513814787681062</v>
      </c>
      <c r="K11" s="68"/>
      <c r="L11" s="68"/>
      <c r="M11" s="68"/>
      <c r="N11" s="68"/>
    </row>
    <row r="12" spans="2:26" x14ac:dyDescent="0.35">
      <c r="B12" s="68" t="s">
        <v>32</v>
      </c>
      <c r="C12" s="68" t="s">
        <v>44</v>
      </c>
      <c r="D12" s="68" t="s">
        <v>55</v>
      </c>
      <c r="E12" s="142" t="s">
        <v>20</v>
      </c>
      <c r="F12" s="3"/>
      <c r="G12" s="3"/>
      <c r="H12" s="3"/>
      <c r="I12" s="3"/>
      <c r="K12" s="68"/>
      <c r="L12" s="68"/>
      <c r="M12" s="68"/>
      <c r="N12" s="68"/>
    </row>
    <row r="13" spans="2:26" x14ac:dyDescent="0.35">
      <c r="B13" s="68" t="s">
        <v>40</v>
      </c>
      <c r="C13" s="68" t="s">
        <v>45</v>
      </c>
      <c r="D13" s="68"/>
      <c r="E13" s="143" t="s">
        <v>47</v>
      </c>
      <c r="F13" s="3"/>
      <c r="G13" s="3"/>
      <c r="H13" s="3"/>
      <c r="I13" s="3"/>
      <c r="K13" s="68"/>
      <c r="L13" s="68"/>
      <c r="M13" s="68"/>
      <c r="N13" s="68"/>
    </row>
    <row r="14" spans="2:26" x14ac:dyDescent="0.35">
      <c r="B14" s="68" t="s">
        <v>110</v>
      </c>
      <c r="C14" s="68" t="s">
        <v>46</v>
      </c>
      <c r="D14" s="68"/>
      <c r="E14" s="143" t="s">
        <v>48</v>
      </c>
      <c r="F14" s="3"/>
      <c r="G14" s="3"/>
      <c r="H14" s="3"/>
      <c r="I14" s="3"/>
      <c r="K14" s="68"/>
      <c r="L14" s="68"/>
      <c r="M14" s="68"/>
      <c r="N14" s="68"/>
    </row>
    <row r="15" spans="2:26" x14ac:dyDescent="0.35">
      <c r="B15" s="68" t="s">
        <v>9</v>
      </c>
      <c r="C15" s="68" t="s">
        <v>17</v>
      </c>
      <c r="D15" s="68" t="s">
        <v>29</v>
      </c>
      <c r="E15" s="143" t="s">
        <v>24</v>
      </c>
      <c r="F15" s="3"/>
      <c r="G15" s="3"/>
      <c r="H15" s="3"/>
      <c r="I15" s="3"/>
      <c r="K15" s="43"/>
      <c r="L15" s="43"/>
      <c r="M15" s="43"/>
      <c r="N15" s="43"/>
    </row>
    <row r="16" spans="2:26" x14ac:dyDescent="0.35">
      <c r="B16" s="70" t="s">
        <v>10</v>
      </c>
      <c r="C16" s="70" t="s">
        <v>18</v>
      </c>
      <c r="D16" s="70" t="s">
        <v>26</v>
      </c>
      <c r="E16" s="144" t="s">
        <v>24</v>
      </c>
      <c r="F16" s="16"/>
      <c r="G16" s="16"/>
      <c r="H16" s="16"/>
      <c r="I16" s="16"/>
      <c r="K16" s="146"/>
      <c r="L16" s="146"/>
      <c r="M16" s="146"/>
      <c r="N16" s="146"/>
    </row>
    <row r="17" spans="2:14" x14ac:dyDescent="0.35">
      <c r="B17" s="1" t="s">
        <v>113</v>
      </c>
      <c r="C17" s="1" t="s">
        <v>49</v>
      </c>
      <c r="E17" s="118" t="s">
        <v>19</v>
      </c>
      <c r="F17" s="60">
        <f>F7*F8*F9*F10</f>
        <v>7.9883440965432477</v>
      </c>
      <c r="G17" s="60">
        <f>G7*G8*G9*G10</f>
        <v>0</v>
      </c>
      <c r="H17" s="60">
        <f>H7*H8*H9*H10</f>
        <v>19.400264234462167</v>
      </c>
      <c r="I17" s="60">
        <f>I7*I8*I9*I10</f>
        <v>0</v>
      </c>
      <c r="K17" s="43"/>
      <c r="L17" s="43"/>
      <c r="M17" s="43"/>
      <c r="N17" s="43"/>
    </row>
    <row r="18" spans="2:14" x14ac:dyDescent="0.35">
      <c r="B18" s="68" t="s">
        <v>114</v>
      </c>
      <c r="C18" s="68" t="s">
        <v>50</v>
      </c>
      <c r="D18" s="68"/>
      <c r="E18" s="143" t="s">
        <v>19</v>
      </c>
      <c r="F18" s="131"/>
      <c r="G18" s="131"/>
      <c r="H18" s="131"/>
      <c r="I18" s="131"/>
      <c r="K18" s="87"/>
      <c r="L18" s="87"/>
      <c r="M18" s="87"/>
    </row>
    <row r="19" spans="2:14" x14ac:dyDescent="0.35">
      <c r="B19" s="1" t="s">
        <v>115</v>
      </c>
      <c r="E19" s="118" t="s">
        <v>19</v>
      </c>
      <c r="F19" s="60">
        <f>SQRT(F17*F17+F18*F18)</f>
        <v>7.9883440965432477</v>
      </c>
      <c r="G19" s="60">
        <f>SQRT(G17*G17+G18*G18)</f>
        <v>0</v>
      </c>
      <c r="H19" s="60">
        <f>SQRT(H17*H17+H18*H18)</f>
        <v>19.400264234462167</v>
      </c>
      <c r="I19" s="60">
        <f>SQRT(I17*I17+I18*I18)</f>
        <v>0</v>
      </c>
    </row>
    <row r="20" spans="2:14" x14ac:dyDescent="0.35">
      <c r="B20" s="1" t="s">
        <v>116</v>
      </c>
      <c r="E20" s="118" t="s">
        <v>19</v>
      </c>
      <c r="F20" s="65">
        <f>F19+G19</f>
        <v>7.9883440965432477</v>
      </c>
      <c r="G20" s="65"/>
      <c r="H20" s="65">
        <f>H19+I19</f>
        <v>19.400264234462167</v>
      </c>
      <c r="I20" s="65"/>
    </row>
    <row r="21" spans="2:14" x14ac:dyDescent="0.35">
      <c r="B21" s="1" t="s">
        <v>132</v>
      </c>
      <c r="F21" s="60">
        <f>F20/10800*3600</f>
        <v>2.6627813655144159</v>
      </c>
      <c r="G21" s="60"/>
      <c r="H21" s="60">
        <f t="shared" ref="H21" si="0">H20/10800*3600</f>
        <v>6.4667547448207223</v>
      </c>
      <c r="K21" s="1" t="s">
        <v>51</v>
      </c>
    </row>
    <row r="22" spans="2:14" x14ac:dyDescent="0.35">
      <c r="K22" s="1" t="s">
        <v>97</v>
      </c>
    </row>
    <row r="23" spans="2:14" x14ac:dyDescent="0.35">
      <c r="K23" s="1">
        <v>37</v>
      </c>
      <c r="L23" s="1" t="s">
        <v>56</v>
      </c>
    </row>
    <row r="24" spans="2:14" x14ac:dyDescent="0.35">
      <c r="B24" s="123"/>
      <c r="K24" s="1">
        <v>38</v>
      </c>
      <c r="L24" s="1" t="s">
        <v>57</v>
      </c>
    </row>
  </sheetData>
  <mergeCells count="3">
    <mergeCell ref="F2:G2"/>
    <mergeCell ref="H2:I2"/>
    <mergeCell ref="K3:R7"/>
  </mergeCells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C499-B7F2-4A64-AF3B-D93982ECA61C}">
  <dimension ref="B1:AB103"/>
  <sheetViews>
    <sheetView zoomScaleNormal="100" workbookViewId="0">
      <selection activeCell="AC26" sqref="A14:AC26"/>
    </sheetView>
  </sheetViews>
  <sheetFormatPr baseColWidth="10" defaultRowHeight="14.25" x14ac:dyDescent="0.45"/>
  <cols>
    <col min="1" max="1" width="4.06640625" style="46" customWidth="1"/>
    <col min="2" max="2" width="10.6640625" style="46"/>
    <col min="3" max="3" width="29.1328125" style="46" bestFit="1" customWidth="1"/>
    <col min="4" max="4" width="10.6640625" style="46"/>
    <col min="5" max="5" width="9.1328125" style="47" customWidth="1"/>
    <col min="6" max="6" width="10.86328125" style="47" bestFit="1" customWidth="1"/>
    <col min="7" max="7" width="14.53125" style="47" bestFit="1" customWidth="1"/>
    <col min="8" max="8" width="10.86328125" style="47" bestFit="1" customWidth="1"/>
    <col min="9" max="9" width="14.53125" style="47" bestFit="1" customWidth="1"/>
    <col min="10" max="10" width="9.1328125" style="47" customWidth="1"/>
    <col min="11" max="11" width="10.86328125" style="47" bestFit="1" customWidth="1"/>
    <col min="12" max="12" width="14.53125" style="47" bestFit="1" customWidth="1"/>
    <col min="13" max="13" width="10.86328125" style="47" bestFit="1" customWidth="1"/>
    <col min="14" max="14" width="14.53125" style="47" bestFit="1" customWidth="1"/>
    <col min="15" max="15" width="6.6640625" style="46" customWidth="1"/>
    <col min="16" max="21" width="9.1328125" style="46" customWidth="1"/>
    <col min="22" max="22" width="10.6640625" style="67"/>
    <col min="23" max="23" width="0" style="67" hidden="1" customWidth="1"/>
    <col min="24" max="26" width="9.1328125" style="46" hidden="1" customWidth="1"/>
    <col min="27" max="28" width="0" style="46" hidden="1" customWidth="1"/>
    <col min="29" max="16384" width="10.6640625" style="46"/>
  </cols>
  <sheetData>
    <row r="1" spans="2:28" ht="13.5" x14ac:dyDescent="0.35">
      <c r="E1" s="46"/>
      <c r="F1" s="46"/>
      <c r="G1" s="46"/>
      <c r="H1" s="46"/>
      <c r="I1" s="46"/>
      <c r="J1" s="46"/>
      <c r="K1" s="46"/>
      <c r="L1" s="46"/>
      <c r="M1" s="46"/>
      <c r="N1" s="46"/>
      <c r="V1" s="46"/>
      <c r="W1" s="46"/>
    </row>
    <row r="2" spans="2:28" ht="13.5" x14ac:dyDescent="0.35">
      <c r="B2" s="97"/>
      <c r="C2" s="97"/>
      <c r="D2" s="97"/>
      <c r="E2" s="98" t="s">
        <v>324</v>
      </c>
      <c r="F2" s="98" t="s">
        <v>325</v>
      </c>
      <c r="G2" s="98" t="s">
        <v>326</v>
      </c>
      <c r="H2" s="98" t="s">
        <v>325</v>
      </c>
      <c r="I2" s="98" t="s">
        <v>326</v>
      </c>
      <c r="J2" s="98" t="s">
        <v>324</v>
      </c>
      <c r="K2" s="98" t="s">
        <v>325</v>
      </c>
      <c r="L2" s="98" t="s">
        <v>326</v>
      </c>
      <c r="M2" s="98" t="s">
        <v>325</v>
      </c>
      <c r="N2" s="98" t="s">
        <v>326</v>
      </c>
      <c r="V2" s="46"/>
      <c r="W2" s="178" t="s">
        <v>351</v>
      </c>
      <c r="X2" s="178"/>
      <c r="Y2" s="178" t="s">
        <v>350</v>
      </c>
      <c r="Z2" s="178"/>
      <c r="AA2" s="178"/>
      <c r="AB2" s="178"/>
    </row>
    <row r="3" spans="2:28" ht="13.5" x14ac:dyDescent="0.35">
      <c r="B3" s="95" t="s">
        <v>98</v>
      </c>
      <c r="C3" s="50"/>
      <c r="D3" s="51"/>
      <c r="E3" s="96" t="s">
        <v>212</v>
      </c>
      <c r="F3" s="51">
        <v>1</v>
      </c>
      <c r="G3" s="51">
        <v>1</v>
      </c>
      <c r="H3" s="51">
        <v>3</v>
      </c>
      <c r="I3" s="51">
        <v>3</v>
      </c>
      <c r="J3" s="96" t="s">
        <v>345</v>
      </c>
      <c r="K3" s="51">
        <v>4</v>
      </c>
      <c r="L3" s="51">
        <v>4</v>
      </c>
      <c r="M3" s="51">
        <v>6</v>
      </c>
      <c r="N3" s="51">
        <v>6</v>
      </c>
      <c r="O3" s="89"/>
      <c r="V3" s="46"/>
      <c r="W3" s="51">
        <v>4</v>
      </c>
      <c r="X3" s="51">
        <v>6</v>
      </c>
      <c r="Y3" s="51">
        <v>1</v>
      </c>
      <c r="Z3" s="51">
        <v>3</v>
      </c>
      <c r="AA3" s="51">
        <v>4</v>
      </c>
      <c r="AB3" s="51">
        <v>6</v>
      </c>
    </row>
    <row r="4" spans="2:28" ht="13.5" x14ac:dyDescent="0.35">
      <c r="B4" s="46" t="s">
        <v>59</v>
      </c>
      <c r="C4" s="46" t="s">
        <v>62</v>
      </c>
      <c r="D4" s="49" t="s">
        <v>20</v>
      </c>
      <c r="E4" s="93">
        <v>3.2500000000000001E-2</v>
      </c>
      <c r="F4" s="93">
        <f>'5.1 C_P'!U5</f>
        <v>-0.2431584293223846</v>
      </c>
      <c r="G4" s="93">
        <f>'5.1 C_P'!O5</f>
        <v>-0.25123518472423062</v>
      </c>
      <c r="H4" s="93">
        <f>'5.1 C_P'!U7</f>
        <v>-0.2391843953647283</v>
      </c>
      <c r="I4" s="93">
        <f>'5.1 C_P'!O7</f>
        <v>-0.23996620998310991</v>
      </c>
      <c r="J4" s="93">
        <v>0.48</v>
      </c>
      <c r="K4" s="93">
        <f>'5.1 C_P'!U8</f>
        <v>1.059034516033871</v>
      </c>
      <c r="L4" s="93">
        <f>'5.1 C_P'!O8</f>
        <v>0.95811779296630151</v>
      </c>
      <c r="M4" s="93">
        <f>'5.1 C_P'!U10</f>
        <v>1.0504675731277791</v>
      </c>
      <c r="N4" s="93">
        <f>'5.1 C_P'!O10</f>
        <v>0.94607639005798938</v>
      </c>
      <c r="O4" s="91"/>
      <c r="V4" s="46"/>
      <c r="W4" s="106">
        <v>0.5</v>
      </c>
      <c r="X4" s="106">
        <v>0.5</v>
      </c>
      <c r="Y4" s="106">
        <v>-0.8</v>
      </c>
      <c r="Z4" s="106">
        <v>-0.8</v>
      </c>
      <c r="AA4" s="106">
        <v>0.7</v>
      </c>
      <c r="AB4" s="106">
        <v>0.7</v>
      </c>
    </row>
    <row r="5" spans="2:28" ht="13.5" x14ac:dyDescent="0.35">
      <c r="B5" s="46" t="s">
        <v>60</v>
      </c>
      <c r="C5" s="46" t="s">
        <v>63</v>
      </c>
      <c r="D5" s="49" t="s">
        <v>20</v>
      </c>
      <c r="E5" s="93">
        <v>-0.44</v>
      </c>
      <c r="F5" s="93">
        <f>'5.1 C_P'!V5</f>
        <v>-0.52995596932972122</v>
      </c>
      <c r="G5" s="93">
        <f>'5.1 C_P'!P5</f>
        <v>-0.50969666751842002</v>
      </c>
      <c r="H5" s="93">
        <f>'5.1 C_P'!V7</f>
        <v>-0.52309889882645688</v>
      </c>
      <c r="I5" s="93">
        <f>'5.1 C_P'!P7</f>
        <v>-0.49721708114082008</v>
      </c>
      <c r="J5" s="93">
        <v>-0.315</v>
      </c>
      <c r="K5" s="93">
        <f>'5.1 C_P'!V8</f>
        <v>-0.38361724356518029</v>
      </c>
      <c r="L5" s="93">
        <f>'5.1 C_P'!P8</f>
        <v>-0.39064243705719631</v>
      </c>
      <c r="M5" s="93">
        <f>'5.1 C_P'!V10</f>
        <v>-0.40710816148866169</v>
      </c>
      <c r="N5" s="93">
        <f>'5.1 C_P'!P10</f>
        <v>-0.33482962234548791</v>
      </c>
      <c r="O5" s="91"/>
      <c r="V5" s="46"/>
      <c r="W5" s="93">
        <v>-0.7</v>
      </c>
      <c r="X5" s="93">
        <v>-0.7</v>
      </c>
      <c r="Y5" s="93">
        <v>-0.8</v>
      </c>
      <c r="Z5" s="93">
        <v>-1.2</v>
      </c>
      <c r="AA5" s="93">
        <v>-0.3</v>
      </c>
      <c r="AB5" s="93">
        <v>-0.3</v>
      </c>
    </row>
    <row r="6" spans="2:28" ht="13.5" x14ac:dyDescent="0.35">
      <c r="B6" s="46" t="s">
        <v>99</v>
      </c>
      <c r="D6" s="49" t="s">
        <v>24</v>
      </c>
      <c r="E6" s="47">
        <v>17</v>
      </c>
      <c r="F6" s="47">
        <v>17</v>
      </c>
      <c r="G6" s="47">
        <v>17</v>
      </c>
      <c r="H6" s="47">
        <v>17</v>
      </c>
      <c r="I6" s="47">
        <v>17</v>
      </c>
      <c r="J6" s="47">
        <v>17</v>
      </c>
      <c r="K6" s="47">
        <v>17</v>
      </c>
      <c r="L6" s="47">
        <v>17</v>
      </c>
      <c r="M6" s="47">
        <v>17</v>
      </c>
      <c r="N6" s="47">
        <v>17</v>
      </c>
      <c r="V6" s="46"/>
      <c r="W6" s="47">
        <v>17</v>
      </c>
      <c r="X6" s="47">
        <v>17</v>
      </c>
      <c r="Y6" s="47">
        <v>17</v>
      </c>
      <c r="Z6" s="47">
        <v>17</v>
      </c>
      <c r="AA6" s="47">
        <v>17</v>
      </c>
      <c r="AB6" s="47">
        <v>17</v>
      </c>
    </row>
    <row r="7" spans="2:28" ht="13.5" x14ac:dyDescent="0.35">
      <c r="B7" s="46" t="s">
        <v>100</v>
      </c>
      <c r="D7" s="49" t="s">
        <v>24</v>
      </c>
      <c r="E7" s="47">
        <v>17</v>
      </c>
      <c r="F7" s="47">
        <v>17</v>
      </c>
      <c r="G7" s="47">
        <v>17</v>
      </c>
      <c r="H7" s="47">
        <v>17</v>
      </c>
      <c r="I7" s="47">
        <v>17</v>
      </c>
      <c r="J7" s="47">
        <v>17</v>
      </c>
      <c r="K7" s="47">
        <v>17</v>
      </c>
      <c r="L7" s="47">
        <v>17</v>
      </c>
      <c r="M7" s="47">
        <v>17</v>
      </c>
      <c r="N7" s="47">
        <v>17</v>
      </c>
      <c r="V7" s="46"/>
      <c r="W7" s="51">
        <v>17</v>
      </c>
      <c r="X7" s="51">
        <v>17</v>
      </c>
      <c r="Y7" s="51">
        <v>17</v>
      </c>
      <c r="Z7" s="51">
        <v>17</v>
      </c>
      <c r="AA7" s="51">
        <v>17</v>
      </c>
      <c r="AB7" s="51">
        <v>17</v>
      </c>
    </row>
    <row r="8" spans="2:28" ht="13.5" x14ac:dyDescent="0.35">
      <c r="B8" s="99" t="s">
        <v>95</v>
      </c>
      <c r="C8" s="97"/>
      <c r="D8" s="100"/>
      <c r="E8" s="117"/>
      <c r="F8" s="100"/>
      <c r="G8" s="100"/>
      <c r="H8" s="100"/>
      <c r="I8" s="100"/>
      <c r="J8" s="100"/>
      <c r="K8" s="100"/>
      <c r="L8" s="100"/>
      <c r="M8" s="100"/>
      <c r="N8" s="100"/>
      <c r="V8" s="46"/>
      <c r="W8" s="47"/>
      <c r="X8" s="47"/>
      <c r="Y8" s="47"/>
      <c r="Z8" s="47"/>
      <c r="AA8" s="47"/>
      <c r="AB8" s="47"/>
    </row>
    <row r="9" spans="2:28" ht="13.5" x14ac:dyDescent="0.35">
      <c r="B9" s="46" t="s">
        <v>32</v>
      </c>
      <c r="C9" s="46" t="s">
        <v>36</v>
      </c>
      <c r="D9" s="49" t="s">
        <v>20</v>
      </c>
      <c r="E9" s="48">
        <v>0.62</v>
      </c>
      <c r="F9" s="48">
        <v>0.62</v>
      </c>
      <c r="G9" s="48">
        <v>0.62</v>
      </c>
      <c r="H9" s="48">
        <v>0.62</v>
      </c>
      <c r="I9" s="48">
        <v>0.62</v>
      </c>
      <c r="J9" s="48">
        <v>0.62</v>
      </c>
      <c r="K9" s="48">
        <v>0.62</v>
      </c>
      <c r="L9" s="48">
        <v>0.62</v>
      </c>
      <c r="M9" s="48">
        <v>0.62</v>
      </c>
      <c r="N9" s="48">
        <v>0.62</v>
      </c>
      <c r="O9" s="40"/>
      <c r="V9" s="46"/>
      <c r="W9" s="48">
        <v>0.62</v>
      </c>
      <c r="X9" s="48">
        <v>0.62</v>
      </c>
      <c r="Y9" s="48">
        <v>0.62</v>
      </c>
      <c r="Z9" s="48">
        <v>0.62</v>
      </c>
      <c r="AA9" s="48">
        <v>0.62</v>
      </c>
      <c r="AB9" s="48">
        <v>0.62</v>
      </c>
    </row>
    <row r="10" spans="2:28" ht="13.5" x14ac:dyDescent="0.35">
      <c r="B10" s="46" t="s">
        <v>85</v>
      </c>
      <c r="C10" s="46" t="s">
        <v>87</v>
      </c>
      <c r="D10" s="49" t="s">
        <v>48</v>
      </c>
      <c r="E10" s="48">
        <v>3</v>
      </c>
      <c r="F10" s="48">
        <v>3</v>
      </c>
      <c r="G10" s="48">
        <v>3</v>
      </c>
      <c r="H10" s="48">
        <v>3</v>
      </c>
      <c r="I10" s="48">
        <v>3</v>
      </c>
      <c r="J10" s="48">
        <v>3</v>
      </c>
      <c r="K10" s="48">
        <v>3</v>
      </c>
      <c r="L10" s="48">
        <v>3</v>
      </c>
      <c r="M10" s="48">
        <v>3</v>
      </c>
      <c r="N10" s="48">
        <v>3</v>
      </c>
      <c r="O10" s="40"/>
      <c r="V10" s="46"/>
      <c r="W10" s="48">
        <v>3</v>
      </c>
      <c r="X10" s="48">
        <v>3</v>
      </c>
      <c r="Y10" s="48">
        <v>3</v>
      </c>
      <c r="Z10" s="48">
        <v>3</v>
      </c>
      <c r="AA10" s="48">
        <v>3</v>
      </c>
      <c r="AB10" s="48">
        <v>3</v>
      </c>
    </row>
    <row r="11" spans="2:28" ht="13.5" x14ac:dyDescent="0.35">
      <c r="B11" s="46" t="s">
        <v>86</v>
      </c>
      <c r="C11" s="46" t="s">
        <v>88</v>
      </c>
      <c r="D11" s="49" t="s">
        <v>48</v>
      </c>
      <c r="E11" s="48">
        <v>3</v>
      </c>
      <c r="F11" s="48">
        <v>3</v>
      </c>
      <c r="G11" s="48">
        <v>3</v>
      </c>
      <c r="H11" s="48">
        <v>3</v>
      </c>
      <c r="I11" s="48">
        <v>3</v>
      </c>
      <c r="J11" s="48">
        <v>3</v>
      </c>
      <c r="K11" s="48">
        <v>3</v>
      </c>
      <c r="L11" s="48">
        <v>3</v>
      </c>
      <c r="M11" s="48">
        <v>3</v>
      </c>
      <c r="N11" s="48">
        <v>3</v>
      </c>
      <c r="O11" s="40"/>
      <c r="V11" s="46"/>
      <c r="W11" s="48">
        <v>3</v>
      </c>
      <c r="X11" s="48">
        <v>3</v>
      </c>
      <c r="Y11" s="48">
        <v>3</v>
      </c>
      <c r="Z11" s="48">
        <v>3</v>
      </c>
      <c r="AA11" s="48">
        <v>3</v>
      </c>
      <c r="AB11" s="48">
        <v>3</v>
      </c>
    </row>
    <row r="12" spans="2:28" ht="13.5" x14ac:dyDescent="0.35">
      <c r="B12" s="46" t="s">
        <v>5</v>
      </c>
      <c r="C12" s="46" t="s">
        <v>65</v>
      </c>
      <c r="D12" s="47" t="s">
        <v>38</v>
      </c>
      <c r="E12" s="48">
        <f t="shared" ref="E12:N12" si="0">E10*E11</f>
        <v>9</v>
      </c>
      <c r="F12" s="48">
        <f t="shared" si="0"/>
        <v>9</v>
      </c>
      <c r="G12" s="48">
        <f t="shared" si="0"/>
        <v>9</v>
      </c>
      <c r="H12" s="48">
        <f t="shared" si="0"/>
        <v>9</v>
      </c>
      <c r="I12" s="48">
        <f t="shared" si="0"/>
        <v>9</v>
      </c>
      <c r="J12" s="48">
        <f t="shared" si="0"/>
        <v>9</v>
      </c>
      <c r="K12" s="48">
        <f t="shared" si="0"/>
        <v>9</v>
      </c>
      <c r="L12" s="48">
        <f t="shared" si="0"/>
        <v>9</v>
      </c>
      <c r="M12" s="48">
        <f t="shared" si="0"/>
        <v>9</v>
      </c>
      <c r="N12" s="48">
        <f t="shared" si="0"/>
        <v>9</v>
      </c>
      <c r="O12" s="48"/>
      <c r="V12" s="46"/>
      <c r="W12" s="48">
        <f t="shared" ref="W12:AB12" si="1">W10*W11</f>
        <v>9</v>
      </c>
      <c r="X12" s="48">
        <f t="shared" si="1"/>
        <v>9</v>
      </c>
      <c r="Y12" s="48">
        <f t="shared" si="1"/>
        <v>9</v>
      </c>
      <c r="Z12" s="48">
        <f t="shared" si="1"/>
        <v>9</v>
      </c>
      <c r="AA12" s="48">
        <f t="shared" si="1"/>
        <v>9</v>
      </c>
      <c r="AB12" s="48">
        <f t="shared" si="1"/>
        <v>9</v>
      </c>
    </row>
    <row r="13" spans="2:28" ht="13.5" x14ac:dyDescent="0.35">
      <c r="B13" s="46" t="s">
        <v>40</v>
      </c>
      <c r="C13" s="46" t="s">
        <v>45</v>
      </c>
      <c r="D13" s="47" t="s">
        <v>47</v>
      </c>
      <c r="E13" s="48">
        <v>9.81</v>
      </c>
      <c r="F13" s="48">
        <v>9.81</v>
      </c>
      <c r="G13" s="48">
        <v>9.81</v>
      </c>
      <c r="H13" s="48">
        <v>9.81</v>
      </c>
      <c r="I13" s="48">
        <v>9.81</v>
      </c>
      <c r="J13" s="48">
        <v>9.81</v>
      </c>
      <c r="K13" s="48">
        <v>9.81</v>
      </c>
      <c r="L13" s="48">
        <v>9.81</v>
      </c>
      <c r="M13" s="48">
        <v>9.81</v>
      </c>
      <c r="N13" s="48">
        <v>9.81</v>
      </c>
      <c r="O13" s="40"/>
      <c r="V13" s="46"/>
      <c r="W13" s="48">
        <v>9.81</v>
      </c>
      <c r="X13" s="48">
        <v>9.81</v>
      </c>
      <c r="Y13" s="48">
        <v>9.81</v>
      </c>
      <c r="Z13" s="48">
        <v>9.81</v>
      </c>
      <c r="AA13" s="48">
        <v>9.81</v>
      </c>
      <c r="AB13" s="48">
        <v>9.81</v>
      </c>
    </row>
    <row r="14" spans="2:28" ht="13.5" x14ac:dyDescent="0.35">
      <c r="B14" s="46" t="s">
        <v>68</v>
      </c>
      <c r="C14" s="46" t="s">
        <v>69</v>
      </c>
      <c r="D14" s="49" t="s">
        <v>73</v>
      </c>
      <c r="E14" s="94">
        <v>95300</v>
      </c>
      <c r="F14" s="94">
        <v>95300</v>
      </c>
      <c r="G14" s="94">
        <v>95300</v>
      </c>
      <c r="H14" s="94">
        <v>95300</v>
      </c>
      <c r="I14" s="94">
        <v>95300</v>
      </c>
      <c r="J14" s="94">
        <v>95300</v>
      </c>
      <c r="K14" s="94">
        <v>95300</v>
      </c>
      <c r="L14" s="94">
        <v>95300</v>
      </c>
      <c r="M14" s="94">
        <v>95300</v>
      </c>
      <c r="N14" s="94">
        <v>95300</v>
      </c>
      <c r="O14" s="42"/>
      <c r="V14" s="46"/>
      <c r="W14" s="94">
        <v>95300</v>
      </c>
      <c r="X14" s="94">
        <v>95300</v>
      </c>
      <c r="Y14" s="94">
        <v>95300</v>
      </c>
      <c r="Z14" s="94">
        <v>95300</v>
      </c>
      <c r="AA14" s="94">
        <v>95300</v>
      </c>
      <c r="AB14" s="94">
        <v>95300</v>
      </c>
    </row>
    <row r="15" spans="2:28" ht="13.5" x14ac:dyDescent="0.35">
      <c r="B15" s="46" t="s">
        <v>70</v>
      </c>
      <c r="C15" s="46" t="s">
        <v>71</v>
      </c>
      <c r="D15" s="49" t="s">
        <v>72</v>
      </c>
      <c r="E15" s="48">
        <v>287.06</v>
      </c>
      <c r="F15" s="48">
        <v>287.06</v>
      </c>
      <c r="G15" s="48">
        <v>287.06</v>
      </c>
      <c r="H15" s="48">
        <v>287.06</v>
      </c>
      <c r="I15" s="48">
        <v>287.06</v>
      </c>
      <c r="J15" s="48">
        <v>287.06</v>
      </c>
      <c r="K15" s="48">
        <v>287.06</v>
      </c>
      <c r="L15" s="48">
        <v>287.06</v>
      </c>
      <c r="M15" s="48">
        <v>287.06</v>
      </c>
      <c r="N15" s="48">
        <v>287.06</v>
      </c>
      <c r="O15" s="40"/>
      <c r="V15" s="46"/>
      <c r="W15" s="48">
        <v>287.06</v>
      </c>
      <c r="X15" s="48">
        <v>287.06</v>
      </c>
      <c r="Y15" s="48">
        <v>287.06</v>
      </c>
      <c r="Z15" s="48">
        <v>287.06</v>
      </c>
      <c r="AA15" s="48">
        <v>287.06</v>
      </c>
      <c r="AB15" s="48">
        <v>287.06</v>
      </c>
    </row>
    <row r="16" spans="2:28" ht="13.5" x14ac:dyDescent="0.35">
      <c r="B16" s="50" t="s">
        <v>61</v>
      </c>
      <c r="C16" s="50" t="s">
        <v>64</v>
      </c>
      <c r="D16" s="51" t="s">
        <v>25</v>
      </c>
      <c r="E16" s="52">
        <f>'4.6.2 Wetter'!$E$9</f>
        <v>5.0719645057417431</v>
      </c>
      <c r="F16" s="52">
        <f>'4.6.2 Wetter'!$E$9</f>
        <v>5.0719645057417431</v>
      </c>
      <c r="G16" s="52">
        <f>'4.6.2 Wetter'!$E$9</f>
        <v>5.0719645057417431</v>
      </c>
      <c r="H16" s="52">
        <f>'4.6.2 Wetter'!$E$9</f>
        <v>5.0719645057417431</v>
      </c>
      <c r="I16" s="52">
        <f>'4.6.2 Wetter'!$E$9</f>
        <v>5.0719645057417431</v>
      </c>
      <c r="J16" s="52">
        <f>'4.6.2 Wetter'!$E$9</f>
        <v>5.0719645057417431</v>
      </c>
      <c r="K16" s="52">
        <f>'4.6.2 Wetter'!$E$9</f>
        <v>5.0719645057417431</v>
      </c>
      <c r="L16" s="52">
        <f>'4.6.2 Wetter'!$E$9</f>
        <v>5.0719645057417431</v>
      </c>
      <c r="M16" s="52">
        <f>'4.6.2 Wetter'!$E$9</f>
        <v>5.0719645057417431</v>
      </c>
      <c r="N16" s="52">
        <f>'4.6.2 Wetter'!$E$9</f>
        <v>5.0719645057417431</v>
      </c>
      <c r="O16" s="40"/>
      <c r="V16" s="46"/>
      <c r="W16" s="52">
        <f>'4.6.2 Wetter'!$E$9</f>
        <v>5.0719645057417431</v>
      </c>
      <c r="X16" s="52">
        <f>'4.6.2 Wetter'!$E$9</f>
        <v>5.0719645057417431</v>
      </c>
      <c r="Y16" s="52">
        <f>'4.6.2 Wetter'!$E$9</f>
        <v>5.0719645057417431</v>
      </c>
      <c r="Z16" s="52">
        <f>'4.6.2 Wetter'!$E$9</f>
        <v>5.0719645057417431</v>
      </c>
      <c r="AA16" s="52">
        <f>'4.6.2 Wetter'!$E$9</f>
        <v>5.0719645057417431</v>
      </c>
      <c r="AB16" s="52">
        <f>'4.6.2 Wetter'!$E$9</f>
        <v>5.0719645057417431</v>
      </c>
    </row>
    <row r="17" spans="2:28" ht="13.5" x14ac:dyDescent="0.35">
      <c r="B17" s="46" t="s">
        <v>75</v>
      </c>
      <c r="C17" s="46" t="s">
        <v>74</v>
      </c>
      <c r="D17" s="49" t="s">
        <v>76</v>
      </c>
      <c r="E17" s="47">
        <f t="shared" ref="E17:N17" si="2">E6+273.15</f>
        <v>290.14999999999998</v>
      </c>
      <c r="F17" s="47">
        <f t="shared" si="2"/>
        <v>290.14999999999998</v>
      </c>
      <c r="G17" s="47">
        <f t="shared" si="2"/>
        <v>290.14999999999998</v>
      </c>
      <c r="H17" s="47">
        <f t="shared" si="2"/>
        <v>290.14999999999998</v>
      </c>
      <c r="I17" s="47">
        <f t="shared" si="2"/>
        <v>290.14999999999998</v>
      </c>
      <c r="J17" s="47">
        <f t="shared" si="2"/>
        <v>290.14999999999998</v>
      </c>
      <c r="K17" s="47">
        <f t="shared" si="2"/>
        <v>290.14999999999998</v>
      </c>
      <c r="L17" s="47">
        <f t="shared" si="2"/>
        <v>290.14999999999998</v>
      </c>
      <c r="M17" s="47">
        <f t="shared" si="2"/>
        <v>290.14999999999998</v>
      </c>
      <c r="N17" s="47">
        <f t="shared" si="2"/>
        <v>290.14999999999998</v>
      </c>
      <c r="V17" s="46"/>
      <c r="W17" s="47">
        <f t="shared" ref="W17:AB18" si="3">W6+273.15</f>
        <v>290.14999999999998</v>
      </c>
      <c r="X17" s="47">
        <f t="shared" si="3"/>
        <v>290.14999999999998</v>
      </c>
      <c r="Y17" s="47">
        <f t="shared" si="3"/>
        <v>290.14999999999998</v>
      </c>
      <c r="Z17" s="47">
        <f t="shared" si="3"/>
        <v>290.14999999999998</v>
      </c>
      <c r="AA17" s="47">
        <f t="shared" si="3"/>
        <v>290.14999999999998</v>
      </c>
      <c r="AB17" s="47">
        <f t="shared" si="3"/>
        <v>290.14999999999998</v>
      </c>
    </row>
    <row r="18" spans="2:28" ht="13.5" x14ac:dyDescent="0.35">
      <c r="B18" s="46" t="s">
        <v>83</v>
      </c>
      <c r="C18" s="46" t="s">
        <v>84</v>
      </c>
      <c r="D18" s="49" t="s">
        <v>76</v>
      </c>
      <c r="E18" s="47">
        <f t="shared" ref="E18:N18" si="4">E7+273.15</f>
        <v>290.14999999999998</v>
      </c>
      <c r="F18" s="47">
        <f t="shared" si="4"/>
        <v>290.14999999999998</v>
      </c>
      <c r="G18" s="47">
        <f t="shared" si="4"/>
        <v>290.14999999999998</v>
      </c>
      <c r="H18" s="47">
        <f t="shared" si="4"/>
        <v>290.14999999999998</v>
      </c>
      <c r="I18" s="47">
        <f t="shared" si="4"/>
        <v>290.14999999999998</v>
      </c>
      <c r="J18" s="47">
        <f t="shared" si="4"/>
        <v>290.14999999999998</v>
      </c>
      <c r="K18" s="47">
        <f t="shared" si="4"/>
        <v>290.14999999999998</v>
      </c>
      <c r="L18" s="47">
        <f t="shared" si="4"/>
        <v>290.14999999999998</v>
      </c>
      <c r="M18" s="47">
        <f t="shared" si="4"/>
        <v>290.14999999999998</v>
      </c>
      <c r="N18" s="47">
        <f t="shared" si="4"/>
        <v>290.14999999999998</v>
      </c>
      <c r="V18" s="46"/>
      <c r="W18" s="47">
        <f t="shared" si="3"/>
        <v>290.14999999999998</v>
      </c>
      <c r="X18" s="47">
        <f t="shared" si="3"/>
        <v>290.14999999999998</v>
      </c>
      <c r="Y18" s="47">
        <f t="shared" si="3"/>
        <v>290.14999999999998</v>
      </c>
      <c r="Z18" s="47">
        <f t="shared" si="3"/>
        <v>290.14999999999998</v>
      </c>
      <c r="AA18" s="47">
        <f t="shared" si="3"/>
        <v>290.14999999999998</v>
      </c>
      <c r="AB18" s="47">
        <f t="shared" si="3"/>
        <v>290.14999999999998</v>
      </c>
    </row>
    <row r="19" spans="2:28" ht="13.5" x14ac:dyDescent="0.35">
      <c r="B19" s="46" t="s">
        <v>80</v>
      </c>
      <c r="C19" s="46" t="s">
        <v>81</v>
      </c>
      <c r="D19" s="47" t="s">
        <v>67</v>
      </c>
      <c r="E19" s="48">
        <v>1.1331899999999999</v>
      </c>
      <c r="F19" s="48">
        <v>1.1331899999999999</v>
      </c>
      <c r="G19" s="48">
        <v>1.1331899999999999</v>
      </c>
      <c r="H19" s="48">
        <v>1.1331899999999999</v>
      </c>
      <c r="I19" s="48">
        <v>1.1331899999999999</v>
      </c>
      <c r="J19" s="48">
        <v>1.1331899999999999</v>
      </c>
      <c r="K19" s="48">
        <v>1.1331899999999999</v>
      </c>
      <c r="L19" s="48">
        <v>1.1331899999999999</v>
      </c>
      <c r="M19" s="48">
        <v>1.1331899999999999</v>
      </c>
      <c r="N19" s="48">
        <v>1.1331899999999999</v>
      </c>
      <c r="O19" s="48"/>
      <c r="V19" s="46"/>
      <c r="W19" s="48">
        <v>1.1331899999999999</v>
      </c>
      <c r="X19" s="48">
        <v>1.1331899999999999</v>
      </c>
      <c r="Y19" s="48">
        <v>1.1331899999999999</v>
      </c>
      <c r="Z19" s="48">
        <v>1.1331899999999999</v>
      </c>
      <c r="AA19" s="48">
        <v>1.1331899999999999</v>
      </c>
      <c r="AB19" s="48">
        <v>1.1331899999999999</v>
      </c>
    </row>
    <row r="20" spans="2:28" ht="13.5" x14ac:dyDescent="0.35">
      <c r="B20" s="46" t="s">
        <v>82</v>
      </c>
      <c r="C20" s="46" t="s">
        <v>102</v>
      </c>
      <c r="D20" s="47" t="s">
        <v>67</v>
      </c>
      <c r="E20" s="48">
        <v>1.1331899999999999</v>
      </c>
      <c r="F20" s="48">
        <v>1.1331899999999999</v>
      </c>
      <c r="G20" s="48">
        <v>1.1331899999999999</v>
      </c>
      <c r="H20" s="48">
        <v>1.1331899999999999</v>
      </c>
      <c r="I20" s="48">
        <v>1.1331899999999999</v>
      </c>
      <c r="J20" s="48">
        <v>1.1331899999999999</v>
      </c>
      <c r="K20" s="48">
        <v>1.1331899999999999</v>
      </c>
      <c r="L20" s="48">
        <v>1.1331899999999999</v>
      </c>
      <c r="M20" s="48">
        <v>1.1331899999999999</v>
      </c>
      <c r="N20" s="48">
        <v>1.1331899999999999</v>
      </c>
      <c r="O20" s="48"/>
      <c r="V20" s="46"/>
      <c r="W20" s="48">
        <v>1.1331899999999999</v>
      </c>
      <c r="X20" s="48">
        <v>1.1331899999999999</v>
      </c>
      <c r="Y20" s="48">
        <v>1.1331899999999999</v>
      </c>
      <c r="Z20" s="48">
        <v>1.1331899999999999</v>
      </c>
      <c r="AA20" s="48">
        <v>1.1331899999999999</v>
      </c>
      <c r="AB20" s="48">
        <v>1.1331899999999999</v>
      </c>
    </row>
    <row r="21" spans="2:28" ht="13.5" x14ac:dyDescent="0.35">
      <c r="B21" s="50" t="s">
        <v>101</v>
      </c>
      <c r="C21" s="101" t="s">
        <v>103</v>
      </c>
      <c r="D21" s="51" t="s">
        <v>104</v>
      </c>
      <c r="E21" s="52">
        <f t="shared" ref="E21:N21" si="5">(E20-E19)*E13</f>
        <v>0</v>
      </c>
      <c r="F21" s="52">
        <f t="shared" si="5"/>
        <v>0</v>
      </c>
      <c r="G21" s="52">
        <f t="shared" si="5"/>
        <v>0</v>
      </c>
      <c r="H21" s="52">
        <f t="shared" si="5"/>
        <v>0</v>
      </c>
      <c r="I21" s="52">
        <f t="shared" si="5"/>
        <v>0</v>
      </c>
      <c r="J21" s="52">
        <f t="shared" si="5"/>
        <v>0</v>
      </c>
      <c r="K21" s="52">
        <f t="shared" si="5"/>
        <v>0</v>
      </c>
      <c r="L21" s="52">
        <f t="shared" si="5"/>
        <v>0</v>
      </c>
      <c r="M21" s="52">
        <f t="shared" si="5"/>
        <v>0</v>
      </c>
      <c r="N21" s="52">
        <f t="shared" si="5"/>
        <v>0</v>
      </c>
      <c r="O21" s="40"/>
      <c r="V21" s="46"/>
      <c r="W21" s="52">
        <f t="shared" ref="W21:AB21" si="6">(W20-W19)*W13</f>
        <v>0</v>
      </c>
      <c r="X21" s="52">
        <f t="shared" si="6"/>
        <v>0</v>
      </c>
      <c r="Y21" s="52">
        <f t="shared" si="6"/>
        <v>0</v>
      </c>
      <c r="Z21" s="52">
        <f t="shared" si="6"/>
        <v>0</v>
      </c>
      <c r="AA21" s="52">
        <f t="shared" si="6"/>
        <v>0</v>
      </c>
      <c r="AB21" s="52">
        <f t="shared" si="6"/>
        <v>0</v>
      </c>
    </row>
    <row r="22" spans="2:28" ht="13.5" x14ac:dyDescent="0.35">
      <c r="B22" s="46" t="s">
        <v>89</v>
      </c>
      <c r="C22" s="46" t="s">
        <v>90</v>
      </c>
      <c r="D22" s="47" t="s">
        <v>73</v>
      </c>
      <c r="E22" s="48">
        <f t="shared" ref="E22:N22" si="7">E4*0.5*E19*E16^2</f>
        <v>0.47370559029742249</v>
      </c>
      <c r="F22" s="48">
        <f t="shared" si="7"/>
        <v>-3.5441694553216703</v>
      </c>
      <c r="G22" s="48">
        <f t="shared" si="7"/>
        <v>-3.6618926610238045</v>
      </c>
      <c r="H22" s="48">
        <f t="shared" si="7"/>
        <v>-3.4862456983440215</v>
      </c>
      <c r="I22" s="48">
        <f t="shared" si="7"/>
        <v>-3.497641081584133</v>
      </c>
      <c r="J22" s="48">
        <f t="shared" si="7"/>
        <v>6.9962671797773162</v>
      </c>
      <c r="K22" s="48">
        <f t="shared" si="7"/>
        <v>15.436017555789846</v>
      </c>
      <c r="L22" s="48">
        <f t="shared" si="7"/>
        <v>13.965100144355862</v>
      </c>
      <c r="M22" s="48">
        <f t="shared" si="7"/>
        <v>15.311149594362936</v>
      </c>
      <c r="N22" s="48">
        <f t="shared" si="7"/>
        <v>13.789589994426905</v>
      </c>
      <c r="O22" s="40"/>
      <c r="V22" s="46"/>
      <c r="W22" s="48">
        <f t="shared" ref="W22:AB22" si="8">W4*0.5*W19*W16^2</f>
        <v>7.2877783122680375</v>
      </c>
      <c r="X22" s="48">
        <f t="shared" si="8"/>
        <v>7.2877783122680375</v>
      </c>
      <c r="Y22" s="48">
        <f t="shared" si="8"/>
        <v>-11.660445299628861</v>
      </c>
      <c r="Z22" s="48">
        <f t="shared" si="8"/>
        <v>-11.660445299628861</v>
      </c>
      <c r="AA22" s="48">
        <f t="shared" si="8"/>
        <v>10.202889637175252</v>
      </c>
      <c r="AB22" s="48">
        <f t="shared" si="8"/>
        <v>10.202889637175252</v>
      </c>
    </row>
    <row r="23" spans="2:28" ht="13.5" x14ac:dyDescent="0.35">
      <c r="B23" s="50" t="s">
        <v>92</v>
      </c>
      <c r="C23" s="50" t="s">
        <v>91</v>
      </c>
      <c r="D23" s="51" t="s">
        <v>73</v>
      </c>
      <c r="E23" s="52">
        <f t="shared" ref="E23:N23" si="9">E5*0.5*E19*E16^2</f>
        <v>-6.4132449147958734</v>
      </c>
      <c r="F23" s="52">
        <f t="shared" si="9"/>
        <v>-7.7244032394762554</v>
      </c>
      <c r="G23" s="52">
        <f t="shared" si="9"/>
        <v>-7.429112638752069</v>
      </c>
      <c r="H23" s="52">
        <f t="shared" si="9"/>
        <v>-7.6244576200774903</v>
      </c>
      <c r="I23" s="52">
        <f t="shared" si="9"/>
        <v>-7.2472157208545713</v>
      </c>
      <c r="J23" s="52">
        <f t="shared" si="9"/>
        <v>-4.5913003367288638</v>
      </c>
      <c r="K23" s="52">
        <f t="shared" si="9"/>
        <v>-5.5914348557327331</v>
      </c>
      <c r="L23" s="52">
        <f t="shared" si="9"/>
        <v>-5.6938309612739344</v>
      </c>
      <c r="M23" s="52">
        <f t="shared" si="9"/>
        <v>-5.9338280600887661</v>
      </c>
      <c r="N23" s="52">
        <f t="shared" si="9"/>
        <v>-4.8803281200686888</v>
      </c>
      <c r="O23" s="40"/>
      <c r="V23" s="46"/>
      <c r="W23" s="52">
        <f t="shared" ref="W23:AB23" si="10">W5*0.5*W19*W16^2</f>
        <v>-10.202889637175252</v>
      </c>
      <c r="X23" s="52">
        <f t="shared" si="10"/>
        <v>-10.202889637175252</v>
      </c>
      <c r="Y23" s="52">
        <f t="shared" si="10"/>
        <v>-11.660445299628861</v>
      </c>
      <c r="Z23" s="52">
        <f t="shared" si="10"/>
        <v>-17.490667949443289</v>
      </c>
      <c r="AA23" s="52">
        <f t="shared" si="10"/>
        <v>-4.3726669873608222</v>
      </c>
      <c r="AB23" s="52">
        <f t="shared" si="10"/>
        <v>-4.3726669873608222</v>
      </c>
    </row>
    <row r="24" spans="2:28" ht="13.5" x14ac:dyDescent="0.35">
      <c r="B24" s="89" t="s">
        <v>156</v>
      </c>
      <c r="D24" s="47"/>
      <c r="V24" s="46"/>
      <c r="W24" s="46"/>
    </row>
    <row r="25" spans="2:28" ht="13.5" x14ac:dyDescent="0.35">
      <c r="B25" s="50" t="s">
        <v>157</v>
      </c>
      <c r="C25" s="50"/>
      <c r="D25" s="51" t="s">
        <v>19</v>
      </c>
      <c r="E25" s="102">
        <f t="shared" ref="E25:N25" si="11">E9*E12*E16*SQRT(0.5*(ABS(E4-E5)))</f>
        <v>13.7561313229712</v>
      </c>
      <c r="F25" s="102">
        <f t="shared" si="11"/>
        <v>10.71724398146212</v>
      </c>
      <c r="G25" s="102">
        <f t="shared" si="11"/>
        <v>10.174037229895859</v>
      </c>
      <c r="H25" s="102">
        <f t="shared" si="11"/>
        <v>10.663240293007325</v>
      </c>
      <c r="I25" s="102">
        <f t="shared" si="11"/>
        <v>10.150182100063178</v>
      </c>
      <c r="J25" s="102">
        <f t="shared" si="11"/>
        <v>17.843455868265227</v>
      </c>
      <c r="K25" s="102">
        <f t="shared" si="11"/>
        <v>24.036772976213488</v>
      </c>
      <c r="L25" s="102">
        <f t="shared" si="11"/>
        <v>23.241426616090386</v>
      </c>
      <c r="M25" s="102">
        <f t="shared" si="11"/>
        <v>24.160781154340537</v>
      </c>
      <c r="N25" s="102">
        <f t="shared" si="11"/>
        <v>22.649261125613961</v>
      </c>
      <c r="O25" s="91"/>
      <c r="V25" s="46"/>
      <c r="W25" s="102">
        <f t="shared" ref="W25:AB25" si="12">W9*W12*W16*SQRT(0.5*(ABS(W4-W5)))</f>
        <v>21.92229561463488</v>
      </c>
      <c r="X25" s="102">
        <f t="shared" si="12"/>
        <v>21.92229561463488</v>
      </c>
      <c r="Y25" s="102">
        <f t="shared" si="12"/>
        <v>0</v>
      </c>
      <c r="Z25" s="102">
        <f t="shared" si="12"/>
        <v>12.656843274363998</v>
      </c>
      <c r="AA25" s="102">
        <f t="shared" si="12"/>
        <v>20.012226367386841</v>
      </c>
      <c r="AB25" s="102">
        <f t="shared" si="12"/>
        <v>20.012226367386841</v>
      </c>
    </row>
    <row r="26" spans="2:28" ht="13.5" x14ac:dyDescent="0.35">
      <c r="B26" s="46" t="s">
        <v>129</v>
      </c>
      <c r="D26" s="47" t="s">
        <v>19</v>
      </c>
      <c r="E26" s="48">
        <f t="shared" ref="E26:N26" si="13">E35+E41</f>
        <v>13.756130473994405</v>
      </c>
      <c r="F26" s="48">
        <f t="shared" si="13"/>
        <v>10.717243518633591</v>
      </c>
      <c r="G26" s="48">
        <f t="shared" si="13"/>
        <v>10.174036656006589</v>
      </c>
      <c r="H26" s="48">
        <f t="shared" si="13"/>
        <v>10.663239838004722</v>
      </c>
      <c r="I26" s="48">
        <f t="shared" si="13"/>
        <v>10.150181572103842</v>
      </c>
      <c r="J26" s="48">
        <f t="shared" si="13"/>
        <v>17.843456082088537</v>
      </c>
      <c r="K26" s="48">
        <f t="shared" si="13"/>
        <v>24.036772982248205</v>
      </c>
      <c r="L26" s="48">
        <f t="shared" si="13"/>
        <v>23.241426619914829</v>
      </c>
      <c r="M26" s="48">
        <f t="shared" si="13"/>
        <v>24.160781159809044</v>
      </c>
      <c r="N26" s="48">
        <f t="shared" si="13"/>
        <v>22.64926113141421</v>
      </c>
      <c r="O26" s="40"/>
      <c r="P26" s="40"/>
      <c r="Q26" s="40"/>
      <c r="R26" s="40"/>
      <c r="S26" s="40"/>
      <c r="T26" s="40"/>
      <c r="U26" s="40"/>
      <c r="V26" s="46"/>
      <c r="W26" s="46"/>
      <c r="X26" s="40"/>
      <c r="Y26" s="40"/>
      <c r="Z26" s="40"/>
    </row>
    <row r="27" spans="2:28" ht="13.5" x14ac:dyDescent="0.35">
      <c r="B27" s="46" t="s">
        <v>130</v>
      </c>
      <c r="D27" s="49" t="s">
        <v>19</v>
      </c>
      <c r="E27" s="48">
        <f t="shared" ref="E27:N27" si="14">E36+E42</f>
        <v>13.756132171947945</v>
      </c>
      <c r="F27" s="48">
        <f t="shared" si="14"/>
        <v>10.717244444290628</v>
      </c>
      <c r="G27" s="48">
        <f t="shared" si="14"/>
        <v>10.174037803785097</v>
      </c>
      <c r="H27" s="48">
        <f t="shared" si="14"/>
        <v>10.66324074800991</v>
      </c>
      <c r="I27" s="48">
        <f t="shared" si="14"/>
        <v>10.150182628022486</v>
      </c>
      <c r="J27" s="48">
        <f t="shared" si="14"/>
        <v>17.843455654441918</v>
      </c>
      <c r="K27" s="48">
        <f t="shared" si="14"/>
        <v>24.036772970178777</v>
      </c>
      <c r="L27" s="48">
        <f t="shared" si="14"/>
        <v>23.241426612265947</v>
      </c>
      <c r="M27" s="48">
        <f t="shared" si="14"/>
        <v>24.160781148872026</v>
      </c>
      <c r="N27" s="48">
        <f t="shared" si="14"/>
        <v>22.649261119813712</v>
      </c>
      <c r="O27" s="40"/>
      <c r="P27" s="40"/>
      <c r="Q27" s="40"/>
      <c r="R27" s="40"/>
      <c r="S27" s="40"/>
      <c r="T27" s="40"/>
      <c r="U27" s="40"/>
      <c r="V27" s="46"/>
      <c r="W27" s="46"/>
      <c r="X27" s="40"/>
      <c r="Y27" s="40"/>
      <c r="Z27" s="40"/>
    </row>
    <row r="28" spans="2:28" ht="13.5" x14ac:dyDescent="0.35">
      <c r="B28" s="89" t="s">
        <v>131</v>
      </c>
      <c r="C28" s="89"/>
      <c r="D28" s="90" t="s">
        <v>19</v>
      </c>
      <c r="E28" s="93">
        <f t="shared" ref="E28:L28" si="15">(E26+E27)/2</f>
        <v>13.756131322971175</v>
      </c>
      <c r="F28" s="93">
        <f t="shared" si="15"/>
        <v>10.71724398146211</v>
      </c>
      <c r="G28" s="93">
        <f t="shared" si="15"/>
        <v>10.174037229895843</v>
      </c>
      <c r="H28" s="93">
        <f t="shared" si="15"/>
        <v>10.663240293007316</v>
      </c>
      <c r="I28" s="93">
        <f t="shared" si="15"/>
        <v>10.150182100063164</v>
      </c>
      <c r="J28" s="93">
        <f t="shared" si="15"/>
        <v>17.843455868265227</v>
      </c>
      <c r="K28" s="93">
        <f t="shared" si="15"/>
        <v>24.036772976213491</v>
      </c>
      <c r="L28" s="93">
        <f t="shared" si="15"/>
        <v>23.241426616090386</v>
      </c>
      <c r="M28" s="93">
        <f>(M26+M27)/2</f>
        <v>24.160781154340533</v>
      </c>
      <c r="N28" s="93">
        <f>(N26+N27)/2</f>
        <v>22.649261125613961</v>
      </c>
      <c r="O28" s="91"/>
      <c r="P28" s="91"/>
      <c r="Q28" s="91"/>
      <c r="R28" s="91"/>
      <c r="S28" s="91"/>
      <c r="T28" s="91"/>
      <c r="U28" s="91"/>
      <c r="V28" s="46"/>
      <c r="W28" s="46"/>
      <c r="X28" s="91"/>
      <c r="Y28" s="91"/>
      <c r="Z28" s="91"/>
    </row>
    <row r="29" spans="2:28" ht="13.5" x14ac:dyDescent="0.35">
      <c r="B29" s="95" t="s">
        <v>132</v>
      </c>
      <c r="C29" s="95" t="s">
        <v>133</v>
      </c>
      <c r="D29" s="104" t="s">
        <v>134</v>
      </c>
      <c r="E29" s="102">
        <f t="shared" ref="E29:L29" si="16">E28*3600/10800</f>
        <v>4.5853771076570586</v>
      </c>
      <c r="F29" s="102">
        <f t="shared" si="16"/>
        <v>3.5724146604873703</v>
      </c>
      <c r="G29" s="102">
        <f t="shared" si="16"/>
        <v>3.3913457432986145</v>
      </c>
      <c r="H29" s="102">
        <f t="shared" si="16"/>
        <v>3.5544134310024385</v>
      </c>
      <c r="I29" s="102">
        <f t="shared" si="16"/>
        <v>3.3833940333543877</v>
      </c>
      <c r="J29" s="102">
        <f t="shared" si="16"/>
        <v>5.9478186227550758</v>
      </c>
      <c r="K29" s="102">
        <f t="shared" si="16"/>
        <v>8.0122576587378305</v>
      </c>
      <c r="L29" s="102">
        <f t="shared" si="16"/>
        <v>7.7471422053634615</v>
      </c>
      <c r="M29" s="102">
        <f>M28*3600/10800</f>
        <v>8.0535937181135111</v>
      </c>
      <c r="N29" s="102">
        <f>N28*3600/10800</f>
        <v>7.5497537085379873</v>
      </c>
      <c r="O29" s="91"/>
      <c r="P29" s="85" t="s">
        <v>135</v>
      </c>
      <c r="U29" s="91"/>
      <c r="V29" s="46"/>
      <c r="W29" s="46"/>
      <c r="X29" s="91"/>
      <c r="Y29" s="91"/>
      <c r="Z29" s="91"/>
    </row>
    <row r="30" spans="2:28" ht="13.5" x14ac:dyDescent="0.35">
      <c r="B30" s="89" t="s">
        <v>105</v>
      </c>
      <c r="D30" s="47"/>
      <c r="P30" s="86" t="s">
        <v>136</v>
      </c>
      <c r="V30" s="46"/>
      <c r="W30" s="46"/>
    </row>
    <row r="31" spans="2:28" ht="13.5" x14ac:dyDescent="0.35">
      <c r="B31" s="50" t="s">
        <v>106</v>
      </c>
      <c r="C31" s="50" t="s">
        <v>107</v>
      </c>
      <c r="D31" s="51" t="s">
        <v>73</v>
      </c>
      <c r="E31" s="52">
        <v>-2.9697692372125011</v>
      </c>
      <c r="F31" s="52">
        <v>-5.6342861668738751</v>
      </c>
      <c r="G31" s="52">
        <v>-5.5455024373894943</v>
      </c>
      <c r="H31" s="52">
        <v>-5.5553514826324264</v>
      </c>
      <c r="I31" s="52">
        <v>-5.3724282061861137</v>
      </c>
      <c r="J31" s="52">
        <v>1.2024832826670409</v>
      </c>
      <c r="K31" s="52">
        <v>4.9222913447493672</v>
      </c>
      <c r="L31" s="52">
        <v>4.1356345883060337</v>
      </c>
      <c r="M31" s="52">
        <v>4.6886607623285341</v>
      </c>
      <c r="N31" s="52">
        <v>4.4546309323979294</v>
      </c>
      <c r="O31" s="40"/>
      <c r="P31" s="86" t="s">
        <v>137</v>
      </c>
      <c r="U31" s="40"/>
      <c r="V31" s="46"/>
      <c r="W31" s="46"/>
      <c r="X31" s="40"/>
      <c r="Y31" s="40"/>
      <c r="Z31" s="40"/>
    </row>
    <row r="32" spans="2:28" ht="13.5" x14ac:dyDescent="0.35">
      <c r="B32" s="46" t="s">
        <v>94</v>
      </c>
      <c r="C32" s="55" t="s">
        <v>108</v>
      </c>
      <c r="D32" s="47" t="s">
        <v>73</v>
      </c>
      <c r="E32" s="48">
        <f t="shared" ref="E32:N32" si="17">E22-E31</f>
        <v>3.4434748275099234</v>
      </c>
      <c r="F32" s="48">
        <f t="shared" si="17"/>
        <v>2.0901167115522048</v>
      </c>
      <c r="G32" s="48">
        <f t="shared" si="17"/>
        <v>1.8836097763656898</v>
      </c>
      <c r="H32" s="48">
        <f t="shared" si="17"/>
        <v>2.0691057842884049</v>
      </c>
      <c r="I32" s="48">
        <f t="shared" si="17"/>
        <v>1.8747871246019807</v>
      </c>
      <c r="J32" s="48">
        <f t="shared" si="17"/>
        <v>5.7937838971102753</v>
      </c>
      <c r="K32" s="48">
        <f t="shared" si="17"/>
        <v>10.513726211040478</v>
      </c>
      <c r="L32" s="48">
        <f t="shared" si="17"/>
        <v>9.8294655560498292</v>
      </c>
      <c r="M32" s="48">
        <f t="shared" si="17"/>
        <v>10.622488832034403</v>
      </c>
      <c r="N32" s="48">
        <f t="shared" si="17"/>
        <v>9.3349590620289753</v>
      </c>
      <c r="O32" s="40"/>
      <c r="P32" s="86" t="s">
        <v>138</v>
      </c>
      <c r="U32" s="40"/>
      <c r="V32" s="46"/>
      <c r="W32" s="46"/>
      <c r="X32" s="40"/>
      <c r="Y32" s="40"/>
      <c r="Z32" s="40"/>
    </row>
    <row r="33" spans="2:26" ht="13.5" x14ac:dyDescent="0.35">
      <c r="B33" s="46" t="s">
        <v>346</v>
      </c>
      <c r="C33" s="46" t="s">
        <v>111</v>
      </c>
      <c r="D33" s="47" t="s">
        <v>73</v>
      </c>
      <c r="E33" s="48">
        <f t="shared" ref="E33:L33" si="18">E32</f>
        <v>3.4434748275099234</v>
      </c>
      <c r="F33" s="48">
        <f t="shared" si="18"/>
        <v>2.0901167115522048</v>
      </c>
      <c r="G33" s="48">
        <f t="shared" si="18"/>
        <v>1.8836097763656898</v>
      </c>
      <c r="H33" s="48">
        <f t="shared" si="18"/>
        <v>2.0691057842884049</v>
      </c>
      <c r="I33" s="48">
        <f t="shared" si="18"/>
        <v>1.8747871246019807</v>
      </c>
      <c r="J33" s="48">
        <f t="shared" si="18"/>
        <v>5.7937838971102753</v>
      </c>
      <c r="K33" s="48">
        <f t="shared" si="18"/>
        <v>10.513726211040478</v>
      </c>
      <c r="L33" s="48">
        <f t="shared" si="18"/>
        <v>9.8294655560498292</v>
      </c>
      <c r="M33" s="48">
        <f>M32</f>
        <v>10.622488832034403</v>
      </c>
      <c r="N33" s="48">
        <f>N32</f>
        <v>9.3349590620289753</v>
      </c>
      <c r="O33" s="40"/>
      <c r="P33" s="86" t="s">
        <v>139</v>
      </c>
      <c r="U33" s="40"/>
      <c r="V33" s="46"/>
      <c r="W33" s="46"/>
      <c r="X33" s="40"/>
      <c r="Y33" s="40"/>
      <c r="Z33" s="40"/>
    </row>
    <row r="34" spans="2:26" ht="13.5" x14ac:dyDescent="0.35">
      <c r="B34" s="46" t="s">
        <v>347</v>
      </c>
      <c r="C34" s="46" t="s">
        <v>112</v>
      </c>
      <c r="D34" s="47" t="s">
        <v>73</v>
      </c>
      <c r="E34" s="48">
        <f t="shared" ref="E34:N34" si="19">E32+E21*E11</f>
        <v>3.4434748275099234</v>
      </c>
      <c r="F34" s="48">
        <f t="shared" si="19"/>
        <v>2.0901167115522048</v>
      </c>
      <c r="G34" s="48">
        <f t="shared" si="19"/>
        <v>1.8836097763656898</v>
      </c>
      <c r="H34" s="48">
        <f t="shared" si="19"/>
        <v>2.0691057842884049</v>
      </c>
      <c r="I34" s="48">
        <f t="shared" si="19"/>
        <v>1.8747871246019807</v>
      </c>
      <c r="J34" s="48">
        <f t="shared" si="19"/>
        <v>5.7937838971102753</v>
      </c>
      <c r="K34" s="48">
        <f t="shared" si="19"/>
        <v>10.513726211040478</v>
      </c>
      <c r="L34" s="48">
        <f t="shared" si="19"/>
        <v>9.8294655560498292</v>
      </c>
      <c r="M34" s="48">
        <f t="shared" si="19"/>
        <v>10.622488832034403</v>
      </c>
      <c r="N34" s="48">
        <f t="shared" si="19"/>
        <v>9.3349590620289753</v>
      </c>
      <c r="O34" s="40"/>
      <c r="U34" s="40"/>
      <c r="V34" s="46"/>
      <c r="W34" s="46"/>
      <c r="X34" s="40"/>
      <c r="Y34" s="40"/>
      <c r="Z34" s="40"/>
    </row>
    <row r="35" spans="2:26" ht="13.5" x14ac:dyDescent="0.35">
      <c r="B35" s="46" t="s">
        <v>118</v>
      </c>
      <c r="D35" s="47" t="s">
        <v>19</v>
      </c>
      <c r="E35" s="48">
        <f t="shared" ref="E35:N35" si="20">IF(ABS(E21)&lt;0.000001,IF(E32&gt;0,E9*E12*SQRT(2*E32/E19),0),E9*E10*SQRT(2/E19)*(2/(3*ABS(E21)))*ABS(MAX(E33,0)^1.5-MAX(E34,0)^1.5))</f>
        <v>13.756130473994405</v>
      </c>
      <c r="F35" s="48">
        <f t="shared" si="20"/>
        <v>10.717243518633591</v>
      </c>
      <c r="G35" s="48">
        <f t="shared" si="20"/>
        <v>10.174036656006589</v>
      </c>
      <c r="H35" s="48">
        <f t="shared" si="20"/>
        <v>10.663239838004722</v>
      </c>
      <c r="I35" s="48">
        <f t="shared" si="20"/>
        <v>10.150181572103842</v>
      </c>
      <c r="J35" s="48">
        <f t="shared" si="20"/>
        <v>17.843456082088537</v>
      </c>
      <c r="K35" s="48">
        <f t="shared" si="20"/>
        <v>24.036772982248205</v>
      </c>
      <c r="L35" s="48">
        <f t="shared" si="20"/>
        <v>23.241426619914829</v>
      </c>
      <c r="M35" s="48">
        <f t="shared" si="20"/>
        <v>24.160781159809044</v>
      </c>
      <c r="N35" s="48">
        <f t="shared" si="20"/>
        <v>22.64926113141421</v>
      </c>
      <c r="O35" s="40"/>
      <c r="P35" s="85" t="s">
        <v>140</v>
      </c>
      <c r="V35" s="46"/>
      <c r="W35" s="46"/>
      <c r="X35" s="40"/>
      <c r="Y35" s="40"/>
      <c r="Z35" s="40"/>
    </row>
    <row r="36" spans="2:26" ht="13.5" x14ac:dyDescent="0.35">
      <c r="B36" s="46" t="s">
        <v>119</v>
      </c>
      <c r="D36" s="47" t="s">
        <v>19</v>
      </c>
      <c r="E36" s="48">
        <f t="shared" ref="E36:N36" si="21">IF(ABS(E21)&lt;0.000001,IF(E32&lt;0,E9*E12*SQRT(2*(-E32)/E19),0),E9*E10*SQRT(2/E19)*(2/(3*ABS(E21)))*ABS(MAX(-E33,0)^1.5-MAX(-E34,0)^1.5))</f>
        <v>0</v>
      </c>
      <c r="F36" s="48">
        <f t="shared" si="21"/>
        <v>0</v>
      </c>
      <c r="G36" s="48">
        <f t="shared" si="21"/>
        <v>0</v>
      </c>
      <c r="H36" s="48">
        <f t="shared" si="21"/>
        <v>0</v>
      </c>
      <c r="I36" s="48">
        <f t="shared" si="21"/>
        <v>0</v>
      </c>
      <c r="J36" s="48">
        <f t="shared" si="21"/>
        <v>0</v>
      </c>
      <c r="K36" s="48">
        <f t="shared" si="21"/>
        <v>0</v>
      </c>
      <c r="L36" s="48">
        <f t="shared" si="21"/>
        <v>0</v>
      </c>
      <c r="M36" s="48">
        <f t="shared" si="21"/>
        <v>0</v>
      </c>
      <c r="N36" s="48">
        <f t="shared" si="21"/>
        <v>0</v>
      </c>
      <c r="O36" s="40"/>
      <c r="P36" s="107" t="s">
        <v>141</v>
      </c>
      <c r="Q36" s="109"/>
      <c r="R36" s="107" t="s">
        <v>142</v>
      </c>
      <c r="S36" s="108"/>
      <c r="T36" s="109"/>
      <c r="U36" s="40"/>
      <c r="V36" s="46"/>
      <c r="W36" s="46"/>
      <c r="X36" s="40"/>
      <c r="Y36" s="40"/>
      <c r="Z36" s="40"/>
    </row>
    <row r="37" spans="2:26" ht="13.5" x14ac:dyDescent="0.35">
      <c r="B37" s="50" t="s">
        <v>127</v>
      </c>
      <c r="C37" s="50"/>
      <c r="D37" s="51" t="s">
        <v>120</v>
      </c>
      <c r="E37" s="52">
        <f t="shared" ref="E37:N37" si="22">E19*E35-E20*E36</f>
        <v>15.588309491825719</v>
      </c>
      <c r="F37" s="52">
        <f t="shared" si="22"/>
        <v>12.144673182880398</v>
      </c>
      <c r="G37" s="52">
        <f t="shared" si="22"/>
        <v>11.529116598220105</v>
      </c>
      <c r="H37" s="52">
        <f t="shared" si="22"/>
        <v>12.08347675202857</v>
      </c>
      <c r="I37" s="52">
        <f t="shared" si="22"/>
        <v>11.502084255692351</v>
      </c>
      <c r="J37" s="52">
        <f t="shared" si="22"/>
        <v>20.220025997661907</v>
      </c>
      <c r="K37" s="52">
        <f t="shared" si="22"/>
        <v>27.238230775753841</v>
      </c>
      <c r="L37" s="52">
        <f t="shared" si="22"/>
        <v>26.336952231421282</v>
      </c>
      <c r="M37" s="52">
        <f t="shared" si="22"/>
        <v>27.378755602484009</v>
      </c>
      <c r="N37" s="52">
        <f t="shared" si="22"/>
        <v>25.665916221507267</v>
      </c>
      <c r="O37" s="40"/>
      <c r="P37" s="110" t="s">
        <v>143</v>
      </c>
      <c r="Q37" s="109"/>
      <c r="R37" s="110" t="s">
        <v>144</v>
      </c>
      <c r="S37" s="111"/>
      <c r="T37" s="109"/>
      <c r="U37" s="40"/>
      <c r="V37" s="46"/>
      <c r="W37" s="46"/>
      <c r="X37" s="40"/>
      <c r="Y37" s="40"/>
      <c r="Z37" s="40"/>
    </row>
    <row r="38" spans="2:26" ht="13.5" x14ac:dyDescent="0.35">
      <c r="B38" s="46" t="s">
        <v>122</v>
      </c>
      <c r="C38" s="55" t="s">
        <v>108</v>
      </c>
      <c r="D38" s="47" t="s">
        <v>73</v>
      </c>
      <c r="E38" s="48">
        <f t="shared" ref="E38:N38" si="23">E23-E31</f>
        <v>-3.4434756775833724</v>
      </c>
      <c r="F38" s="48">
        <f t="shared" si="23"/>
        <v>-2.0901170726023803</v>
      </c>
      <c r="G38" s="48">
        <f t="shared" si="23"/>
        <v>-1.8836102013625746</v>
      </c>
      <c r="H38" s="48">
        <f t="shared" si="23"/>
        <v>-2.0691061374450639</v>
      </c>
      <c r="I38" s="48">
        <f t="shared" si="23"/>
        <v>-1.8747875146684576</v>
      </c>
      <c r="J38" s="48">
        <f t="shared" si="23"/>
        <v>-5.7937836193959047</v>
      </c>
      <c r="K38" s="48">
        <f t="shared" si="23"/>
        <v>-10.5137262004821</v>
      </c>
      <c r="L38" s="48">
        <f t="shared" si="23"/>
        <v>-9.8294655495799681</v>
      </c>
      <c r="M38" s="48">
        <f t="shared" si="23"/>
        <v>-10.622488822417299</v>
      </c>
      <c r="N38" s="48">
        <f t="shared" si="23"/>
        <v>-9.3349590524666191</v>
      </c>
      <c r="O38" s="40"/>
      <c r="P38" s="110" t="s">
        <v>145</v>
      </c>
      <c r="Q38" s="109"/>
      <c r="R38" s="110" t="s">
        <v>146</v>
      </c>
      <c r="S38" s="111"/>
      <c r="T38" s="109"/>
      <c r="U38" s="40"/>
      <c r="V38" s="46"/>
      <c r="W38" s="46"/>
      <c r="X38" s="40"/>
      <c r="Y38" s="40"/>
      <c r="Z38" s="40"/>
    </row>
    <row r="39" spans="2:26" ht="13.5" x14ac:dyDescent="0.35">
      <c r="B39" s="46" t="s">
        <v>348</v>
      </c>
      <c r="C39" s="46" t="s">
        <v>111</v>
      </c>
      <c r="D39" s="47" t="s">
        <v>73</v>
      </c>
      <c r="E39" s="48">
        <f t="shared" ref="E39:L39" si="24">E38</f>
        <v>-3.4434756775833724</v>
      </c>
      <c r="F39" s="48">
        <f t="shared" si="24"/>
        <v>-2.0901170726023803</v>
      </c>
      <c r="G39" s="48">
        <f t="shared" si="24"/>
        <v>-1.8836102013625746</v>
      </c>
      <c r="H39" s="48">
        <f t="shared" si="24"/>
        <v>-2.0691061374450639</v>
      </c>
      <c r="I39" s="48">
        <f t="shared" si="24"/>
        <v>-1.8747875146684576</v>
      </c>
      <c r="J39" s="48">
        <f t="shared" si="24"/>
        <v>-5.7937836193959047</v>
      </c>
      <c r="K39" s="48">
        <f t="shared" si="24"/>
        <v>-10.5137262004821</v>
      </c>
      <c r="L39" s="48">
        <f t="shared" si="24"/>
        <v>-9.8294655495799681</v>
      </c>
      <c r="M39" s="48">
        <f>M38</f>
        <v>-10.622488822417299</v>
      </c>
      <c r="N39" s="48">
        <f>N38</f>
        <v>-9.3349590524666191</v>
      </c>
      <c r="O39" s="40"/>
      <c r="P39" s="110" t="s">
        <v>147</v>
      </c>
      <c r="Q39" s="109"/>
      <c r="R39" s="110" t="s">
        <v>148</v>
      </c>
      <c r="S39" s="111"/>
      <c r="T39" s="109"/>
      <c r="U39" s="40"/>
      <c r="V39" s="46"/>
      <c r="W39" s="46"/>
      <c r="X39" s="40"/>
      <c r="Y39" s="40"/>
      <c r="Z39" s="40"/>
    </row>
    <row r="40" spans="2:26" ht="13.5" x14ac:dyDescent="0.35">
      <c r="B40" s="46" t="s">
        <v>349</v>
      </c>
      <c r="C40" s="46" t="s">
        <v>112</v>
      </c>
      <c r="D40" s="47" t="s">
        <v>73</v>
      </c>
      <c r="E40" s="48">
        <f t="shared" ref="E40:N40" si="25">E38+E21*E11</f>
        <v>-3.4434756775833724</v>
      </c>
      <c r="F40" s="48">
        <f t="shared" si="25"/>
        <v>-2.0901170726023803</v>
      </c>
      <c r="G40" s="48">
        <f t="shared" si="25"/>
        <v>-1.8836102013625746</v>
      </c>
      <c r="H40" s="48">
        <f t="shared" si="25"/>
        <v>-2.0691061374450639</v>
      </c>
      <c r="I40" s="48">
        <f t="shared" si="25"/>
        <v>-1.8747875146684576</v>
      </c>
      <c r="J40" s="48">
        <f t="shared" si="25"/>
        <v>-5.7937836193959047</v>
      </c>
      <c r="K40" s="48">
        <f t="shared" si="25"/>
        <v>-10.5137262004821</v>
      </c>
      <c r="L40" s="48">
        <f t="shared" si="25"/>
        <v>-9.8294655495799681</v>
      </c>
      <c r="M40" s="48">
        <f t="shared" si="25"/>
        <v>-10.622488822417299</v>
      </c>
      <c r="N40" s="48">
        <f t="shared" si="25"/>
        <v>-9.3349590524666191</v>
      </c>
      <c r="O40" s="40"/>
      <c r="P40" s="110" t="s">
        <v>149</v>
      </c>
      <c r="Q40" s="109"/>
      <c r="R40" s="110" t="s">
        <v>150</v>
      </c>
      <c r="S40" s="111"/>
      <c r="T40" s="109"/>
      <c r="U40" s="40"/>
      <c r="V40" s="46"/>
      <c r="W40" s="46"/>
      <c r="X40" s="40"/>
      <c r="Y40" s="40"/>
      <c r="Z40" s="40"/>
    </row>
    <row r="41" spans="2:26" ht="13.5" x14ac:dyDescent="0.35">
      <c r="B41" s="46" t="s">
        <v>123</v>
      </c>
      <c r="D41" s="47" t="s">
        <v>19</v>
      </c>
      <c r="E41" s="48">
        <f t="shared" ref="E41:N41" si="26">IF(ABS(E21)&lt;0.000001,IF(E38&gt;0,E9*E12*SQRT(2*E38/E19),0),E9*E10*SQRT(2/E19)*(2/(3*ABS(E21)))*ABS(MAX(E39,0)^1.5-MAX(E40,0)^1.5))</f>
        <v>0</v>
      </c>
      <c r="F41" s="48">
        <f t="shared" si="26"/>
        <v>0</v>
      </c>
      <c r="G41" s="48">
        <f t="shared" si="26"/>
        <v>0</v>
      </c>
      <c r="H41" s="48">
        <f t="shared" si="26"/>
        <v>0</v>
      </c>
      <c r="I41" s="48">
        <f t="shared" si="26"/>
        <v>0</v>
      </c>
      <c r="J41" s="48">
        <f t="shared" si="26"/>
        <v>0</v>
      </c>
      <c r="K41" s="48">
        <f t="shared" si="26"/>
        <v>0</v>
      </c>
      <c r="L41" s="48">
        <f t="shared" si="26"/>
        <v>0</v>
      </c>
      <c r="M41" s="48">
        <f t="shared" si="26"/>
        <v>0</v>
      </c>
      <c r="N41" s="48">
        <f t="shared" si="26"/>
        <v>0</v>
      </c>
      <c r="O41" s="40"/>
      <c r="P41" s="110" t="s">
        <v>151</v>
      </c>
      <c r="Q41" s="109"/>
      <c r="R41" s="110" t="s">
        <v>152</v>
      </c>
      <c r="S41" s="111"/>
      <c r="T41" s="109"/>
      <c r="U41" s="40"/>
      <c r="V41" s="46"/>
      <c r="W41" s="46"/>
      <c r="X41" s="40"/>
      <c r="Y41" s="40"/>
      <c r="Z41" s="40"/>
    </row>
    <row r="42" spans="2:26" ht="13.5" x14ac:dyDescent="0.35">
      <c r="B42" s="46" t="s">
        <v>124</v>
      </c>
      <c r="D42" s="47" t="s">
        <v>19</v>
      </c>
      <c r="E42" s="48">
        <f t="shared" ref="E42:N42" si="27">IF(ABS(E21)&lt;0.000001,IF(E38&lt;0,E9*E12*SQRT(2*(-E38)/E19),0),E9*E10*SQRT(2/E19)*(2/(3*ABS(E21)))*ABS(MAX(-E39,0)^1.5-MAX(-E40,0)^1.5))</f>
        <v>13.756132171947945</v>
      </c>
      <c r="F42" s="48">
        <f t="shared" si="27"/>
        <v>10.717244444290628</v>
      </c>
      <c r="G42" s="48">
        <f t="shared" si="27"/>
        <v>10.174037803785097</v>
      </c>
      <c r="H42" s="48">
        <f t="shared" si="27"/>
        <v>10.66324074800991</v>
      </c>
      <c r="I42" s="48">
        <f t="shared" si="27"/>
        <v>10.150182628022486</v>
      </c>
      <c r="J42" s="48">
        <f t="shared" si="27"/>
        <v>17.843455654441918</v>
      </c>
      <c r="K42" s="48">
        <f t="shared" si="27"/>
        <v>24.036772970178777</v>
      </c>
      <c r="L42" s="48">
        <f t="shared" si="27"/>
        <v>23.241426612265947</v>
      </c>
      <c r="M42" s="48">
        <f t="shared" si="27"/>
        <v>24.160781148872026</v>
      </c>
      <c r="N42" s="48">
        <f t="shared" si="27"/>
        <v>22.649261119813712</v>
      </c>
      <c r="O42" s="40"/>
      <c r="U42" s="40"/>
      <c r="V42" s="46"/>
      <c r="W42" s="46"/>
      <c r="X42" s="40"/>
      <c r="Y42" s="40"/>
      <c r="Z42" s="40"/>
    </row>
    <row r="43" spans="2:26" ht="13.5" x14ac:dyDescent="0.35">
      <c r="B43" s="50" t="s">
        <v>126</v>
      </c>
      <c r="C43" s="50"/>
      <c r="D43" s="51" t="s">
        <v>120</v>
      </c>
      <c r="E43" s="52">
        <f t="shared" ref="E43:N43" si="28">E41*E19-E42*E20</f>
        <v>-15.58831141592969</v>
      </c>
      <c r="F43" s="52">
        <f t="shared" si="28"/>
        <v>-12.144674231825697</v>
      </c>
      <c r="G43" s="52">
        <f t="shared" si="28"/>
        <v>-11.529117898871233</v>
      </c>
      <c r="H43" s="52">
        <f t="shared" si="28"/>
        <v>-12.083477783237349</v>
      </c>
      <c r="I43" s="52">
        <f t="shared" si="28"/>
        <v>-11.502085452248801</v>
      </c>
      <c r="J43" s="52">
        <f t="shared" si="28"/>
        <v>-20.220025513057035</v>
      </c>
      <c r="K43" s="52">
        <f t="shared" si="28"/>
        <v>-27.238230762076888</v>
      </c>
      <c r="L43" s="52">
        <f t="shared" si="28"/>
        <v>-26.336952222753645</v>
      </c>
      <c r="M43" s="52">
        <f t="shared" si="28"/>
        <v>-27.378755590090289</v>
      </c>
      <c r="N43" s="52">
        <f t="shared" si="28"/>
        <v>-25.665916208361697</v>
      </c>
      <c r="O43" s="40"/>
      <c r="P43" s="85" t="s">
        <v>153</v>
      </c>
      <c r="U43" s="40"/>
      <c r="V43" s="46"/>
      <c r="W43" s="46"/>
      <c r="X43" s="40"/>
      <c r="Y43" s="40"/>
      <c r="Z43" s="40"/>
    </row>
    <row r="44" spans="2:26" ht="13.5" x14ac:dyDescent="0.35">
      <c r="B44" s="103" t="s">
        <v>125</v>
      </c>
      <c r="C44" s="103" t="s">
        <v>128</v>
      </c>
      <c r="D44" s="105" t="s">
        <v>120</v>
      </c>
      <c r="E44" s="113">
        <f t="shared" ref="E44:N44" si="29">E37+E43</f>
        <v>-1.9241039712625252E-6</v>
      </c>
      <c r="F44" s="113">
        <f t="shared" si="29"/>
        <v>-1.0489452986206516E-6</v>
      </c>
      <c r="G44" s="113">
        <f t="shared" si="29"/>
        <v>-1.3006511281332678E-6</v>
      </c>
      <c r="H44" s="113">
        <f t="shared" si="29"/>
        <v>-1.0312087788122426E-6</v>
      </c>
      <c r="I44" s="113">
        <f t="shared" si="29"/>
        <v>-1.1965564503668702E-6</v>
      </c>
      <c r="J44" s="113">
        <f t="shared" si="29"/>
        <v>4.8460487178658695E-7</v>
      </c>
      <c r="K44" s="113">
        <f t="shared" si="29"/>
        <v>1.3676952903551864E-8</v>
      </c>
      <c r="L44" s="113">
        <f t="shared" si="29"/>
        <v>8.6676372745841945E-9</v>
      </c>
      <c r="M44" s="113">
        <f t="shared" si="29"/>
        <v>1.2393719828196481E-8</v>
      </c>
      <c r="N44" s="113">
        <f t="shared" si="29"/>
        <v>1.3145569965899995E-8</v>
      </c>
      <c r="O44" s="92"/>
      <c r="P44" s="86" t="s">
        <v>154</v>
      </c>
      <c r="U44" s="40"/>
      <c r="V44" s="46"/>
      <c r="W44" s="46"/>
      <c r="X44" s="92"/>
      <c r="Y44" s="92"/>
      <c r="Z44" s="92"/>
    </row>
    <row r="45" spans="2:26" ht="13.5" x14ac:dyDescent="0.35">
      <c r="V45" s="46"/>
      <c r="W45" s="46"/>
    </row>
    <row r="46" spans="2:26" ht="13.5" x14ac:dyDescent="0.35">
      <c r="V46" s="46"/>
      <c r="W46" s="46"/>
    </row>
    <row r="47" spans="2:26" ht="13.5" x14ac:dyDescent="0.35">
      <c r="V47" s="46"/>
      <c r="W47" s="46"/>
    </row>
    <row r="48" spans="2:26" ht="13.5" x14ac:dyDescent="0.35">
      <c r="V48" s="46"/>
      <c r="W48" s="46"/>
    </row>
    <row r="49" spans="6:23" ht="13.5" x14ac:dyDescent="0.35">
      <c r="V49" s="46"/>
      <c r="W49" s="46"/>
    </row>
    <row r="50" spans="6:23" ht="13.5" x14ac:dyDescent="0.35">
      <c r="V50" s="46"/>
      <c r="W50" s="46"/>
    </row>
    <row r="51" spans="6:23" ht="13.5" x14ac:dyDescent="0.35">
      <c r="V51" s="46"/>
      <c r="W51" s="46"/>
    </row>
    <row r="52" spans="6:23" ht="13.5" x14ac:dyDescent="0.35">
      <c r="V52" s="46"/>
      <c r="W52" s="46"/>
    </row>
    <row r="53" spans="6:23" ht="13.5" x14ac:dyDescent="0.35">
      <c r="V53" s="46"/>
      <c r="W53" s="46"/>
    </row>
    <row r="54" spans="6:23" ht="13.5" x14ac:dyDescent="0.35">
      <c r="V54" s="46"/>
      <c r="W54" s="46"/>
    </row>
    <row r="55" spans="6:23" ht="13.5" x14ac:dyDescent="0.35">
      <c r="V55" s="46"/>
      <c r="W55" s="46"/>
    </row>
    <row r="56" spans="6:23" ht="13.5" x14ac:dyDescent="0.35">
      <c r="V56" s="46"/>
      <c r="W56" s="46"/>
    </row>
    <row r="57" spans="6:23" ht="13.5" x14ac:dyDescent="0.35">
      <c r="F57" s="48"/>
      <c r="G57" s="48"/>
      <c r="H57" s="48"/>
      <c r="I57" s="48"/>
      <c r="J57" s="48"/>
      <c r="V57" s="46"/>
      <c r="W57" s="46"/>
    </row>
    <row r="58" spans="6:23" ht="13.5" x14ac:dyDescent="0.35">
      <c r="V58" s="46"/>
      <c r="W58" s="46"/>
    </row>
    <row r="59" spans="6:23" ht="13.5" x14ac:dyDescent="0.35">
      <c r="V59" s="46"/>
      <c r="W59" s="46"/>
    </row>
    <row r="60" spans="6:23" ht="13.5" x14ac:dyDescent="0.35">
      <c r="V60" s="46"/>
      <c r="W60" s="46"/>
    </row>
    <row r="61" spans="6:23" ht="13.5" x14ac:dyDescent="0.35">
      <c r="V61" s="46"/>
      <c r="W61" s="46"/>
    </row>
    <row r="62" spans="6:23" ht="13.5" x14ac:dyDescent="0.35">
      <c r="V62" s="46"/>
      <c r="W62" s="46"/>
    </row>
    <row r="63" spans="6:23" ht="13.5" x14ac:dyDescent="0.35">
      <c r="V63" s="46"/>
      <c r="W63" s="46"/>
    </row>
    <row r="64" spans="6:23" ht="13.5" x14ac:dyDescent="0.35">
      <c r="V64" s="46"/>
      <c r="W64" s="46"/>
    </row>
    <row r="65" spans="11:26" ht="13.5" x14ac:dyDescent="0.35">
      <c r="V65" s="46"/>
      <c r="W65" s="46"/>
    </row>
    <row r="66" spans="11:26" ht="13.5" x14ac:dyDescent="0.35">
      <c r="V66" s="46"/>
      <c r="W66" s="46"/>
    </row>
    <row r="67" spans="11:26" ht="13.5" x14ac:dyDescent="0.35">
      <c r="V67" s="46"/>
      <c r="W67" s="46"/>
    </row>
    <row r="68" spans="11:26" ht="13.5" x14ac:dyDescent="0.35">
      <c r="V68" s="46"/>
      <c r="W68" s="46"/>
    </row>
    <row r="69" spans="11:26" ht="13.5" x14ac:dyDescent="0.35">
      <c r="V69" s="46"/>
      <c r="W69" s="46"/>
    </row>
    <row r="70" spans="11:26" ht="13.5" x14ac:dyDescent="0.35">
      <c r="V70" s="46"/>
      <c r="W70" s="46"/>
    </row>
    <row r="71" spans="11:26" ht="13.5" x14ac:dyDescent="0.35">
      <c r="V71" s="46"/>
      <c r="W71" s="46"/>
    </row>
    <row r="72" spans="11:26" ht="13.5" x14ac:dyDescent="0.35">
      <c r="V72" s="46"/>
      <c r="W72" s="46"/>
    </row>
    <row r="73" spans="11:26" ht="13.5" x14ac:dyDescent="0.35">
      <c r="V73" s="46"/>
      <c r="W73" s="46"/>
    </row>
    <row r="74" spans="11:26" ht="13.5" x14ac:dyDescent="0.35">
      <c r="V74" s="46"/>
      <c r="W74" s="46"/>
    </row>
    <row r="75" spans="11:26" ht="13.5" x14ac:dyDescent="0.35">
      <c r="V75" s="46"/>
      <c r="W75" s="46"/>
    </row>
    <row r="76" spans="11:26" ht="13.5" x14ac:dyDescent="0.35">
      <c r="V76" s="46"/>
      <c r="W76" s="46"/>
    </row>
    <row r="77" spans="11:26" ht="13.5" x14ac:dyDescent="0.35">
      <c r="K77" s="48"/>
      <c r="L77" s="48"/>
      <c r="M77" s="48"/>
      <c r="N77" s="48"/>
      <c r="O77" s="40"/>
      <c r="P77" s="40"/>
      <c r="Q77" s="40"/>
      <c r="R77" s="40"/>
      <c r="S77" s="40"/>
      <c r="T77" s="40"/>
      <c r="U77" s="40"/>
      <c r="V77" s="46"/>
      <c r="W77" s="46"/>
      <c r="X77" s="40"/>
      <c r="Y77" s="40"/>
      <c r="Z77" s="40"/>
    </row>
    <row r="78" spans="11:26" ht="13.5" x14ac:dyDescent="0.35">
      <c r="V78" s="46"/>
      <c r="W78" s="46"/>
    </row>
    <row r="79" spans="11:26" ht="13.5" x14ac:dyDescent="0.35">
      <c r="V79" s="46"/>
      <c r="W79" s="46"/>
    </row>
    <row r="80" spans="11:26" ht="13.5" x14ac:dyDescent="0.35">
      <c r="V80" s="46"/>
      <c r="W80" s="46"/>
    </row>
    <row r="81" spans="11:26" ht="13.5" x14ac:dyDescent="0.35">
      <c r="V81" s="46"/>
      <c r="W81" s="46"/>
    </row>
    <row r="82" spans="11:26" ht="13.5" x14ac:dyDescent="0.35">
      <c r="K82" s="48"/>
      <c r="L82" s="48"/>
      <c r="M82" s="48"/>
      <c r="N82" s="48"/>
      <c r="O82" s="40"/>
      <c r="P82" s="40"/>
      <c r="Q82" s="40"/>
      <c r="R82" s="40"/>
      <c r="S82" s="40"/>
      <c r="T82" s="40"/>
      <c r="U82" s="40"/>
      <c r="V82" s="46"/>
      <c r="W82" s="46"/>
      <c r="X82" s="40"/>
      <c r="Y82" s="40"/>
      <c r="Z82" s="40"/>
    </row>
    <row r="83" spans="11:26" ht="13.5" x14ac:dyDescent="0.35">
      <c r="V83" s="46"/>
      <c r="W83" s="46"/>
    </row>
    <row r="84" spans="11:26" ht="13.5" x14ac:dyDescent="0.35">
      <c r="V84" s="46"/>
      <c r="W84" s="46"/>
    </row>
    <row r="85" spans="11:26" ht="13.5" x14ac:dyDescent="0.35">
      <c r="V85" s="46"/>
      <c r="W85" s="46"/>
    </row>
    <row r="86" spans="11:26" ht="13.5" x14ac:dyDescent="0.35">
      <c r="V86" s="46"/>
      <c r="W86" s="46"/>
    </row>
    <row r="87" spans="11:26" ht="13.5" x14ac:dyDescent="0.35">
      <c r="K87" s="48"/>
      <c r="L87" s="48"/>
      <c r="M87" s="48"/>
      <c r="N87" s="48"/>
      <c r="O87" s="40"/>
      <c r="P87" s="40"/>
      <c r="Q87" s="40"/>
      <c r="R87" s="40"/>
      <c r="S87" s="40"/>
      <c r="T87" s="40"/>
      <c r="U87" s="40"/>
      <c r="V87" s="46"/>
      <c r="W87" s="46"/>
      <c r="X87" s="40"/>
      <c r="Y87" s="40"/>
      <c r="Z87" s="40"/>
    </row>
    <row r="88" spans="11:26" ht="13.5" x14ac:dyDescent="0.35">
      <c r="K88" s="48"/>
      <c r="L88" s="48"/>
      <c r="M88" s="48"/>
      <c r="N88" s="48"/>
      <c r="O88" s="40"/>
      <c r="P88" s="40"/>
      <c r="Q88" s="40"/>
      <c r="R88" s="40"/>
      <c r="S88" s="40"/>
      <c r="T88" s="40"/>
      <c r="U88" s="40"/>
      <c r="V88" s="46"/>
      <c r="W88" s="46"/>
      <c r="X88" s="40"/>
      <c r="Y88" s="40"/>
      <c r="Z88" s="40"/>
    </row>
    <row r="89" spans="11:26" ht="13.5" x14ac:dyDescent="0.35">
      <c r="V89" s="46"/>
      <c r="W89" s="46"/>
    </row>
    <row r="90" spans="11:26" ht="13.5" x14ac:dyDescent="0.35">
      <c r="V90" s="46"/>
      <c r="W90" s="46"/>
    </row>
    <row r="91" spans="11:26" ht="13.5" x14ac:dyDescent="0.35">
      <c r="V91" s="46"/>
      <c r="W91" s="46"/>
    </row>
    <row r="92" spans="11:26" ht="13.5" x14ac:dyDescent="0.35">
      <c r="V92" s="46"/>
      <c r="W92" s="46"/>
    </row>
    <row r="93" spans="11:26" ht="13.5" x14ac:dyDescent="0.35">
      <c r="V93" s="46"/>
      <c r="W93" s="46"/>
    </row>
    <row r="94" spans="11:26" ht="13.5" x14ac:dyDescent="0.35">
      <c r="V94" s="46"/>
      <c r="W94" s="46"/>
    </row>
    <row r="95" spans="11:26" ht="13.5" x14ac:dyDescent="0.35">
      <c r="V95" s="46"/>
      <c r="W95" s="46"/>
    </row>
    <row r="96" spans="11:26" ht="13.5" x14ac:dyDescent="0.35">
      <c r="V96" s="46"/>
      <c r="W96" s="46"/>
    </row>
    <row r="97" spans="22:23" ht="13.5" x14ac:dyDescent="0.35">
      <c r="V97" s="46"/>
      <c r="W97" s="46"/>
    </row>
    <row r="98" spans="22:23" ht="13.5" x14ac:dyDescent="0.35">
      <c r="V98" s="46"/>
      <c r="W98" s="46"/>
    </row>
    <row r="99" spans="22:23" ht="13.5" x14ac:dyDescent="0.35">
      <c r="V99" s="46"/>
      <c r="W99" s="46"/>
    </row>
    <row r="100" spans="22:23" ht="13.5" x14ac:dyDescent="0.35">
      <c r="V100" s="46"/>
      <c r="W100" s="46"/>
    </row>
    <row r="101" spans="22:23" ht="13.5" x14ac:dyDescent="0.35">
      <c r="V101" s="46"/>
      <c r="W101" s="46"/>
    </row>
    <row r="102" spans="22:23" ht="13.5" x14ac:dyDescent="0.35">
      <c r="V102" s="46"/>
      <c r="W102" s="46"/>
    </row>
    <row r="103" spans="22:23" ht="13.5" x14ac:dyDescent="0.35">
      <c r="V103" s="46"/>
      <c r="W103" s="46"/>
    </row>
  </sheetData>
  <mergeCells count="2">
    <mergeCell ref="Y2:AB2"/>
    <mergeCell ref="W2:X2"/>
  </mergeCells>
  <phoneticPr fontId="2" type="noConversion"/>
  <pageMargins left="0.7" right="0.7" top="0.78740157499999996" bottom="0.78740157499999996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8FB8-83A5-4DD0-BFAD-94C67B01DC06}">
  <dimension ref="B1:O87"/>
  <sheetViews>
    <sheetView workbookViewId="0"/>
  </sheetViews>
  <sheetFormatPr baseColWidth="10" defaultRowHeight="14.25" x14ac:dyDescent="0.45"/>
  <cols>
    <col min="1" max="1" width="4.3984375" style="1" customWidth="1"/>
    <col min="2" max="2" width="10.6640625" style="1"/>
    <col min="3" max="3" width="29.1328125" style="1" bestFit="1" customWidth="1"/>
    <col min="4" max="4" width="10.6640625" style="3"/>
    <col min="5" max="6" width="12.46484375" style="3" bestFit="1" customWidth="1"/>
    <col min="7" max="7" width="14.53125" style="3" bestFit="1" customWidth="1"/>
    <col min="8" max="9" width="12.46484375" style="3" bestFit="1" customWidth="1"/>
    <col min="10" max="10" width="14.53125" style="3" bestFit="1" customWidth="1"/>
    <col min="11" max="11" width="8.1328125" style="1" customWidth="1"/>
    <col min="12" max="12" width="10.06640625" style="1" hidden="1" customWidth="1"/>
    <col min="13" max="14" width="8.1328125" style="1" hidden="1" customWidth="1"/>
    <col min="16" max="16384" width="10.6640625" style="1"/>
  </cols>
  <sheetData>
    <row r="1" spans="2:15" ht="13.5" x14ac:dyDescent="0.35">
      <c r="L1" s="17"/>
      <c r="M1" s="17"/>
      <c r="N1" s="17"/>
      <c r="O1" s="1"/>
    </row>
    <row r="2" spans="2:15" x14ac:dyDescent="0.45">
      <c r="B2" s="44"/>
      <c r="C2" s="44"/>
      <c r="D2" s="45"/>
      <c r="E2" s="98" t="s">
        <v>324</v>
      </c>
      <c r="F2" s="98" t="s">
        <v>325</v>
      </c>
      <c r="G2" s="98" t="s">
        <v>326</v>
      </c>
      <c r="H2" s="98" t="s">
        <v>324</v>
      </c>
      <c r="I2" s="98" t="s">
        <v>325</v>
      </c>
      <c r="J2" s="98" t="s">
        <v>326</v>
      </c>
      <c r="L2" s="56" t="s">
        <v>351</v>
      </c>
      <c r="M2" s="162" t="s">
        <v>350</v>
      </c>
      <c r="N2" s="162"/>
    </row>
    <row r="3" spans="2:15" ht="13.5" x14ac:dyDescent="0.35">
      <c r="B3" s="25" t="s">
        <v>98</v>
      </c>
      <c r="C3" s="17"/>
      <c r="D3" s="16"/>
      <c r="E3" s="96">
        <v>2</v>
      </c>
      <c r="F3" s="51">
        <v>2</v>
      </c>
      <c r="G3" s="51">
        <v>2</v>
      </c>
      <c r="H3" s="96">
        <v>5</v>
      </c>
      <c r="I3" s="51">
        <v>5</v>
      </c>
      <c r="J3" s="51">
        <v>5</v>
      </c>
      <c r="K3" s="56"/>
      <c r="L3" s="51">
        <v>4</v>
      </c>
      <c r="M3" s="51">
        <v>2</v>
      </c>
      <c r="N3" s="51">
        <v>4</v>
      </c>
      <c r="O3" s="1"/>
    </row>
    <row r="4" spans="2:15" ht="13.5" x14ac:dyDescent="0.35">
      <c r="B4" s="1" t="s">
        <v>59</v>
      </c>
      <c r="C4" s="1" t="s">
        <v>62</v>
      </c>
      <c r="D4" s="32" t="s">
        <v>20</v>
      </c>
      <c r="E4" s="93">
        <v>3.2500000000000001E-2</v>
      </c>
      <c r="F4" s="93">
        <f>'5.1 C_P'!U6</f>
        <v>-0.23870749509421541</v>
      </c>
      <c r="G4" s="93">
        <f>'5.1 C_P'!O6</f>
        <v>-0.2353006699661164</v>
      </c>
      <c r="H4" s="93">
        <v>0.48</v>
      </c>
      <c r="I4" s="93">
        <f>'5.1 C_P'!U9</f>
        <v>1.0676863215239909</v>
      </c>
      <c r="J4" s="93">
        <f>'5.1 C_P'!O9</f>
        <v>0.97236047051584307</v>
      </c>
      <c r="K4" s="116"/>
      <c r="L4" s="93">
        <v>0.5</v>
      </c>
      <c r="M4" s="93">
        <v>-0.8</v>
      </c>
      <c r="N4" s="93">
        <v>0.7</v>
      </c>
      <c r="O4" s="1"/>
    </row>
    <row r="5" spans="2:15" ht="13.5" x14ac:dyDescent="0.35">
      <c r="B5" s="1" t="s">
        <v>60</v>
      </c>
      <c r="C5" s="1" t="s">
        <v>63</v>
      </c>
      <c r="D5" s="32" t="s">
        <v>20</v>
      </c>
      <c r="E5" s="93">
        <v>-0.44</v>
      </c>
      <c r="F5" s="93">
        <f>'5.1 C_P'!V6</f>
        <v>-0.52160550951834472</v>
      </c>
      <c r="G5" s="93">
        <f>'5.1 C_P'!P6</f>
        <v>-0.51768242614937265</v>
      </c>
      <c r="H5" s="93">
        <v>-0.315</v>
      </c>
      <c r="I5" s="93">
        <f>'5.1 C_P'!V9</f>
        <v>-0.36579889907159768</v>
      </c>
      <c r="J5" s="93">
        <f>'5.1 C_P'!P9</f>
        <v>-0.3630380760607449</v>
      </c>
      <c r="K5" s="116"/>
      <c r="L5" s="93">
        <v>-0.7</v>
      </c>
      <c r="M5" s="93">
        <v>-0.8</v>
      </c>
      <c r="N5" s="93">
        <v>-0.3</v>
      </c>
      <c r="O5" s="1"/>
    </row>
    <row r="6" spans="2:15" ht="13.5" x14ac:dyDescent="0.35">
      <c r="B6" s="1" t="s">
        <v>99</v>
      </c>
      <c r="C6" s="46"/>
      <c r="D6" s="49" t="s">
        <v>24</v>
      </c>
      <c r="E6" s="47">
        <v>17</v>
      </c>
      <c r="F6" s="47">
        <v>17</v>
      </c>
      <c r="G6" s="47">
        <v>17</v>
      </c>
      <c r="H6" s="47">
        <v>17</v>
      </c>
      <c r="I6" s="47">
        <v>17</v>
      </c>
      <c r="J6" s="47">
        <v>17</v>
      </c>
      <c r="K6" s="46"/>
      <c r="L6" s="47">
        <v>17</v>
      </c>
      <c r="M6" s="47">
        <v>17</v>
      </c>
      <c r="N6" s="47">
        <v>17</v>
      </c>
      <c r="O6" s="1"/>
    </row>
    <row r="7" spans="2:15" ht="13.5" x14ac:dyDescent="0.35">
      <c r="B7" s="17" t="s">
        <v>100</v>
      </c>
      <c r="C7" s="50"/>
      <c r="D7" s="96" t="s">
        <v>24</v>
      </c>
      <c r="E7" s="51">
        <v>17</v>
      </c>
      <c r="F7" s="51">
        <v>17</v>
      </c>
      <c r="G7" s="51">
        <v>17</v>
      </c>
      <c r="H7" s="51">
        <v>17</v>
      </c>
      <c r="I7" s="51">
        <v>17</v>
      </c>
      <c r="J7" s="51">
        <v>17</v>
      </c>
      <c r="K7" s="46"/>
      <c r="L7" s="51">
        <v>17</v>
      </c>
      <c r="M7" s="51">
        <v>17</v>
      </c>
      <c r="N7" s="51">
        <v>17</v>
      </c>
      <c r="O7" s="1"/>
    </row>
    <row r="8" spans="2:15" ht="13.5" x14ac:dyDescent="0.35">
      <c r="B8" s="1" t="s">
        <v>85</v>
      </c>
      <c r="C8" s="1" t="s">
        <v>87</v>
      </c>
      <c r="D8" s="32" t="s">
        <v>48</v>
      </c>
      <c r="E8" s="47">
        <v>3</v>
      </c>
      <c r="F8" s="47">
        <v>3</v>
      </c>
      <c r="G8" s="47">
        <v>3</v>
      </c>
      <c r="H8" s="47">
        <v>3</v>
      </c>
      <c r="I8" s="47">
        <v>3</v>
      </c>
      <c r="J8" s="47">
        <v>3</v>
      </c>
      <c r="K8" s="46"/>
      <c r="L8" s="47">
        <v>3</v>
      </c>
      <c r="M8" s="47">
        <v>3</v>
      </c>
      <c r="N8" s="47">
        <v>3</v>
      </c>
      <c r="O8" s="1"/>
    </row>
    <row r="9" spans="2:15" ht="13.5" x14ac:dyDescent="0.35">
      <c r="B9" s="1" t="s">
        <v>86</v>
      </c>
      <c r="C9" s="1" t="s">
        <v>88</v>
      </c>
      <c r="D9" s="32" t="s">
        <v>48</v>
      </c>
      <c r="E9" s="47">
        <v>3</v>
      </c>
      <c r="F9" s="47">
        <v>3</v>
      </c>
      <c r="G9" s="47">
        <v>3</v>
      </c>
      <c r="H9" s="47">
        <v>3</v>
      </c>
      <c r="I9" s="47">
        <v>3</v>
      </c>
      <c r="J9" s="47">
        <v>3</v>
      </c>
      <c r="K9" s="46"/>
      <c r="L9" s="47">
        <v>3</v>
      </c>
      <c r="M9" s="47">
        <v>3</v>
      </c>
      <c r="N9" s="47">
        <v>3</v>
      </c>
      <c r="O9" s="1"/>
    </row>
    <row r="10" spans="2:15" ht="13.5" x14ac:dyDescent="0.35">
      <c r="B10" s="1" t="s">
        <v>5</v>
      </c>
      <c r="C10" s="1" t="s">
        <v>65</v>
      </c>
      <c r="D10" s="3" t="s">
        <v>38</v>
      </c>
      <c r="E10" s="3">
        <f t="shared" ref="E10:J10" si="0">E8*E9</f>
        <v>9</v>
      </c>
      <c r="F10" s="3">
        <f t="shared" si="0"/>
        <v>9</v>
      </c>
      <c r="G10" s="3">
        <f t="shared" si="0"/>
        <v>9</v>
      </c>
      <c r="H10" s="3">
        <f t="shared" si="0"/>
        <v>9</v>
      </c>
      <c r="I10" s="3">
        <f t="shared" si="0"/>
        <v>9</v>
      </c>
      <c r="J10" s="3">
        <f t="shared" si="0"/>
        <v>9</v>
      </c>
      <c r="L10" s="47">
        <f>L8*L9</f>
        <v>9</v>
      </c>
      <c r="M10" s="47">
        <f>M8*M9</f>
        <v>9</v>
      </c>
      <c r="N10" s="47">
        <f>N8*N9</f>
        <v>9</v>
      </c>
      <c r="O10" s="1"/>
    </row>
    <row r="11" spans="2:15" ht="13.5" x14ac:dyDescent="0.35">
      <c r="B11" s="1" t="s">
        <v>159</v>
      </c>
      <c r="C11" s="1" t="s">
        <v>213</v>
      </c>
      <c r="D11" s="32" t="s">
        <v>48</v>
      </c>
      <c r="E11" s="3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L11" s="47">
        <v>2</v>
      </c>
      <c r="M11" s="47">
        <v>2</v>
      </c>
      <c r="N11" s="47">
        <v>2</v>
      </c>
      <c r="O11" s="1"/>
    </row>
    <row r="12" spans="2:15" ht="13.5" x14ac:dyDescent="0.35">
      <c r="B12" s="1" t="s">
        <v>158</v>
      </c>
      <c r="C12" s="1" t="s">
        <v>214</v>
      </c>
      <c r="D12" s="3" t="s">
        <v>48</v>
      </c>
      <c r="E12" s="47">
        <v>15</v>
      </c>
      <c r="F12" s="47">
        <v>15</v>
      </c>
      <c r="G12" s="47">
        <v>15</v>
      </c>
      <c r="H12" s="47">
        <v>15</v>
      </c>
      <c r="I12" s="47">
        <v>15</v>
      </c>
      <c r="J12" s="47">
        <v>15</v>
      </c>
      <c r="K12" s="46"/>
      <c r="L12" s="47">
        <v>15</v>
      </c>
      <c r="M12" s="47">
        <v>15</v>
      </c>
      <c r="N12" s="47">
        <v>15</v>
      </c>
      <c r="O12" s="1"/>
    </row>
    <row r="13" spans="2:15" ht="13.5" x14ac:dyDescent="0.35">
      <c r="B13" s="1" t="s">
        <v>160</v>
      </c>
      <c r="C13" s="1" t="s">
        <v>161</v>
      </c>
      <c r="D13" s="3" t="s">
        <v>38</v>
      </c>
      <c r="E13" s="47">
        <f t="shared" ref="E13:J13" si="1">E11*E12</f>
        <v>30</v>
      </c>
      <c r="F13" s="47">
        <f t="shared" si="1"/>
        <v>30</v>
      </c>
      <c r="G13" s="47">
        <f t="shared" si="1"/>
        <v>30</v>
      </c>
      <c r="H13" s="47">
        <f t="shared" si="1"/>
        <v>30</v>
      </c>
      <c r="I13" s="47">
        <f t="shared" si="1"/>
        <v>30</v>
      </c>
      <c r="J13" s="47">
        <f t="shared" si="1"/>
        <v>30</v>
      </c>
      <c r="K13" s="46"/>
      <c r="L13" s="47">
        <f>L11*L12</f>
        <v>30</v>
      </c>
      <c r="M13" s="47">
        <f>M11*M12</f>
        <v>30</v>
      </c>
      <c r="N13" s="47">
        <f>N11*N12</f>
        <v>30</v>
      </c>
      <c r="O13" s="1"/>
    </row>
    <row r="14" spans="2:15" ht="13.5" x14ac:dyDescent="0.35">
      <c r="B14" s="17" t="s">
        <v>162</v>
      </c>
      <c r="C14" s="17" t="s">
        <v>163</v>
      </c>
      <c r="D14" s="16" t="s">
        <v>38</v>
      </c>
      <c r="E14" s="61">
        <f t="shared" ref="E14:J14" si="2">1/(SQRT(1/E10^2+1/E13^2+1/E10^2))</f>
        <v>6.2254301747946714</v>
      </c>
      <c r="F14" s="61">
        <f t="shared" si="2"/>
        <v>6.2254301747946714</v>
      </c>
      <c r="G14" s="61">
        <f t="shared" si="2"/>
        <v>6.2254301747946714</v>
      </c>
      <c r="H14" s="61">
        <f t="shared" si="2"/>
        <v>6.2254301747946714</v>
      </c>
      <c r="I14" s="61">
        <f t="shared" si="2"/>
        <v>6.2254301747946714</v>
      </c>
      <c r="J14" s="61">
        <f t="shared" si="2"/>
        <v>6.2254301747946714</v>
      </c>
      <c r="K14" s="43"/>
      <c r="L14" s="52">
        <f>1/(SQRT(1/L10^2+1/L13^2+1/L10^2))</f>
        <v>6.2254301747946714</v>
      </c>
      <c r="M14" s="52">
        <f>1/(SQRT(1/M10^2+1/M13^2+1/M10^2))</f>
        <v>6.2254301747946714</v>
      </c>
      <c r="N14" s="52">
        <f>1/(SQRT(1/N10^2+1/N13^2+1/N10^2))</f>
        <v>6.2254301747946714</v>
      </c>
      <c r="O14" s="1"/>
    </row>
    <row r="15" spans="2:15" ht="13.5" x14ac:dyDescent="0.35">
      <c r="B15" s="1" t="s">
        <v>32</v>
      </c>
      <c r="C15" s="1" t="s">
        <v>36</v>
      </c>
      <c r="D15" s="32" t="s">
        <v>20</v>
      </c>
      <c r="E15" s="47">
        <v>0.62</v>
      </c>
      <c r="F15" s="47">
        <v>0.62</v>
      </c>
      <c r="G15" s="47">
        <v>0.62</v>
      </c>
      <c r="H15" s="47">
        <v>0.62</v>
      </c>
      <c r="I15" s="47">
        <v>0.62</v>
      </c>
      <c r="J15" s="47">
        <v>0.62</v>
      </c>
      <c r="K15" s="46"/>
      <c r="L15" s="47">
        <v>0.62</v>
      </c>
      <c r="M15" s="47">
        <v>0.62</v>
      </c>
      <c r="N15" s="47">
        <v>0.62</v>
      </c>
      <c r="O15" s="1"/>
    </row>
    <row r="16" spans="2:15" ht="13.5" x14ac:dyDescent="0.35">
      <c r="B16" s="46" t="s">
        <v>40</v>
      </c>
      <c r="C16" s="46" t="s">
        <v>45</v>
      </c>
      <c r="D16" s="47" t="s">
        <v>47</v>
      </c>
      <c r="E16" s="48">
        <v>9.81</v>
      </c>
      <c r="F16" s="48">
        <v>9.81</v>
      </c>
      <c r="G16" s="48">
        <v>9.81</v>
      </c>
      <c r="H16" s="48">
        <v>9.81</v>
      </c>
      <c r="I16" s="48">
        <v>9.81</v>
      </c>
      <c r="J16" s="48">
        <v>9.81</v>
      </c>
      <c r="K16" s="40"/>
      <c r="L16" s="48">
        <v>9.81</v>
      </c>
      <c r="M16" s="48">
        <v>9.81</v>
      </c>
      <c r="N16" s="48">
        <v>9.81</v>
      </c>
      <c r="O16" s="1"/>
    </row>
    <row r="17" spans="2:15" ht="13.5" x14ac:dyDescent="0.35">
      <c r="B17" s="46" t="s">
        <v>68</v>
      </c>
      <c r="C17" s="46" t="s">
        <v>69</v>
      </c>
      <c r="D17" s="49" t="s">
        <v>73</v>
      </c>
      <c r="E17" s="47">
        <v>95300</v>
      </c>
      <c r="F17" s="47">
        <v>95300</v>
      </c>
      <c r="G17" s="47">
        <v>95300</v>
      </c>
      <c r="H17" s="47">
        <v>95300</v>
      </c>
      <c r="I17" s="47">
        <v>95300</v>
      </c>
      <c r="J17" s="47">
        <v>95300</v>
      </c>
      <c r="K17" s="46"/>
      <c r="L17" s="47">
        <v>95300</v>
      </c>
      <c r="M17" s="47">
        <v>95300</v>
      </c>
      <c r="N17" s="47">
        <v>95300</v>
      </c>
      <c r="O17" s="1"/>
    </row>
    <row r="18" spans="2:15" ht="13.5" x14ac:dyDescent="0.35">
      <c r="B18" s="46" t="s">
        <v>70</v>
      </c>
      <c r="C18" s="46" t="s">
        <v>71</v>
      </c>
      <c r="D18" s="49" t="s">
        <v>72</v>
      </c>
      <c r="E18" s="47">
        <v>287.06</v>
      </c>
      <c r="F18" s="47">
        <v>287.06</v>
      </c>
      <c r="G18" s="47">
        <v>287.06</v>
      </c>
      <c r="H18" s="47">
        <v>287.06</v>
      </c>
      <c r="I18" s="47">
        <v>287.06</v>
      </c>
      <c r="J18" s="47">
        <v>287.06</v>
      </c>
      <c r="K18" s="46"/>
      <c r="L18" s="47">
        <v>287.06</v>
      </c>
      <c r="M18" s="47">
        <v>287.06</v>
      </c>
      <c r="N18" s="47">
        <v>287.06</v>
      </c>
      <c r="O18" s="1"/>
    </row>
    <row r="19" spans="2:15" ht="13.5" x14ac:dyDescent="0.35">
      <c r="B19" s="17" t="s">
        <v>61</v>
      </c>
      <c r="C19" s="17" t="s">
        <v>64</v>
      </c>
      <c r="D19" s="16" t="s">
        <v>25</v>
      </c>
      <c r="E19" s="61">
        <f>'4.6.2 Wetter'!$E$9</f>
        <v>5.0719645057417431</v>
      </c>
      <c r="F19" s="61">
        <f>'4.6.2 Wetter'!$E$9</f>
        <v>5.0719645057417431</v>
      </c>
      <c r="G19" s="61">
        <f>'4.6.2 Wetter'!$E$9</f>
        <v>5.0719645057417431</v>
      </c>
      <c r="H19" s="61">
        <f>'4.6.2 Wetter'!$E$9</f>
        <v>5.0719645057417431</v>
      </c>
      <c r="I19" s="61">
        <f>'4.6.2 Wetter'!$E$9</f>
        <v>5.0719645057417431</v>
      </c>
      <c r="J19" s="61">
        <f>'4.6.2 Wetter'!$E$9</f>
        <v>5.0719645057417431</v>
      </c>
      <c r="K19" s="43"/>
      <c r="L19" s="52">
        <f>'4.6.2 Wetter'!$E$9</f>
        <v>5.0719645057417431</v>
      </c>
      <c r="M19" s="52">
        <f>'4.6.2 Wetter'!$E$9</f>
        <v>5.0719645057417431</v>
      </c>
      <c r="N19" s="52">
        <f>'4.6.2 Wetter'!$E$9</f>
        <v>5.0719645057417431</v>
      </c>
      <c r="O19" s="1"/>
    </row>
    <row r="20" spans="2:15" ht="13.5" x14ac:dyDescent="0.35">
      <c r="B20" s="68" t="s">
        <v>75</v>
      </c>
      <c r="C20" s="68" t="s">
        <v>74</v>
      </c>
      <c r="D20" s="69" t="s">
        <v>76</v>
      </c>
      <c r="E20" s="47">
        <f t="shared" ref="E20:J21" si="3">E6+273.15</f>
        <v>290.14999999999998</v>
      </c>
      <c r="F20" s="47">
        <f t="shared" si="3"/>
        <v>290.14999999999998</v>
      </c>
      <c r="G20" s="47">
        <f t="shared" si="3"/>
        <v>290.14999999999998</v>
      </c>
      <c r="H20" s="47">
        <f t="shared" si="3"/>
        <v>290.14999999999998</v>
      </c>
      <c r="I20" s="47">
        <f t="shared" si="3"/>
        <v>290.14999999999998</v>
      </c>
      <c r="J20" s="47">
        <f t="shared" si="3"/>
        <v>290.14999999999998</v>
      </c>
      <c r="K20" s="46"/>
      <c r="L20" s="47">
        <f t="shared" ref="L20:N21" si="4">L6+273.15</f>
        <v>290.14999999999998</v>
      </c>
      <c r="M20" s="47">
        <f t="shared" si="4"/>
        <v>290.14999999999998</v>
      </c>
      <c r="N20" s="47">
        <f t="shared" si="4"/>
        <v>290.14999999999998</v>
      </c>
      <c r="O20" s="1"/>
    </row>
    <row r="21" spans="2:15" ht="13.5" x14ac:dyDescent="0.35">
      <c r="B21" s="68" t="s">
        <v>83</v>
      </c>
      <c r="C21" s="68" t="s">
        <v>84</v>
      </c>
      <c r="D21" s="69" t="s">
        <v>76</v>
      </c>
      <c r="E21" s="47">
        <f t="shared" si="3"/>
        <v>290.14999999999998</v>
      </c>
      <c r="F21" s="47">
        <f t="shared" si="3"/>
        <v>290.14999999999998</v>
      </c>
      <c r="G21" s="47">
        <f t="shared" si="3"/>
        <v>290.14999999999998</v>
      </c>
      <c r="H21" s="47">
        <f t="shared" si="3"/>
        <v>290.14999999999998</v>
      </c>
      <c r="I21" s="47">
        <f t="shared" si="3"/>
        <v>290.14999999999998</v>
      </c>
      <c r="J21" s="47">
        <f t="shared" si="3"/>
        <v>290.14999999999998</v>
      </c>
      <c r="K21" s="46"/>
      <c r="L21" s="47">
        <f t="shared" si="4"/>
        <v>290.14999999999998</v>
      </c>
      <c r="M21" s="47">
        <f t="shared" si="4"/>
        <v>290.14999999999998</v>
      </c>
      <c r="N21" s="47">
        <f t="shared" si="4"/>
        <v>290.14999999999998</v>
      </c>
      <c r="O21" s="1"/>
    </row>
    <row r="22" spans="2:15" ht="13.5" x14ac:dyDescent="0.35">
      <c r="B22" s="1" t="s">
        <v>80</v>
      </c>
      <c r="C22" s="1" t="s">
        <v>81</v>
      </c>
      <c r="D22" s="3" t="s">
        <v>67</v>
      </c>
      <c r="E22" s="48">
        <v>1.1331899999999999</v>
      </c>
      <c r="F22" s="48">
        <v>1.1331899999999999</v>
      </c>
      <c r="G22" s="48">
        <v>1.1331899999999999</v>
      </c>
      <c r="H22" s="48">
        <v>1.1331899999999999</v>
      </c>
      <c r="I22" s="48">
        <v>1.1331899999999999</v>
      </c>
      <c r="J22" s="48">
        <v>1.1331899999999999</v>
      </c>
      <c r="K22" s="48"/>
      <c r="L22" s="48">
        <v>1.1331899999999999</v>
      </c>
      <c r="M22" s="48">
        <v>1.1331899999999999</v>
      </c>
      <c r="N22" s="48">
        <v>1.1331899999999999</v>
      </c>
      <c r="O22" s="1"/>
    </row>
    <row r="23" spans="2:15" ht="13.5" x14ac:dyDescent="0.35">
      <c r="B23" s="1" t="s">
        <v>82</v>
      </c>
      <c r="C23" s="1" t="s">
        <v>102</v>
      </c>
      <c r="D23" s="3" t="s">
        <v>67</v>
      </c>
      <c r="E23" s="48">
        <v>1.1331899999999999</v>
      </c>
      <c r="F23" s="48">
        <v>1.1331899999999999</v>
      </c>
      <c r="G23" s="48">
        <v>1.1331899999999999</v>
      </c>
      <c r="H23" s="48">
        <v>1.1331899999999999</v>
      </c>
      <c r="I23" s="48">
        <v>1.1331899999999999</v>
      </c>
      <c r="J23" s="48">
        <v>1.1331899999999999</v>
      </c>
      <c r="K23" s="48"/>
      <c r="L23" s="48">
        <v>1.1331899999999999</v>
      </c>
      <c r="M23" s="48">
        <v>1.1331899999999999</v>
      </c>
      <c r="N23" s="48">
        <v>1.1331899999999999</v>
      </c>
      <c r="O23" s="1"/>
    </row>
    <row r="24" spans="2:15" ht="13.5" x14ac:dyDescent="0.35">
      <c r="B24" s="17" t="s">
        <v>101</v>
      </c>
      <c r="C24" s="114" t="s">
        <v>103</v>
      </c>
      <c r="D24" s="16" t="s">
        <v>104</v>
      </c>
      <c r="E24" s="61">
        <f t="shared" ref="E24:J24" si="5">(E23-E22)*E16</f>
        <v>0</v>
      </c>
      <c r="F24" s="61">
        <f t="shared" si="5"/>
        <v>0</v>
      </c>
      <c r="G24" s="61">
        <f t="shared" si="5"/>
        <v>0</v>
      </c>
      <c r="H24" s="61">
        <f t="shared" si="5"/>
        <v>0</v>
      </c>
      <c r="I24" s="61">
        <f t="shared" si="5"/>
        <v>0</v>
      </c>
      <c r="J24" s="61">
        <f t="shared" si="5"/>
        <v>0</v>
      </c>
      <c r="K24" s="43"/>
      <c r="L24" s="52">
        <f>(L23-L22)*L16</f>
        <v>0</v>
      </c>
      <c r="M24" s="52">
        <f>(M23-M22)*M16</f>
        <v>0</v>
      </c>
      <c r="N24" s="52">
        <f>(N23-N22)*N16</f>
        <v>0</v>
      </c>
      <c r="O24" s="1"/>
    </row>
    <row r="25" spans="2:15" ht="13.5" x14ac:dyDescent="0.35">
      <c r="B25" s="1" t="s">
        <v>89</v>
      </c>
      <c r="C25" s="1" t="s">
        <v>90</v>
      </c>
      <c r="D25" s="3" t="s">
        <v>73</v>
      </c>
      <c r="E25" s="60">
        <f>E4*0.5*E22*E19^2</f>
        <v>0.47370559029742249</v>
      </c>
      <c r="F25" s="60">
        <f t="shared" ref="F25:J25" si="6">F4*0.5*F22*F19^2</f>
        <v>-3.4792946114469046</v>
      </c>
      <c r="G25" s="60">
        <f t="shared" si="6"/>
        <v>-3.4296382388824047</v>
      </c>
      <c r="H25" s="60">
        <f t="shared" si="6"/>
        <v>6.9962671797773162</v>
      </c>
      <c r="I25" s="60">
        <f t="shared" si="6"/>
        <v>15.562122436615562</v>
      </c>
      <c r="J25" s="60">
        <f t="shared" si="6"/>
        <v>14.172695097464212</v>
      </c>
      <c r="K25" s="43"/>
      <c r="L25" s="48">
        <f>L4*0.5*L22*L19^2</f>
        <v>7.2877783122680375</v>
      </c>
      <c r="M25" s="48">
        <f>M4*0.5*M22*M19^2</f>
        <v>-11.660445299628861</v>
      </c>
      <c r="N25" s="48">
        <f>N4*0.5*N22*N19^2</f>
        <v>10.202889637175252</v>
      </c>
      <c r="O25" s="1"/>
    </row>
    <row r="26" spans="2:15" ht="13.5" x14ac:dyDescent="0.35">
      <c r="B26" s="17" t="s">
        <v>92</v>
      </c>
      <c r="C26" s="17" t="s">
        <v>91</v>
      </c>
      <c r="D26" s="16" t="s">
        <v>73</v>
      </c>
      <c r="E26" s="61">
        <f>E5*0.5*E22*E19^2</f>
        <v>-6.4132449147958734</v>
      </c>
      <c r="F26" s="61">
        <f t="shared" ref="F26:J26" si="7">F5*0.5*F22*F19^2</f>
        <v>-7.6026906396546243</v>
      </c>
      <c r="G26" s="61">
        <f t="shared" si="7"/>
        <v>-7.5455095158673968</v>
      </c>
      <c r="H26" s="61">
        <f t="shared" si="7"/>
        <v>-4.5913003367288638</v>
      </c>
      <c r="I26" s="61">
        <f t="shared" si="7"/>
        <v>-5.3317225666110284</v>
      </c>
      <c r="J26" s="61">
        <f t="shared" si="7"/>
        <v>-5.2914820344860223</v>
      </c>
      <c r="K26" s="43"/>
      <c r="L26" s="52">
        <f>L5*0.5*L22*L19^2</f>
        <v>-10.202889637175252</v>
      </c>
      <c r="M26" s="52">
        <f>M5*0.5*M22*M19^2</f>
        <v>-11.660445299628861</v>
      </c>
      <c r="N26" s="52">
        <f>N5*0.5*N22*N19^2</f>
        <v>-4.3726669873608222</v>
      </c>
      <c r="O26" s="1"/>
    </row>
    <row r="27" spans="2:15" ht="13.5" x14ac:dyDescent="0.35">
      <c r="B27" s="56" t="s">
        <v>156</v>
      </c>
      <c r="E27" s="60"/>
      <c r="F27" s="60"/>
      <c r="G27" s="60"/>
      <c r="H27" s="60"/>
      <c r="L27" s="47"/>
      <c r="M27" s="48"/>
      <c r="N27" s="47"/>
      <c r="O27" s="1"/>
    </row>
    <row r="28" spans="2:15" ht="13.5" x14ac:dyDescent="0.35">
      <c r="B28" s="17" t="s">
        <v>157</v>
      </c>
      <c r="C28" s="17"/>
      <c r="D28" s="16" t="s">
        <v>19</v>
      </c>
      <c r="E28" s="54">
        <f t="shared" ref="E28:J28" si="8">E15*E14*E19*SQRT(ABS(E4-E5))</f>
        <v>13.456687527410415</v>
      </c>
      <c r="F28" s="54">
        <f t="shared" si="8"/>
        <v>10.412432790328113</v>
      </c>
      <c r="G28" s="54">
        <f t="shared" si="8"/>
        <v>10.402927670762264</v>
      </c>
      <c r="H28" s="54">
        <f t="shared" si="8"/>
        <v>17.455039094270614</v>
      </c>
      <c r="I28" s="54">
        <f t="shared" si="8"/>
        <v>23.43871894207118</v>
      </c>
      <c r="J28" s="54">
        <f t="shared" si="8"/>
        <v>22.622610131644521</v>
      </c>
      <c r="K28" s="87"/>
      <c r="L28" s="102">
        <f>L15*L14*L19*SQRT(ABS(L4-L5))</f>
        <v>21.445090559512305</v>
      </c>
      <c r="M28" s="102">
        <f>M15*M14*M19*SQRT(ABS(M4-M5))</f>
        <v>0</v>
      </c>
      <c r="N28" s="102">
        <f>N15*N14*N19*SQRT(ABS(N4-N5))</f>
        <v>19.576599745309956</v>
      </c>
      <c r="O28" s="1"/>
    </row>
    <row r="29" spans="2:15" ht="13.5" x14ac:dyDescent="0.35">
      <c r="B29" s="1" t="s">
        <v>129</v>
      </c>
      <c r="D29" s="3" t="s">
        <v>19</v>
      </c>
      <c r="E29" s="60">
        <f t="shared" ref="E29:J30" si="9">E39+E45</f>
        <v>13.456768441879195</v>
      </c>
      <c r="F29" s="60">
        <f t="shared" si="9"/>
        <v>10.413193406669999</v>
      </c>
      <c r="G29" s="60">
        <f t="shared" si="9"/>
        <v>10.403690913316193</v>
      </c>
      <c r="H29" s="60">
        <f t="shared" si="9"/>
        <v>17.45507991161735</v>
      </c>
      <c r="I29" s="60">
        <f t="shared" si="9"/>
        <v>23.439644192394447</v>
      </c>
      <c r="J29" s="60">
        <f t="shared" si="9"/>
        <v>22.623454279367586</v>
      </c>
      <c r="K29" s="43"/>
      <c r="L29" s="43"/>
      <c r="M29" s="43"/>
      <c r="N29" s="43"/>
      <c r="O29" s="1"/>
    </row>
    <row r="30" spans="2:15" ht="13.5" x14ac:dyDescent="0.35">
      <c r="B30" s="1" t="s">
        <v>130</v>
      </c>
      <c r="D30" s="32" t="s">
        <v>19</v>
      </c>
      <c r="E30" s="60">
        <f>E40+E46</f>
        <v>13.456573192541546</v>
      </c>
      <c r="F30" s="60">
        <f t="shared" si="9"/>
        <v>10.4116719541168</v>
      </c>
      <c r="G30" s="60">
        <f t="shared" si="9"/>
        <v>10.402164210043614</v>
      </c>
      <c r="H30" s="60">
        <f t="shared" si="9"/>
        <v>17.454998197360297</v>
      </c>
      <c r="I30" s="60">
        <f t="shared" si="9"/>
        <v>23.437792931780709</v>
      </c>
      <c r="J30" s="60">
        <f t="shared" si="9"/>
        <v>22.621765255320074</v>
      </c>
      <c r="K30" s="43"/>
      <c r="L30" s="43"/>
      <c r="M30" s="43"/>
      <c r="N30" s="43"/>
      <c r="O30" s="1"/>
    </row>
    <row r="31" spans="2:15" ht="13.5" x14ac:dyDescent="0.35">
      <c r="B31" s="56" t="s">
        <v>131</v>
      </c>
      <c r="C31" s="56"/>
      <c r="D31" s="36" t="s">
        <v>19</v>
      </c>
      <c r="E31" s="65">
        <f t="shared" ref="E31:J31" si="10">(E29+E30)/2</f>
        <v>13.45667081721037</v>
      </c>
      <c r="F31" s="65">
        <f t="shared" si="10"/>
        <v>10.412432680393399</v>
      </c>
      <c r="G31" s="65">
        <f t="shared" si="10"/>
        <v>10.402927561679903</v>
      </c>
      <c r="H31" s="65">
        <f t="shared" si="10"/>
        <v>17.455039054488822</v>
      </c>
      <c r="I31" s="65">
        <f t="shared" si="10"/>
        <v>23.43871856208758</v>
      </c>
      <c r="J31" s="65">
        <f t="shared" si="10"/>
        <v>22.622609767343832</v>
      </c>
      <c r="K31" s="87"/>
      <c r="L31" s="87"/>
      <c r="M31" s="87"/>
      <c r="N31" s="87"/>
      <c r="O31" s="1"/>
    </row>
    <row r="32" spans="2:15" ht="13.5" x14ac:dyDescent="0.35">
      <c r="B32" s="25" t="s">
        <v>132</v>
      </c>
      <c r="C32" s="25" t="s">
        <v>133</v>
      </c>
      <c r="D32" s="53" t="s">
        <v>134</v>
      </c>
      <c r="E32" s="54">
        <f t="shared" ref="E32:J32" si="11">E31*3600/10800</f>
        <v>4.4855569390701229</v>
      </c>
      <c r="F32" s="54">
        <f t="shared" si="11"/>
        <v>3.4708108934644661</v>
      </c>
      <c r="G32" s="54">
        <f t="shared" si="11"/>
        <v>3.4676425205599677</v>
      </c>
      <c r="H32" s="54">
        <f t="shared" si="11"/>
        <v>5.8183463514962739</v>
      </c>
      <c r="I32" s="54">
        <f t="shared" si="11"/>
        <v>7.8129061873625272</v>
      </c>
      <c r="J32" s="54">
        <f t="shared" si="11"/>
        <v>7.5408699224479436</v>
      </c>
      <c r="K32" s="87"/>
      <c r="L32" s="87"/>
      <c r="M32" s="87"/>
      <c r="N32" s="87"/>
      <c r="O32" s="1"/>
    </row>
    <row r="33" spans="2:15" ht="13.5" x14ac:dyDescent="0.35">
      <c r="B33" s="56" t="s">
        <v>105</v>
      </c>
      <c r="O33" s="1"/>
    </row>
    <row r="34" spans="2:15" ht="13.5" x14ac:dyDescent="0.35">
      <c r="B34" s="1" t="s">
        <v>168</v>
      </c>
      <c r="C34" s="1" t="s">
        <v>166</v>
      </c>
      <c r="D34" s="3" t="s">
        <v>73</v>
      </c>
      <c r="E34" s="60">
        <v>-2.8215256667369135</v>
      </c>
      <c r="F34" s="60">
        <v>-5.4524996205217873</v>
      </c>
      <c r="G34" s="60">
        <v>-5.3992436197763336</v>
      </c>
      <c r="H34" s="60">
        <v>1.4519505721471706</v>
      </c>
      <c r="I34" s="60">
        <v>5.5642781221956223</v>
      </c>
      <c r="J34" s="60">
        <v>4.8589966549647414</v>
      </c>
      <c r="K34" s="43"/>
      <c r="M34" s="43"/>
      <c r="N34" s="43"/>
      <c r="O34" s="1"/>
    </row>
    <row r="35" spans="2:15" ht="13.5" x14ac:dyDescent="0.35">
      <c r="B35" s="17" t="s">
        <v>169</v>
      </c>
      <c r="C35" s="17" t="s">
        <v>167</v>
      </c>
      <c r="D35" s="16" t="s">
        <v>73</v>
      </c>
      <c r="E35" s="61">
        <v>-3.1181092805784876</v>
      </c>
      <c r="F35" s="61">
        <v>-5.6300621911723256</v>
      </c>
      <c r="G35" s="61">
        <v>-5.5764821572104708</v>
      </c>
      <c r="H35" s="61">
        <v>0.95296436066606049</v>
      </c>
      <c r="I35" s="61">
        <v>4.6645425528053179</v>
      </c>
      <c r="J35" s="61">
        <v>4.0208257739200919</v>
      </c>
      <c r="K35" s="43"/>
      <c r="L35" s="43"/>
      <c r="M35" s="43"/>
      <c r="N35" s="43"/>
      <c r="O35" s="1"/>
    </row>
    <row r="36" spans="2:15" ht="13.5" x14ac:dyDescent="0.35">
      <c r="B36" s="1" t="s">
        <v>94</v>
      </c>
      <c r="C36" s="64" t="s">
        <v>176</v>
      </c>
      <c r="D36" s="3" t="s">
        <v>73</v>
      </c>
      <c r="E36" s="60">
        <f t="shared" ref="E36:J36" si="12">E25-E34</f>
        <v>3.2952312570343358</v>
      </c>
      <c r="F36" s="60">
        <f t="shared" si="12"/>
        <v>1.9732050090748827</v>
      </c>
      <c r="G36" s="60">
        <f t="shared" si="12"/>
        <v>1.9696053808939289</v>
      </c>
      <c r="H36" s="60">
        <f t="shared" si="12"/>
        <v>5.5443166076301456</v>
      </c>
      <c r="I36" s="60">
        <f t="shared" si="12"/>
        <v>9.9978443144199396</v>
      </c>
      <c r="J36" s="60">
        <f t="shared" si="12"/>
        <v>9.3136984424994704</v>
      </c>
      <c r="K36" s="43"/>
      <c r="L36" s="43"/>
      <c r="M36" s="43"/>
      <c r="N36" s="43"/>
      <c r="O36" s="1"/>
    </row>
    <row r="37" spans="2:15" ht="13.5" x14ac:dyDescent="0.35">
      <c r="B37" s="1" t="s">
        <v>352</v>
      </c>
      <c r="C37" s="1" t="s">
        <v>111</v>
      </c>
      <c r="D37" s="3" t="s">
        <v>73</v>
      </c>
      <c r="E37" s="60">
        <f t="shared" ref="E37:J37" si="13">E36</f>
        <v>3.2952312570343358</v>
      </c>
      <c r="F37" s="60">
        <f t="shared" si="13"/>
        <v>1.9732050090748827</v>
      </c>
      <c r="G37" s="60">
        <f t="shared" si="13"/>
        <v>1.9696053808939289</v>
      </c>
      <c r="H37" s="60">
        <f t="shared" si="13"/>
        <v>5.5443166076301456</v>
      </c>
      <c r="I37" s="60">
        <f t="shared" si="13"/>
        <v>9.9978443144199396</v>
      </c>
      <c r="J37" s="60">
        <f t="shared" si="13"/>
        <v>9.3136984424994704</v>
      </c>
      <c r="K37" s="43"/>
      <c r="L37" s="43"/>
      <c r="M37" s="43"/>
      <c r="N37" s="43"/>
      <c r="O37" s="1"/>
    </row>
    <row r="38" spans="2:15" ht="13.5" x14ac:dyDescent="0.35">
      <c r="B38" s="1" t="s">
        <v>353</v>
      </c>
      <c r="C38" s="1" t="s">
        <v>112</v>
      </c>
      <c r="D38" s="3" t="s">
        <v>73</v>
      </c>
      <c r="E38" s="60">
        <f t="shared" ref="E38:J38" si="14">E36+E24*E9</f>
        <v>3.2952312570343358</v>
      </c>
      <c r="F38" s="60">
        <f t="shared" si="14"/>
        <v>1.9732050090748827</v>
      </c>
      <c r="G38" s="60">
        <f t="shared" si="14"/>
        <v>1.9696053808939289</v>
      </c>
      <c r="H38" s="60">
        <f t="shared" si="14"/>
        <v>5.5443166076301456</v>
      </c>
      <c r="I38" s="60">
        <f t="shared" si="14"/>
        <v>9.9978443144199396</v>
      </c>
      <c r="J38" s="60">
        <f t="shared" si="14"/>
        <v>9.3136984424994704</v>
      </c>
      <c r="K38" s="43"/>
      <c r="L38" s="43"/>
      <c r="M38" s="43"/>
      <c r="N38" s="43"/>
      <c r="O38" s="1"/>
    </row>
    <row r="39" spans="2:15" ht="13.5" x14ac:dyDescent="0.35">
      <c r="B39" s="1" t="s">
        <v>118</v>
      </c>
      <c r="D39" s="3" t="s">
        <v>19</v>
      </c>
      <c r="E39" s="60">
        <f t="shared" ref="E39:J39" si="15">IF(ABS(E24)&lt;0.000001,IF(E36&gt;0,E15*E10*SQRT(2*E36/E22),0),E15*E8*SQRT(2/E22)*(2/(3*ABS(E24)))*ABS(MAX(E37,0)^1.5-MAX(E38,0)^1.5))</f>
        <v>13.456768441879195</v>
      </c>
      <c r="F39" s="60">
        <f t="shared" si="15"/>
        <v>10.413193406669999</v>
      </c>
      <c r="G39" s="60">
        <f t="shared" si="15"/>
        <v>10.403690913316193</v>
      </c>
      <c r="H39" s="60">
        <f t="shared" si="15"/>
        <v>17.45507991161735</v>
      </c>
      <c r="I39" s="60">
        <f t="shared" si="15"/>
        <v>23.439644192394447</v>
      </c>
      <c r="J39" s="60">
        <f t="shared" si="15"/>
        <v>22.623454279367586</v>
      </c>
      <c r="K39" s="43"/>
      <c r="L39" s="43"/>
      <c r="M39" s="43"/>
      <c r="N39" s="43"/>
      <c r="O39" s="1"/>
    </row>
    <row r="40" spans="2:15" ht="13.5" x14ac:dyDescent="0.35">
      <c r="B40" s="1" t="s">
        <v>119</v>
      </c>
      <c r="D40" s="3" t="s">
        <v>19</v>
      </c>
      <c r="E40" s="60">
        <f>IF(ABS(E24)&lt;0.000001,IF(E36&lt;0,E15*E10*SQRT(2*(-E36)/E22),0),E15*E8*SQRT(2/E22)*(2/(3*ABS(E24)))*ABS(MAX(-E37,0)^1.5-MAX(-E38,0)^1.5))</f>
        <v>0</v>
      </c>
      <c r="F40" s="60">
        <f t="shared" ref="F40:J40" si="16">IF(ABS(F24)&lt;0.000001,IF(F36&lt;0,F15*F10*SQRT(2*(-F36)/F22),0),F15*F8*SQRT(2/F22)*(2/(3*ABS(F24)))*ABS(MAX(-F37,0)^1.5-MAX(-F38,0)^1.5))</f>
        <v>0</v>
      </c>
      <c r="G40" s="60">
        <f t="shared" si="16"/>
        <v>0</v>
      </c>
      <c r="H40" s="60">
        <f t="shared" si="16"/>
        <v>0</v>
      </c>
      <c r="I40" s="60">
        <f t="shared" si="16"/>
        <v>0</v>
      </c>
      <c r="J40" s="60">
        <f t="shared" si="16"/>
        <v>0</v>
      </c>
      <c r="K40" s="43"/>
      <c r="L40" s="43"/>
      <c r="M40" s="43"/>
      <c r="N40" s="43"/>
      <c r="O40" s="1"/>
    </row>
    <row r="41" spans="2:15" ht="13.5" x14ac:dyDescent="0.35">
      <c r="B41" s="17" t="s">
        <v>170</v>
      </c>
      <c r="C41" s="17"/>
      <c r="D41" s="16" t="s">
        <v>120</v>
      </c>
      <c r="E41" s="61">
        <f t="shared" ref="E41:J41" si="17">E22*E39-E23*E40</f>
        <v>15.249075430653084</v>
      </c>
      <c r="F41" s="61">
        <f t="shared" si="17"/>
        <v>11.800126636504375</v>
      </c>
      <c r="G41" s="61">
        <f t="shared" si="17"/>
        <v>11.789358506060777</v>
      </c>
      <c r="H41" s="61">
        <f t="shared" si="17"/>
        <v>19.779922005045663</v>
      </c>
      <c r="I41" s="61">
        <f t="shared" si="17"/>
        <v>26.561570402379459</v>
      </c>
      <c r="J41" s="61">
        <f t="shared" si="17"/>
        <v>25.636672154836553</v>
      </c>
      <c r="K41" s="43"/>
      <c r="L41" s="43"/>
      <c r="M41" s="43"/>
      <c r="N41" s="43"/>
      <c r="O41" s="1"/>
    </row>
    <row r="42" spans="2:15" ht="13.5" x14ac:dyDescent="0.35">
      <c r="B42" s="1" t="s">
        <v>122</v>
      </c>
      <c r="C42" s="64" t="s">
        <v>175</v>
      </c>
      <c r="D42" s="3" t="s">
        <v>73</v>
      </c>
      <c r="E42" s="60">
        <f t="shared" ref="E42:J42" si="18">E26-E35</f>
        <v>-3.2951356342173859</v>
      </c>
      <c r="F42" s="60">
        <f t="shared" si="18"/>
        <v>-1.9726284484822987</v>
      </c>
      <c r="G42" s="60">
        <f t="shared" si="18"/>
        <v>-1.969027358656926</v>
      </c>
      <c r="H42" s="60">
        <f t="shared" si="18"/>
        <v>-5.5442646973949241</v>
      </c>
      <c r="I42" s="60">
        <f t="shared" si="18"/>
        <v>-9.9962651194163463</v>
      </c>
      <c r="J42" s="60">
        <f t="shared" si="18"/>
        <v>-9.3123078084061142</v>
      </c>
      <c r="K42" s="43"/>
      <c r="L42" s="43"/>
      <c r="M42" s="43"/>
      <c r="N42" s="43"/>
      <c r="O42" s="1"/>
    </row>
    <row r="43" spans="2:15" ht="13.5" x14ac:dyDescent="0.35">
      <c r="B43" s="1" t="s">
        <v>354</v>
      </c>
      <c r="C43" s="1" t="s">
        <v>111</v>
      </c>
      <c r="D43" s="3" t="s">
        <v>73</v>
      </c>
      <c r="E43" s="60">
        <f t="shared" ref="E43:J43" si="19">E42</f>
        <v>-3.2951356342173859</v>
      </c>
      <c r="F43" s="60">
        <f t="shared" si="19"/>
        <v>-1.9726284484822987</v>
      </c>
      <c r="G43" s="60">
        <f t="shared" si="19"/>
        <v>-1.969027358656926</v>
      </c>
      <c r="H43" s="60">
        <f t="shared" si="19"/>
        <v>-5.5442646973949241</v>
      </c>
      <c r="I43" s="60">
        <f t="shared" si="19"/>
        <v>-9.9962651194163463</v>
      </c>
      <c r="J43" s="60">
        <f t="shared" si="19"/>
        <v>-9.3123078084061142</v>
      </c>
      <c r="K43" s="43"/>
      <c r="L43" s="43"/>
      <c r="M43" s="43"/>
      <c r="N43" s="43"/>
      <c r="O43" s="1"/>
    </row>
    <row r="44" spans="2:15" ht="13.5" x14ac:dyDescent="0.35">
      <c r="B44" s="1" t="s">
        <v>355</v>
      </c>
      <c r="C44" s="1" t="s">
        <v>112</v>
      </c>
      <c r="D44" s="3" t="s">
        <v>73</v>
      </c>
      <c r="E44" s="60">
        <f t="shared" ref="E44:J44" si="20">E42+E24*E9</f>
        <v>-3.2951356342173859</v>
      </c>
      <c r="F44" s="60">
        <f t="shared" si="20"/>
        <v>-1.9726284484822987</v>
      </c>
      <c r="G44" s="60">
        <f t="shared" si="20"/>
        <v>-1.969027358656926</v>
      </c>
      <c r="H44" s="60">
        <f t="shared" si="20"/>
        <v>-5.5442646973949241</v>
      </c>
      <c r="I44" s="60">
        <f t="shared" si="20"/>
        <v>-9.9962651194163463</v>
      </c>
      <c r="J44" s="60">
        <f t="shared" si="20"/>
        <v>-9.3123078084061142</v>
      </c>
      <c r="K44" s="43"/>
      <c r="L44" s="43"/>
      <c r="M44" s="43"/>
      <c r="N44" s="43"/>
      <c r="O44" s="1"/>
    </row>
    <row r="45" spans="2:15" ht="13.5" x14ac:dyDescent="0.35">
      <c r="B45" s="1" t="s">
        <v>123</v>
      </c>
      <c r="D45" s="3" t="s">
        <v>19</v>
      </c>
      <c r="E45" s="60">
        <f t="shared" ref="E45:J45" si="21">IF(ABS(E24)&lt;0.000001,IF(E42&gt;0,E15*E10*SQRT(2*E42/E22),0),E15*E8*SQRT(2/E22)*(2/(3*ABS(E24)))*ABS(MAX(E43,0)^1.5-MAX(E44,0)^1.5))</f>
        <v>0</v>
      </c>
      <c r="F45" s="60">
        <f t="shared" si="21"/>
        <v>0</v>
      </c>
      <c r="G45" s="60">
        <f t="shared" si="21"/>
        <v>0</v>
      </c>
      <c r="H45" s="60">
        <f t="shared" si="21"/>
        <v>0</v>
      </c>
      <c r="I45" s="60">
        <f t="shared" si="21"/>
        <v>0</v>
      </c>
      <c r="J45" s="60">
        <f t="shared" si="21"/>
        <v>0</v>
      </c>
      <c r="K45" s="43"/>
      <c r="L45" s="43"/>
      <c r="M45" s="43"/>
      <c r="N45" s="43"/>
      <c r="O45" s="1"/>
    </row>
    <row r="46" spans="2:15" ht="13.5" x14ac:dyDescent="0.35">
      <c r="B46" s="1" t="s">
        <v>124</v>
      </c>
      <c r="D46" s="3" t="s">
        <v>19</v>
      </c>
      <c r="E46" s="60">
        <f t="shared" ref="E46:J46" si="22">IF(ABS(E24)&lt;0.000001,IF(E42&lt;0,E15*E10*SQRT(2*(-E42)/E22),0),E15*E8*SQRT(2/E22)*(2/(3*ABS(E24)))*ABS(MAX(-E43,0)^1.5-MAX(-E44,0)^1.5))</f>
        <v>13.456573192541546</v>
      </c>
      <c r="F46" s="60">
        <f t="shared" si="22"/>
        <v>10.4116719541168</v>
      </c>
      <c r="G46" s="60">
        <f t="shared" si="22"/>
        <v>10.402164210043614</v>
      </c>
      <c r="H46" s="60">
        <f t="shared" si="22"/>
        <v>17.454998197360297</v>
      </c>
      <c r="I46" s="60">
        <f t="shared" si="22"/>
        <v>23.437792931780709</v>
      </c>
      <c r="J46" s="60">
        <f t="shared" si="22"/>
        <v>22.621765255320074</v>
      </c>
      <c r="K46" s="43"/>
      <c r="L46" s="43"/>
      <c r="M46" s="43"/>
      <c r="N46" s="43"/>
      <c r="O46" s="1"/>
    </row>
    <row r="47" spans="2:15" ht="13.5" x14ac:dyDescent="0.35">
      <c r="B47" s="17" t="s">
        <v>171</v>
      </c>
      <c r="C47" s="17"/>
      <c r="D47" s="16" t="s">
        <v>120</v>
      </c>
      <c r="E47" s="61">
        <f t="shared" ref="E47:J47" si="23">E45*E22-E46*E23</f>
        <v>-15.248854176056154</v>
      </c>
      <c r="F47" s="61">
        <f t="shared" si="23"/>
        <v>-11.798402541685615</v>
      </c>
      <c r="G47" s="61">
        <f t="shared" si="23"/>
        <v>-11.787628461179322</v>
      </c>
      <c r="H47" s="61">
        <f t="shared" si="23"/>
        <v>-19.779829407266714</v>
      </c>
      <c r="I47" s="61">
        <f t="shared" si="23"/>
        <v>-26.55947257236458</v>
      </c>
      <c r="J47" s="61">
        <f t="shared" si="23"/>
        <v>-25.634758169676154</v>
      </c>
      <c r="K47" s="43"/>
      <c r="L47" s="43"/>
      <c r="M47" s="43"/>
      <c r="N47" s="43"/>
      <c r="O47" s="1"/>
    </row>
    <row r="48" spans="2:15" ht="13.5" x14ac:dyDescent="0.35">
      <c r="B48" s="1" t="s">
        <v>173</v>
      </c>
      <c r="C48" s="64" t="s">
        <v>174</v>
      </c>
      <c r="D48" s="3" t="s">
        <v>73</v>
      </c>
      <c r="E48" s="60">
        <f t="shared" ref="E48:J48" si="24">E34-E35</f>
        <v>0.29658361384157406</v>
      </c>
      <c r="F48" s="60">
        <f t="shared" si="24"/>
        <v>0.17756257065053838</v>
      </c>
      <c r="G48" s="60">
        <f t="shared" si="24"/>
        <v>0.1772385374341372</v>
      </c>
      <c r="H48" s="60">
        <f t="shared" si="24"/>
        <v>0.49898621148111011</v>
      </c>
      <c r="I48" s="60">
        <f t="shared" si="24"/>
        <v>0.89973556939030441</v>
      </c>
      <c r="J48" s="60">
        <f t="shared" si="24"/>
        <v>0.83817088104464954</v>
      </c>
      <c r="K48" s="43"/>
      <c r="L48" s="43"/>
      <c r="M48" s="43"/>
      <c r="N48" s="43"/>
      <c r="O48" s="1"/>
    </row>
    <row r="49" spans="2:15" ht="13.5" x14ac:dyDescent="0.35">
      <c r="B49" s="1" t="s">
        <v>177</v>
      </c>
      <c r="C49" s="64"/>
      <c r="D49" s="3" t="s">
        <v>19</v>
      </c>
      <c r="E49" s="60">
        <f t="shared" ref="E49:J49" si="25">IF(E48&gt;0,E15*E13*SQRT(2*E48/E23), 0)</f>
        <v>13.457058851966135</v>
      </c>
      <c r="F49" s="60">
        <f t="shared" si="25"/>
        <v>10.412434615785839</v>
      </c>
      <c r="G49" s="60">
        <f t="shared" si="25"/>
        <v>10.402929472440986</v>
      </c>
      <c r="H49" s="60">
        <f t="shared" si="25"/>
        <v>17.455039977247853</v>
      </c>
      <c r="I49" s="60">
        <f t="shared" si="25"/>
        <v>23.438726979988314</v>
      </c>
      <c r="J49" s="60">
        <f t="shared" si="25"/>
        <v>22.622617876925169</v>
      </c>
      <c r="K49" s="43"/>
      <c r="L49" s="43"/>
      <c r="M49" s="43"/>
      <c r="N49" s="43"/>
      <c r="O49" s="1"/>
    </row>
    <row r="50" spans="2:15" ht="13.5" x14ac:dyDescent="0.35">
      <c r="B50" s="1" t="s">
        <v>178</v>
      </c>
      <c r="C50" s="64"/>
      <c r="D50" s="3" t="s">
        <v>19</v>
      </c>
      <c r="E50" s="60">
        <f t="shared" ref="E50:J50" si="26">IF(E48&lt;0,E15*E13*SQRT(2*(-E48)/E23),0)</f>
        <v>0</v>
      </c>
      <c r="F50" s="60">
        <f t="shared" si="26"/>
        <v>0</v>
      </c>
      <c r="G50" s="60">
        <f t="shared" si="26"/>
        <v>0</v>
      </c>
      <c r="H50" s="60">
        <f t="shared" si="26"/>
        <v>0</v>
      </c>
      <c r="I50" s="60">
        <f t="shared" si="26"/>
        <v>0</v>
      </c>
      <c r="J50" s="60">
        <f t="shared" si="26"/>
        <v>0</v>
      </c>
      <c r="K50" s="43"/>
      <c r="L50" s="43"/>
      <c r="M50" s="43"/>
      <c r="N50" s="43"/>
      <c r="O50" s="1"/>
    </row>
    <row r="51" spans="2:15" ht="13.5" x14ac:dyDescent="0.35">
      <c r="B51" s="17" t="s">
        <v>172</v>
      </c>
      <c r="C51" s="17"/>
      <c r="D51" s="16" t="s">
        <v>120</v>
      </c>
      <c r="E51" s="61">
        <f t="shared" ref="E51:J51" si="27">E49*E23-E50*E23</f>
        <v>15.249404520459503</v>
      </c>
      <c r="F51" s="61">
        <f t="shared" si="27"/>
        <v>11.799266782262354</v>
      </c>
      <c r="G51" s="61">
        <f t="shared" si="27"/>
        <v>11.788495648875401</v>
      </c>
      <c r="H51" s="61">
        <f t="shared" si="27"/>
        <v>19.779876751817493</v>
      </c>
      <c r="I51" s="61">
        <f t="shared" si="27"/>
        <v>26.560531026452956</v>
      </c>
      <c r="J51" s="61">
        <f t="shared" si="27"/>
        <v>25.635724351952831</v>
      </c>
      <c r="O51" s="1"/>
    </row>
    <row r="52" spans="2:15" ht="13.5" x14ac:dyDescent="0.35">
      <c r="B52" s="1" t="s">
        <v>183</v>
      </c>
      <c r="C52" s="64" t="s">
        <v>179</v>
      </c>
      <c r="D52" s="3" t="s">
        <v>120</v>
      </c>
      <c r="E52" s="76">
        <f t="shared" ref="E52:J52" si="28">E41-E51</f>
        <v>-3.2908980641899177E-4</v>
      </c>
      <c r="F52" s="76">
        <f t="shared" si="28"/>
        <v>8.5985424202128513E-4</v>
      </c>
      <c r="G52" s="76">
        <f t="shared" si="28"/>
        <v>8.6285718537659761E-4</v>
      </c>
      <c r="H52" s="76">
        <f t="shared" si="28"/>
        <v>4.5253228169173099E-5</v>
      </c>
      <c r="I52" s="76">
        <f t="shared" si="28"/>
        <v>1.039375926502828E-3</v>
      </c>
      <c r="J52" s="76">
        <f t="shared" si="28"/>
        <v>9.4780288372220411E-4</v>
      </c>
      <c r="K52" s="88"/>
      <c r="L52" s="88"/>
      <c r="M52" s="88"/>
      <c r="N52" s="88"/>
      <c r="O52" s="1"/>
    </row>
    <row r="53" spans="2:15" ht="13.5" x14ac:dyDescent="0.35">
      <c r="B53" s="1" t="s">
        <v>184</v>
      </c>
      <c r="C53" s="64" t="s">
        <v>180</v>
      </c>
      <c r="E53" s="76">
        <f t="shared" ref="E53:J53" si="29">E47+E51</f>
        <v>5.5034440334900125E-4</v>
      </c>
      <c r="F53" s="76">
        <f t="shared" si="29"/>
        <v>8.6424057673895049E-4</v>
      </c>
      <c r="G53" s="76">
        <f t="shared" si="29"/>
        <v>8.6718769607863067E-4</v>
      </c>
      <c r="H53" s="76">
        <f t="shared" si="29"/>
        <v>4.7344550779371275E-5</v>
      </c>
      <c r="I53" s="76">
        <f t="shared" si="29"/>
        <v>1.0584540883762372E-3</v>
      </c>
      <c r="J53" s="76">
        <f t="shared" si="29"/>
        <v>9.6618227667732981E-4</v>
      </c>
      <c r="K53" s="88"/>
      <c r="L53" s="88"/>
      <c r="M53" s="88"/>
      <c r="N53" s="88"/>
      <c r="O53" s="1"/>
    </row>
    <row r="54" spans="2:15" ht="13.5" x14ac:dyDescent="0.35">
      <c r="B54" s="17" t="s">
        <v>181</v>
      </c>
      <c r="C54" s="114" t="s">
        <v>182</v>
      </c>
      <c r="D54" s="16"/>
      <c r="E54" s="115">
        <f t="shared" ref="E54:J54" si="30">E52^2+E53^2</f>
        <v>4.1117906298645769E-7</v>
      </c>
      <c r="F54" s="115">
        <f t="shared" si="30"/>
        <v>1.4862610920040725E-6</v>
      </c>
      <c r="G54" s="115">
        <f t="shared" si="30"/>
        <v>1.4965370225861877E-6</v>
      </c>
      <c r="H54" s="115">
        <f t="shared" si="30"/>
        <v>4.2893611482317076E-9</v>
      </c>
      <c r="I54" s="115">
        <f t="shared" si="30"/>
        <v>2.2006273737939835E-6</v>
      </c>
      <c r="J54" s="115">
        <f t="shared" si="30"/>
        <v>1.8318384981575143E-6</v>
      </c>
      <c r="K54" s="88"/>
      <c r="L54" s="88"/>
      <c r="M54" s="88"/>
      <c r="N54" s="88"/>
      <c r="O54" s="1"/>
    </row>
    <row r="55" spans="2:15" ht="13.5" x14ac:dyDescent="0.35">
      <c r="O55" s="1"/>
    </row>
    <row r="56" spans="2:15" ht="13.5" x14ac:dyDescent="0.35">
      <c r="B56" s="1" t="s">
        <v>165</v>
      </c>
      <c r="O56" s="1"/>
    </row>
    <row r="57" spans="2:15" ht="13.5" x14ac:dyDescent="0.35">
      <c r="B57" s="1" t="s">
        <v>164</v>
      </c>
      <c r="O57" s="1"/>
    </row>
    <row r="58" spans="2:15" ht="13.5" x14ac:dyDescent="0.35">
      <c r="O58" s="1"/>
    </row>
    <row r="59" spans="2:15" ht="13.5" x14ac:dyDescent="0.35">
      <c r="O59" s="1"/>
    </row>
    <row r="61" spans="2:15" ht="13.5" x14ac:dyDescent="0.35">
      <c r="O61" s="1"/>
    </row>
    <row r="62" spans="2:15" ht="13.5" x14ac:dyDescent="0.35">
      <c r="O62" s="1"/>
    </row>
    <row r="63" spans="2:15" ht="13.5" x14ac:dyDescent="0.35">
      <c r="F63" s="112"/>
      <c r="O63" s="1"/>
    </row>
    <row r="64" spans="2:15" ht="13.5" x14ac:dyDescent="0.35">
      <c r="O64" s="1"/>
    </row>
    <row r="65" spans="15:15" ht="13.5" x14ac:dyDescent="0.35">
      <c r="O65" s="1"/>
    </row>
    <row r="67" spans="15:15" ht="13.5" x14ac:dyDescent="0.35">
      <c r="O67" s="1"/>
    </row>
    <row r="68" spans="15:15" ht="13.5" x14ac:dyDescent="0.35">
      <c r="O68" s="1"/>
    </row>
    <row r="69" spans="15:15" ht="13.5" x14ac:dyDescent="0.35">
      <c r="O69" s="1"/>
    </row>
    <row r="70" spans="15:15" ht="13.5" x14ac:dyDescent="0.35">
      <c r="O70" s="1"/>
    </row>
    <row r="71" spans="15:15" ht="13.5" x14ac:dyDescent="0.35">
      <c r="O71" s="1"/>
    </row>
    <row r="75" spans="15:15" ht="13.5" x14ac:dyDescent="0.35">
      <c r="O75" s="1"/>
    </row>
    <row r="76" spans="15:15" ht="13.5" x14ac:dyDescent="0.35">
      <c r="O76" s="1"/>
    </row>
    <row r="77" spans="15:15" ht="13.5" x14ac:dyDescent="0.35">
      <c r="O77" s="1"/>
    </row>
    <row r="78" spans="15:15" ht="13.5" x14ac:dyDescent="0.35">
      <c r="O78" s="1"/>
    </row>
    <row r="79" spans="15:15" ht="13.5" x14ac:dyDescent="0.35">
      <c r="O79" s="1"/>
    </row>
    <row r="80" spans="15:15" ht="13.5" x14ac:dyDescent="0.35">
      <c r="O80" s="1"/>
    </row>
    <row r="83" spans="15:15" ht="13.5" x14ac:dyDescent="0.35">
      <c r="O83" s="1"/>
    </row>
    <row r="84" spans="15:15" ht="13.5" x14ac:dyDescent="0.35">
      <c r="O84" s="1"/>
    </row>
    <row r="85" spans="15:15" ht="13.5" x14ac:dyDescent="0.35">
      <c r="O85" s="1"/>
    </row>
    <row r="87" spans="15:15" ht="13.5" x14ac:dyDescent="0.35">
      <c r="O87" s="1"/>
    </row>
  </sheetData>
  <mergeCells count="1">
    <mergeCell ref="M2:N2"/>
  </mergeCells>
  <pageMargins left="0.7" right="0.7" top="0.78740157499999996" bottom="0.78740157499999996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DC38-05DE-42FD-8B02-3180A8F625B1}">
  <dimension ref="B2:K27"/>
  <sheetViews>
    <sheetView topLeftCell="A3" workbookViewId="0">
      <selection activeCell="J23" sqref="J23"/>
    </sheetView>
  </sheetViews>
  <sheetFormatPr baseColWidth="10" defaultRowHeight="14.25" x14ac:dyDescent="0.45"/>
  <cols>
    <col min="1" max="1" width="3.9296875" style="67" customWidth="1"/>
    <col min="2" max="2" width="9" style="67" customWidth="1"/>
    <col min="3" max="3" width="22.1328125" style="67" customWidth="1"/>
    <col min="4" max="4" width="18.19921875" style="67" customWidth="1"/>
    <col min="5" max="5" width="24" style="67" customWidth="1"/>
    <col min="6" max="6" width="13.73046875" style="67" customWidth="1"/>
    <col min="7" max="7" width="15" style="67" customWidth="1"/>
    <col min="8" max="16384" width="10.6640625" style="67"/>
  </cols>
  <sheetData>
    <row r="2" spans="2:11" ht="18.399999999999999" customHeight="1" x14ac:dyDescent="0.45">
      <c r="B2" s="71" t="s">
        <v>293</v>
      </c>
      <c r="C2" s="44"/>
      <c r="D2" s="44" t="s">
        <v>294</v>
      </c>
      <c r="E2" s="44"/>
      <c r="F2" s="44"/>
      <c r="G2" s="44" t="s">
        <v>236</v>
      </c>
      <c r="H2" s="44"/>
    </row>
    <row r="3" spans="2:11" ht="18.399999999999999" customHeight="1" x14ac:dyDescent="0.45">
      <c r="B3" s="33" t="s">
        <v>233</v>
      </c>
      <c r="C3" s="33" t="s">
        <v>234</v>
      </c>
      <c r="D3" s="33" t="s">
        <v>235</v>
      </c>
      <c r="E3" s="33" t="s">
        <v>237</v>
      </c>
      <c r="F3" s="33" t="s">
        <v>238</v>
      </c>
      <c r="G3" s="33" t="s">
        <v>239</v>
      </c>
      <c r="H3" s="33" t="s">
        <v>240</v>
      </c>
    </row>
    <row r="4" spans="2:11" ht="18.399999999999999" customHeight="1" x14ac:dyDescent="0.45">
      <c r="B4" s="45" t="s">
        <v>5</v>
      </c>
      <c r="C4" s="45" t="s">
        <v>242</v>
      </c>
      <c r="D4" s="45">
        <v>247.5</v>
      </c>
      <c r="E4" s="45">
        <v>0</v>
      </c>
      <c r="F4" s="72">
        <v>4.1638000000000002</v>
      </c>
      <c r="G4" s="72">
        <v>20.607589999999998</v>
      </c>
      <c r="H4" s="34">
        <f>G4/(9*F4)</f>
        <v>0.54991407421639416</v>
      </c>
    </row>
    <row r="5" spans="2:11" ht="18.399999999999999" customHeight="1" x14ac:dyDescent="0.45">
      <c r="B5" s="3" t="s">
        <v>6</v>
      </c>
      <c r="C5" s="3" t="s">
        <v>242</v>
      </c>
      <c r="D5" s="3">
        <v>180</v>
      </c>
      <c r="E5" s="3">
        <v>67.5</v>
      </c>
      <c r="F5" s="60">
        <v>4.1638000000000002</v>
      </c>
      <c r="G5" s="60">
        <v>6.5542999999999996</v>
      </c>
      <c r="H5" s="6">
        <f t="shared" ref="H5:H10" si="0">G5/(9*F5)</f>
        <v>0.17490166567932067</v>
      </c>
    </row>
    <row r="6" spans="2:11" ht="18.399999999999999" customHeight="1" x14ac:dyDescent="0.45">
      <c r="B6" s="3" t="s">
        <v>7</v>
      </c>
      <c r="C6" s="3" t="s">
        <v>242</v>
      </c>
      <c r="D6" s="3">
        <v>157.5</v>
      </c>
      <c r="E6" s="3">
        <v>90</v>
      </c>
      <c r="F6" s="60">
        <v>4.1638000000000002</v>
      </c>
      <c r="G6" s="60">
        <v>1.871208</v>
      </c>
      <c r="H6" s="6">
        <f t="shared" si="0"/>
        <v>4.993323406503674E-2</v>
      </c>
    </row>
    <row r="7" spans="2:11" ht="18.399999999999999" customHeight="1" x14ac:dyDescent="0.45">
      <c r="B7" s="3" t="s">
        <v>8</v>
      </c>
      <c r="C7" s="3" t="s">
        <v>242</v>
      </c>
      <c r="D7" s="3">
        <v>90</v>
      </c>
      <c r="E7" s="3">
        <v>157.5</v>
      </c>
      <c r="F7" s="60">
        <v>4.1638000000000002</v>
      </c>
      <c r="G7" s="60">
        <v>0</v>
      </c>
      <c r="H7" s="6">
        <f t="shared" si="0"/>
        <v>0</v>
      </c>
    </row>
    <row r="8" spans="2:11" ht="18.399999999999999" customHeight="1" x14ac:dyDescent="0.45">
      <c r="B8" s="3" t="s">
        <v>241</v>
      </c>
      <c r="C8" s="3" t="s">
        <v>242</v>
      </c>
      <c r="D8" s="3">
        <v>0</v>
      </c>
      <c r="E8" s="3">
        <v>247.5</v>
      </c>
      <c r="F8" s="60">
        <v>4.1638000000000002</v>
      </c>
      <c r="G8" s="60">
        <v>0</v>
      </c>
      <c r="H8" s="6">
        <f t="shared" si="0"/>
        <v>0</v>
      </c>
    </row>
    <row r="9" spans="2:11" ht="18.399999999999999" customHeight="1" x14ac:dyDescent="0.45">
      <c r="B9" s="73" t="s">
        <v>243</v>
      </c>
      <c r="C9" s="45"/>
      <c r="D9" s="45"/>
      <c r="E9" s="45"/>
      <c r="F9" s="72"/>
      <c r="G9" s="45"/>
      <c r="H9" s="34"/>
    </row>
    <row r="10" spans="2:11" ht="18.399999999999999" customHeight="1" x14ac:dyDescent="0.45">
      <c r="B10" s="45" t="s">
        <v>244</v>
      </c>
      <c r="C10" s="45" t="s">
        <v>246</v>
      </c>
      <c r="D10" s="45"/>
      <c r="E10" s="45"/>
      <c r="F10" s="72">
        <v>4.1638000000000002</v>
      </c>
      <c r="G10" s="74">
        <v>37.470689999999998</v>
      </c>
      <c r="H10" s="75">
        <f t="shared" si="0"/>
        <v>0.99990633555886432</v>
      </c>
    </row>
    <row r="11" spans="2:11" ht="18.399999999999999" customHeight="1" x14ac:dyDescent="0.45">
      <c r="B11" s="3" t="s">
        <v>245</v>
      </c>
      <c r="C11" s="3" t="s">
        <v>246</v>
      </c>
      <c r="D11" s="3"/>
      <c r="E11" s="3"/>
      <c r="F11" s="60">
        <v>5.07</v>
      </c>
      <c r="G11" s="76">
        <v>45.626249999999999</v>
      </c>
      <c r="H11" s="77">
        <f>G11/(9*F11)</f>
        <v>0.99991781722550943</v>
      </c>
      <c r="K11" s="67" t="s">
        <v>52</v>
      </c>
    </row>
    <row r="12" spans="2:11" ht="18.399999999999999" customHeight="1" x14ac:dyDescent="0.45">
      <c r="B12" s="44"/>
      <c r="C12" s="44"/>
      <c r="D12" s="83"/>
      <c r="E12" s="83" t="s">
        <v>252</v>
      </c>
      <c r="F12" s="44"/>
      <c r="G12" s="44"/>
      <c r="H12" s="44"/>
      <c r="K12" s="67" t="s">
        <v>96</v>
      </c>
    </row>
    <row r="13" spans="2:11" ht="18.399999999999999" customHeight="1" x14ac:dyDescent="0.45">
      <c r="B13" s="56" t="s">
        <v>247</v>
      </c>
      <c r="C13" s="1"/>
      <c r="D13" s="84" t="s">
        <v>250</v>
      </c>
      <c r="E13" s="84" t="s">
        <v>253</v>
      </c>
      <c r="F13" s="1"/>
      <c r="G13" s="1"/>
      <c r="H13" s="1"/>
    </row>
    <row r="14" spans="2:11" ht="18.399999999999999" customHeight="1" x14ac:dyDescent="0.45">
      <c r="B14" s="57" t="s">
        <v>248</v>
      </c>
      <c r="C14" s="57" t="s">
        <v>344</v>
      </c>
      <c r="D14" s="57" t="s">
        <v>249</v>
      </c>
      <c r="E14" s="57" t="s">
        <v>251</v>
      </c>
      <c r="F14" s="57" t="s">
        <v>254</v>
      </c>
      <c r="G14" s="18"/>
      <c r="H14" s="18"/>
    </row>
    <row r="15" spans="2:11" ht="18.399999999999999" customHeight="1" x14ac:dyDescent="0.45">
      <c r="B15" s="45">
        <v>0</v>
      </c>
      <c r="C15" s="34">
        <f>H4</f>
        <v>0.54991407421639416</v>
      </c>
      <c r="D15" s="34">
        <f>0.55-(B15/180)*0.25</f>
        <v>0.55000000000000004</v>
      </c>
      <c r="E15" s="34">
        <f>MAX(0,0.55-(B15/45)*0.25)</f>
        <v>0.55000000000000004</v>
      </c>
      <c r="F15" s="45" t="s">
        <v>255</v>
      </c>
      <c r="G15" s="45"/>
      <c r="H15" s="45"/>
    </row>
    <row r="16" spans="2:11" ht="18.399999999999999" customHeight="1" x14ac:dyDescent="0.45">
      <c r="B16" s="3">
        <v>22.5</v>
      </c>
      <c r="C16" s="3"/>
      <c r="D16" s="6">
        <f t="shared" ref="D16:D24" si="1">0.55-(B16/180)*0.25</f>
        <v>0.51875000000000004</v>
      </c>
      <c r="E16" s="6">
        <f t="shared" ref="E16:E24" si="2">MAX(0,0.55-(B16/45)*0.25)</f>
        <v>0.42500000000000004</v>
      </c>
      <c r="F16" s="3"/>
      <c r="G16" s="3"/>
      <c r="H16" s="3"/>
    </row>
    <row r="17" spans="2:11" ht="18.399999999999999" customHeight="1" x14ac:dyDescent="0.45">
      <c r="B17" s="3">
        <v>45</v>
      </c>
      <c r="C17" s="3"/>
      <c r="D17" s="6">
        <f t="shared" si="1"/>
        <v>0.48750000000000004</v>
      </c>
      <c r="E17" s="6">
        <f t="shared" si="2"/>
        <v>0.30000000000000004</v>
      </c>
      <c r="F17" s="3" t="s">
        <v>256</v>
      </c>
      <c r="G17" s="3"/>
      <c r="H17" s="3"/>
    </row>
    <row r="18" spans="2:11" ht="18.399999999999999" customHeight="1" x14ac:dyDescent="0.45">
      <c r="B18" s="78">
        <v>67.5</v>
      </c>
      <c r="C18" s="6">
        <f>H5</f>
        <v>0.17490166567932067</v>
      </c>
      <c r="D18" s="6">
        <f t="shared" si="1"/>
        <v>0.45625000000000004</v>
      </c>
      <c r="E18" s="6">
        <f t="shared" si="2"/>
        <v>0.17500000000000004</v>
      </c>
      <c r="F18" s="3"/>
      <c r="G18" s="3"/>
      <c r="H18" s="3"/>
    </row>
    <row r="19" spans="2:11" ht="18.399999999999999" customHeight="1" x14ac:dyDescent="0.45">
      <c r="B19" s="78">
        <v>90</v>
      </c>
      <c r="C19" s="6">
        <f>H6</f>
        <v>4.993323406503674E-2</v>
      </c>
      <c r="D19" s="6">
        <f t="shared" si="1"/>
        <v>0.42500000000000004</v>
      </c>
      <c r="E19" s="6">
        <f t="shared" si="2"/>
        <v>5.0000000000000044E-2</v>
      </c>
      <c r="F19" s="3"/>
      <c r="G19" s="3"/>
      <c r="H19" s="3"/>
    </row>
    <row r="20" spans="2:11" ht="18.399999999999999" customHeight="1" x14ac:dyDescent="0.45">
      <c r="B20" s="78">
        <v>99</v>
      </c>
      <c r="C20" s="3"/>
      <c r="D20" s="6">
        <f t="shared" si="1"/>
        <v>0.41250000000000003</v>
      </c>
      <c r="E20" s="6">
        <f t="shared" si="2"/>
        <v>0</v>
      </c>
      <c r="F20" s="3"/>
      <c r="G20" s="3"/>
      <c r="H20" s="3"/>
    </row>
    <row r="21" spans="2:11" ht="18.399999999999999" customHeight="1" x14ac:dyDescent="0.45">
      <c r="B21" s="78">
        <v>112.5</v>
      </c>
      <c r="C21" s="3"/>
      <c r="D21" s="6">
        <f t="shared" si="1"/>
        <v>0.39375000000000004</v>
      </c>
      <c r="E21" s="6">
        <f t="shared" si="2"/>
        <v>0</v>
      </c>
      <c r="F21" s="3"/>
      <c r="G21" s="3"/>
      <c r="H21" s="3"/>
      <c r="K21" s="67" t="s">
        <v>251</v>
      </c>
    </row>
    <row r="22" spans="2:11" ht="18.399999999999999" customHeight="1" x14ac:dyDescent="0.45">
      <c r="B22" s="78">
        <v>157.5</v>
      </c>
      <c r="C22" s="6">
        <f>H7</f>
        <v>0</v>
      </c>
      <c r="D22" s="6">
        <f t="shared" si="1"/>
        <v>0.33125000000000004</v>
      </c>
      <c r="E22" s="6">
        <f t="shared" si="2"/>
        <v>0</v>
      </c>
      <c r="F22" s="3"/>
      <c r="G22" s="3"/>
      <c r="H22" s="3"/>
    </row>
    <row r="23" spans="2:11" ht="18.399999999999999" customHeight="1" x14ac:dyDescent="0.45">
      <c r="B23" s="78">
        <v>180</v>
      </c>
      <c r="C23" s="3"/>
      <c r="D23" s="6">
        <f t="shared" si="1"/>
        <v>0.30000000000000004</v>
      </c>
      <c r="E23" s="6">
        <f t="shared" si="2"/>
        <v>0</v>
      </c>
      <c r="F23" s="3"/>
      <c r="G23" s="3"/>
      <c r="H23" s="3"/>
    </row>
    <row r="24" spans="2:11" ht="18.399999999999999" customHeight="1" x14ac:dyDescent="0.45">
      <c r="B24" s="78">
        <v>247.5</v>
      </c>
      <c r="C24" s="6">
        <f>H8</f>
        <v>0</v>
      </c>
      <c r="D24" s="6">
        <f t="shared" si="1"/>
        <v>0.20625000000000004</v>
      </c>
      <c r="E24" s="6">
        <f t="shared" si="2"/>
        <v>0</v>
      </c>
      <c r="F24" s="3"/>
      <c r="G24" s="3"/>
      <c r="H24" s="3"/>
    </row>
    <row r="25" spans="2:11" ht="18.399999999999999" customHeight="1" x14ac:dyDescent="0.45">
      <c r="B25" s="73" t="s">
        <v>257</v>
      </c>
      <c r="C25" s="45"/>
      <c r="D25" s="45"/>
      <c r="E25" s="35"/>
      <c r="F25" s="45"/>
      <c r="G25" s="45"/>
      <c r="H25" s="45"/>
    </row>
    <row r="26" spans="2:11" ht="18.399999999999999" customHeight="1" x14ac:dyDescent="0.45">
      <c r="B26" s="79" t="s">
        <v>259</v>
      </c>
      <c r="C26" s="45">
        <f>(C18-C15)/$B18</f>
        <v>-5.5557393857344223E-3</v>
      </c>
      <c r="D26" s="45">
        <f>(D18-D15)/$B18</f>
        <v>-1.3888888888888889E-3</v>
      </c>
      <c r="E26" s="45">
        <f>(E18-E15)/$B18</f>
        <v>-5.5555555555555558E-3</v>
      </c>
      <c r="F26" s="45">
        <f>(0.3-0.55)/B17</f>
        <v>-5.5555555555555566E-3</v>
      </c>
      <c r="G26" s="45"/>
      <c r="H26" s="45"/>
    </row>
    <row r="27" spans="2:11" ht="18.399999999999999" customHeight="1" x14ac:dyDescent="0.45">
      <c r="B27" s="80" t="s">
        <v>260</v>
      </c>
      <c r="C27" s="81">
        <f>C26</f>
        <v>-5.5557393857344223E-3</v>
      </c>
      <c r="D27" s="82">
        <f>D26</f>
        <v>-1.3888888888888889E-3</v>
      </c>
      <c r="E27" s="81">
        <f>E26</f>
        <v>-5.5555555555555558E-3</v>
      </c>
      <c r="F27" s="81">
        <f>F26</f>
        <v>-5.5555555555555566E-3</v>
      </c>
      <c r="G27" s="16"/>
      <c r="H27" s="16"/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2687-6C15-4B86-B200-8D012B2BBD9B}">
  <dimension ref="B2:L38"/>
  <sheetViews>
    <sheetView workbookViewId="0">
      <selection activeCell="A3" sqref="A3:XFD3"/>
    </sheetView>
  </sheetViews>
  <sheetFormatPr baseColWidth="10" defaultRowHeight="13.5" x14ac:dyDescent="0.35"/>
  <cols>
    <col min="1" max="1" width="3.265625" style="1" customWidth="1"/>
    <col min="2" max="2" width="9.73046875" style="1" customWidth="1"/>
    <col min="3" max="3" width="9.265625" style="1" customWidth="1"/>
    <col min="4" max="4" width="11.9296875" style="1" customWidth="1"/>
    <col min="5" max="5" width="12.33203125" style="1" customWidth="1"/>
    <col min="6" max="6" width="8.265625" style="1" customWidth="1"/>
    <col min="7" max="7" width="7.73046875" style="1" customWidth="1"/>
    <col min="8" max="8" width="9.33203125" style="1" bestFit="1" customWidth="1"/>
    <col min="9" max="9" width="10.46484375" style="1" bestFit="1" customWidth="1"/>
    <col min="10" max="10" width="7.53125" style="1" bestFit="1" customWidth="1"/>
    <col min="11" max="11" width="9.796875" style="1" customWidth="1"/>
    <col min="12" max="12" width="8.53125" style="1" customWidth="1"/>
    <col min="13" max="16384" width="10.6640625" style="1"/>
  </cols>
  <sheetData>
    <row r="2" spans="2:12" x14ac:dyDescent="0.35">
      <c r="B2" s="1" t="s">
        <v>185</v>
      </c>
    </row>
    <row r="3" spans="2:12" s="3" customFormat="1" ht="15.85" customHeight="1" x14ac:dyDescent="0.35">
      <c r="B3" s="180" t="s">
        <v>210</v>
      </c>
      <c r="C3" s="179" t="s">
        <v>66</v>
      </c>
      <c r="D3" s="179" t="s">
        <v>186</v>
      </c>
      <c r="E3" s="179" t="s">
        <v>187</v>
      </c>
      <c r="F3" s="179" t="s">
        <v>188</v>
      </c>
      <c r="G3" s="179" t="s">
        <v>189</v>
      </c>
      <c r="H3" s="179" t="s">
        <v>202</v>
      </c>
      <c r="I3" s="179" t="s">
        <v>203</v>
      </c>
      <c r="J3" s="179" t="s">
        <v>204</v>
      </c>
      <c r="K3" s="179" t="s">
        <v>205</v>
      </c>
      <c r="L3" s="179" t="s">
        <v>206</v>
      </c>
    </row>
    <row r="4" spans="2:12" s="2" customFormat="1" ht="15.85" customHeight="1" x14ac:dyDescent="0.35">
      <c r="B4" s="181"/>
      <c r="C4" s="163"/>
      <c r="D4" s="163"/>
      <c r="E4" s="163"/>
      <c r="F4" s="163"/>
      <c r="G4" s="163"/>
      <c r="H4" s="163"/>
      <c r="I4" s="163"/>
      <c r="J4" s="163"/>
      <c r="K4" s="163"/>
      <c r="L4" s="163"/>
    </row>
    <row r="5" spans="2:12" ht="15.85" customHeight="1" x14ac:dyDescent="0.35">
      <c r="B5" s="3">
        <v>1</v>
      </c>
      <c r="C5" s="26">
        <v>1</v>
      </c>
      <c r="D5" s="27" t="s">
        <v>193</v>
      </c>
      <c r="E5" s="3" t="s">
        <v>200</v>
      </c>
      <c r="F5" s="4" t="s">
        <v>195</v>
      </c>
      <c r="G5" s="3" t="s">
        <v>198</v>
      </c>
      <c r="H5" s="19">
        <v>9.6</v>
      </c>
      <c r="I5" s="19">
        <v>10.013999999999999</v>
      </c>
      <c r="J5" s="20">
        <f t="shared" ref="J5:J10" si="0">AVERAGE(H5:I5)</f>
        <v>9.8069999999999986</v>
      </c>
      <c r="K5" s="21">
        <f t="shared" ref="K5:K10" si="1">ABS(H5-I5)/MAX(ABS(H5),ABS(I5))</f>
        <v>4.1342121030557191E-2</v>
      </c>
      <c r="L5" s="12">
        <f t="shared" ref="L5:L9" si="2">J5*3600/10800</f>
        <v>3.2689999999999997</v>
      </c>
    </row>
    <row r="6" spans="2:12" ht="15.85" customHeight="1" x14ac:dyDescent="0.35">
      <c r="B6" s="3">
        <v>2</v>
      </c>
      <c r="C6" s="26">
        <v>3</v>
      </c>
      <c r="D6" s="27" t="s">
        <v>193</v>
      </c>
      <c r="E6" s="3" t="s">
        <v>200</v>
      </c>
      <c r="F6" s="4" t="s">
        <v>196</v>
      </c>
      <c r="G6" s="3" t="s">
        <v>199</v>
      </c>
      <c r="H6" s="19">
        <v>8.3539999999999992</v>
      </c>
      <c r="I6" s="19">
        <v>8.7889999999999997</v>
      </c>
      <c r="J6" s="20">
        <f t="shared" si="0"/>
        <v>8.5715000000000003</v>
      </c>
      <c r="K6" s="21">
        <f t="shared" si="1"/>
        <v>4.9493685288428776E-2</v>
      </c>
      <c r="L6" s="12">
        <f t="shared" si="2"/>
        <v>2.8571666666666666</v>
      </c>
    </row>
    <row r="7" spans="2:12" ht="15.85" customHeight="1" x14ac:dyDescent="0.35">
      <c r="B7" s="3">
        <v>3</v>
      </c>
      <c r="C7" s="26">
        <v>4</v>
      </c>
      <c r="D7" s="27" t="s">
        <v>193</v>
      </c>
      <c r="E7" s="3" t="s">
        <v>200</v>
      </c>
      <c r="F7" s="4" t="s">
        <v>197</v>
      </c>
      <c r="G7" s="3" t="s">
        <v>198</v>
      </c>
      <c r="H7" s="19">
        <v>8.9420000000000002</v>
      </c>
      <c r="I7" s="19">
        <v>9.3759999999999994</v>
      </c>
      <c r="J7" s="20">
        <f t="shared" si="0"/>
        <v>9.1589999999999989</v>
      </c>
      <c r="K7" s="21">
        <f t="shared" si="1"/>
        <v>4.6288395904436785E-2</v>
      </c>
      <c r="L7" s="12">
        <f t="shared" si="2"/>
        <v>3.0529999999999995</v>
      </c>
    </row>
    <row r="8" spans="2:12" ht="15.85" customHeight="1" x14ac:dyDescent="0.35">
      <c r="B8" s="3">
        <v>4</v>
      </c>
      <c r="C8" s="26" t="s">
        <v>190</v>
      </c>
      <c r="D8" s="27" t="s">
        <v>194</v>
      </c>
      <c r="E8" s="3" t="s">
        <v>201</v>
      </c>
      <c r="F8" s="4" t="s">
        <v>195</v>
      </c>
      <c r="G8" s="3" t="s">
        <v>198</v>
      </c>
      <c r="H8" s="19">
        <v>22.608000000000001</v>
      </c>
      <c r="I8" s="19">
        <v>25.552</v>
      </c>
      <c r="J8" s="20">
        <f t="shared" si="0"/>
        <v>24.08</v>
      </c>
      <c r="K8" s="21">
        <f t="shared" si="1"/>
        <v>0.11521603005635563</v>
      </c>
      <c r="L8" s="12">
        <f t="shared" si="2"/>
        <v>8.0266666666666673</v>
      </c>
    </row>
    <row r="9" spans="2:12" ht="15.85" customHeight="1" x14ac:dyDescent="0.35">
      <c r="B9" s="3">
        <v>5</v>
      </c>
      <c r="C9" s="28" t="s">
        <v>191</v>
      </c>
      <c r="D9" s="27" t="s">
        <v>194</v>
      </c>
      <c r="E9" s="3" t="s">
        <v>201</v>
      </c>
      <c r="F9" s="4" t="s">
        <v>195</v>
      </c>
      <c r="G9" s="3" t="s">
        <v>199</v>
      </c>
      <c r="H9" s="19">
        <v>20.858000000000001</v>
      </c>
      <c r="I9" s="19">
        <v>23.68</v>
      </c>
      <c r="J9" s="20">
        <f t="shared" si="0"/>
        <v>22.268999999999998</v>
      </c>
      <c r="K9" s="21">
        <f t="shared" si="1"/>
        <v>0.11917229729729727</v>
      </c>
      <c r="L9" s="12">
        <f t="shared" si="2"/>
        <v>7.4229999999999992</v>
      </c>
    </row>
    <row r="10" spans="2:12" ht="15.85" customHeight="1" x14ac:dyDescent="0.35">
      <c r="B10" s="16">
        <v>6</v>
      </c>
      <c r="C10" s="29" t="s">
        <v>192</v>
      </c>
      <c r="D10" s="30" t="s">
        <v>194</v>
      </c>
      <c r="E10" s="16" t="s">
        <v>201</v>
      </c>
      <c r="F10" s="7" t="s">
        <v>197</v>
      </c>
      <c r="G10" s="16" t="s">
        <v>198</v>
      </c>
      <c r="H10" s="22">
        <v>23.899000000000001</v>
      </c>
      <c r="I10" s="22">
        <v>26.43</v>
      </c>
      <c r="J10" s="23">
        <f t="shared" si="0"/>
        <v>25.1645</v>
      </c>
      <c r="K10" s="24">
        <f t="shared" si="1"/>
        <v>9.5762391222096052E-2</v>
      </c>
      <c r="L10" s="13">
        <f>J10*3600/10800</f>
        <v>8.3881666666666668</v>
      </c>
    </row>
    <row r="11" spans="2:12" ht="15.85" customHeight="1" x14ac:dyDescent="0.35"/>
    <row r="12" spans="2:12" ht="15.85" customHeight="1" x14ac:dyDescent="0.35"/>
    <row r="13" spans="2:12" ht="15.85" customHeight="1" x14ac:dyDescent="0.35">
      <c r="C13" s="2"/>
      <c r="H13" s="40"/>
    </row>
    <row r="14" spans="2:12" ht="15.85" customHeight="1" x14ac:dyDescent="0.35">
      <c r="C14" s="2"/>
      <c r="H14" s="41"/>
    </row>
    <row r="15" spans="2:12" ht="15.85" customHeight="1" x14ac:dyDescent="0.35">
      <c r="H15" s="41"/>
    </row>
    <row r="16" spans="2:12" ht="15.85" customHeight="1" x14ac:dyDescent="0.35">
      <c r="H16" s="42"/>
    </row>
    <row r="17" spans="8:8" ht="15.85" customHeight="1" x14ac:dyDescent="0.35"/>
    <row r="18" spans="8:8" ht="15.85" customHeight="1" x14ac:dyDescent="0.35">
      <c r="H18" s="43"/>
    </row>
    <row r="19" spans="8:8" ht="15.85" customHeight="1" x14ac:dyDescent="0.35">
      <c r="H19" s="43"/>
    </row>
    <row r="20" spans="8:8" ht="15.85" customHeight="1" x14ac:dyDescent="0.35"/>
    <row r="21" spans="8:8" ht="15.85" customHeight="1" x14ac:dyDescent="0.35"/>
    <row r="22" spans="8:8" ht="15.85" customHeight="1" x14ac:dyDescent="0.35"/>
    <row r="23" spans="8:8" ht="15.85" customHeight="1" x14ac:dyDescent="0.35"/>
    <row r="24" spans="8:8" ht="15.85" customHeight="1" x14ac:dyDescent="0.35"/>
    <row r="25" spans="8:8" ht="15.85" customHeight="1" x14ac:dyDescent="0.35"/>
    <row r="26" spans="8:8" ht="15.85" customHeight="1" x14ac:dyDescent="0.35"/>
    <row r="27" spans="8:8" ht="15.85" customHeight="1" x14ac:dyDescent="0.35"/>
    <row r="28" spans="8:8" ht="15.85" customHeight="1" x14ac:dyDescent="0.35"/>
    <row r="29" spans="8:8" ht="15.85" customHeight="1" x14ac:dyDescent="0.35"/>
    <row r="30" spans="8:8" ht="15.85" customHeight="1" x14ac:dyDescent="0.35"/>
    <row r="31" spans="8:8" ht="15.85" customHeight="1" x14ac:dyDescent="0.35"/>
    <row r="33" ht="28.9" customHeight="1" x14ac:dyDescent="0.35"/>
    <row r="34" ht="28.5" customHeight="1" x14ac:dyDescent="0.35"/>
    <row r="35" ht="28.15" customHeight="1" x14ac:dyDescent="0.35"/>
    <row r="36" ht="14.25" customHeight="1" x14ac:dyDescent="0.35"/>
    <row r="37" ht="28.5" customHeight="1" x14ac:dyDescent="0.35"/>
    <row r="38" ht="42" customHeight="1" x14ac:dyDescent="0.35"/>
  </sheetData>
  <mergeCells count="11">
    <mergeCell ref="G3:G4"/>
    <mergeCell ref="B3:B4"/>
    <mergeCell ref="C3:C4"/>
    <mergeCell ref="D3:D4"/>
    <mergeCell ref="E3:E4"/>
    <mergeCell ref="F3:F4"/>
    <mergeCell ref="H3:H4"/>
    <mergeCell ref="I3:I4"/>
    <mergeCell ref="J3:J4"/>
    <mergeCell ref="K3:K4"/>
    <mergeCell ref="L3:L4"/>
  </mergeCells>
  <phoneticPr fontId="2" type="noConversion"/>
  <pageMargins left="0.7" right="0.7" top="0.78740157499999996" bottom="0.78740157499999996" header="0.3" footer="0.3"/>
  <ignoredErrors>
    <ignoredError sqref="C9:C10" twoDigitTextYea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B544-0620-4000-B66C-ADFC6A6A330D}">
  <dimension ref="A1:R40"/>
  <sheetViews>
    <sheetView zoomScaleNormal="100" workbookViewId="0">
      <selection activeCell="L20" sqref="L20"/>
    </sheetView>
  </sheetViews>
  <sheetFormatPr baseColWidth="10" defaultRowHeight="13.5" x14ac:dyDescent="0.35"/>
  <cols>
    <col min="1" max="1" width="3.6640625" style="1" customWidth="1"/>
    <col min="2" max="2" width="15.265625" style="1" bestFit="1" customWidth="1"/>
    <col min="3" max="15" width="9.53125" style="3" customWidth="1"/>
    <col min="16" max="16" width="3.265625" style="1" customWidth="1"/>
    <col min="17" max="17" width="4.59765625" style="1" bestFit="1" customWidth="1"/>
    <col min="18" max="16384" width="10.6640625" style="1"/>
  </cols>
  <sheetData>
    <row r="1" spans="2:18" x14ac:dyDescent="0.35">
      <c r="B1" s="17" t="s">
        <v>364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x14ac:dyDescent="0.35">
      <c r="C2" s="118" t="s">
        <v>210</v>
      </c>
      <c r="H2" s="118"/>
      <c r="I2" s="118" t="s">
        <v>363</v>
      </c>
      <c r="K2" s="118" t="s">
        <v>283</v>
      </c>
    </row>
    <row r="3" spans="2:18" x14ac:dyDescent="0.35">
      <c r="B3" s="17" t="s">
        <v>356</v>
      </c>
      <c r="C3" s="16">
        <v>1</v>
      </c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19" t="s">
        <v>335</v>
      </c>
      <c r="J3" s="58" t="s">
        <v>336</v>
      </c>
      <c r="K3" s="58" t="s">
        <v>362</v>
      </c>
      <c r="L3" s="58" t="s">
        <v>289</v>
      </c>
      <c r="M3" s="58" t="s">
        <v>290</v>
      </c>
      <c r="N3" s="58" t="s">
        <v>291</v>
      </c>
      <c r="O3" s="58" t="s">
        <v>417</v>
      </c>
      <c r="Q3" s="32" t="s">
        <v>365</v>
      </c>
      <c r="R3" s="1" t="s">
        <v>284</v>
      </c>
    </row>
    <row r="4" spans="2:18" x14ac:dyDescent="0.35">
      <c r="B4" s="1" t="s">
        <v>282</v>
      </c>
      <c r="C4" s="6">
        <f>'5.3 CFD'!L5</f>
        <v>3.2689999999999997</v>
      </c>
      <c r="D4" s="6">
        <f>'5.3 CFD'!L6</f>
        <v>2.8571666666666666</v>
      </c>
      <c r="E4" s="6">
        <f>'5.3 CFD'!L7</f>
        <v>3.0529999999999995</v>
      </c>
      <c r="F4" s="6">
        <f>'5.3 CFD'!L8</f>
        <v>8.0266666666666673</v>
      </c>
      <c r="G4" s="6">
        <f>'5.3 CFD'!L9</f>
        <v>7.4229999999999992</v>
      </c>
      <c r="H4" s="6">
        <f>'5.3 CFD'!L10</f>
        <v>8.3881666666666668</v>
      </c>
      <c r="I4" s="6">
        <f>AVERAGE(C4:E4)</f>
        <v>3.0597222222222218</v>
      </c>
      <c r="J4" s="6">
        <f>AVERAGE(F4:H4)</f>
        <v>7.9459444444444438</v>
      </c>
      <c r="K4" s="120">
        <f>D4/C4-1</f>
        <v>-0.12598144182726612</v>
      </c>
      <c r="L4" s="120">
        <f>G4/F4-1</f>
        <v>-7.5207641196013419E-2</v>
      </c>
      <c r="M4" s="120">
        <f>E4/C4-1</f>
        <v>-6.6075252370755622E-2</v>
      </c>
      <c r="N4" s="121">
        <f>H4/F4-1</f>
        <v>4.503737541528241E-2</v>
      </c>
      <c r="O4" s="120">
        <f>J4/I4-1</f>
        <v>1.5969496141625057</v>
      </c>
      <c r="Q4" s="32" t="s">
        <v>289</v>
      </c>
      <c r="R4" s="1" t="s">
        <v>285</v>
      </c>
    </row>
    <row r="5" spans="2:18" x14ac:dyDescent="0.35">
      <c r="B5" s="1" t="s">
        <v>324</v>
      </c>
      <c r="C5" s="6">
        <f>'5.2.3 AFN_1Zone'!E29</f>
        <v>4.5853771076570586</v>
      </c>
      <c r="D5" s="6">
        <f>'5.2.3 AFN_2Zonen'!E32</f>
        <v>4.4855569390701229</v>
      </c>
      <c r="E5" s="6">
        <f>'5.2.3 AFN_1Zone'!E29</f>
        <v>4.5853771076570586</v>
      </c>
      <c r="F5" s="6">
        <f>'5.2.3 AFN_1Zone'!J29</f>
        <v>5.9478186227550758</v>
      </c>
      <c r="G5" s="6">
        <f>'5.2.3 AFN_2Zonen'!H32</f>
        <v>5.8183463514962739</v>
      </c>
      <c r="H5" s="6">
        <f>'5.2.3 AFN_1Zone'!J29</f>
        <v>5.9478186227550758</v>
      </c>
      <c r="I5" s="6">
        <f>AVERAGE(C5:E5)</f>
        <v>4.5521037181280803</v>
      </c>
      <c r="J5" s="6">
        <f>AVERAGE(F5:H5)</f>
        <v>5.9046611990021418</v>
      </c>
      <c r="K5" s="120">
        <f>D5/C5-1</f>
        <v>-2.1769238656564882E-2</v>
      </c>
      <c r="L5" s="120">
        <f>G5/F5-1</f>
        <v>-2.1768026140452368E-2</v>
      </c>
      <c r="M5" s="120">
        <f>E5/C5-1</f>
        <v>0</v>
      </c>
      <c r="N5" s="120">
        <f>H5/F5-1</f>
        <v>0</v>
      </c>
      <c r="O5" s="120">
        <f t="shared" ref="O5:O11" si="0">J5/I5-1</f>
        <v>0.2971280016067519</v>
      </c>
      <c r="Q5" s="32" t="s">
        <v>290</v>
      </c>
      <c r="R5" s="1" t="s">
        <v>286</v>
      </c>
    </row>
    <row r="6" spans="2:18" x14ac:dyDescent="0.35">
      <c r="B6" s="1" t="s">
        <v>326</v>
      </c>
      <c r="C6" s="6">
        <f>'5.2.3 AFN_1Zone'!G29</f>
        <v>3.3913457432986145</v>
      </c>
      <c r="D6" s="6">
        <f>'5.2.3 AFN_2Zonen'!G32</f>
        <v>3.4676425205599677</v>
      </c>
      <c r="E6" s="6">
        <f>'5.2.3 AFN_1Zone'!I29</f>
        <v>3.3833940333543877</v>
      </c>
      <c r="F6" s="6">
        <f>'5.2.3 AFN_1Zone'!L29</f>
        <v>7.7471422053634615</v>
      </c>
      <c r="G6" s="6">
        <f>'5.2.3 AFN_2Zonen'!J32</f>
        <v>7.5408699224479436</v>
      </c>
      <c r="H6" s="6">
        <f>'5.2.3 AFN_1Zone'!N29</f>
        <v>7.5497537085379873</v>
      </c>
      <c r="I6" s="6">
        <f>AVERAGE(C6:E6)</f>
        <v>3.4141274324043231</v>
      </c>
      <c r="J6" s="6">
        <f>AVERAGE(F6:H6)</f>
        <v>7.6125886121164648</v>
      </c>
      <c r="K6" s="122">
        <f>D6/C6-1</f>
        <v>2.2497493041550687E-2</v>
      </c>
      <c r="L6" s="120">
        <f>G6/F6-1</f>
        <v>-2.6625596568075505E-2</v>
      </c>
      <c r="M6" s="120">
        <f>E6/C6-1</f>
        <v>-2.3447063632304754E-3</v>
      </c>
      <c r="N6" s="152">
        <f>H6/F6-1</f>
        <v>-2.5478878739158661E-2</v>
      </c>
      <c r="O6" s="120">
        <f t="shared" si="0"/>
        <v>1.2297318312912147</v>
      </c>
      <c r="Q6" s="32" t="s">
        <v>291</v>
      </c>
      <c r="R6" s="1" t="s">
        <v>287</v>
      </c>
    </row>
    <row r="7" spans="2:18" x14ac:dyDescent="0.35">
      <c r="B7" s="1" t="s">
        <v>325</v>
      </c>
      <c r="C7" s="6">
        <f>'5.2.3 AFN_1Zone'!F29</f>
        <v>3.5724146604873703</v>
      </c>
      <c r="D7" s="6">
        <f>'5.2.3 AFN_2Zonen'!F32</f>
        <v>3.4708108934644661</v>
      </c>
      <c r="E7" s="6">
        <f>'5.2.3 AFN_1Zone'!H29</f>
        <v>3.5544134310024385</v>
      </c>
      <c r="F7" s="6">
        <f>'5.2.3 AFN_1Zone'!K29</f>
        <v>8.0122576587378305</v>
      </c>
      <c r="G7" s="6">
        <f>'5.2.3 AFN_2Zonen'!I32</f>
        <v>7.8129061873625272</v>
      </c>
      <c r="H7" s="6">
        <f>'5.2.3 AFN_1Zone'!M29</f>
        <v>8.0535937181135111</v>
      </c>
      <c r="I7" s="6">
        <f>AVERAGE(C7:E7)</f>
        <v>3.5325463283180922</v>
      </c>
      <c r="J7" s="6">
        <f>AVERAGE(F7:H7)</f>
        <v>7.9595858547379565</v>
      </c>
      <c r="K7" s="120">
        <f>D7/C7-1</f>
        <v>-2.8441202010139222E-2</v>
      </c>
      <c r="L7" s="120">
        <f>G7/F7-1</f>
        <v>-2.4880811360066368E-2</v>
      </c>
      <c r="M7" s="120">
        <f>E7/C7-1</f>
        <v>-5.0389529759896634E-3</v>
      </c>
      <c r="N7" s="121">
        <f>H7/F7-1</f>
        <v>5.1591026070663126E-3</v>
      </c>
      <c r="O7" s="120">
        <f t="shared" si="0"/>
        <v>1.2532148526775746</v>
      </c>
      <c r="Q7" s="32" t="s">
        <v>292</v>
      </c>
      <c r="R7" s="1" t="s">
        <v>288</v>
      </c>
    </row>
    <row r="8" spans="2:18" x14ac:dyDescent="0.35">
      <c r="B8" s="1" t="s">
        <v>328</v>
      </c>
      <c r="C8" s="6">
        <f>'5.2.1 DFR'!J23</f>
        <v>3.0709213217657014</v>
      </c>
      <c r="D8" s="6">
        <f>'5.2.1 DFR'!K23</f>
        <v>3.0040734330048187</v>
      </c>
      <c r="E8" s="6">
        <f>'5.2.1 DFR'!J23</f>
        <v>3.0709213217657014</v>
      </c>
      <c r="F8" s="6">
        <f>'5.2.1 DFR'!L23</f>
        <v>7.4138599039874666</v>
      </c>
      <c r="G8" s="6">
        <f>'5.2.1 DFR'!M23</f>
        <v>7.2524748243249348</v>
      </c>
      <c r="H8" s="6">
        <f>'5.2.1 DFR'!L23</f>
        <v>7.4138599039874666</v>
      </c>
      <c r="I8" s="6">
        <f t="shared" ref="I8:I11" si="1">AVERAGE(C8:E8)</f>
        <v>3.0486386921787401</v>
      </c>
      <c r="J8" s="6">
        <f t="shared" ref="J8:J11" si="2">AVERAGE(F8:H8)</f>
        <v>7.3600648774332891</v>
      </c>
      <c r="K8" s="120">
        <f t="shared" ref="K8:K11" si="3">D8/C8-1</f>
        <v>-2.176802391096333E-2</v>
      </c>
      <c r="L8" s="120">
        <f t="shared" ref="L8:L11" si="4">G8/F8-1</f>
        <v>-2.176802391096333E-2</v>
      </c>
      <c r="M8" s="120">
        <f t="shared" ref="M8:M11" si="5">E8/C8-1</f>
        <v>0</v>
      </c>
      <c r="N8" s="120">
        <f t="shared" ref="N8:N11" si="6">H8/F8-1</f>
        <v>0</v>
      </c>
      <c r="O8" s="120">
        <f t="shared" si="0"/>
        <v>1.4142135623730949</v>
      </c>
      <c r="Q8" s="32"/>
    </row>
    <row r="9" spans="2:18" x14ac:dyDescent="0.35">
      <c r="B9" s="1" t="s">
        <v>361</v>
      </c>
      <c r="C9" s="6">
        <f>'5.2.1 DFR'!F23</f>
        <v>2.5527824918462501</v>
      </c>
      <c r="D9" s="6">
        <f>'5.2.1 DFR'!G23</f>
        <v>2.4972134615242525</v>
      </c>
      <c r="E9" s="6">
        <f>'5.2.1 DFR'!F23</f>
        <v>2.5527824918462501</v>
      </c>
      <c r="F9" s="6">
        <f>'5.2.1 DFR'!H23</f>
        <v>6.1629621136038013</v>
      </c>
      <c r="G9" s="6">
        <f>'5.2.1 DFR'!I23</f>
        <v>6.0288066069525117</v>
      </c>
      <c r="H9" s="6">
        <f>'5.2.1 DFR'!H23</f>
        <v>6.1629621136038013</v>
      </c>
      <c r="I9" s="6">
        <f>AVERAGE(C9:E9)</f>
        <v>2.5342594817389177</v>
      </c>
      <c r="J9" s="6">
        <f>AVERAGE(F9:H9)</f>
        <v>6.1182436113867054</v>
      </c>
      <c r="K9" s="120">
        <f>D9/C9-1</f>
        <v>-2.1768023910963219E-2</v>
      </c>
      <c r="L9" s="120">
        <f>G9/F9-1</f>
        <v>-2.1768023910963441E-2</v>
      </c>
      <c r="M9" s="120">
        <f>E9/C9-1</f>
        <v>0</v>
      </c>
      <c r="N9" s="120">
        <f>H9/F9-1</f>
        <v>0</v>
      </c>
      <c r="O9" s="120">
        <f t="shared" si="0"/>
        <v>1.4142135623730949</v>
      </c>
    </row>
    <row r="10" spans="2:18" x14ac:dyDescent="0.35">
      <c r="B10" s="1" t="s">
        <v>329</v>
      </c>
      <c r="C10" s="6">
        <f>'5.2.1 DFR'!N23</f>
        <v>2.9002673704531841</v>
      </c>
      <c r="D10" s="6">
        <f>'5.2.1 DFR'!O23</f>
        <v>2.837134280984972</v>
      </c>
      <c r="E10" s="6">
        <f>'5.2.1 DFR'!N23</f>
        <v>2.9002673704531841</v>
      </c>
      <c r="F10" s="6">
        <f>'5.2.1 DFR'!P23</f>
        <v>7.0018648202562286</v>
      </c>
      <c r="G10" s="6">
        <f>'5.2.1 DFR'!Q23</f>
        <v>6.8494480594275577</v>
      </c>
      <c r="H10" s="6">
        <f>'5.2.1 DFR'!P23</f>
        <v>7.0018648202562286</v>
      </c>
      <c r="I10" s="6">
        <f t="shared" si="1"/>
        <v>2.8792230072971137</v>
      </c>
      <c r="J10" s="6">
        <f t="shared" si="2"/>
        <v>6.9510592333133374</v>
      </c>
      <c r="K10" s="120">
        <f t="shared" si="3"/>
        <v>-2.1768023910963441E-2</v>
      </c>
      <c r="L10" s="120">
        <f t="shared" si="4"/>
        <v>-2.176802391096333E-2</v>
      </c>
      <c r="M10" s="120">
        <f t="shared" si="5"/>
        <v>0</v>
      </c>
      <c r="N10" s="120">
        <f t="shared" si="6"/>
        <v>0</v>
      </c>
      <c r="O10" s="120">
        <f t="shared" si="0"/>
        <v>1.414213562373094</v>
      </c>
      <c r="Q10" s="32"/>
    </row>
    <row r="11" spans="2:18" x14ac:dyDescent="0.35">
      <c r="B11" s="17" t="s">
        <v>327</v>
      </c>
      <c r="C11" s="9">
        <f>'5.2.2 WSOA'!F20*3600/10800</f>
        <v>2.6627813655144159</v>
      </c>
      <c r="D11" s="9">
        <f>'5.2.2 WSOA'!F20*3600/10800</f>
        <v>2.6627813655144159</v>
      </c>
      <c r="E11" s="9">
        <f>'5.2.2 WSOA'!F20*3600/10800</f>
        <v>2.6627813655144159</v>
      </c>
      <c r="F11" s="9">
        <f>'5.2.2 WSOA'!H20*3600/10800</f>
        <v>6.4667547448207232</v>
      </c>
      <c r="G11" s="9">
        <f>'5.2.2 WSOA'!H20*3600/10800</f>
        <v>6.4667547448207232</v>
      </c>
      <c r="H11" s="9">
        <f>'5.2.2 WSOA'!H20*3600/10800</f>
        <v>6.4667547448207232</v>
      </c>
      <c r="I11" s="9">
        <f t="shared" si="1"/>
        <v>2.6627813655144159</v>
      </c>
      <c r="J11" s="9">
        <f t="shared" si="2"/>
        <v>6.4667547448207232</v>
      </c>
      <c r="K11" s="66">
        <f t="shared" si="3"/>
        <v>0</v>
      </c>
      <c r="L11" s="66">
        <f t="shared" si="4"/>
        <v>0</v>
      </c>
      <c r="M11" s="66">
        <f t="shared" si="5"/>
        <v>0</v>
      </c>
      <c r="N11" s="66">
        <f t="shared" si="6"/>
        <v>0</v>
      </c>
      <c r="O11" s="66">
        <f t="shared" si="0"/>
        <v>1.4285714285714279</v>
      </c>
    </row>
    <row r="12" spans="2:18" x14ac:dyDescent="0.35">
      <c r="B12" s="1" t="s">
        <v>401</v>
      </c>
      <c r="C12" s="6">
        <f>MEDIAN(C4:C11)</f>
        <v>3.1699606608828503</v>
      </c>
      <c r="D12" s="6">
        <f t="shared" ref="D12:H12" si="7">MEDIAN(D4:D11)</f>
        <v>2.9306200498357429</v>
      </c>
      <c r="E12" s="6">
        <f t="shared" si="7"/>
        <v>3.0619606608828507</v>
      </c>
      <c r="F12" s="6">
        <f t="shared" si="7"/>
        <v>7.2078623621218476</v>
      </c>
      <c r="G12" s="6">
        <f t="shared" si="7"/>
        <v>7.0509614418762467</v>
      </c>
      <c r="H12" s="6">
        <f t="shared" si="7"/>
        <v>7.2078623621218476</v>
      </c>
    </row>
    <row r="13" spans="2:18" x14ac:dyDescent="0.35">
      <c r="B13" s="1" t="s">
        <v>400</v>
      </c>
      <c r="C13" s="6">
        <f>MAX(C4:C11)-MIN(C4:C11)</f>
        <v>2.0325946158108086</v>
      </c>
      <c r="D13" s="6">
        <f t="shared" ref="D13:H13" si="8">MAX(D4:D11)-MIN(D4:D11)</f>
        <v>1.9883434775458704</v>
      </c>
      <c r="E13" s="6">
        <f t="shared" si="8"/>
        <v>2.0325946158108086</v>
      </c>
      <c r="F13" s="6">
        <f t="shared" si="8"/>
        <v>2.0788480439115915</v>
      </c>
      <c r="G13" s="6">
        <f t="shared" si="8"/>
        <v>1.9945598358662533</v>
      </c>
      <c r="H13" s="6">
        <f t="shared" si="8"/>
        <v>2.440348043911591</v>
      </c>
    </row>
    <row r="14" spans="2:18" x14ac:dyDescent="0.35">
      <c r="B14" s="1" t="s">
        <v>403</v>
      </c>
      <c r="C14" s="6">
        <f>MIN(C4:C11)</f>
        <v>2.5527824918462501</v>
      </c>
      <c r="D14" s="6">
        <f t="shared" ref="D14:H14" si="9">MIN(D4:D11)</f>
        <v>2.4972134615242525</v>
      </c>
      <c r="E14" s="6">
        <f t="shared" si="9"/>
        <v>2.5527824918462501</v>
      </c>
      <c r="F14" s="6">
        <f t="shared" si="9"/>
        <v>5.9478186227550758</v>
      </c>
      <c r="G14" s="6">
        <f t="shared" si="9"/>
        <v>5.8183463514962739</v>
      </c>
      <c r="H14" s="6">
        <f t="shared" si="9"/>
        <v>5.9478186227550758</v>
      </c>
    </row>
    <row r="15" spans="2:18" x14ac:dyDescent="0.35">
      <c r="B15" s="17" t="s">
        <v>402</v>
      </c>
      <c r="C15" s="9">
        <f>MAX(C4:C11)</f>
        <v>4.5853771076570586</v>
      </c>
      <c r="D15" s="9">
        <f t="shared" ref="D15:H15" si="10">MAX(D4:D11)</f>
        <v>4.4855569390701229</v>
      </c>
      <c r="E15" s="9">
        <f t="shared" si="10"/>
        <v>4.5853771076570586</v>
      </c>
      <c r="F15" s="9">
        <f t="shared" si="10"/>
        <v>8.0266666666666673</v>
      </c>
      <c r="G15" s="9">
        <f t="shared" si="10"/>
        <v>7.8129061873625272</v>
      </c>
      <c r="H15" s="9">
        <f t="shared" si="10"/>
        <v>8.3881666666666668</v>
      </c>
    </row>
    <row r="16" spans="2:18" x14ac:dyDescent="0.35">
      <c r="B16" s="1" t="s">
        <v>404</v>
      </c>
      <c r="C16" s="6">
        <f>AVERAGE(C5:C7)</f>
        <v>3.8497125038143474</v>
      </c>
      <c r="D16" s="6">
        <f t="shared" ref="D16:H16" si="11">AVERAGE(D5:D7)</f>
        <v>3.8080034510315186</v>
      </c>
      <c r="E16" s="6">
        <f t="shared" si="11"/>
        <v>3.8410615240046284</v>
      </c>
      <c r="F16" s="6">
        <f t="shared" si="11"/>
        <v>7.2357394956187902</v>
      </c>
      <c r="G16" s="6">
        <f t="shared" si="11"/>
        <v>7.0573741537689143</v>
      </c>
      <c r="H16" s="6">
        <f t="shared" si="11"/>
        <v>7.1837220164688587</v>
      </c>
    </row>
    <row r="17" spans="1:15" x14ac:dyDescent="0.35">
      <c r="B17" s="17" t="s">
        <v>405</v>
      </c>
      <c r="C17" s="9">
        <f>AVERAGE(C8:C10)</f>
        <v>2.8413237280217118</v>
      </c>
      <c r="D17" s="9">
        <f t="shared" ref="D17:H17" si="12">AVERAGE(D8:D10)</f>
        <v>2.7794737251713477</v>
      </c>
      <c r="E17" s="9">
        <f t="shared" si="12"/>
        <v>2.8413237280217118</v>
      </c>
      <c r="F17" s="9">
        <f t="shared" si="12"/>
        <v>6.8595622792824997</v>
      </c>
      <c r="G17" s="9">
        <f t="shared" si="12"/>
        <v>6.7102431635683351</v>
      </c>
      <c r="H17" s="9">
        <f t="shared" si="12"/>
        <v>6.8595622792824997</v>
      </c>
    </row>
    <row r="18" spans="1:15" x14ac:dyDescent="0.35">
      <c r="A18" s="182" t="s">
        <v>211</v>
      </c>
      <c r="B18" s="1" t="s">
        <v>406</v>
      </c>
      <c r="C18" s="6">
        <f>MAX(C5:C7)-MIN(C5:C7)</f>
        <v>1.1940313643584441</v>
      </c>
      <c r="D18" s="6">
        <f t="shared" ref="D18:H18" si="13">MAX(D5:D7)-MIN(D5:D7)</f>
        <v>1.0179144185101552</v>
      </c>
      <c r="E18" s="6">
        <f t="shared" si="13"/>
        <v>1.2019830743026709</v>
      </c>
      <c r="F18" s="6">
        <f t="shared" si="13"/>
        <v>2.0644390359827547</v>
      </c>
      <c r="G18" s="6">
        <f t="shared" si="13"/>
        <v>1.9945598358662533</v>
      </c>
      <c r="H18" s="6">
        <f t="shared" si="13"/>
        <v>2.1057750953584353</v>
      </c>
    </row>
    <row r="19" spans="1:15" x14ac:dyDescent="0.35">
      <c r="A19" s="182"/>
      <c r="B19" s="1" t="s">
        <v>407</v>
      </c>
      <c r="C19" s="6">
        <f>MIN(C5:C7)</f>
        <v>3.3913457432986145</v>
      </c>
      <c r="D19" s="6">
        <f t="shared" ref="D19:H19" si="14">MIN(D5:D7)</f>
        <v>3.4676425205599677</v>
      </c>
      <c r="E19" s="6">
        <f t="shared" si="14"/>
        <v>3.3833940333543877</v>
      </c>
      <c r="F19" s="6">
        <f t="shared" si="14"/>
        <v>5.9478186227550758</v>
      </c>
      <c r="G19" s="6">
        <f t="shared" si="14"/>
        <v>5.8183463514962739</v>
      </c>
      <c r="H19" s="6">
        <f t="shared" si="14"/>
        <v>5.9478186227550758</v>
      </c>
    </row>
    <row r="20" spans="1:15" x14ac:dyDescent="0.35">
      <c r="A20" s="182"/>
      <c r="B20" s="17" t="s">
        <v>408</v>
      </c>
      <c r="C20" s="9">
        <f>MAX(C8:C10)</f>
        <v>3.0709213217657014</v>
      </c>
      <c r="D20" s="9">
        <f t="shared" ref="D20:H20" si="15">MAX(D8:D10)</f>
        <v>3.0040734330048187</v>
      </c>
      <c r="E20" s="9">
        <f t="shared" si="15"/>
        <v>3.0709213217657014</v>
      </c>
      <c r="F20" s="9">
        <f t="shared" si="15"/>
        <v>7.4138599039874666</v>
      </c>
      <c r="G20" s="9">
        <f t="shared" si="15"/>
        <v>7.2524748243249348</v>
      </c>
      <c r="H20" s="9">
        <f t="shared" si="15"/>
        <v>7.4138599039874666</v>
      </c>
    </row>
    <row r="21" spans="1:15" x14ac:dyDescent="0.35">
      <c r="A21" s="182" t="s">
        <v>415</v>
      </c>
      <c r="B21" s="1" t="s">
        <v>409</v>
      </c>
      <c r="C21" s="6">
        <f>MAX(C8:C10)-MIN(C8:C10)</f>
        <v>0.51813882991945137</v>
      </c>
      <c r="D21" s="6">
        <f t="shared" ref="D21:H21" si="16">MAX(D8:D10)-MIN(D8:D10)</f>
        <v>0.50685997148056616</v>
      </c>
      <c r="E21" s="6">
        <f t="shared" si="16"/>
        <v>0.51813882991945137</v>
      </c>
      <c r="F21" s="6">
        <f t="shared" si="16"/>
        <v>1.2508977903836653</v>
      </c>
      <c r="G21" s="6">
        <f t="shared" si="16"/>
        <v>1.2236682173724232</v>
      </c>
      <c r="H21" s="6">
        <f t="shared" si="16"/>
        <v>1.2508977903836653</v>
      </c>
    </row>
    <row r="22" spans="1:15" x14ac:dyDescent="0.35">
      <c r="A22" s="182"/>
      <c r="B22" s="1" t="s">
        <v>410</v>
      </c>
      <c r="C22" s="6">
        <f>MIN(C8:C10)</f>
        <v>2.5527824918462501</v>
      </c>
      <c r="D22" s="6">
        <f t="shared" ref="D22:H22" si="17">MIN(D8:D10)</f>
        <v>2.4972134615242525</v>
      </c>
      <c r="E22" s="6">
        <f t="shared" si="17"/>
        <v>2.5527824918462501</v>
      </c>
      <c r="F22" s="6">
        <f t="shared" si="17"/>
        <v>6.1629621136038013</v>
      </c>
      <c r="G22" s="6">
        <f t="shared" si="17"/>
        <v>6.0288066069525117</v>
      </c>
      <c r="H22" s="6">
        <f t="shared" si="17"/>
        <v>6.1629621136038013</v>
      </c>
    </row>
    <row r="23" spans="1:15" x14ac:dyDescent="0.35">
      <c r="A23" s="182"/>
      <c r="B23" s="17" t="s">
        <v>411</v>
      </c>
      <c r="C23" s="9">
        <f>MAX(C8:C10)</f>
        <v>3.0709213217657014</v>
      </c>
      <c r="D23" s="9">
        <f t="shared" ref="D23:H23" si="18">MAX(D8:D10)</f>
        <v>3.0040734330048187</v>
      </c>
      <c r="E23" s="9">
        <f t="shared" si="18"/>
        <v>3.0709213217657014</v>
      </c>
      <c r="F23" s="9">
        <f t="shared" si="18"/>
        <v>7.4138599039874666</v>
      </c>
      <c r="G23" s="9">
        <f t="shared" si="18"/>
        <v>7.2524748243249348</v>
      </c>
      <c r="H23" s="9">
        <f t="shared" si="18"/>
        <v>7.4138599039874666</v>
      </c>
    </row>
    <row r="24" spans="1:15" x14ac:dyDescent="0.35">
      <c r="A24" s="182" t="s">
        <v>416</v>
      </c>
      <c r="B24" s="1" t="s">
        <v>412</v>
      </c>
      <c r="C24" s="6">
        <f>MAX(C4,C11,C16,C17)-MIN(C4,C11,C16,C17)</f>
        <v>1.1869311382999315</v>
      </c>
      <c r="D24" s="6">
        <f t="shared" ref="D24:H24" si="19">MAX(D4,D11,D16,D17)-MIN(D4,D11,D16,D17)</f>
        <v>1.1452220855171027</v>
      </c>
      <c r="E24" s="6">
        <f t="shared" si="19"/>
        <v>1.1782801584902125</v>
      </c>
      <c r="F24" s="6">
        <f t="shared" si="19"/>
        <v>1.5599119218459441</v>
      </c>
      <c r="G24" s="6">
        <f t="shared" si="19"/>
        <v>0.95624525517927594</v>
      </c>
      <c r="H24" s="6">
        <f t="shared" si="19"/>
        <v>1.9214119218459436</v>
      </c>
    </row>
    <row r="25" spans="1:15" x14ac:dyDescent="0.35">
      <c r="A25" s="182"/>
      <c r="B25" s="1" t="s">
        <v>413</v>
      </c>
      <c r="C25" s="6">
        <f>MIN(C4,C11,C16,C17)</f>
        <v>2.6627813655144159</v>
      </c>
      <c r="D25" s="6">
        <f t="shared" ref="D25:H25" si="20">MIN(D4,D11,D16,D17)</f>
        <v>2.6627813655144159</v>
      </c>
      <c r="E25" s="6">
        <f t="shared" si="20"/>
        <v>2.6627813655144159</v>
      </c>
      <c r="F25" s="6">
        <f t="shared" si="20"/>
        <v>6.4667547448207232</v>
      </c>
      <c r="G25" s="6">
        <f t="shared" si="20"/>
        <v>6.4667547448207232</v>
      </c>
      <c r="H25" s="6">
        <f t="shared" si="20"/>
        <v>6.4667547448207232</v>
      </c>
    </row>
    <row r="26" spans="1:15" x14ac:dyDescent="0.35">
      <c r="A26" s="182"/>
      <c r="B26" s="17" t="s">
        <v>414</v>
      </c>
      <c r="C26" s="9">
        <f>MAX(C4,C11,C16,C17)</f>
        <v>3.8497125038143474</v>
      </c>
      <c r="D26" s="9">
        <f t="shared" ref="D26:H26" si="21">MAX(D4,D11,D16,D17)</f>
        <v>3.8080034510315186</v>
      </c>
      <c r="E26" s="9">
        <f t="shared" si="21"/>
        <v>3.8410615240046284</v>
      </c>
      <c r="F26" s="9">
        <f t="shared" si="21"/>
        <v>8.0266666666666673</v>
      </c>
      <c r="G26" s="9">
        <f t="shared" si="21"/>
        <v>7.4229999999999992</v>
      </c>
      <c r="H26" s="9">
        <f t="shared" si="21"/>
        <v>8.3881666666666668</v>
      </c>
    </row>
    <row r="27" spans="1:15" x14ac:dyDescent="0.35">
      <c r="C27" s="6"/>
      <c r="D27" s="6"/>
      <c r="E27" s="6"/>
      <c r="F27" s="6"/>
      <c r="G27" s="6"/>
      <c r="H27" s="6"/>
    </row>
    <row r="28" spans="1:15" x14ac:dyDescent="0.35">
      <c r="C28" s="1"/>
      <c r="D28" s="6"/>
      <c r="E28" s="6"/>
      <c r="F28" s="6"/>
      <c r="G28" s="6"/>
      <c r="H28" s="6"/>
    </row>
    <row r="29" spans="1:15" x14ac:dyDescent="0.35">
      <c r="C29" s="6"/>
      <c r="D29" s="6"/>
      <c r="E29" s="6"/>
      <c r="F29" s="6"/>
      <c r="G29" s="6"/>
      <c r="H29" s="6"/>
    </row>
    <row r="31" spans="1:15" x14ac:dyDescent="0.35">
      <c r="B31" s="12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s="123" customFormat="1" x14ac:dyDescent="0.35">
      <c r="B32" s="1"/>
      <c r="C32" s="6"/>
      <c r="D32" s="6"/>
      <c r="E32" s="124"/>
      <c r="F32" s="6"/>
      <c r="G32" s="124"/>
      <c r="H32" s="6"/>
      <c r="I32" s="124"/>
      <c r="J32" s="6"/>
      <c r="K32" s="124"/>
      <c r="L32" s="6"/>
      <c r="M32" s="6"/>
      <c r="N32" s="6"/>
      <c r="O32" s="3"/>
    </row>
    <row r="33" spans="3:14" x14ac:dyDescent="0.35">
      <c r="C33" s="6"/>
      <c r="D33" s="6"/>
      <c r="E33" s="124"/>
      <c r="F33" s="6"/>
      <c r="G33" s="124"/>
      <c r="H33" s="6"/>
      <c r="I33" s="124"/>
      <c r="J33" s="6"/>
      <c r="K33" s="124"/>
      <c r="L33" s="6"/>
      <c r="M33" s="6"/>
      <c r="N33" s="6"/>
    </row>
    <row r="34" spans="3:14" x14ac:dyDescent="0.35">
      <c r="C34" s="6"/>
      <c r="D34" s="6"/>
      <c r="E34" s="124"/>
      <c r="F34" s="6"/>
      <c r="G34" s="124"/>
      <c r="H34" s="6"/>
      <c r="I34" s="124"/>
      <c r="J34" s="6"/>
      <c r="K34" s="124"/>
      <c r="L34" s="6"/>
      <c r="M34" s="6"/>
      <c r="N34" s="6"/>
    </row>
    <row r="35" spans="3:14" x14ac:dyDescent="0.35">
      <c r="C35" s="6"/>
      <c r="D35" s="6"/>
      <c r="E35" s="124"/>
      <c r="F35" s="6"/>
      <c r="G35" s="124"/>
      <c r="H35" s="6"/>
      <c r="I35" s="124"/>
      <c r="J35" s="6"/>
      <c r="K35" s="124"/>
      <c r="L35" s="6"/>
      <c r="M35" s="6"/>
      <c r="N35" s="6"/>
    </row>
    <row r="36" spans="3:14" x14ac:dyDescent="0.35">
      <c r="C36" s="6"/>
      <c r="D36" s="6"/>
      <c r="E36" s="124"/>
      <c r="F36" s="6"/>
      <c r="G36" s="124"/>
      <c r="H36" s="6"/>
      <c r="I36" s="124"/>
      <c r="J36" s="6"/>
      <c r="K36" s="124"/>
      <c r="L36" s="6"/>
      <c r="M36" s="6"/>
      <c r="N36" s="6"/>
    </row>
    <row r="37" spans="3:14" x14ac:dyDescent="0.35">
      <c r="C37" s="6"/>
      <c r="D37" s="6"/>
      <c r="E37" s="124"/>
      <c r="F37" s="6"/>
      <c r="G37" s="124"/>
      <c r="H37" s="6"/>
      <c r="I37" s="124"/>
      <c r="J37" s="6"/>
      <c r="K37" s="124"/>
      <c r="L37" s="6"/>
      <c r="M37" s="6"/>
      <c r="N37" s="6"/>
    </row>
    <row r="40" spans="3:14" x14ac:dyDescent="0.35">
      <c r="M40" s="6"/>
      <c r="N40" s="6"/>
    </row>
  </sheetData>
  <mergeCells count="3">
    <mergeCell ref="A24:A26"/>
    <mergeCell ref="A21:A23"/>
    <mergeCell ref="A18:A20"/>
  </mergeCells>
  <phoneticPr fontId="2" type="noConversion"/>
  <conditionalFormatting sqref="C4:C11 D8 D10">
    <cfRule type="colorScale" priority="6">
      <colorScale>
        <cfvo type="min"/>
        <cfvo type="max"/>
        <color rgb="FFFCFCFF"/>
        <color rgb="FF63BE7B"/>
      </colorScale>
    </cfRule>
  </conditionalFormatting>
  <conditionalFormatting sqref="D4:D7 D9 D11">
    <cfRule type="colorScale" priority="5">
      <colorScale>
        <cfvo type="min"/>
        <cfvo type="max"/>
        <color rgb="FFFCFCFF"/>
        <color rgb="FF63BE7B"/>
      </colorScale>
    </cfRule>
  </conditionalFormatting>
  <conditionalFormatting sqref="E4:E11">
    <cfRule type="colorScale" priority="4">
      <colorScale>
        <cfvo type="min"/>
        <cfvo type="max"/>
        <color rgb="FFFCFCFF"/>
        <color rgb="FF63BE7B"/>
      </colorScale>
    </cfRule>
  </conditionalFormatting>
  <conditionalFormatting sqref="F4:F11 G8 G10:H10">
    <cfRule type="colorScale" priority="3">
      <colorScale>
        <cfvo type="min"/>
        <cfvo type="max"/>
        <color rgb="FFFCFCFF"/>
        <color rgb="FF63BE7B"/>
      </colorScale>
    </cfRule>
  </conditionalFormatting>
  <conditionalFormatting sqref="G4:G7 G9 G11">
    <cfRule type="colorScale" priority="2">
      <colorScale>
        <cfvo type="min"/>
        <cfvo type="max"/>
        <color rgb="FFFCFCFF"/>
        <color rgb="FF63BE7B"/>
      </colorScale>
    </cfRule>
  </conditionalFormatting>
  <conditionalFormatting sqref="H4:H9 H11">
    <cfRule type="colorScale" priority="1">
      <colorScale>
        <cfvo type="min"/>
        <cfvo type="max"/>
        <color rgb="FFFCFCFF"/>
        <color rgb="FF63BE7B"/>
      </colorScale>
    </cfRule>
  </conditionalFormatting>
  <conditionalFormatting sqref="O4:O11">
    <cfRule type="colorScale" priority="13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3BAD-BB73-4BD8-9902-C7A6FA30978B}">
  <dimension ref="B2:R25"/>
  <sheetViews>
    <sheetView workbookViewId="0">
      <selection activeCell="L31" sqref="L31"/>
    </sheetView>
  </sheetViews>
  <sheetFormatPr baseColWidth="10" defaultRowHeight="13.5" x14ac:dyDescent="0.35"/>
  <cols>
    <col min="1" max="1" width="2.86328125" style="1" customWidth="1"/>
    <col min="2" max="2" width="13.59765625" style="1" bestFit="1" customWidth="1"/>
    <col min="3" max="3" width="43.53125" style="1" bestFit="1" customWidth="1"/>
    <col min="4" max="5" width="5.3984375" style="3" bestFit="1" customWidth="1"/>
    <col min="6" max="6" width="6.86328125" style="3" bestFit="1" customWidth="1"/>
    <col min="7" max="7" width="6.19921875" style="3" bestFit="1" customWidth="1"/>
    <col min="8" max="10" width="5.3984375" style="3" bestFit="1" customWidth="1"/>
    <col min="11" max="11" width="6.06640625" style="3" bestFit="1" customWidth="1"/>
    <col min="12" max="12" width="5.3984375" style="3" bestFit="1" customWidth="1"/>
    <col min="13" max="13" width="6.06640625" style="3" bestFit="1" customWidth="1"/>
    <col min="14" max="14" width="5.3984375" style="3" bestFit="1" customWidth="1"/>
    <col min="15" max="15" width="6.06640625" style="3" bestFit="1" customWidth="1"/>
    <col min="16" max="16" width="4.796875" style="1" customWidth="1"/>
    <col min="17" max="17" width="7.6640625" style="1" bestFit="1" customWidth="1"/>
    <col min="18" max="18" width="6.19921875" style="1" bestFit="1" customWidth="1"/>
    <col min="19" max="16384" width="10.6640625" style="1"/>
  </cols>
  <sheetData>
    <row r="2" spans="2:18" x14ac:dyDescent="0.35">
      <c r="B2" s="44"/>
      <c r="C2" s="44"/>
      <c r="D2" s="155" t="s">
        <v>210</v>
      </c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3" t="s">
        <v>396</v>
      </c>
      <c r="R2" s="3"/>
    </row>
    <row r="3" spans="2:18" x14ac:dyDescent="0.35">
      <c r="B3" s="17" t="s">
        <v>356</v>
      </c>
      <c r="C3" s="17" t="s">
        <v>357</v>
      </c>
      <c r="D3" s="164">
        <v>1</v>
      </c>
      <c r="E3" s="164"/>
      <c r="F3" s="164">
        <v>2</v>
      </c>
      <c r="G3" s="164"/>
      <c r="H3" s="164">
        <v>3</v>
      </c>
      <c r="I3" s="164"/>
      <c r="J3" s="164">
        <v>4</v>
      </c>
      <c r="K3" s="164"/>
      <c r="L3" s="164">
        <v>5</v>
      </c>
      <c r="M3" s="164"/>
      <c r="N3" s="164">
        <v>6</v>
      </c>
      <c r="O3" s="164"/>
      <c r="Q3" s="132" t="s">
        <v>399</v>
      </c>
      <c r="R3" s="151" t="s">
        <v>397</v>
      </c>
    </row>
    <row r="4" spans="2:18" x14ac:dyDescent="0.35">
      <c r="B4" s="1" t="s">
        <v>324</v>
      </c>
      <c r="C4" s="1" t="s">
        <v>359</v>
      </c>
      <c r="D4" s="48">
        <f>'5.2.3 AFN_1Zone'!E28</f>
        <v>13.756131322971175</v>
      </c>
      <c r="E4" s="148">
        <v>13.792339999999999</v>
      </c>
      <c r="F4" s="48">
        <f>'5.2.3 AFN_2Zonen'!E31</f>
        <v>13.45667081721037</v>
      </c>
      <c r="G4" s="148">
        <v>13.491199</v>
      </c>
      <c r="H4" s="48">
        <f>'5.2.3 AFN_1Zone'!E28</f>
        <v>13.756131322971175</v>
      </c>
      <c r="I4" s="148">
        <v>13.792339999999999</v>
      </c>
      <c r="J4" s="48">
        <f>'5.2.3 AFN_1Zone'!J28</f>
        <v>17.843455868265227</v>
      </c>
      <c r="K4" s="148">
        <v>17.825837</v>
      </c>
      <c r="L4" s="48">
        <f>'5.2.3 AFN_2Zonen'!H31</f>
        <v>17.455039054488822</v>
      </c>
      <c r="M4" s="148">
        <v>17.437553000000001</v>
      </c>
      <c r="N4" s="48">
        <f>'5.2.3 AFN_1Zone'!J28</f>
        <v>17.843455868265227</v>
      </c>
      <c r="O4" s="148">
        <v>17.825837</v>
      </c>
      <c r="Q4" s="3" t="s">
        <v>398</v>
      </c>
      <c r="R4" s="150" t="s">
        <v>398</v>
      </c>
    </row>
    <row r="5" spans="2:18" x14ac:dyDescent="0.35">
      <c r="D5" s="184">
        <f>D4/E4-1</f>
        <v>-2.6252743935274436E-3</v>
      </c>
      <c r="E5" s="184"/>
      <c r="F5" s="184">
        <f>F4/G4-1</f>
        <v>-2.5593116512202529E-3</v>
      </c>
      <c r="G5" s="184"/>
      <c r="H5" s="184">
        <f>H4/I4-1</f>
        <v>-2.6252743935274436E-3</v>
      </c>
      <c r="I5" s="184"/>
      <c r="J5" s="184">
        <f>J4/K4-1</f>
        <v>9.883893959776735E-4</v>
      </c>
      <c r="K5" s="184"/>
      <c r="L5" s="184">
        <f>L4/M4-1</f>
        <v>1.0027814389335088E-3</v>
      </c>
      <c r="M5" s="184"/>
      <c r="N5" s="184">
        <f>N4/O4-1</f>
        <v>9.883893959776735E-4</v>
      </c>
      <c r="O5" s="184"/>
      <c r="Q5" s="186" t="s">
        <v>358</v>
      </c>
      <c r="R5" s="186"/>
    </row>
    <row r="6" spans="2:18" x14ac:dyDescent="0.35">
      <c r="B6" s="1" t="s">
        <v>326</v>
      </c>
      <c r="C6" s="1" t="s">
        <v>359</v>
      </c>
      <c r="D6" s="48">
        <f>'5.2.3 AFN_1Zone'!G28</f>
        <v>10.174037229895843</v>
      </c>
      <c r="E6" s="148">
        <v>10.174049999999999</v>
      </c>
      <c r="F6" s="48">
        <f>'5.2.3 AFN_2Zonen'!G31</f>
        <v>10.402927561679903</v>
      </c>
      <c r="G6" s="148">
        <v>10.40291</v>
      </c>
      <c r="H6" s="48">
        <f>'5.2.3 AFN_1Zone'!I28</f>
        <v>10.150182100063164</v>
      </c>
      <c r="I6" s="148">
        <v>10.15019</v>
      </c>
      <c r="J6" s="48">
        <f>'5.2.3 AFN_1Zone'!L28</f>
        <v>23.241426616090386</v>
      </c>
      <c r="K6" s="148">
        <v>23.241430000000001</v>
      </c>
      <c r="L6" s="48">
        <f>'5.2.3 AFN_2Zonen'!J31</f>
        <v>22.622609767343832</v>
      </c>
      <c r="M6" s="148">
        <v>22.622610000000002</v>
      </c>
      <c r="N6" s="48">
        <f>'5.2.3 AFN_1Zone'!N28</f>
        <v>22.649261125613961</v>
      </c>
      <c r="O6" s="148">
        <v>22.649260000000002</v>
      </c>
    </row>
    <row r="7" spans="2:18" x14ac:dyDescent="0.35">
      <c r="D7" s="184">
        <f>D6/E6-1</f>
        <v>-1.2551642812885788E-6</v>
      </c>
      <c r="E7" s="184"/>
      <c r="F7" s="184">
        <f>F6/G6-1</f>
        <v>1.6881507098887027E-6</v>
      </c>
      <c r="G7" s="184"/>
      <c r="H7" s="184">
        <f>H6/I6-1</f>
        <v>-7.7830433087289208E-7</v>
      </c>
      <c r="I7" s="184"/>
      <c r="J7" s="184">
        <f>J6/K6-1</f>
        <v>-1.455981674114426E-7</v>
      </c>
      <c r="K7" s="184"/>
      <c r="L7" s="184">
        <f>L6/M6-1</f>
        <v>-1.0284232021540163E-8</v>
      </c>
      <c r="M7" s="184"/>
      <c r="N7" s="184">
        <f>N6/O6-1</f>
        <v>4.9697604254106409E-8</v>
      </c>
      <c r="O7" s="184"/>
    </row>
    <row r="8" spans="2:18" x14ac:dyDescent="0.35">
      <c r="B8" s="1" t="s">
        <v>325</v>
      </c>
      <c r="C8" s="1" t="s">
        <v>359</v>
      </c>
      <c r="D8" s="48">
        <f>'5.2.3 AFN_1Zone'!F28</f>
        <v>10.71724398146211</v>
      </c>
      <c r="E8" s="148">
        <v>10.71725</v>
      </c>
      <c r="F8" s="48">
        <f>'5.2.3 AFN_2Zonen'!F31</f>
        <v>10.412432680393399</v>
      </c>
      <c r="G8" s="148">
        <v>10.41245</v>
      </c>
      <c r="H8" s="48">
        <f>'5.2.3 AFN_1Zone'!H28</f>
        <v>10.663240293007316</v>
      </c>
      <c r="I8" s="148">
        <v>10.66325</v>
      </c>
      <c r="J8" s="48">
        <f>'5.2.3 AFN_1Zone'!K28</f>
        <v>24.036772976213491</v>
      </c>
      <c r="K8" s="148">
        <v>24.036740000000002</v>
      </c>
      <c r="L8" s="48">
        <f>'5.2.3 AFN_2Zonen'!I31</f>
        <v>23.43871856208758</v>
      </c>
      <c r="M8" s="148">
        <v>23.438749999999999</v>
      </c>
      <c r="N8" s="48">
        <f>'5.2.3 AFN_1Zone'!M28</f>
        <v>24.160781154340533</v>
      </c>
      <c r="O8" s="148">
        <v>24.160799999999998</v>
      </c>
    </row>
    <row r="9" spans="2:18" x14ac:dyDescent="0.35">
      <c r="D9" s="185">
        <f>D8/E8-1</f>
        <v>-5.6157483407925923E-7</v>
      </c>
      <c r="E9" s="185"/>
      <c r="F9" s="185">
        <f>F8/G8-1</f>
        <v>-1.6633555599554484E-6</v>
      </c>
      <c r="G9" s="185"/>
      <c r="H9" s="185">
        <f>H8/I8-1</f>
        <v>-9.1032215165931518E-7</v>
      </c>
      <c r="I9" s="185"/>
      <c r="J9" s="185">
        <f>J8/K8-1</f>
        <v>1.3719087317287659E-6</v>
      </c>
      <c r="K9" s="185"/>
      <c r="L9" s="185">
        <f>L8/M8-1</f>
        <v>-1.3412793949951762E-6</v>
      </c>
      <c r="M9" s="185"/>
      <c r="N9" s="185">
        <f>N8/O8-1</f>
        <v>-7.8000974579328641E-7</v>
      </c>
      <c r="O9" s="185"/>
    </row>
    <row r="10" spans="2:18" x14ac:dyDescent="0.35">
      <c r="B10" s="1" t="s">
        <v>328</v>
      </c>
      <c r="C10" s="1" t="s">
        <v>360</v>
      </c>
      <c r="D10" s="126">
        <f>'5.2.1 DFR'!J22</f>
        <v>9.2127639652971052</v>
      </c>
      <c r="E10" s="149">
        <v>9.2100000000000009</v>
      </c>
      <c r="F10" s="126">
        <f>'5.2.1 DFR'!K22</f>
        <v>9.0122202990144551</v>
      </c>
      <c r="G10" s="149">
        <v>9.01</v>
      </c>
      <c r="H10" s="126">
        <f>'5.2.1 DFR'!J22</f>
        <v>9.2127639652971052</v>
      </c>
      <c r="I10" s="149">
        <v>9.2100000000000009</v>
      </c>
      <c r="J10" s="126">
        <f>'5.2.1 DFR'!L22</f>
        <v>22.241579711962402</v>
      </c>
      <c r="K10" s="149">
        <v>22.24</v>
      </c>
      <c r="L10" s="126">
        <f>'5.2.1 DFR'!M22</f>
        <v>21.757424472974805</v>
      </c>
      <c r="M10" s="149">
        <v>21.76</v>
      </c>
      <c r="N10" s="126">
        <f>'5.2.1 DFR'!L22</f>
        <v>22.241579711962402</v>
      </c>
      <c r="O10" s="149">
        <v>22.24</v>
      </c>
    </row>
    <row r="11" spans="2:18" x14ac:dyDescent="0.35">
      <c r="D11" s="184">
        <f>D10/E10-1</f>
        <v>3.0010480967468389E-4</v>
      </c>
      <c r="E11" s="184"/>
      <c r="F11" s="184">
        <f t="shared" ref="F11" si="0">F10/G10-1</f>
        <v>2.4642608373537378E-4</v>
      </c>
      <c r="G11" s="184"/>
      <c r="H11" s="184">
        <f t="shared" ref="H11" si="1">H10/I10-1</f>
        <v>3.0010480967468389E-4</v>
      </c>
      <c r="I11" s="184"/>
      <c r="J11" s="184">
        <f t="shared" ref="J11" si="2">J10/K10-1</f>
        <v>7.1030214136902359E-5</v>
      </c>
      <c r="K11" s="184"/>
      <c r="L11" s="184">
        <f t="shared" ref="L11" si="3">L10/M10-1</f>
        <v>-1.1836061696679501E-4</v>
      </c>
      <c r="M11" s="184"/>
      <c r="N11" s="184">
        <f t="shared" ref="N11" si="4">N10/O10-1</f>
        <v>7.1030214136902359E-5</v>
      </c>
      <c r="O11" s="184"/>
    </row>
    <row r="12" spans="2:18" x14ac:dyDescent="0.35">
      <c r="B12" s="1" t="s">
        <v>330</v>
      </c>
      <c r="C12" s="1" t="s">
        <v>360</v>
      </c>
      <c r="D12" s="48">
        <f>'5.2.1 DFR'!F22</f>
        <v>7.6583474755387506</v>
      </c>
      <c r="E12" s="148">
        <v>7.658347</v>
      </c>
      <c r="F12" s="48">
        <f>'5.2.1 DFR'!G22</f>
        <v>7.491640384572757</v>
      </c>
      <c r="G12" s="148">
        <v>7.4916400000000003</v>
      </c>
      <c r="H12" s="48">
        <f>'5.2.1 DFR'!F22</f>
        <v>7.6583474755387506</v>
      </c>
      <c r="I12" s="148">
        <v>7.658347</v>
      </c>
      <c r="J12" s="48">
        <f>'5.2.1 DFR'!H22</f>
        <v>18.488886340811405</v>
      </c>
      <c r="K12" s="148">
        <v>18.488886000000001</v>
      </c>
      <c r="L12" s="48">
        <f>'5.2.1 DFR'!I22</f>
        <v>18.086419820857536</v>
      </c>
      <c r="M12" s="148">
        <v>18.08642</v>
      </c>
      <c r="N12" s="48">
        <f>'5.2.1 DFR'!H22</f>
        <v>18.488886340811405</v>
      </c>
      <c r="O12" s="148">
        <v>18.488886000000001</v>
      </c>
    </row>
    <row r="13" spans="2:18" x14ac:dyDescent="0.35">
      <c r="D13" s="147">
        <f>D12/E12-1</f>
        <v>6.2094176467297757E-8</v>
      </c>
      <c r="E13" s="147"/>
      <c r="F13" s="147">
        <f>F12/G12-1</f>
        <v>5.1333587380852919E-8</v>
      </c>
      <c r="G13" s="147"/>
      <c r="H13" s="147">
        <f>H12/I12-1</f>
        <v>6.2094176467297757E-8</v>
      </c>
      <c r="I13" s="147"/>
      <c r="J13" s="147">
        <f>J12/K12-1</f>
        <v>1.8433311987919865E-8</v>
      </c>
      <c r="K13" s="147"/>
      <c r="L13" s="147">
        <f>L12/M12-1</f>
        <v>-9.9048050872241333E-9</v>
      </c>
      <c r="M13" s="147"/>
      <c r="N13" s="147">
        <f>N12/O12-1</f>
        <v>1.8433311987919865E-8</v>
      </c>
      <c r="O13" s="147"/>
    </row>
    <row r="14" spans="2:18" x14ac:dyDescent="0.35">
      <c r="B14" s="1" t="s">
        <v>329</v>
      </c>
      <c r="C14" s="1" t="s">
        <v>360</v>
      </c>
      <c r="D14" s="60">
        <f>'5.2.1 DFR'!N22</f>
        <v>8.7008021113595522</v>
      </c>
      <c r="E14" s="150">
        <v>8.6999999999999993</v>
      </c>
      <c r="F14" s="60">
        <f>'5.2.1 DFR'!O22</f>
        <v>8.5114028429549169</v>
      </c>
      <c r="G14" s="150">
        <v>8.51</v>
      </c>
      <c r="H14" s="60">
        <f>'5.2.1 DFR'!N22</f>
        <v>8.7008021113595522</v>
      </c>
      <c r="I14" s="150">
        <v>8.6999999999999993</v>
      </c>
      <c r="J14" s="60">
        <f>'5.2.1 DFR'!P22</f>
        <v>21.005594460768688</v>
      </c>
      <c r="K14" s="150">
        <v>21.01</v>
      </c>
      <c r="L14" s="60">
        <f>'5.2.1 DFR'!Q22</f>
        <v>20.548344178282672</v>
      </c>
      <c r="M14" s="150">
        <v>20.55</v>
      </c>
      <c r="N14" s="60">
        <f>'5.2.1 DFR'!P22</f>
        <v>21.005594460768688</v>
      </c>
      <c r="O14" s="150">
        <v>21.01</v>
      </c>
    </row>
    <row r="15" spans="2:18" x14ac:dyDescent="0.35">
      <c r="D15" s="184">
        <f>D14/E14-1</f>
        <v>9.2196707994540716E-5</v>
      </c>
      <c r="E15" s="184"/>
      <c r="F15" s="184">
        <f t="shared" ref="F15" si="5">F14/G14-1</f>
        <v>1.6484641068359451E-4</v>
      </c>
      <c r="G15" s="184"/>
      <c r="H15" s="184">
        <f t="shared" ref="H15" si="6">H14/I14-1</f>
        <v>9.2196707994540716E-5</v>
      </c>
      <c r="I15" s="184"/>
      <c r="J15" s="184">
        <f t="shared" ref="J15" si="7">J14/K14-1</f>
        <v>-2.0968773114293793E-4</v>
      </c>
      <c r="K15" s="184"/>
      <c r="L15" s="184">
        <f t="shared" ref="L15" si="8">L14/M14-1</f>
        <v>-8.0575266049986993E-5</v>
      </c>
      <c r="M15" s="184"/>
      <c r="N15" s="184">
        <f t="shared" ref="N15" si="9">N14/O14-1</f>
        <v>-2.0968773114293793E-4</v>
      </c>
      <c r="O15" s="184"/>
    </row>
    <row r="16" spans="2:18" x14ac:dyDescent="0.35">
      <c r="B16" s="1" t="s">
        <v>327</v>
      </c>
      <c r="C16" s="1" t="s">
        <v>360</v>
      </c>
      <c r="D16" s="48">
        <f>'5.2.2 WSOA'!$F20</f>
        <v>7.9883440965432477</v>
      </c>
      <c r="E16" s="148">
        <v>7.9883449999999998</v>
      </c>
      <c r="F16" s="48">
        <f>'5.2.2 WSOA'!$F20</f>
        <v>7.9883440965432477</v>
      </c>
      <c r="G16" s="148">
        <v>7.9883449999999998</v>
      </c>
      <c r="H16" s="48">
        <f>'5.2.2 WSOA'!$F20</f>
        <v>7.9883440965432477</v>
      </c>
      <c r="I16" s="148">
        <v>7.9883449999999998</v>
      </c>
      <c r="J16" s="48">
        <f>'5.2.2 WSOA'!$H20</f>
        <v>19.400264234462167</v>
      </c>
      <c r="K16" s="148">
        <v>19.400265999999998</v>
      </c>
      <c r="L16" s="48">
        <f>'5.2.2 WSOA'!$H20</f>
        <v>19.400264234462167</v>
      </c>
      <c r="M16" s="148">
        <v>19.400265999999998</v>
      </c>
      <c r="N16" s="48">
        <f>'5.2.2 WSOA'!$H20</f>
        <v>19.400264234462167</v>
      </c>
      <c r="O16" s="148">
        <v>19.400265999999998</v>
      </c>
    </row>
    <row r="17" spans="2:15" x14ac:dyDescent="0.35">
      <c r="B17" s="17"/>
      <c r="C17" s="17"/>
      <c r="D17" s="183">
        <f>D16/E16-1</f>
        <v>-1.1309686198668345E-7</v>
      </c>
      <c r="E17" s="183"/>
      <c r="F17" s="183">
        <f>F16/G16-1</f>
        <v>-1.1309686198668345E-7</v>
      </c>
      <c r="G17" s="183"/>
      <c r="H17" s="183">
        <f>H16/I16-1</f>
        <v>-1.1309686198668345E-7</v>
      </c>
      <c r="I17" s="183"/>
      <c r="J17" s="183">
        <f>J16/K16-1</f>
        <v>-9.1005856850401301E-8</v>
      </c>
      <c r="K17" s="183"/>
      <c r="L17" s="183">
        <f>L16/M16-1</f>
        <v>-9.1005856850401301E-8</v>
      </c>
      <c r="M17" s="183"/>
      <c r="N17" s="183">
        <f>N16/O16-1</f>
        <v>-9.1005856850401301E-8</v>
      </c>
      <c r="O17" s="183"/>
    </row>
    <row r="18" spans="2:15" x14ac:dyDescent="0.3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35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35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3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x14ac:dyDescent="0.35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x14ac:dyDescent="0.3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x14ac:dyDescent="0.3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x14ac:dyDescent="0.3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mergeCells count="44">
    <mergeCell ref="H17:I17"/>
    <mergeCell ref="J17:K17"/>
    <mergeCell ref="H11:I11"/>
    <mergeCell ref="D15:E15"/>
    <mergeCell ref="F15:G15"/>
    <mergeCell ref="H15:I15"/>
    <mergeCell ref="J15:K15"/>
    <mergeCell ref="D17:E17"/>
    <mergeCell ref="F17:G17"/>
    <mergeCell ref="Q5:R5"/>
    <mergeCell ref="D9:E9"/>
    <mergeCell ref="F9:G9"/>
    <mergeCell ref="D11:E11"/>
    <mergeCell ref="F11:G11"/>
    <mergeCell ref="N9:O9"/>
    <mergeCell ref="D7:E7"/>
    <mergeCell ref="F7:G7"/>
    <mergeCell ref="H7:I7"/>
    <mergeCell ref="J7:K7"/>
    <mergeCell ref="L7:M7"/>
    <mergeCell ref="N7:O7"/>
    <mergeCell ref="H9:I9"/>
    <mergeCell ref="J9:K9"/>
    <mergeCell ref="F5:G5"/>
    <mergeCell ref="H5:I5"/>
    <mergeCell ref="J5:K5"/>
    <mergeCell ref="L5:M5"/>
    <mergeCell ref="L9:M9"/>
    <mergeCell ref="L17:M17"/>
    <mergeCell ref="L15:M15"/>
    <mergeCell ref="N15:O15"/>
    <mergeCell ref="D2:O2"/>
    <mergeCell ref="N3:O3"/>
    <mergeCell ref="L3:M3"/>
    <mergeCell ref="J3:K3"/>
    <mergeCell ref="H3:I3"/>
    <mergeCell ref="F3:G3"/>
    <mergeCell ref="D3:E3"/>
    <mergeCell ref="J11:K11"/>
    <mergeCell ref="L11:M11"/>
    <mergeCell ref="N11:O11"/>
    <mergeCell ref="N5:O5"/>
    <mergeCell ref="N17:O17"/>
    <mergeCell ref="D5:E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Übersicht</vt:lpstr>
      <vt:lpstr>4.6.2 Wetter</vt:lpstr>
      <vt:lpstr>5.1.1 DIN 16798</vt:lpstr>
      <vt:lpstr>5.1.1 DIN 1991</vt:lpstr>
      <vt:lpstr>5.1 C_P</vt:lpstr>
      <vt:lpstr>5.2.1 DFR</vt:lpstr>
      <vt:lpstr>5.2.2 WSOA</vt:lpstr>
      <vt:lpstr>5.2.3 AFN_1Zone</vt:lpstr>
      <vt:lpstr>5.2.3 AFN_2Zonen</vt:lpstr>
      <vt:lpstr>5.2.4 C_W-Nachweis</vt:lpstr>
      <vt:lpstr>5.3 CFD</vt:lpstr>
      <vt:lpstr>5.4 Ergebnis</vt:lpstr>
      <vt:lpstr>Sim vs. Hand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Kohler</dc:creator>
  <cp:lastModifiedBy>Vera Kohler</cp:lastModifiedBy>
  <dcterms:created xsi:type="dcterms:W3CDTF">2026-07-22T10:05:37Z</dcterms:created>
  <dcterms:modified xsi:type="dcterms:W3CDTF">2026-09-15T12:11:20Z</dcterms:modified>
</cp:coreProperties>
</file>