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6"/>
  <workbookPr/>
  <mc:AlternateContent xmlns:mc="http://schemas.openxmlformats.org/markup-compatibility/2006">
    <mc:Choice Requires="x15">
      <x15ac:absPath xmlns:x15ac="http://schemas.microsoft.com/office/spreadsheetml/2010/11/ac" url="/Users/nikolaypolyushkin/Desktop/Aventura Quattro/Financial Analysis/"/>
    </mc:Choice>
  </mc:AlternateContent>
  <xr:revisionPtr revIDLastSave="0" documentId="13_ncr:1_{75509B68-95BE-714E-999A-0C5AB05DDCBF}" xr6:coauthVersionLast="42" xr6:coauthVersionMax="42" xr10:uidLastSave="{00000000-0000-0000-0000-000000000000}"/>
  <bookViews>
    <workbookView xWindow="0" yWindow="460" windowWidth="33600" windowHeight="19180" activeTab="1" xr2:uid="{00000000-000D-0000-FFFF-FFFF00000000}"/>
  </bookViews>
  <sheets>
    <sheet name="Resume" sheetId="5" r:id="rId1"/>
    <sheet name="Phase I Returns - Scenario I" sheetId="3" r:id="rId2"/>
    <sheet name="Townhouse Estimates" sheetId="4" r:id="rId3"/>
    <sheet name="Investor's IRR" sheetId="6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" i="4" l="1"/>
  <c r="F5" i="4"/>
  <c r="G3" i="4"/>
  <c r="F3" i="4"/>
  <c r="I13" i="3"/>
  <c r="C9" i="4"/>
  <c r="C10" i="4"/>
  <c r="A3" i="6"/>
  <c r="C3" i="6"/>
  <c r="D5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Z3" i="6"/>
  <c r="AA3" i="6"/>
  <c r="C4" i="6"/>
  <c r="D14" i="6"/>
  <c r="E6" i="5"/>
  <c r="C16" i="6"/>
  <c r="R16" i="3"/>
  <c r="E1" i="5"/>
  <c r="B2" i="5"/>
  <c r="B3" i="5"/>
  <c r="B1" i="5"/>
  <c r="B5" i="5"/>
  <c r="B6" i="5"/>
  <c r="B7" i="5"/>
  <c r="B4" i="5"/>
  <c r="D40" i="3"/>
  <c r="D60" i="3"/>
  <c r="E20" i="3"/>
  <c r="E40" i="3"/>
  <c r="E60" i="3"/>
  <c r="F20" i="3"/>
  <c r="F40" i="3"/>
  <c r="F60" i="3"/>
  <c r="G20" i="3"/>
  <c r="G40" i="3"/>
  <c r="G60" i="3"/>
  <c r="H20" i="3"/>
  <c r="H40" i="3"/>
  <c r="H60" i="3"/>
  <c r="I20" i="3"/>
  <c r="I40" i="3"/>
  <c r="I60" i="3"/>
  <c r="J20" i="3"/>
  <c r="J40" i="3"/>
  <c r="J60" i="3"/>
  <c r="K20" i="3"/>
  <c r="B5" i="4"/>
  <c r="C5" i="4"/>
  <c r="B8" i="4"/>
  <c r="M13" i="3"/>
  <c r="K40" i="3"/>
  <c r="K60" i="3"/>
  <c r="L20" i="3"/>
  <c r="L40" i="3"/>
  <c r="L60" i="3"/>
  <c r="M20" i="3"/>
  <c r="M40" i="3"/>
  <c r="M60" i="3"/>
  <c r="N20" i="3"/>
  <c r="N40" i="3"/>
  <c r="N60" i="3"/>
  <c r="O20" i="3"/>
  <c r="O40" i="3"/>
  <c r="O60" i="3"/>
  <c r="P20" i="3"/>
  <c r="P40" i="3"/>
  <c r="P60" i="3"/>
  <c r="Q20" i="3"/>
  <c r="Q40" i="3"/>
  <c r="Q60" i="3"/>
  <c r="R20" i="3"/>
  <c r="R40" i="3"/>
  <c r="R60" i="3"/>
  <c r="S20" i="3"/>
  <c r="S40" i="3"/>
  <c r="S60" i="3"/>
  <c r="T20" i="3"/>
  <c r="T40" i="3"/>
  <c r="T60" i="3"/>
  <c r="U20" i="3"/>
  <c r="U40" i="3"/>
  <c r="U60" i="3"/>
  <c r="V20" i="3"/>
  <c r="V40" i="3"/>
  <c r="V60" i="3"/>
  <c r="W20" i="3"/>
  <c r="W40" i="3"/>
  <c r="W60" i="3"/>
  <c r="X20" i="3"/>
  <c r="X40" i="3"/>
  <c r="X60" i="3"/>
  <c r="Y20" i="3"/>
  <c r="Y40" i="3"/>
  <c r="Y60" i="3"/>
  <c r="Z20" i="3"/>
  <c r="Z40" i="3"/>
  <c r="Z60" i="3"/>
  <c r="AA20" i="3"/>
  <c r="AA40" i="3"/>
  <c r="AA60" i="3"/>
  <c r="AB20" i="3"/>
  <c r="AB40" i="3"/>
  <c r="AB60" i="3"/>
  <c r="AC20" i="3"/>
  <c r="AC40" i="3"/>
  <c r="AC60" i="3"/>
  <c r="AD20" i="3"/>
  <c r="AD40" i="3"/>
  <c r="AD60" i="3"/>
  <c r="AE20" i="3"/>
  <c r="AE40" i="3"/>
  <c r="AE60" i="3"/>
  <c r="AF20" i="3"/>
  <c r="AF40" i="3"/>
  <c r="AF60" i="3"/>
  <c r="AG20" i="3"/>
  <c r="AG40" i="3"/>
  <c r="AG60" i="3"/>
  <c r="AH20" i="3"/>
  <c r="AH40" i="3"/>
  <c r="AH60" i="3"/>
  <c r="AI20" i="3"/>
  <c r="AI40" i="3"/>
  <c r="AI60" i="3"/>
  <c r="AJ20" i="3"/>
  <c r="AJ40" i="3"/>
  <c r="AJ60" i="3"/>
  <c r="AK20" i="3"/>
  <c r="AK40" i="3"/>
  <c r="AK60" i="3"/>
  <c r="AL20" i="3"/>
  <c r="AL40" i="3"/>
  <c r="AL60" i="3"/>
  <c r="AM20" i="3"/>
  <c r="AM40" i="3"/>
  <c r="AM60" i="3"/>
  <c r="AN20" i="3"/>
  <c r="AN40" i="3"/>
  <c r="AN60" i="3"/>
  <c r="AO20" i="3"/>
  <c r="AO40" i="3"/>
  <c r="AO60" i="3"/>
  <c r="AP20" i="3"/>
  <c r="AP40" i="3"/>
  <c r="AP60" i="3"/>
  <c r="AQ20" i="3"/>
  <c r="AQ40" i="3"/>
  <c r="AQ60" i="3"/>
  <c r="AR20" i="3"/>
  <c r="AR40" i="3"/>
  <c r="AR60" i="3"/>
  <c r="AS20" i="3"/>
  <c r="AS40" i="3"/>
  <c r="AS60" i="3"/>
  <c r="AT20" i="3"/>
  <c r="AT40" i="3"/>
  <c r="AT60" i="3"/>
  <c r="AU20" i="3"/>
  <c r="AU40" i="3"/>
  <c r="AU60" i="3"/>
  <c r="AV20" i="3"/>
  <c r="AV40" i="3"/>
  <c r="AV60" i="3"/>
  <c r="AW20" i="3"/>
  <c r="AW40" i="3"/>
  <c r="AW60" i="3"/>
  <c r="AX20" i="3"/>
  <c r="AX40" i="3"/>
  <c r="AX60" i="3"/>
  <c r="AY20" i="3"/>
  <c r="AY40" i="3"/>
  <c r="AY60" i="3"/>
  <c r="AZ20" i="3"/>
  <c r="AZ40" i="3"/>
  <c r="AZ60" i="3"/>
  <c r="BA20" i="3"/>
  <c r="BA40" i="3"/>
  <c r="BA60" i="3"/>
  <c r="BB20" i="3"/>
  <c r="BB40" i="3"/>
  <c r="BB60" i="3"/>
  <c r="BC20" i="3"/>
  <c r="BC40" i="3"/>
  <c r="BC60" i="3"/>
  <c r="BD20" i="3"/>
  <c r="BD40" i="3"/>
  <c r="BD60" i="3"/>
  <c r="BE20" i="3"/>
  <c r="BE40" i="3"/>
  <c r="BE60" i="3"/>
  <c r="BF20" i="3"/>
  <c r="BF40" i="3"/>
  <c r="BF60" i="3"/>
  <c r="BG20" i="3"/>
  <c r="BG40" i="3"/>
  <c r="BG60" i="3"/>
  <c r="BH20" i="3"/>
  <c r="BH40" i="3"/>
  <c r="BH60" i="3"/>
  <c r="BI20" i="3"/>
  <c r="BI40" i="3"/>
  <c r="BI60" i="3"/>
  <c r="BJ20" i="3"/>
  <c r="BJ40" i="3"/>
  <c r="BJ60" i="3"/>
  <c r="BK20" i="3"/>
  <c r="BK40" i="3"/>
  <c r="BK60" i="3"/>
  <c r="BL20" i="3"/>
  <c r="BL40" i="3"/>
  <c r="BL60" i="3"/>
  <c r="C60" i="3"/>
  <c r="B8" i="5"/>
  <c r="B9" i="5"/>
  <c r="D38" i="3"/>
  <c r="I6" i="3"/>
  <c r="D28" i="3"/>
  <c r="I10" i="3"/>
  <c r="D30" i="3"/>
  <c r="D31" i="3"/>
  <c r="D32" i="3"/>
  <c r="D42" i="3"/>
  <c r="E35" i="3"/>
  <c r="E36" i="3"/>
  <c r="E37" i="3"/>
  <c r="E38" i="3"/>
  <c r="E29" i="3"/>
  <c r="E30" i="3"/>
  <c r="E31" i="3"/>
  <c r="E32" i="3"/>
  <c r="E42" i="3"/>
  <c r="F35" i="3"/>
  <c r="F36" i="3"/>
  <c r="F37" i="3"/>
  <c r="F38" i="3"/>
  <c r="F29" i="3"/>
  <c r="F30" i="3"/>
  <c r="F31" i="3"/>
  <c r="F32" i="3"/>
  <c r="F42" i="3"/>
  <c r="G35" i="3"/>
  <c r="G36" i="3"/>
  <c r="G37" i="3"/>
  <c r="G38" i="3"/>
  <c r="G29" i="3"/>
  <c r="G30" i="3"/>
  <c r="G31" i="3"/>
  <c r="G32" i="3"/>
  <c r="G42" i="3"/>
  <c r="H35" i="3"/>
  <c r="H36" i="3"/>
  <c r="H37" i="3"/>
  <c r="H38" i="3"/>
  <c r="H29" i="3"/>
  <c r="H30" i="3"/>
  <c r="H31" i="3"/>
  <c r="H32" i="3"/>
  <c r="H42" i="3"/>
  <c r="I35" i="3"/>
  <c r="I36" i="3"/>
  <c r="I37" i="3"/>
  <c r="I38" i="3"/>
  <c r="I29" i="3"/>
  <c r="I30" i="3"/>
  <c r="I31" i="3"/>
  <c r="I32" i="3"/>
  <c r="I42" i="3"/>
  <c r="J35" i="3"/>
  <c r="J36" i="3"/>
  <c r="J37" i="3"/>
  <c r="J38" i="3"/>
  <c r="J29" i="3"/>
  <c r="J30" i="3"/>
  <c r="J31" i="3"/>
  <c r="J32" i="3"/>
  <c r="J42" i="3"/>
  <c r="K35" i="3"/>
  <c r="K36" i="3"/>
  <c r="K37" i="3"/>
  <c r="K38" i="3"/>
  <c r="K29" i="3"/>
  <c r="K30" i="3"/>
  <c r="K31" i="3"/>
  <c r="K32" i="3"/>
  <c r="K42" i="3"/>
  <c r="L35" i="3"/>
  <c r="L36" i="3"/>
  <c r="L37" i="3"/>
  <c r="L38" i="3"/>
  <c r="L29" i="3"/>
  <c r="L30" i="3"/>
  <c r="L31" i="3"/>
  <c r="L32" i="3"/>
  <c r="L42" i="3"/>
  <c r="M35" i="3"/>
  <c r="M36" i="3"/>
  <c r="M37" i="3"/>
  <c r="M38" i="3"/>
  <c r="M29" i="3"/>
  <c r="M30" i="3"/>
  <c r="M31" i="3"/>
  <c r="M32" i="3"/>
  <c r="M42" i="3"/>
  <c r="N35" i="3"/>
  <c r="N36" i="3"/>
  <c r="N37" i="3"/>
  <c r="N38" i="3"/>
  <c r="N29" i="3"/>
  <c r="N30" i="3"/>
  <c r="N31" i="3"/>
  <c r="N32" i="3"/>
  <c r="N42" i="3"/>
  <c r="O35" i="3"/>
  <c r="O36" i="3"/>
  <c r="O37" i="3"/>
  <c r="O38" i="3"/>
  <c r="O29" i="3"/>
  <c r="O30" i="3"/>
  <c r="O31" i="3"/>
  <c r="O32" i="3"/>
  <c r="O42" i="3"/>
  <c r="P35" i="3"/>
  <c r="P36" i="3"/>
  <c r="P37" i="3"/>
  <c r="P38" i="3"/>
  <c r="P29" i="3"/>
  <c r="P30" i="3"/>
  <c r="P31" i="3"/>
  <c r="P32" i="3"/>
  <c r="P42" i="3"/>
  <c r="Q35" i="3"/>
  <c r="Q36" i="3"/>
  <c r="Q37" i="3"/>
  <c r="Q38" i="3"/>
  <c r="Q29" i="3"/>
  <c r="Q30" i="3"/>
  <c r="Q31" i="3"/>
  <c r="Q32" i="3"/>
  <c r="Q42" i="3"/>
  <c r="R35" i="3"/>
  <c r="R36" i="3"/>
  <c r="R37" i="3"/>
  <c r="R38" i="3"/>
  <c r="R29" i="3"/>
  <c r="R30" i="3"/>
  <c r="R31" i="3"/>
  <c r="R32" i="3"/>
  <c r="R42" i="3"/>
  <c r="S35" i="3"/>
  <c r="S36" i="3"/>
  <c r="S37" i="3"/>
  <c r="S38" i="3"/>
  <c r="S29" i="3"/>
  <c r="S30" i="3"/>
  <c r="S31" i="3"/>
  <c r="S32" i="3"/>
  <c r="S42" i="3"/>
  <c r="T35" i="3"/>
  <c r="T36" i="3"/>
  <c r="T37" i="3"/>
  <c r="T38" i="3"/>
  <c r="T29" i="3"/>
  <c r="T30" i="3"/>
  <c r="T31" i="3"/>
  <c r="T32" i="3"/>
  <c r="T42" i="3"/>
  <c r="U35" i="3"/>
  <c r="U36" i="3"/>
  <c r="U37" i="3"/>
  <c r="U38" i="3"/>
  <c r="U29" i="3"/>
  <c r="U30" i="3"/>
  <c r="U31" i="3"/>
  <c r="U32" i="3"/>
  <c r="U42" i="3"/>
  <c r="V35" i="3"/>
  <c r="V36" i="3"/>
  <c r="V37" i="3"/>
  <c r="V38" i="3"/>
  <c r="V29" i="3"/>
  <c r="V30" i="3"/>
  <c r="V31" i="3"/>
  <c r="V32" i="3"/>
  <c r="V42" i="3"/>
  <c r="W35" i="3"/>
  <c r="W36" i="3"/>
  <c r="W37" i="3"/>
  <c r="W38" i="3"/>
  <c r="W29" i="3"/>
  <c r="W30" i="3"/>
  <c r="W31" i="3"/>
  <c r="W32" i="3"/>
  <c r="W42" i="3"/>
  <c r="X35" i="3"/>
  <c r="X36" i="3"/>
  <c r="X37" i="3"/>
  <c r="X38" i="3"/>
  <c r="X29" i="3"/>
  <c r="X30" i="3"/>
  <c r="X31" i="3"/>
  <c r="X32" i="3"/>
  <c r="X42" i="3"/>
  <c r="Y35" i="3"/>
  <c r="Y36" i="3"/>
  <c r="Y37" i="3"/>
  <c r="Y38" i="3"/>
  <c r="Y29" i="3"/>
  <c r="Y30" i="3"/>
  <c r="Y31" i="3"/>
  <c r="Y32" i="3"/>
  <c r="Y42" i="3"/>
  <c r="Z35" i="3"/>
  <c r="Z36" i="3"/>
  <c r="Z37" i="3"/>
  <c r="Z38" i="3"/>
  <c r="Z29" i="3"/>
  <c r="Z30" i="3"/>
  <c r="Z31" i="3"/>
  <c r="Z32" i="3"/>
  <c r="Z42" i="3"/>
  <c r="AA35" i="3"/>
  <c r="AA36" i="3"/>
  <c r="AA37" i="3"/>
  <c r="AA38" i="3"/>
  <c r="AA29" i="3"/>
  <c r="AA30" i="3"/>
  <c r="AA31" i="3"/>
  <c r="AA32" i="3"/>
  <c r="AA42" i="3"/>
  <c r="AB35" i="3"/>
  <c r="AB36" i="3"/>
  <c r="AB37" i="3"/>
  <c r="AB38" i="3"/>
  <c r="AB29" i="3"/>
  <c r="AB30" i="3"/>
  <c r="AB31" i="3"/>
  <c r="AB32" i="3"/>
  <c r="AB42" i="3"/>
  <c r="AC35" i="3"/>
  <c r="AC36" i="3"/>
  <c r="AC37" i="3"/>
  <c r="AC38" i="3"/>
  <c r="AC29" i="3"/>
  <c r="AC30" i="3"/>
  <c r="AC31" i="3"/>
  <c r="AC32" i="3"/>
  <c r="AC42" i="3"/>
  <c r="AD35" i="3"/>
  <c r="AD36" i="3"/>
  <c r="AD37" i="3"/>
  <c r="AD38" i="3"/>
  <c r="AD29" i="3"/>
  <c r="AD30" i="3"/>
  <c r="AD31" i="3"/>
  <c r="AD32" i="3"/>
  <c r="AD42" i="3"/>
  <c r="AE35" i="3"/>
  <c r="AE36" i="3"/>
  <c r="AE37" i="3"/>
  <c r="AE38" i="3"/>
  <c r="AE29" i="3"/>
  <c r="AE30" i="3"/>
  <c r="AE31" i="3"/>
  <c r="AE32" i="3"/>
  <c r="AE42" i="3"/>
  <c r="AF35" i="3"/>
  <c r="AF36" i="3"/>
  <c r="AF37" i="3"/>
  <c r="AF38" i="3"/>
  <c r="AF29" i="3"/>
  <c r="AF30" i="3"/>
  <c r="AF31" i="3"/>
  <c r="AF32" i="3"/>
  <c r="AF42" i="3"/>
  <c r="AG35" i="3"/>
  <c r="AG36" i="3"/>
  <c r="AG37" i="3"/>
  <c r="AG38" i="3"/>
  <c r="AG29" i="3"/>
  <c r="AG30" i="3"/>
  <c r="AG31" i="3"/>
  <c r="AG32" i="3"/>
  <c r="AG42" i="3"/>
  <c r="AH35" i="3"/>
  <c r="AH36" i="3"/>
  <c r="AH37" i="3"/>
  <c r="AH38" i="3"/>
  <c r="AH29" i="3"/>
  <c r="AH30" i="3"/>
  <c r="AH31" i="3"/>
  <c r="AH32" i="3"/>
  <c r="AH42" i="3"/>
  <c r="AI35" i="3"/>
  <c r="AI36" i="3"/>
  <c r="AI37" i="3"/>
  <c r="AI38" i="3"/>
  <c r="AI29" i="3"/>
  <c r="AI30" i="3"/>
  <c r="AI31" i="3"/>
  <c r="AI32" i="3"/>
  <c r="AI42" i="3"/>
  <c r="AJ35" i="3"/>
  <c r="AJ36" i="3"/>
  <c r="AJ37" i="3"/>
  <c r="AJ38" i="3"/>
  <c r="AJ29" i="3"/>
  <c r="AJ30" i="3"/>
  <c r="AJ31" i="3"/>
  <c r="AJ32" i="3"/>
  <c r="AJ42" i="3"/>
  <c r="AK35" i="3"/>
  <c r="AK36" i="3"/>
  <c r="AK37" i="3"/>
  <c r="AK38" i="3"/>
  <c r="AK29" i="3"/>
  <c r="AK30" i="3"/>
  <c r="AK31" i="3"/>
  <c r="AK32" i="3"/>
  <c r="AK42" i="3"/>
  <c r="AL35" i="3"/>
  <c r="AL36" i="3"/>
  <c r="AL37" i="3"/>
  <c r="AL38" i="3"/>
  <c r="AL29" i="3"/>
  <c r="AL30" i="3"/>
  <c r="AL31" i="3"/>
  <c r="AL32" i="3"/>
  <c r="AL42" i="3"/>
  <c r="AM35" i="3"/>
  <c r="AM36" i="3"/>
  <c r="AM37" i="3"/>
  <c r="AM38" i="3"/>
  <c r="AM29" i="3"/>
  <c r="AM30" i="3"/>
  <c r="AM31" i="3"/>
  <c r="AM32" i="3"/>
  <c r="AM42" i="3"/>
  <c r="AN35" i="3"/>
  <c r="AN36" i="3"/>
  <c r="AN37" i="3"/>
  <c r="AN38" i="3"/>
  <c r="AN29" i="3"/>
  <c r="AN30" i="3"/>
  <c r="AN31" i="3"/>
  <c r="AN32" i="3"/>
  <c r="AN42" i="3"/>
  <c r="AO35" i="3"/>
  <c r="AO36" i="3"/>
  <c r="AO37" i="3"/>
  <c r="AO38" i="3"/>
  <c r="AO29" i="3"/>
  <c r="AO30" i="3"/>
  <c r="AO31" i="3"/>
  <c r="AO32" i="3"/>
  <c r="AO42" i="3"/>
  <c r="AP35" i="3"/>
  <c r="AP36" i="3"/>
  <c r="AP37" i="3"/>
  <c r="AP38" i="3"/>
  <c r="AP29" i="3"/>
  <c r="AP30" i="3"/>
  <c r="AP31" i="3"/>
  <c r="AP32" i="3"/>
  <c r="AP42" i="3"/>
  <c r="AQ35" i="3"/>
  <c r="AQ36" i="3"/>
  <c r="AQ37" i="3"/>
  <c r="AQ38" i="3"/>
  <c r="AQ29" i="3"/>
  <c r="AQ30" i="3"/>
  <c r="AQ31" i="3"/>
  <c r="AQ32" i="3"/>
  <c r="AQ42" i="3"/>
  <c r="AR35" i="3"/>
  <c r="AR36" i="3"/>
  <c r="AR37" i="3"/>
  <c r="AR38" i="3"/>
  <c r="AR29" i="3"/>
  <c r="AR30" i="3"/>
  <c r="AR31" i="3"/>
  <c r="AR32" i="3"/>
  <c r="AR42" i="3"/>
  <c r="AS35" i="3"/>
  <c r="AS36" i="3"/>
  <c r="AS37" i="3"/>
  <c r="AS38" i="3"/>
  <c r="AS29" i="3"/>
  <c r="AS30" i="3"/>
  <c r="AS31" i="3"/>
  <c r="AS32" i="3"/>
  <c r="AS42" i="3"/>
  <c r="AT35" i="3"/>
  <c r="AT36" i="3"/>
  <c r="AT37" i="3"/>
  <c r="AT38" i="3"/>
  <c r="AT29" i="3"/>
  <c r="AT30" i="3"/>
  <c r="AT31" i="3"/>
  <c r="AT32" i="3"/>
  <c r="AT42" i="3"/>
  <c r="AU35" i="3"/>
  <c r="AU36" i="3"/>
  <c r="AU37" i="3"/>
  <c r="AU38" i="3"/>
  <c r="AU29" i="3"/>
  <c r="AU30" i="3"/>
  <c r="AU31" i="3"/>
  <c r="AU32" i="3"/>
  <c r="AU42" i="3"/>
  <c r="AV35" i="3"/>
  <c r="AV36" i="3"/>
  <c r="AV37" i="3"/>
  <c r="AV38" i="3"/>
  <c r="AV29" i="3"/>
  <c r="AV30" i="3"/>
  <c r="AV31" i="3"/>
  <c r="AV32" i="3"/>
  <c r="AV42" i="3"/>
  <c r="AW35" i="3"/>
  <c r="AW36" i="3"/>
  <c r="AW37" i="3"/>
  <c r="AW38" i="3"/>
  <c r="AW29" i="3"/>
  <c r="AW30" i="3"/>
  <c r="AW31" i="3"/>
  <c r="AW32" i="3"/>
  <c r="AW42" i="3"/>
  <c r="AX35" i="3"/>
  <c r="AX36" i="3"/>
  <c r="AX37" i="3"/>
  <c r="AX38" i="3"/>
  <c r="AX29" i="3"/>
  <c r="AX30" i="3"/>
  <c r="AX31" i="3"/>
  <c r="AX32" i="3"/>
  <c r="AX42" i="3"/>
  <c r="AY35" i="3"/>
  <c r="AY36" i="3"/>
  <c r="AY37" i="3"/>
  <c r="AY38" i="3"/>
  <c r="AY29" i="3"/>
  <c r="AY30" i="3"/>
  <c r="AY31" i="3"/>
  <c r="AY32" i="3"/>
  <c r="AY42" i="3"/>
  <c r="AZ35" i="3"/>
  <c r="AZ36" i="3"/>
  <c r="AZ37" i="3"/>
  <c r="AZ38" i="3"/>
  <c r="AZ29" i="3"/>
  <c r="AZ30" i="3"/>
  <c r="AZ31" i="3"/>
  <c r="AZ32" i="3"/>
  <c r="AZ42" i="3"/>
  <c r="BA35" i="3"/>
  <c r="BA36" i="3"/>
  <c r="BA37" i="3"/>
  <c r="BA38" i="3"/>
  <c r="BA29" i="3"/>
  <c r="BA30" i="3"/>
  <c r="BA31" i="3"/>
  <c r="BA32" i="3"/>
  <c r="BA42" i="3"/>
  <c r="BB35" i="3"/>
  <c r="BB36" i="3"/>
  <c r="BB37" i="3"/>
  <c r="BB38" i="3"/>
  <c r="BB29" i="3"/>
  <c r="BB30" i="3"/>
  <c r="BB31" i="3"/>
  <c r="BB32" i="3"/>
  <c r="BB42" i="3"/>
  <c r="BC35" i="3"/>
  <c r="BC36" i="3"/>
  <c r="BC37" i="3"/>
  <c r="BC38" i="3"/>
  <c r="BC29" i="3"/>
  <c r="BC30" i="3"/>
  <c r="BC31" i="3"/>
  <c r="BC32" i="3"/>
  <c r="BC42" i="3"/>
  <c r="BD35" i="3"/>
  <c r="BD36" i="3"/>
  <c r="BD37" i="3"/>
  <c r="BD38" i="3"/>
  <c r="BD29" i="3"/>
  <c r="BD30" i="3"/>
  <c r="BD31" i="3"/>
  <c r="BD32" i="3"/>
  <c r="BD42" i="3"/>
  <c r="BE35" i="3"/>
  <c r="BE36" i="3"/>
  <c r="BE37" i="3"/>
  <c r="BE38" i="3"/>
  <c r="BE29" i="3"/>
  <c r="BE30" i="3"/>
  <c r="BE31" i="3"/>
  <c r="BE32" i="3"/>
  <c r="BE42" i="3"/>
  <c r="BF35" i="3"/>
  <c r="BF36" i="3"/>
  <c r="BF37" i="3"/>
  <c r="BF38" i="3"/>
  <c r="BF29" i="3"/>
  <c r="BF30" i="3"/>
  <c r="BF31" i="3"/>
  <c r="BF32" i="3"/>
  <c r="BF42" i="3"/>
  <c r="BG35" i="3"/>
  <c r="BG36" i="3"/>
  <c r="BG37" i="3"/>
  <c r="BG38" i="3"/>
  <c r="BG29" i="3"/>
  <c r="BG30" i="3"/>
  <c r="BG31" i="3"/>
  <c r="BG32" i="3"/>
  <c r="BG42" i="3"/>
  <c r="BH35" i="3"/>
  <c r="BH36" i="3"/>
  <c r="BH37" i="3"/>
  <c r="BH38" i="3"/>
  <c r="BH29" i="3"/>
  <c r="BH30" i="3"/>
  <c r="BH31" i="3"/>
  <c r="BH32" i="3"/>
  <c r="BH42" i="3"/>
  <c r="BI35" i="3"/>
  <c r="BI36" i="3"/>
  <c r="BI37" i="3"/>
  <c r="BI38" i="3"/>
  <c r="BI29" i="3"/>
  <c r="BI30" i="3"/>
  <c r="BI31" i="3"/>
  <c r="BI32" i="3"/>
  <c r="BI42" i="3"/>
  <c r="BJ35" i="3"/>
  <c r="BJ36" i="3"/>
  <c r="BJ37" i="3"/>
  <c r="BJ38" i="3"/>
  <c r="BJ29" i="3"/>
  <c r="BJ30" i="3"/>
  <c r="BJ31" i="3"/>
  <c r="BJ32" i="3"/>
  <c r="BJ42" i="3"/>
  <c r="BK35" i="3"/>
  <c r="BK36" i="3"/>
  <c r="BK37" i="3"/>
  <c r="BK38" i="3"/>
  <c r="BK29" i="3"/>
  <c r="BK30" i="3"/>
  <c r="BK31" i="3"/>
  <c r="BK32" i="3"/>
  <c r="BK42" i="3"/>
  <c r="BL35" i="3"/>
  <c r="BL36" i="3"/>
  <c r="BL37" i="3"/>
  <c r="BL38" i="3"/>
  <c r="BL29" i="3"/>
  <c r="BL30" i="3"/>
  <c r="BL31" i="3"/>
  <c r="BL32" i="3"/>
  <c r="BL42" i="3"/>
  <c r="E8" i="3"/>
  <c r="R7" i="3"/>
  <c r="D80" i="3"/>
  <c r="E15" i="3"/>
  <c r="D75" i="3"/>
  <c r="D76" i="3"/>
  <c r="D81" i="3"/>
  <c r="D23" i="3"/>
  <c r="D82" i="3"/>
  <c r="D83" i="3"/>
  <c r="D85" i="3"/>
  <c r="D87" i="3"/>
  <c r="D86" i="3"/>
  <c r="E80" i="3"/>
  <c r="D77" i="3"/>
  <c r="E75" i="3"/>
  <c r="E76" i="3"/>
  <c r="E81" i="3"/>
  <c r="E23" i="3"/>
  <c r="E82" i="3"/>
  <c r="E83" i="3"/>
  <c r="E85" i="3"/>
  <c r="E87" i="3"/>
  <c r="E86" i="3"/>
  <c r="F80" i="3"/>
  <c r="E77" i="3"/>
  <c r="F75" i="3"/>
  <c r="F76" i="3"/>
  <c r="F81" i="3"/>
  <c r="F23" i="3"/>
  <c r="F82" i="3"/>
  <c r="F83" i="3"/>
  <c r="F85" i="3"/>
  <c r="F87" i="3"/>
  <c r="F86" i="3"/>
  <c r="G80" i="3"/>
  <c r="F77" i="3"/>
  <c r="G75" i="3"/>
  <c r="G76" i="3"/>
  <c r="G81" i="3"/>
  <c r="G23" i="3"/>
  <c r="G82" i="3"/>
  <c r="G83" i="3"/>
  <c r="G85" i="3"/>
  <c r="G87" i="3"/>
  <c r="G86" i="3"/>
  <c r="H80" i="3"/>
  <c r="G77" i="3"/>
  <c r="H75" i="3"/>
  <c r="H76" i="3"/>
  <c r="H81" i="3"/>
  <c r="H23" i="3"/>
  <c r="H82" i="3"/>
  <c r="H83" i="3"/>
  <c r="H85" i="3"/>
  <c r="H87" i="3"/>
  <c r="H86" i="3"/>
  <c r="I80" i="3"/>
  <c r="H77" i="3"/>
  <c r="I75" i="3"/>
  <c r="I76" i="3"/>
  <c r="I81" i="3"/>
  <c r="I23" i="3"/>
  <c r="I82" i="3"/>
  <c r="I83" i="3"/>
  <c r="I85" i="3"/>
  <c r="I87" i="3"/>
  <c r="I86" i="3"/>
  <c r="J80" i="3"/>
  <c r="I77" i="3"/>
  <c r="J75" i="3"/>
  <c r="J76" i="3"/>
  <c r="J81" i="3"/>
  <c r="J23" i="3"/>
  <c r="J82" i="3"/>
  <c r="J83" i="3"/>
  <c r="J85" i="3"/>
  <c r="J87" i="3"/>
  <c r="J86" i="3"/>
  <c r="K80" i="3"/>
  <c r="J77" i="3"/>
  <c r="K75" i="3"/>
  <c r="K76" i="3"/>
  <c r="K81" i="3"/>
  <c r="K23" i="3"/>
  <c r="K82" i="3"/>
  <c r="K83" i="3"/>
  <c r="K85" i="3"/>
  <c r="K87" i="3"/>
  <c r="K86" i="3"/>
  <c r="L80" i="3"/>
  <c r="K77" i="3"/>
  <c r="L75" i="3"/>
  <c r="L76" i="3"/>
  <c r="L81" i="3"/>
  <c r="L23" i="3"/>
  <c r="L82" i="3"/>
  <c r="L83" i="3"/>
  <c r="L85" i="3"/>
  <c r="L87" i="3"/>
  <c r="L86" i="3"/>
  <c r="M80" i="3"/>
  <c r="L77" i="3"/>
  <c r="M75" i="3"/>
  <c r="M76" i="3"/>
  <c r="M81" i="3"/>
  <c r="M23" i="3"/>
  <c r="M82" i="3"/>
  <c r="M83" i="3"/>
  <c r="M85" i="3"/>
  <c r="M87" i="3"/>
  <c r="M86" i="3"/>
  <c r="N80" i="3"/>
  <c r="M77" i="3"/>
  <c r="N75" i="3"/>
  <c r="N76" i="3"/>
  <c r="N81" i="3"/>
  <c r="N23" i="3"/>
  <c r="N82" i="3"/>
  <c r="N83" i="3"/>
  <c r="N85" i="3"/>
  <c r="N87" i="3"/>
  <c r="N86" i="3"/>
  <c r="O80" i="3"/>
  <c r="N77" i="3"/>
  <c r="O75" i="3"/>
  <c r="O76" i="3"/>
  <c r="O81" i="3"/>
  <c r="O23" i="3"/>
  <c r="O82" i="3"/>
  <c r="O83" i="3"/>
  <c r="O85" i="3"/>
  <c r="O87" i="3"/>
  <c r="O86" i="3"/>
  <c r="P80" i="3"/>
  <c r="O77" i="3"/>
  <c r="P75" i="3"/>
  <c r="P76" i="3"/>
  <c r="P81" i="3"/>
  <c r="P23" i="3"/>
  <c r="P82" i="3"/>
  <c r="P83" i="3"/>
  <c r="P85" i="3"/>
  <c r="P87" i="3"/>
  <c r="P86" i="3"/>
  <c r="Q80" i="3"/>
  <c r="P77" i="3"/>
  <c r="Q75" i="3"/>
  <c r="Q76" i="3"/>
  <c r="Q81" i="3"/>
  <c r="Q23" i="3"/>
  <c r="Q82" i="3"/>
  <c r="Q83" i="3"/>
  <c r="Q85" i="3"/>
  <c r="Q87" i="3"/>
  <c r="Q86" i="3"/>
  <c r="R80" i="3"/>
  <c r="Q77" i="3"/>
  <c r="R75" i="3"/>
  <c r="R76" i="3"/>
  <c r="R81" i="3"/>
  <c r="R23" i="3"/>
  <c r="R82" i="3"/>
  <c r="R83" i="3"/>
  <c r="R85" i="3"/>
  <c r="R87" i="3"/>
  <c r="R86" i="3"/>
  <c r="S80" i="3"/>
  <c r="R77" i="3"/>
  <c r="S75" i="3"/>
  <c r="S76" i="3"/>
  <c r="S81" i="3"/>
  <c r="S23" i="3"/>
  <c r="S82" i="3"/>
  <c r="S83" i="3"/>
  <c r="S85" i="3"/>
  <c r="S87" i="3"/>
  <c r="S86" i="3"/>
  <c r="T80" i="3"/>
  <c r="S77" i="3"/>
  <c r="T75" i="3"/>
  <c r="T76" i="3"/>
  <c r="T81" i="3"/>
  <c r="T23" i="3"/>
  <c r="T82" i="3"/>
  <c r="T83" i="3"/>
  <c r="T85" i="3"/>
  <c r="T87" i="3"/>
  <c r="T86" i="3"/>
  <c r="U80" i="3"/>
  <c r="T77" i="3"/>
  <c r="U75" i="3"/>
  <c r="U76" i="3"/>
  <c r="U81" i="3"/>
  <c r="U23" i="3"/>
  <c r="U82" i="3"/>
  <c r="U83" i="3"/>
  <c r="U85" i="3"/>
  <c r="U87" i="3"/>
  <c r="U86" i="3"/>
  <c r="V80" i="3"/>
  <c r="U77" i="3"/>
  <c r="V75" i="3"/>
  <c r="V76" i="3"/>
  <c r="V81" i="3"/>
  <c r="V23" i="3"/>
  <c r="V82" i="3"/>
  <c r="V83" i="3"/>
  <c r="V85" i="3"/>
  <c r="V87" i="3"/>
  <c r="V86" i="3"/>
  <c r="W80" i="3"/>
  <c r="V77" i="3"/>
  <c r="W75" i="3"/>
  <c r="W76" i="3"/>
  <c r="W81" i="3"/>
  <c r="W23" i="3"/>
  <c r="W82" i="3"/>
  <c r="W83" i="3"/>
  <c r="W85" i="3"/>
  <c r="W87" i="3"/>
  <c r="W86" i="3"/>
  <c r="X80" i="3"/>
  <c r="W77" i="3"/>
  <c r="X75" i="3"/>
  <c r="X76" i="3"/>
  <c r="X81" i="3"/>
  <c r="X23" i="3"/>
  <c r="X82" i="3"/>
  <c r="X83" i="3"/>
  <c r="X85" i="3"/>
  <c r="X87" i="3"/>
  <c r="X86" i="3"/>
  <c r="Y80" i="3"/>
  <c r="X77" i="3"/>
  <c r="Y75" i="3"/>
  <c r="Y76" i="3"/>
  <c r="Y81" i="3"/>
  <c r="Y23" i="3"/>
  <c r="Y82" i="3"/>
  <c r="Y83" i="3"/>
  <c r="Y85" i="3"/>
  <c r="Y87" i="3"/>
  <c r="Y86" i="3"/>
  <c r="Z80" i="3"/>
  <c r="Y77" i="3"/>
  <c r="Z75" i="3"/>
  <c r="Z76" i="3"/>
  <c r="Z81" i="3"/>
  <c r="Z23" i="3"/>
  <c r="Z82" i="3"/>
  <c r="Z83" i="3"/>
  <c r="Z85" i="3"/>
  <c r="Z87" i="3"/>
  <c r="Z86" i="3"/>
  <c r="AA80" i="3"/>
  <c r="Z77" i="3"/>
  <c r="AA75" i="3"/>
  <c r="AA76" i="3"/>
  <c r="AA81" i="3"/>
  <c r="AA23" i="3"/>
  <c r="AA82" i="3"/>
  <c r="AA83" i="3"/>
  <c r="AA85" i="3"/>
  <c r="AA87" i="3"/>
  <c r="AA86" i="3"/>
  <c r="AB80" i="3"/>
  <c r="AA77" i="3"/>
  <c r="AB75" i="3"/>
  <c r="AB76" i="3"/>
  <c r="AB81" i="3"/>
  <c r="AB23" i="3"/>
  <c r="AB82" i="3"/>
  <c r="AB83" i="3"/>
  <c r="AB85" i="3"/>
  <c r="AB87" i="3"/>
  <c r="AB86" i="3"/>
  <c r="AC80" i="3"/>
  <c r="AB77" i="3"/>
  <c r="AC75" i="3"/>
  <c r="AC76" i="3"/>
  <c r="AC81" i="3"/>
  <c r="AC23" i="3"/>
  <c r="AC82" i="3"/>
  <c r="AC83" i="3"/>
  <c r="AC85" i="3"/>
  <c r="AC87" i="3"/>
  <c r="AC86" i="3"/>
  <c r="AD80" i="3"/>
  <c r="AC77" i="3"/>
  <c r="AD75" i="3"/>
  <c r="AD76" i="3"/>
  <c r="AD81" i="3"/>
  <c r="AD23" i="3"/>
  <c r="AD82" i="3"/>
  <c r="AD83" i="3"/>
  <c r="AD85" i="3"/>
  <c r="AD87" i="3"/>
  <c r="AD86" i="3"/>
  <c r="AE80" i="3"/>
  <c r="AD77" i="3"/>
  <c r="AE75" i="3"/>
  <c r="AE76" i="3"/>
  <c r="AE81" i="3"/>
  <c r="AE23" i="3"/>
  <c r="AE82" i="3"/>
  <c r="AE83" i="3"/>
  <c r="AE85" i="3"/>
  <c r="AE87" i="3"/>
  <c r="AE86" i="3"/>
  <c r="AF80" i="3"/>
  <c r="AE77" i="3"/>
  <c r="AF75" i="3"/>
  <c r="AF76" i="3"/>
  <c r="AF81" i="3"/>
  <c r="AF23" i="3"/>
  <c r="AF82" i="3"/>
  <c r="AF83" i="3"/>
  <c r="AF85" i="3"/>
  <c r="AF87" i="3"/>
  <c r="AF86" i="3"/>
  <c r="AG80" i="3"/>
  <c r="AF77" i="3"/>
  <c r="AG75" i="3"/>
  <c r="AG76" i="3"/>
  <c r="AG81" i="3"/>
  <c r="AG23" i="3"/>
  <c r="AG82" i="3"/>
  <c r="AG83" i="3"/>
  <c r="AG85" i="3"/>
  <c r="AG87" i="3"/>
  <c r="AG86" i="3"/>
  <c r="AH80" i="3"/>
  <c r="AG77" i="3"/>
  <c r="AH75" i="3"/>
  <c r="AH76" i="3"/>
  <c r="AH81" i="3"/>
  <c r="AH23" i="3"/>
  <c r="AH82" i="3"/>
  <c r="AH83" i="3"/>
  <c r="AH85" i="3"/>
  <c r="AH87" i="3"/>
  <c r="AH86" i="3"/>
  <c r="AI80" i="3"/>
  <c r="AH77" i="3"/>
  <c r="AI75" i="3"/>
  <c r="AI76" i="3"/>
  <c r="AI81" i="3"/>
  <c r="AI23" i="3"/>
  <c r="AI82" i="3"/>
  <c r="AI83" i="3"/>
  <c r="AI85" i="3"/>
  <c r="AI87" i="3"/>
  <c r="AI86" i="3"/>
  <c r="AJ80" i="3"/>
  <c r="AI77" i="3"/>
  <c r="AJ75" i="3"/>
  <c r="AJ76" i="3"/>
  <c r="AJ81" i="3"/>
  <c r="AJ23" i="3"/>
  <c r="AJ82" i="3"/>
  <c r="AJ83" i="3"/>
  <c r="AJ85" i="3"/>
  <c r="AJ87" i="3"/>
  <c r="AJ86" i="3"/>
  <c r="AK80" i="3"/>
  <c r="AJ77" i="3"/>
  <c r="AK75" i="3"/>
  <c r="AK76" i="3"/>
  <c r="AK81" i="3"/>
  <c r="AK23" i="3"/>
  <c r="AK82" i="3"/>
  <c r="AK83" i="3"/>
  <c r="AK85" i="3"/>
  <c r="AK87" i="3"/>
  <c r="AK86" i="3"/>
  <c r="AL80" i="3"/>
  <c r="AK77" i="3"/>
  <c r="AL75" i="3"/>
  <c r="AL76" i="3"/>
  <c r="AL81" i="3"/>
  <c r="AL23" i="3"/>
  <c r="AL82" i="3"/>
  <c r="AL83" i="3"/>
  <c r="AL85" i="3"/>
  <c r="AL87" i="3"/>
  <c r="AL86" i="3"/>
  <c r="AM80" i="3"/>
  <c r="AL77" i="3"/>
  <c r="AM75" i="3"/>
  <c r="AM76" i="3"/>
  <c r="AM81" i="3"/>
  <c r="AM23" i="3"/>
  <c r="AM82" i="3"/>
  <c r="AM83" i="3"/>
  <c r="AM85" i="3"/>
  <c r="AM87" i="3"/>
  <c r="AM86" i="3"/>
  <c r="AN80" i="3"/>
  <c r="AM77" i="3"/>
  <c r="AN75" i="3"/>
  <c r="AN76" i="3"/>
  <c r="AN81" i="3"/>
  <c r="AN23" i="3"/>
  <c r="AN82" i="3"/>
  <c r="AN83" i="3"/>
  <c r="AN85" i="3"/>
  <c r="AN87" i="3"/>
  <c r="AN86" i="3"/>
  <c r="AO80" i="3"/>
  <c r="AN77" i="3"/>
  <c r="AO75" i="3"/>
  <c r="AO76" i="3"/>
  <c r="AO81" i="3"/>
  <c r="AO23" i="3"/>
  <c r="AO82" i="3"/>
  <c r="AO83" i="3"/>
  <c r="AO85" i="3"/>
  <c r="AO87" i="3"/>
  <c r="AO86" i="3"/>
  <c r="AP80" i="3"/>
  <c r="AO77" i="3"/>
  <c r="AP75" i="3"/>
  <c r="AP76" i="3"/>
  <c r="AP81" i="3"/>
  <c r="AP23" i="3"/>
  <c r="AP82" i="3"/>
  <c r="AP83" i="3"/>
  <c r="AP85" i="3"/>
  <c r="AP87" i="3"/>
  <c r="AP86" i="3"/>
  <c r="AQ80" i="3"/>
  <c r="AP77" i="3"/>
  <c r="AQ75" i="3"/>
  <c r="AQ76" i="3"/>
  <c r="AQ81" i="3"/>
  <c r="AQ23" i="3"/>
  <c r="AQ82" i="3"/>
  <c r="AQ83" i="3"/>
  <c r="AQ85" i="3"/>
  <c r="AQ87" i="3"/>
  <c r="AQ86" i="3"/>
  <c r="AR80" i="3"/>
  <c r="AQ77" i="3"/>
  <c r="AR75" i="3"/>
  <c r="AR76" i="3"/>
  <c r="AR81" i="3"/>
  <c r="AR23" i="3"/>
  <c r="AR82" i="3"/>
  <c r="AR83" i="3"/>
  <c r="AR85" i="3"/>
  <c r="AR87" i="3"/>
  <c r="AR86" i="3"/>
  <c r="AS80" i="3"/>
  <c r="AR77" i="3"/>
  <c r="AS75" i="3"/>
  <c r="AS76" i="3"/>
  <c r="AS81" i="3"/>
  <c r="AS23" i="3"/>
  <c r="AS82" i="3"/>
  <c r="AS83" i="3"/>
  <c r="AS85" i="3"/>
  <c r="AS87" i="3"/>
  <c r="AS86" i="3"/>
  <c r="AT80" i="3"/>
  <c r="AS77" i="3"/>
  <c r="AT75" i="3"/>
  <c r="AT76" i="3"/>
  <c r="AT81" i="3"/>
  <c r="AT23" i="3"/>
  <c r="AT82" i="3"/>
  <c r="AT83" i="3"/>
  <c r="AT85" i="3"/>
  <c r="AT87" i="3"/>
  <c r="AT86" i="3"/>
  <c r="AU80" i="3"/>
  <c r="AT77" i="3"/>
  <c r="AU75" i="3"/>
  <c r="AU76" i="3"/>
  <c r="AU81" i="3"/>
  <c r="AU23" i="3"/>
  <c r="AU82" i="3"/>
  <c r="AU83" i="3"/>
  <c r="AU85" i="3"/>
  <c r="AU87" i="3"/>
  <c r="AU86" i="3"/>
  <c r="AV80" i="3"/>
  <c r="AU77" i="3"/>
  <c r="AV75" i="3"/>
  <c r="AV76" i="3"/>
  <c r="AV81" i="3"/>
  <c r="AV23" i="3"/>
  <c r="AV82" i="3"/>
  <c r="AV83" i="3"/>
  <c r="AV85" i="3"/>
  <c r="AV87" i="3"/>
  <c r="AV86" i="3"/>
  <c r="AW80" i="3"/>
  <c r="AV77" i="3"/>
  <c r="AW75" i="3"/>
  <c r="AW76" i="3"/>
  <c r="AW81" i="3"/>
  <c r="AW23" i="3"/>
  <c r="AW82" i="3"/>
  <c r="AW83" i="3"/>
  <c r="AW85" i="3"/>
  <c r="AW87" i="3"/>
  <c r="AW86" i="3"/>
  <c r="AX80" i="3"/>
  <c r="AW77" i="3"/>
  <c r="AX75" i="3"/>
  <c r="AX76" i="3"/>
  <c r="AX81" i="3"/>
  <c r="AX23" i="3"/>
  <c r="AX82" i="3"/>
  <c r="AX83" i="3"/>
  <c r="AX85" i="3"/>
  <c r="AX87" i="3"/>
  <c r="AX86" i="3"/>
  <c r="AY80" i="3"/>
  <c r="AX77" i="3"/>
  <c r="AY75" i="3"/>
  <c r="AY76" i="3"/>
  <c r="AY81" i="3"/>
  <c r="AY23" i="3"/>
  <c r="AY82" i="3"/>
  <c r="AY83" i="3"/>
  <c r="AY85" i="3"/>
  <c r="AY87" i="3"/>
  <c r="AY86" i="3"/>
  <c r="AZ80" i="3"/>
  <c r="AY77" i="3"/>
  <c r="AZ75" i="3"/>
  <c r="AZ76" i="3"/>
  <c r="AZ81" i="3"/>
  <c r="AZ23" i="3"/>
  <c r="AZ82" i="3"/>
  <c r="AZ83" i="3"/>
  <c r="AZ85" i="3"/>
  <c r="AZ87" i="3"/>
  <c r="AZ86" i="3"/>
  <c r="BA80" i="3"/>
  <c r="AZ77" i="3"/>
  <c r="BA75" i="3"/>
  <c r="BA76" i="3"/>
  <c r="BA81" i="3"/>
  <c r="BA23" i="3"/>
  <c r="BA82" i="3"/>
  <c r="BA83" i="3"/>
  <c r="BA85" i="3"/>
  <c r="BA87" i="3"/>
  <c r="BA86" i="3"/>
  <c r="BB80" i="3"/>
  <c r="BA77" i="3"/>
  <c r="BB75" i="3"/>
  <c r="BB76" i="3"/>
  <c r="BB81" i="3"/>
  <c r="BB23" i="3"/>
  <c r="BB82" i="3"/>
  <c r="BB83" i="3"/>
  <c r="BB85" i="3"/>
  <c r="BB87" i="3"/>
  <c r="BB86" i="3"/>
  <c r="BC80" i="3"/>
  <c r="BB77" i="3"/>
  <c r="BC75" i="3"/>
  <c r="BC76" i="3"/>
  <c r="BC81" i="3"/>
  <c r="BC23" i="3"/>
  <c r="BC82" i="3"/>
  <c r="BC83" i="3"/>
  <c r="BC85" i="3"/>
  <c r="BC87" i="3"/>
  <c r="BC86" i="3"/>
  <c r="BD80" i="3"/>
  <c r="BC77" i="3"/>
  <c r="BD75" i="3"/>
  <c r="BD76" i="3"/>
  <c r="BD81" i="3"/>
  <c r="BD23" i="3"/>
  <c r="BD82" i="3"/>
  <c r="BD83" i="3"/>
  <c r="BD85" i="3"/>
  <c r="BD87" i="3"/>
  <c r="BD86" i="3"/>
  <c r="BE80" i="3"/>
  <c r="BD77" i="3"/>
  <c r="BE75" i="3"/>
  <c r="BE76" i="3"/>
  <c r="BE81" i="3"/>
  <c r="BE23" i="3"/>
  <c r="BE82" i="3"/>
  <c r="BE83" i="3"/>
  <c r="BE85" i="3"/>
  <c r="BE87" i="3"/>
  <c r="BE86" i="3"/>
  <c r="BF80" i="3"/>
  <c r="BE77" i="3"/>
  <c r="BF75" i="3"/>
  <c r="BF76" i="3"/>
  <c r="BF81" i="3"/>
  <c r="BF23" i="3"/>
  <c r="BF82" i="3"/>
  <c r="BF83" i="3"/>
  <c r="BF85" i="3"/>
  <c r="BF87" i="3"/>
  <c r="BF86" i="3"/>
  <c r="BG80" i="3"/>
  <c r="BF77" i="3"/>
  <c r="BG75" i="3"/>
  <c r="BG76" i="3"/>
  <c r="BG81" i="3"/>
  <c r="BG23" i="3"/>
  <c r="BG82" i="3"/>
  <c r="BG83" i="3"/>
  <c r="BG85" i="3"/>
  <c r="BG87" i="3"/>
  <c r="BG86" i="3"/>
  <c r="BH80" i="3"/>
  <c r="BG77" i="3"/>
  <c r="BH75" i="3"/>
  <c r="BH76" i="3"/>
  <c r="BH81" i="3"/>
  <c r="BH23" i="3"/>
  <c r="BH82" i="3"/>
  <c r="BH83" i="3"/>
  <c r="BH85" i="3"/>
  <c r="BH87" i="3"/>
  <c r="BH86" i="3"/>
  <c r="BI80" i="3"/>
  <c r="BH77" i="3"/>
  <c r="BI75" i="3"/>
  <c r="BI76" i="3"/>
  <c r="BI81" i="3"/>
  <c r="BI23" i="3"/>
  <c r="BI82" i="3"/>
  <c r="BI83" i="3"/>
  <c r="BI85" i="3"/>
  <c r="BI87" i="3"/>
  <c r="BI86" i="3"/>
  <c r="BJ80" i="3"/>
  <c r="BI77" i="3"/>
  <c r="BJ75" i="3"/>
  <c r="BJ76" i="3"/>
  <c r="BJ81" i="3"/>
  <c r="BJ23" i="3"/>
  <c r="BJ82" i="3"/>
  <c r="BJ83" i="3"/>
  <c r="BJ85" i="3"/>
  <c r="BJ87" i="3"/>
  <c r="BJ86" i="3"/>
  <c r="BK80" i="3"/>
  <c r="BJ77" i="3"/>
  <c r="BK75" i="3"/>
  <c r="BK76" i="3"/>
  <c r="BK81" i="3"/>
  <c r="BK23" i="3"/>
  <c r="BK82" i="3"/>
  <c r="BK83" i="3"/>
  <c r="BK85" i="3"/>
  <c r="BK87" i="3"/>
  <c r="BK86" i="3"/>
  <c r="BL80" i="3"/>
  <c r="BK77" i="3"/>
  <c r="BL75" i="3"/>
  <c r="BL76" i="3"/>
  <c r="BL81" i="3"/>
  <c r="BL23" i="3"/>
  <c r="BL82" i="3"/>
  <c r="BL83" i="3"/>
  <c r="BL85" i="3"/>
  <c r="BL87" i="3"/>
  <c r="BL86" i="3"/>
  <c r="R8" i="3"/>
  <c r="B17" i="5"/>
  <c r="E2" i="5"/>
  <c r="C12" i="6"/>
  <c r="D15" i="6"/>
  <c r="D16" i="6"/>
  <c r="E7" i="5"/>
  <c r="E11" i="5"/>
  <c r="C17" i="6"/>
  <c r="D17" i="6"/>
  <c r="E8" i="5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A7" i="6"/>
  <c r="AA8" i="6"/>
  <c r="E19" i="3"/>
  <c r="D2" i="6"/>
  <c r="C20" i="6"/>
  <c r="C19" i="6"/>
  <c r="C22" i="6"/>
  <c r="D20" i="6"/>
  <c r="D19" i="6"/>
  <c r="C23" i="6"/>
  <c r="D11" i="6"/>
  <c r="D8" i="6"/>
  <c r="C8" i="6"/>
  <c r="C14" i="6"/>
  <c r="D53" i="3"/>
  <c r="D54" i="3"/>
  <c r="D55" i="3"/>
  <c r="D58" i="3"/>
  <c r="D59" i="3"/>
  <c r="D61" i="3"/>
  <c r="D62" i="3"/>
  <c r="D63" i="3"/>
  <c r="D65" i="3"/>
  <c r="E53" i="3"/>
  <c r="E54" i="3"/>
  <c r="E55" i="3"/>
  <c r="E58" i="3"/>
  <c r="E59" i="3"/>
  <c r="E61" i="3"/>
  <c r="E62" i="3"/>
  <c r="E63" i="3"/>
  <c r="E65" i="3"/>
  <c r="F19" i="3"/>
  <c r="F53" i="3"/>
  <c r="F54" i="3"/>
  <c r="F55" i="3"/>
  <c r="F58" i="3"/>
  <c r="F59" i="3"/>
  <c r="F61" i="3"/>
  <c r="F62" i="3"/>
  <c r="F63" i="3"/>
  <c r="F65" i="3"/>
  <c r="G53" i="3"/>
  <c r="G54" i="3"/>
  <c r="G55" i="3"/>
  <c r="G58" i="3"/>
  <c r="G59" i="3"/>
  <c r="G61" i="3"/>
  <c r="G62" i="3"/>
  <c r="G63" i="3"/>
  <c r="G65" i="3"/>
  <c r="H53" i="3"/>
  <c r="H54" i="3"/>
  <c r="H55" i="3"/>
  <c r="H58" i="3"/>
  <c r="H59" i="3"/>
  <c r="H61" i="3"/>
  <c r="H62" i="3"/>
  <c r="H63" i="3"/>
  <c r="H65" i="3"/>
  <c r="I53" i="3"/>
  <c r="I54" i="3"/>
  <c r="I55" i="3"/>
  <c r="I58" i="3"/>
  <c r="I59" i="3"/>
  <c r="I61" i="3"/>
  <c r="I62" i="3"/>
  <c r="I63" i="3"/>
  <c r="I65" i="3"/>
  <c r="J53" i="3"/>
  <c r="J54" i="3"/>
  <c r="J55" i="3"/>
  <c r="J58" i="3"/>
  <c r="J59" i="3"/>
  <c r="J61" i="3"/>
  <c r="J62" i="3"/>
  <c r="J63" i="3"/>
  <c r="J65" i="3"/>
  <c r="K53" i="3"/>
  <c r="K54" i="3"/>
  <c r="K55" i="3"/>
  <c r="K58" i="3"/>
  <c r="K59" i="3"/>
  <c r="K61" i="3"/>
  <c r="K62" i="3"/>
  <c r="K63" i="3"/>
  <c r="K65" i="3"/>
  <c r="L53" i="3"/>
  <c r="L54" i="3"/>
  <c r="L55" i="3"/>
  <c r="L58" i="3"/>
  <c r="L59" i="3"/>
  <c r="L61" i="3"/>
  <c r="L62" i="3"/>
  <c r="L63" i="3"/>
  <c r="L65" i="3"/>
  <c r="M53" i="3"/>
  <c r="M54" i="3"/>
  <c r="M55" i="3"/>
  <c r="M58" i="3"/>
  <c r="M59" i="3"/>
  <c r="M61" i="3"/>
  <c r="M62" i="3"/>
  <c r="M63" i="3"/>
  <c r="M65" i="3"/>
  <c r="N53" i="3"/>
  <c r="N54" i="3"/>
  <c r="N55" i="3"/>
  <c r="N58" i="3"/>
  <c r="N59" i="3"/>
  <c r="N61" i="3"/>
  <c r="N62" i="3"/>
  <c r="N63" i="3"/>
  <c r="N65" i="3"/>
  <c r="O53" i="3"/>
  <c r="O54" i="3"/>
  <c r="O55" i="3"/>
  <c r="O58" i="3"/>
  <c r="O59" i="3"/>
  <c r="O61" i="3"/>
  <c r="O62" i="3"/>
  <c r="O63" i="3"/>
  <c r="O65" i="3"/>
  <c r="P53" i="3"/>
  <c r="P54" i="3"/>
  <c r="P55" i="3"/>
  <c r="P58" i="3"/>
  <c r="P59" i="3"/>
  <c r="P61" i="3"/>
  <c r="P62" i="3"/>
  <c r="P63" i="3"/>
  <c r="P65" i="3"/>
  <c r="Q53" i="3"/>
  <c r="Q54" i="3"/>
  <c r="Q55" i="3"/>
  <c r="Q58" i="3"/>
  <c r="Q59" i="3"/>
  <c r="Q61" i="3"/>
  <c r="Q62" i="3"/>
  <c r="Q63" i="3"/>
  <c r="Q65" i="3"/>
  <c r="R53" i="3"/>
  <c r="R54" i="3"/>
  <c r="R55" i="3"/>
  <c r="R58" i="3"/>
  <c r="R59" i="3"/>
  <c r="R61" i="3"/>
  <c r="R62" i="3"/>
  <c r="R63" i="3"/>
  <c r="R65" i="3"/>
  <c r="S53" i="3"/>
  <c r="S54" i="3"/>
  <c r="S55" i="3"/>
  <c r="S58" i="3"/>
  <c r="S59" i="3"/>
  <c r="S61" i="3"/>
  <c r="S62" i="3"/>
  <c r="S63" i="3"/>
  <c r="S65" i="3"/>
  <c r="T53" i="3"/>
  <c r="T54" i="3"/>
  <c r="T55" i="3"/>
  <c r="T58" i="3"/>
  <c r="T59" i="3"/>
  <c r="T61" i="3"/>
  <c r="T62" i="3"/>
  <c r="T63" i="3"/>
  <c r="T65" i="3"/>
  <c r="U53" i="3"/>
  <c r="U54" i="3"/>
  <c r="U55" i="3"/>
  <c r="U58" i="3"/>
  <c r="U59" i="3"/>
  <c r="U61" i="3"/>
  <c r="U62" i="3"/>
  <c r="U63" i="3"/>
  <c r="U65" i="3"/>
  <c r="V53" i="3"/>
  <c r="V54" i="3"/>
  <c r="V55" i="3"/>
  <c r="V58" i="3"/>
  <c r="V59" i="3"/>
  <c r="V61" i="3"/>
  <c r="V62" i="3"/>
  <c r="V63" i="3"/>
  <c r="V65" i="3"/>
  <c r="W53" i="3"/>
  <c r="W54" i="3"/>
  <c r="W55" i="3"/>
  <c r="W58" i="3"/>
  <c r="W59" i="3"/>
  <c r="W61" i="3"/>
  <c r="W62" i="3"/>
  <c r="W63" i="3"/>
  <c r="W65" i="3"/>
  <c r="X53" i="3"/>
  <c r="X54" i="3"/>
  <c r="X55" i="3"/>
  <c r="X58" i="3"/>
  <c r="X59" i="3"/>
  <c r="X61" i="3"/>
  <c r="X62" i="3"/>
  <c r="X63" i="3"/>
  <c r="X65" i="3"/>
  <c r="Y53" i="3"/>
  <c r="Y54" i="3"/>
  <c r="Y55" i="3"/>
  <c r="Y58" i="3"/>
  <c r="Y59" i="3"/>
  <c r="Y61" i="3"/>
  <c r="Y62" i="3"/>
  <c r="Y63" i="3"/>
  <c r="Y65" i="3"/>
  <c r="Z53" i="3"/>
  <c r="Z54" i="3"/>
  <c r="Z55" i="3"/>
  <c r="Z58" i="3"/>
  <c r="Z59" i="3"/>
  <c r="Z61" i="3"/>
  <c r="Z62" i="3"/>
  <c r="Z63" i="3"/>
  <c r="Z65" i="3"/>
  <c r="AA53" i="3"/>
  <c r="AA54" i="3"/>
  <c r="AA55" i="3"/>
  <c r="AA58" i="3"/>
  <c r="AA59" i="3"/>
  <c r="AA61" i="3"/>
  <c r="AA62" i="3"/>
  <c r="AA63" i="3"/>
  <c r="AA65" i="3"/>
  <c r="AB53" i="3"/>
  <c r="AB54" i="3"/>
  <c r="AB55" i="3"/>
  <c r="AB58" i="3"/>
  <c r="AB59" i="3"/>
  <c r="AB61" i="3"/>
  <c r="AB62" i="3"/>
  <c r="AB63" i="3"/>
  <c r="AB65" i="3"/>
  <c r="AC53" i="3"/>
  <c r="AC54" i="3"/>
  <c r="AC55" i="3"/>
  <c r="AC58" i="3"/>
  <c r="AC59" i="3"/>
  <c r="AC61" i="3"/>
  <c r="AC62" i="3"/>
  <c r="AC63" i="3"/>
  <c r="AC65" i="3"/>
  <c r="AD53" i="3"/>
  <c r="AD54" i="3"/>
  <c r="AD55" i="3"/>
  <c r="AD58" i="3"/>
  <c r="AD59" i="3"/>
  <c r="AD61" i="3"/>
  <c r="AD62" i="3"/>
  <c r="AD63" i="3"/>
  <c r="AD65" i="3"/>
  <c r="AE53" i="3"/>
  <c r="AE54" i="3"/>
  <c r="AE55" i="3"/>
  <c r="AE58" i="3"/>
  <c r="AE59" i="3"/>
  <c r="AE61" i="3"/>
  <c r="AE62" i="3"/>
  <c r="AE63" i="3"/>
  <c r="AE65" i="3"/>
  <c r="AF53" i="3"/>
  <c r="AF54" i="3"/>
  <c r="AF55" i="3"/>
  <c r="AF58" i="3"/>
  <c r="AF59" i="3"/>
  <c r="AF61" i="3"/>
  <c r="AF62" i="3"/>
  <c r="AF63" i="3"/>
  <c r="AF65" i="3"/>
  <c r="AG53" i="3"/>
  <c r="AG54" i="3"/>
  <c r="AG55" i="3"/>
  <c r="AG58" i="3"/>
  <c r="AG59" i="3"/>
  <c r="AG61" i="3"/>
  <c r="AG62" i="3"/>
  <c r="AG63" i="3"/>
  <c r="AG65" i="3"/>
  <c r="AH53" i="3"/>
  <c r="AH54" i="3"/>
  <c r="AH55" i="3"/>
  <c r="AH58" i="3"/>
  <c r="AH59" i="3"/>
  <c r="AH61" i="3"/>
  <c r="AH62" i="3"/>
  <c r="AH63" i="3"/>
  <c r="AH65" i="3"/>
  <c r="AI53" i="3"/>
  <c r="AI54" i="3"/>
  <c r="AI55" i="3"/>
  <c r="AI58" i="3"/>
  <c r="AI59" i="3"/>
  <c r="AI61" i="3"/>
  <c r="AI62" i="3"/>
  <c r="AI63" i="3"/>
  <c r="AI65" i="3"/>
  <c r="AJ53" i="3"/>
  <c r="AJ54" i="3"/>
  <c r="AJ55" i="3"/>
  <c r="AJ58" i="3"/>
  <c r="AJ59" i="3"/>
  <c r="AJ61" i="3"/>
  <c r="AJ62" i="3"/>
  <c r="AJ63" i="3"/>
  <c r="AJ65" i="3"/>
  <c r="AK53" i="3"/>
  <c r="AK54" i="3"/>
  <c r="AK55" i="3"/>
  <c r="AK58" i="3"/>
  <c r="AK59" i="3"/>
  <c r="AK61" i="3"/>
  <c r="AK62" i="3"/>
  <c r="AK63" i="3"/>
  <c r="AK65" i="3"/>
  <c r="AL53" i="3"/>
  <c r="AL54" i="3"/>
  <c r="AL55" i="3"/>
  <c r="AL58" i="3"/>
  <c r="AL59" i="3"/>
  <c r="AL61" i="3"/>
  <c r="AL62" i="3"/>
  <c r="AL63" i="3"/>
  <c r="AL65" i="3"/>
  <c r="AM53" i="3"/>
  <c r="AM54" i="3"/>
  <c r="AM55" i="3"/>
  <c r="AM58" i="3"/>
  <c r="AM59" i="3"/>
  <c r="AM61" i="3"/>
  <c r="AM62" i="3"/>
  <c r="AM63" i="3"/>
  <c r="AM65" i="3"/>
  <c r="AN53" i="3"/>
  <c r="AN54" i="3"/>
  <c r="AN55" i="3"/>
  <c r="AN58" i="3"/>
  <c r="AN59" i="3"/>
  <c r="AN61" i="3"/>
  <c r="AN62" i="3"/>
  <c r="AN63" i="3"/>
  <c r="AN65" i="3"/>
  <c r="AO53" i="3"/>
  <c r="AO54" i="3"/>
  <c r="AO55" i="3"/>
  <c r="AO58" i="3"/>
  <c r="AO59" i="3"/>
  <c r="AO61" i="3"/>
  <c r="AO62" i="3"/>
  <c r="AO63" i="3"/>
  <c r="AO65" i="3"/>
  <c r="AP53" i="3"/>
  <c r="AP54" i="3"/>
  <c r="AP55" i="3"/>
  <c r="AP58" i="3"/>
  <c r="AP59" i="3"/>
  <c r="AP61" i="3"/>
  <c r="AP62" i="3"/>
  <c r="AP63" i="3"/>
  <c r="AP65" i="3"/>
  <c r="AQ53" i="3"/>
  <c r="AQ54" i="3"/>
  <c r="AQ55" i="3"/>
  <c r="AQ58" i="3"/>
  <c r="AQ59" i="3"/>
  <c r="AQ61" i="3"/>
  <c r="AQ62" i="3"/>
  <c r="AQ63" i="3"/>
  <c r="AQ65" i="3"/>
  <c r="AR53" i="3"/>
  <c r="AR54" i="3"/>
  <c r="AR55" i="3"/>
  <c r="AR58" i="3"/>
  <c r="AR59" i="3"/>
  <c r="AR61" i="3"/>
  <c r="AR62" i="3"/>
  <c r="AR63" i="3"/>
  <c r="AR65" i="3"/>
  <c r="AS53" i="3"/>
  <c r="AS54" i="3"/>
  <c r="AS55" i="3"/>
  <c r="AS58" i="3"/>
  <c r="AS59" i="3"/>
  <c r="AS61" i="3"/>
  <c r="AS62" i="3"/>
  <c r="AS63" i="3"/>
  <c r="AS65" i="3"/>
  <c r="AT53" i="3"/>
  <c r="AT54" i="3"/>
  <c r="AT55" i="3"/>
  <c r="AT58" i="3"/>
  <c r="AT59" i="3"/>
  <c r="AT61" i="3"/>
  <c r="AT62" i="3"/>
  <c r="AT63" i="3"/>
  <c r="AT65" i="3"/>
  <c r="AU53" i="3"/>
  <c r="AU54" i="3"/>
  <c r="AU55" i="3"/>
  <c r="AU58" i="3"/>
  <c r="AU59" i="3"/>
  <c r="AU61" i="3"/>
  <c r="AU62" i="3"/>
  <c r="AU63" i="3"/>
  <c r="AU65" i="3"/>
  <c r="AV53" i="3"/>
  <c r="AV54" i="3"/>
  <c r="AV55" i="3"/>
  <c r="AV58" i="3"/>
  <c r="AV59" i="3"/>
  <c r="AV61" i="3"/>
  <c r="AV62" i="3"/>
  <c r="AV63" i="3"/>
  <c r="AV65" i="3"/>
  <c r="AW53" i="3"/>
  <c r="AW54" i="3"/>
  <c r="AW55" i="3"/>
  <c r="AW58" i="3"/>
  <c r="AW59" i="3"/>
  <c r="AW61" i="3"/>
  <c r="AW62" i="3"/>
  <c r="AW63" i="3"/>
  <c r="AW65" i="3"/>
  <c r="AX53" i="3"/>
  <c r="AX54" i="3"/>
  <c r="AX55" i="3"/>
  <c r="AX58" i="3"/>
  <c r="AX59" i="3"/>
  <c r="AX61" i="3"/>
  <c r="AX62" i="3"/>
  <c r="AX63" i="3"/>
  <c r="AX65" i="3"/>
  <c r="AY53" i="3"/>
  <c r="AY54" i="3"/>
  <c r="AY55" i="3"/>
  <c r="AY58" i="3"/>
  <c r="AY59" i="3"/>
  <c r="AY61" i="3"/>
  <c r="AY62" i="3"/>
  <c r="AY63" i="3"/>
  <c r="AY65" i="3"/>
  <c r="AZ53" i="3"/>
  <c r="AZ54" i="3"/>
  <c r="AZ55" i="3"/>
  <c r="AZ58" i="3"/>
  <c r="AZ59" i="3"/>
  <c r="AZ61" i="3"/>
  <c r="AZ62" i="3"/>
  <c r="AZ63" i="3"/>
  <c r="AZ65" i="3"/>
  <c r="BA53" i="3"/>
  <c r="BA54" i="3"/>
  <c r="BA55" i="3"/>
  <c r="BA58" i="3"/>
  <c r="BA59" i="3"/>
  <c r="BA61" i="3"/>
  <c r="BA62" i="3"/>
  <c r="BA63" i="3"/>
  <c r="BA65" i="3"/>
  <c r="BB53" i="3"/>
  <c r="BB54" i="3"/>
  <c r="BB55" i="3"/>
  <c r="BB58" i="3"/>
  <c r="BB59" i="3"/>
  <c r="BB61" i="3"/>
  <c r="BB62" i="3"/>
  <c r="BB63" i="3"/>
  <c r="BB65" i="3"/>
  <c r="BC53" i="3"/>
  <c r="BC54" i="3"/>
  <c r="BC55" i="3"/>
  <c r="BC58" i="3"/>
  <c r="BC59" i="3"/>
  <c r="BC61" i="3"/>
  <c r="BC62" i="3"/>
  <c r="BC63" i="3"/>
  <c r="BC65" i="3"/>
  <c r="BD53" i="3"/>
  <c r="BD54" i="3"/>
  <c r="BD55" i="3"/>
  <c r="BD58" i="3"/>
  <c r="BD59" i="3"/>
  <c r="BD61" i="3"/>
  <c r="BD62" i="3"/>
  <c r="BD63" i="3"/>
  <c r="BD65" i="3"/>
  <c r="BE53" i="3"/>
  <c r="BE54" i="3"/>
  <c r="BE55" i="3"/>
  <c r="BE58" i="3"/>
  <c r="BE59" i="3"/>
  <c r="BE61" i="3"/>
  <c r="BE62" i="3"/>
  <c r="BE63" i="3"/>
  <c r="BE65" i="3"/>
  <c r="BF53" i="3"/>
  <c r="BF54" i="3"/>
  <c r="BF55" i="3"/>
  <c r="BF58" i="3"/>
  <c r="BF59" i="3"/>
  <c r="BF61" i="3"/>
  <c r="BF62" i="3"/>
  <c r="BF63" i="3"/>
  <c r="BF65" i="3"/>
  <c r="BG53" i="3"/>
  <c r="BG54" i="3"/>
  <c r="BG55" i="3"/>
  <c r="BG58" i="3"/>
  <c r="BG59" i="3"/>
  <c r="BG61" i="3"/>
  <c r="BG62" i="3"/>
  <c r="BG63" i="3"/>
  <c r="BG65" i="3"/>
  <c r="BH53" i="3"/>
  <c r="BH54" i="3"/>
  <c r="BH55" i="3"/>
  <c r="BH58" i="3"/>
  <c r="BH59" i="3"/>
  <c r="BH61" i="3"/>
  <c r="BH62" i="3"/>
  <c r="BH63" i="3"/>
  <c r="BH65" i="3"/>
  <c r="BI53" i="3"/>
  <c r="BI54" i="3"/>
  <c r="BI55" i="3"/>
  <c r="BI58" i="3"/>
  <c r="BI59" i="3"/>
  <c r="BI61" i="3"/>
  <c r="BI62" i="3"/>
  <c r="BI63" i="3"/>
  <c r="BI65" i="3"/>
  <c r="BJ53" i="3"/>
  <c r="BJ54" i="3"/>
  <c r="BJ55" i="3"/>
  <c r="BJ58" i="3"/>
  <c r="BJ59" i="3"/>
  <c r="BJ61" i="3"/>
  <c r="BJ62" i="3"/>
  <c r="BJ63" i="3"/>
  <c r="BJ65" i="3"/>
  <c r="BK53" i="3"/>
  <c r="BK54" i="3"/>
  <c r="BK55" i="3"/>
  <c r="BK58" i="3"/>
  <c r="BK59" i="3"/>
  <c r="BK61" i="3"/>
  <c r="BK62" i="3"/>
  <c r="BK63" i="3"/>
  <c r="BK65" i="3"/>
  <c r="BL53" i="3"/>
  <c r="BL54" i="3"/>
  <c r="BL55" i="3"/>
  <c r="BL58" i="3"/>
  <c r="BL59" i="3"/>
  <c r="BL61" i="3"/>
  <c r="BL62" i="3"/>
  <c r="BL63" i="3"/>
  <c r="BL65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AN19" i="3"/>
  <c r="AO19" i="3"/>
  <c r="AP19" i="3"/>
  <c r="AQ19" i="3"/>
  <c r="AR19" i="3"/>
  <c r="AS19" i="3"/>
  <c r="AT19" i="3"/>
  <c r="AU19" i="3"/>
  <c r="AV19" i="3"/>
  <c r="AW19" i="3"/>
  <c r="AX19" i="3"/>
  <c r="AY19" i="3"/>
  <c r="AZ19" i="3"/>
  <c r="BA19" i="3"/>
  <c r="BB19" i="3"/>
  <c r="BC19" i="3"/>
  <c r="BD19" i="3"/>
  <c r="BE19" i="3"/>
  <c r="BF19" i="3"/>
  <c r="BG19" i="3"/>
  <c r="BH19" i="3"/>
  <c r="BI19" i="3"/>
  <c r="BJ19" i="3"/>
  <c r="BK19" i="3"/>
  <c r="BL19" i="3"/>
  <c r="C66" i="3"/>
  <c r="C5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Z4" i="6"/>
  <c r="AA4" i="6"/>
  <c r="U2" i="6"/>
  <c r="V2" i="6"/>
  <c r="W2" i="6"/>
  <c r="X2" i="6"/>
  <c r="Y2" i="6"/>
  <c r="Z2" i="6"/>
  <c r="AA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C53" i="3"/>
  <c r="C54" i="3"/>
  <c r="C55" i="3"/>
  <c r="C63" i="3"/>
  <c r="C65" i="3"/>
  <c r="F8" i="5"/>
  <c r="E3" i="5"/>
  <c r="C69" i="3"/>
  <c r="C68" i="3"/>
  <c r="C70" i="3"/>
  <c r="B16" i="5"/>
  <c r="B15" i="5"/>
  <c r="B14" i="5"/>
  <c r="A8" i="5"/>
  <c r="A7" i="5"/>
  <c r="A6" i="5"/>
  <c r="A5" i="5"/>
  <c r="A4" i="5"/>
  <c r="A3" i="5"/>
  <c r="A2" i="5"/>
  <c r="C67" i="3"/>
  <c r="D24" i="3"/>
  <c r="D44" i="3"/>
  <c r="E24" i="3"/>
  <c r="E44" i="3"/>
  <c r="F24" i="3"/>
  <c r="F44" i="3"/>
  <c r="G24" i="3"/>
  <c r="G44" i="3"/>
  <c r="H24" i="3"/>
  <c r="H44" i="3"/>
  <c r="I24" i="3"/>
  <c r="I44" i="3"/>
  <c r="J24" i="3"/>
  <c r="J44" i="3"/>
  <c r="K24" i="3"/>
  <c r="K44" i="3"/>
  <c r="L24" i="3"/>
  <c r="L44" i="3"/>
  <c r="M24" i="3"/>
  <c r="M44" i="3"/>
  <c r="N24" i="3"/>
  <c r="N44" i="3"/>
  <c r="O24" i="3"/>
  <c r="O44" i="3"/>
  <c r="P24" i="3"/>
  <c r="P44" i="3"/>
  <c r="Q24" i="3"/>
  <c r="Q44" i="3"/>
  <c r="R24" i="3"/>
  <c r="R44" i="3"/>
  <c r="S24" i="3"/>
  <c r="S44" i="3"/>
  <c r="T24" i="3"/>
  <c r="T44" i="3"/>
  <c r="U24" i="3"/>
  <c r="U44" i="3"/>
  <c r="V24" i="3"/>
  <c r="V44" i="3"/>
  <c r="W24" i="3"/>
  <c r="W44" i="3"/>
  <c r="X24" i="3"/>
  <c r="X44" i="3"/>
  <c r="Y24" i="3"/>
  <c r="Y44" i="3"/>
  <c r="Z24" i="3"/>
  <c r="Z44" i="3"/>
  <c r="AA24" i="3"/>
  <c r="AA44" i="3"/>
  <c r="AB24" i="3"/>
  <c r="AB44" i="3"/>
  <c r="AC24" i="3"/>
  <c r="AC44" i="3"/>
  <c r="AD24" i="3"/>
  <c r="AD44" i="3"/>
  <c r="AE24" i="3"/>
  <c r="AE44" i="3"/>
  <c r="AF24" i="3"/>
  <c r="AF44" i="3"/>
  <c r="AG24" i="3"/>
  <c r="AG44" i="3"/>
  <c r="AH24" i="3"/>
  <c r="AH44" i="3"/>
  <c r="AI24" i="3"/>
  <c r="AI44" i="3"/>
  <c r="AJ24" i="3"/>
  <c r="AJ44" i="3"/>
  <c r="AK24" i="3"/>
  <c r="AK44" i="3"/>
  <c r="AL24" i="3"/>
  <c r="AL44" i="3"/>
  <c r="AM24" i="3"/>
  <c r="AM44" i="3"/>
  <c r="AN24" i="3"/>
  <c r="AN44" i="3"/>
  <c r="AO24" i="3"/>
  <c r="AO44" i="3"/>
  <c r="AP24" i="3"/>
  <c r="AP44" i="3"/>
  <c r="AQ24" i="3"/>
  <c r="AQ44" i="3"/>
  <c r="AR24" i="3"/>
  <c r="AR44" i="3"/>
  <c r="AS24" i="3"/>
  <c r="AS44" i="3"/>
  <c r="AT24" i="3"/>
  <c r="AT44" i="3"/>
  <c r="AU24" i="3"/>
  <c r="AU44" i="3"/>
  <c r="AV24" i="3"/>
  <c r="AV44" i="3"/>
  <c r="AW24" i="3"/>
  <c r="AW44" i="3"/>
  <c r="AX24" i="3"/>
  <c r="AX44" i="3"/>
  <c r="AY24" i="3"/>
  <c r="AY44" i="3"/>
  <c r="AZ24" i="3"/>
  <c r="AZ44" i="3"/>
  <c r="BA24" i="3"/>
  <c r="BA44" i="3"/>
  <c r="BB24" i="3"/>
  <c r="BB44" i="3"/>
  <c r="BC24" i="3"/>
  <c r="BC44" i="3"/>
  <c r="BD24" i="3"/>
  <c r="BD44" i="3"/>
  <c r="BE24" i="3"/>
  <c r="BE44" i="3"/>
  <c r="BF24" i="3"/>
  <c r="BF44" i="3"/>
  <c r="BG24" i="3"/>
  <c r="BG44" i="3"/>
  <c r="BH24" i="3"/>
  <c r="BH44" i="3"/>
  <c r="BI24" i="3"/>
  <c r="BI44" i="3"/>
  <c r="BJ24" i="3"/>
  <c r="BJ44" i="3"/>
  <c r="BK24" i="3"/>
  <c r="BK44" i="3"/>
  <c r="BL24" i="3"/>
  <c r="BL44" i="3"/>
  <c r="C47" i="3"/>
  <c r="C48" i="3"/>
  <c r="C46" i="3"/>
  <c r="C40" i="3"/>
  <c r="C76" i="3"/>
  <c r="F15" i="3"/>
  <c r="C45" i="3"/>
  <c r="R10" i="3"/>
  <c r="E17" i="3"/>
  <c r="F17" i="3"/>
  <c r="E16" i="3"/>
  <c r="F16" i="3"/>
  <c r="E9" i="3"/>
  <c r="F9" i="3"/>
  <c r="F8" i="3"/>
  <c r="E14" i="3"/>
  <c r="E7" i="3"/>
  <c r="D52" i="3"/>
  <c r="D74" i="3"/>
  <c r="C28" i="3"/>
  <c r="E5" i="3"/>
  <c r="E52" i="3"/>
  <c r="E74" i="3"/>
  <c r="F52" i="3"/>
  <c r="F74" i="3"/>
  <c r="G52" i="3"/>
  <c r="G74" i="3"/>
  <c r="H52" i="3"/>
  <c r="H74" i="3"/>
  <c r="I52" i="3"/>
  <c r="I74" i="3"/>
  <c r="J52" i="3"/>
  <c r="J74" i="3"/>
  <c r="K52" i="3"/>
  <c r="K74" i="3"/>
  <c r="L52" i="3"/>
  <c r="L74" i="3"/>
  <c r="M52" i="3"/>
  <c r="M74" i="3"/>
  <c r="N52" i="3"/>
  <c r="N74" i="3"/>
  <c r="O52" i="3"/>
  <c r="O74" i="3"/>
  <c r="P52" i="3"/>
  <c r="P74" i="3"/>
  <c r="Q52" i="3"/>
  <c r="Q74" i="3"/>
  <c r="R52" i="3"/>
  <c r="R74" i="3"/>
  <c r="S52" i="3"/>
  <c r="S74" i="3"/>
  <c r="T52" i="3"/>
  <c r="T74" i="3"/>
  <c r="U52" i="3"/>
  <c r="U74" i="3"/>
  <c r="V52" i="3"/>
  <c r="V74" i="3"/>
  <c r="W52" i="3"/>
  <c r="W74" i="3"/>
  <c r="X52" i="3"/>
  <c r="X74" i="3"/>
  <c r="F10" i="3"/>
  <c r="Y52" i="3"/>
  <c r="Y74" i="3"/>
  <c r="Z52" i="3"/>
  <c r="Z74" i="3"/>
  <c r="AA52" i="3"/>
  <c r="AA74" i="3"/>
  <c r="AB52" i="3"/>
  <c r="AB74" i="3"/>
  <c r="AC52" i="3"/>
  <c r="AC74" i="3"/>
  <c r="AD52" i="3"/>
  <c r="AD74" i="3"/>
  <c r="AE52" i="3"/>
  <c r="AE74" i="3"/>
  <c r="AF52" i="3"/>
  <c r="AF74" i="3"/>
  <c r="AG52" i="3"/>
  <c r="AG74" i="3"/>
  <c r="AH52" i="3"/>
  <c r="AH74" i="3"/>
  <c r="AI52" i="3"/>
  <c r="AI74" i="3"/>
  <c r="AJ52" i="3"/>
  <c r="AJ74" i="3"/>
  <c r="AK52" i="3"/>
  <c r="AK74" i="3"/>
  <c r="AL52" i="3"/>
  <c r="AL74" i="3"/>
  <c r="AM52" i="3"/>
  <c r="AM74" i="3"/>
  <c r="AN52" i="3"/>
  <c r="AN74" i="3"/>
  <c r="AO52" i="3"/>
  <c r="AO74" i="3"/>
  <c r="C37" i="3"/>
  <c r="C31" i="3"/>
  <c r="C36" i="3"/>
  <c r="C30" i="3"/>
  <c r="AP52" i="3"/>
  <c r="AP74" i="3"/>
  <c r="C29" i="3"/>
  <c r="C23" i="3"/>
  <c r="C24" i="3"/>
  <c r="C35" i="3"/>
  <c r="AQ52" i="3"/>
  <c r="AQ74" i="3"/>
  <c r="C32" i="3"/>
  <c r="C38" i="3"/>
  <c r="AR52" i="3"/>
  <c r="AR74" i="3"/>
  <c r="C42" i="3"/>
  <c r="E6" i="3"/>
  <c r="AS52" i="3"/>
  <c r="AS74" i="3"/>
  <c r="C44" i="3"/>
  <c r="AT52" i="3"/>
  <c r="AT74" i="3"/>
  <c r="AU52" i="3"/>
  <c r="AU74" i="3"/>
  <c r="AV52" i="3"/>
  <c r="AV74" i="3"/>
  <c r="AW52" i="3"/>
  <c r="AW74" i="3"/>
  <c r="AX52" i="3"/>
  <c r="AX74" i="3"/>
  <c r="AY52" i="3"/>
  <c r="AY74" i="3"/>
  <c r="AZ52" i="3"/>
  <c r="AZ74" i="3"/>
  <c r="BA52" i="3"/>
  <c r="BA74" i="3"/>
  <c r="BB52" i="3"/>
  <c r="BB74" i="3"/>
  <c r="BC52" i="3"/>
  <c r="BC74" i="3"/>
  <c r="BD52" i="3"/>
  <c r="BD74" i="3"/>
  <c r="BE52" i="3"/>
  <c r="BE74" i="3"/>
  <c r="BF52" i="3"/>
  <c r="BF74" i="3"/>
  <c r="BG52" i="3"/>
  <c r="BG74" i="3"/>
  <c r="BH52" i="3"/>
  <c r="BH74" i="3"/>
  <c r="BI52" i="3"/>
  <c r="BI74" i="3"/>
  <c r="BJ52" i="3"/>
  <c r="BJ74" i="3"/>
  <c r="BK52" i="3"/>
  <c r="BK74" i="3"/>
  <c r="BL52" i="3"/>
  <c r="BL74" i="3"/>
  <c r="C59" i="3"/>
  <c r="C58" i="3"/>
  <c r="C49" i="3"/>
  <c r="BL77" i="3"/>
  <c r="C61" i="3"/>
  <c r="E13" i="3"/>
  <c r="C81" i="3"/>
  <c r="C62" i="3"/>
  <c r="B10" i="6"/>
  <c r="E1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BURTON, SPENCER</author>
  </authors>
  <commentList>
    <comment ref="E10" authorId="0" shapeId="0" xr:uid="{00000000-0006-0000-0100-000001000000}">
      <text>
        <r>
          <rPr>
            <b/>
            <sz val="9"/>
            <color rgb="FF000000"/>
            <rFont val="Tahoma"/>
            <family val="2"/>
          </rPr>
          <t>BURTON, SPENCER: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Equity at Absolute Risk = sum of all equity dollars invested prior to entitlement/closing less the earnest money amount (assumes earnest money is refundable in the event entitlements are not secured)</t>
        </r>
      </text>
    </comment>
  </commentList>
</comments>
</file>

<file path=xl/sharedStrings.xml><?xml version="1.0" encoding="utf-8"?>
<sst xmlns="http://schemas.openxmlformats.org/spreadsheetml/2006/main" count="145" uniqueCount="119">
  <si>
    <t>Outflows</t>
  </si>
  <si>
    <t>Land Purchase</t>
  </si>
  <si>
    <t>Earnest Money</t>
  </si>
  <si>
    <t>Due Diligence</t>
  </si>
  <si>
    <t>Closing Costs</t>
  </si>
  <si>
    <t>Balance Due</t>
  </si>
  <si>
    <t>Land Purchase Price</t>
  </si>
  <si>
    <t>Closing Month</t>
  </si>
  <si>
    <t>Earnest Money Amt</t>
  </si>
  <si>
    <t>Total Land Purchase</t>
  </si>
  <si>
    <t>Entitlement</t>
  </si>
  <si>
    <t>Consultant</t>
  </si>
  <si>
    <t>Other Entitle. Exp.</t>
  </si>
  <si>
    <t>Entitlement Length</t>
  </si>
  <si>
    <t>Total Outflows</t>
  </si>
  <si>
    <t>Total</t>
  </si>
  <si>
    <t>Inflows</t>
  </si>
  <si>
    <t>Total Inflows</t>
  </si>
  <si>
    <t>Finished Lot Value</t>
  </si>
  <si>
    <t>Entitled Lots</t>
  </si>
  <si>
    <t>Acres</t>
  </si>
  <si>
    <t>Closing Cost % of Value</t>
  </si>
  <si>
    <t>IRR</t>
  </si>
  <si>
    <t>EMx</t>
  </si>
  <si>
    <t>Total Entitlement</t>
  </si>
  <si>
    <t>Construction</t>
  </si>
  <si>
    <t>Absorption Period</t>
  </si>
  <si>
    <t>Construction Length</t>
  </si>
  <si>
    <t>Construction Cost/Lot</t>
  </si>
  <si>
    <t>Total Construction Cost</t>
  </si>
  <si>
    <t>Project Length</t>
  </si>
  <si>
    <t>Unlevered IRR</t>
  </si>
  <si>
    <t>Unlevered EMx</t>
  </si>
  <si>
    <t>Equity Required</t>
  </si>
  <si>
    <t>Equity at Absolute Risk</t>
  </si>
  <si>
    <t>Levered Cash Flow</t>
  </si>
  <si>
    <t>Unlevered Cash Flow</t>
  </si>
  <si>
    <t>Acquisition/Development Financing</t>
  </si>
  <si>
    <t>Loan-to-Cost</t>
  </si>
  <si>
    <t>Avg. Interest Rate</t>
  </si>
  <si>
    <t>Unlevered Summary</t>
  </si>
  <si>
    <t>Month</t>
  </si>
  <si>
    <t>Financing Draws</t>
  </si>
  <si>
    <t>Finished Lot Sales</t>
  </si>
  <si>
    <t>Finished Lots Sales</t>
  </si>
  <si>
    <t>Construction Cost</t>
  </si>
  <si>
    <t>Loan Payoff</t>
  </si>
  <si>
    <t>Net Unlevered Cash Flows</t>
  </si>
  <si>
    <t>Net Levered Cash Flows</t>
  </si>
  <si>
    <t>Cash Flow - Capital Stack</t>
  </si>
  <si>
    <t>Equity</t>
  </si>
  <si>
    <t>Starting Balance</t>
  </si>
  <si>
    <t>Equity Draw</t>
  </si>
  <si>
    <t>Ending Balance</t>
  </si>
  <si>
    <t>Levered Summary</t>
  </si>
  <si>
    <t>Debt Draw</t>
  </si>
  <si>
    <t>Debt Payoff</t>
  </si>
  <si>
    <t>Net Value of Finished Lots</t>
  </si>
  <si>
    <t>Starting Available Balance</t>
  </si>
  <si>
    <t>Ending Available Balance</t>
  </si>
  <si>
    <t>Outstanding Balance</t>
  </si>
  <si>
    <t>Accrued Interest</t>
  </si>
  <si>
    <t>Interest Expense</t>
  </si>
  <si>
    <t>Interest Reserve</t>
  </si>
  <si>
    <t>Total A&amp;D Loan</t>
  </si>
  <si>
    <t>Loan w/o Interest</t>
  </si>
  <si>
    <t>Debt (before interest reserve)</t>
  </si>
  <si>
    <t>NOTE:  INTEREST CALCULATION IS ONLY AN ESTIMATE - THIS MODEL DOES NOT THOROUGHLY MODEL INTEREST CASH FLOW</t>
  </si>
  <si>
    <t>A&amp;E</t>
  </si>
  <si>
    <t>A&amp;D Loan</t>
  </si>
  <si>
    <t>Levered IRR</t>
  </si>
  <si>
    <t>Levered EMx</t>
  </si>
  <si>
    <t>Net Profit</t>
  </si>
  <si>
    <t>Inflow</t>
  </si>
  <si>
    <t>Outflow</t>
  </si>
  <si>
    <t>/Lot</t>
  </si>
  <si>
    <t>Phase I Returns - 4 Townhouses Development</t>
  </si>
  <si>
    <t>Fees and Permits</t>
  </si>
  <si>
    <t>Legal. Exp.</t>
  </si>
  <si>
    <t>Description of Sq.Ft.</t>
  </si>
  <si>
    <t>Under A/C</t>
  </si>
  <si>
    <t>Non-A/C Area</t>
  </si>
  <si>
    <t>Numbr of units</t>
  </si>
  <si>
    <t>Square footage</t>
  </si>
  <si>
    <t>Per Townhouse Construction Cost</t>
  </si>
  <si>
    <t>Construction cost per sq ft</t>
  </si>
  <si>
    <t>Developer fee</t>
  </si>
  <si>
    <t>LTV</t>
  </si>
  <si>
    <t>Acquisition</t>
  </si>
  <si>
    <t>Total project cost</t>
  </si>
  <si>
    <t>Capilal structure</t>
  </si>
  <si>
    <t>Loan amount</t>
  </si>
  <si>
    <t>Interest Rate</t>
  </si>
  <si>
    <t>Interest Amount</t>
  </si>
  <si>
    <t>Sales profit</t>
  </si>
  <si>
    <t>Project IRR</t>
  </si>
  <si>
    <t xml:space="preserve">Sales </t>
  </si>
  <si>
    <t>Investor's income</t>
  </si>
  <si>
    <t>Investor's preffered</t>
  </si>
  <si>
    <t>Investor's cash</t>
  </si>
  <si>
    <t>Profit distribution</t>
  </si>
  <si>
    <t>Investor's IRR</t>
  </si>
  <si>
    <t>Investor's share</t>
  </si>
  <si>
    <t>Developer's share</t>
  </si>
  <si>
    <t>Investor's equity</t>
  </si>
  <si>
    <t>Developer's equity</t>
  </si>
  <si>
    <t>Accumulated interest</t>
  </si>
  <si>
    <t>Debt investments in project</t>
  </si>
  <si>
    <t>Debt repayment</t>
  </si>
  <si>
    <t>Accumulated debt to investor</t>
  </si>
  <si>
    <t>CF with Preferred payment</t>
  </si>
  <si>
    <t>Total income</t>
  </si>
  <si>
    <t>Investor's preferred</t>
  </si>
  <si>
    <t>Remaining returns</t>
  </si>
  <si>
    <t>Tranio+Developer</t>
  </si>
  <si>
    <t>Investor Total</t>
  </si>
  <si>
    <t>Check</t>
  </si>
  <si>
    <t>Accrued interest 8% preferred</t>
  </si>
  <si>
    <t xml:space="preserve">For Sale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</si>
</sst>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6" formatCode="&quot;$&quot;#,##0_);[Red]\(&quot;$&quot;#,##0\)"/>
    <numFmt numFmtId="44" formatCode="_(&quot;$&quot;* #,##0.00_);_(&quot;$&quot;* \(#,##0.00\);_(&quot;$&quot;* &quot;-&quot;??_);_(@_)"/>
    <numFmt numFmtId="164" formatCode="0\ &quot;Months&quot;"/>
    <numFmt numFmtId="165" formatCode="&quot;Month&quot;\ 0"/>
    <numFmt numFmtId="166" formatCode="_(* #,##0.0%_);_(* \(#,##0.0%\);_(* &quot;   -&quot;?_)"/>
    <numFmt numFmtId="167" formatCode="0.0%"/>
    <numFmt numFmtId="168" formatCode="0.0\ &quot;Acres&quot;"/>
    <numFmt numFmtId="169" formatCode="0\ &quot;Lots&quot;"/>
    <numFmt numFmtId="170" formatCode="0.00&quot;X&quot;"/>
    <numFmt numFmtId="171" formatCode="[$$-409]#,##0"/>
    <numFmt numFmtId="172" formatCode="[$-419]d/mmm/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indexed="1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1"/>
      <color theme="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9" fillId="0" borderId="0" applyFont="0" applyFill="0" applyBorder="0" applyAlignment="0" applyProtection="0"/>
  </cellStyleXfs>
  <cellXfs count="128">
    <xf numFmtId="0" fontId="0" fillId="0" borderId="0" xfId="0"/>
    <xf numFmtId="0" fontId="0" fillId="0" borderId="0" xfId="0" applyAlignment="1">
      <alignment horizontal="left" indent="1"/>
    </xf>
    <xf numFmtId="0" fontId="2" fillId="0" borderId="0" xfId="0" applyFont="1"/>
    <xf numFmtId="0" fontId="0" fillId="0" borderId="0" xfId="0" applyAlignment="1">
      <alignment horizontal="left" indent="2"/>
    </xf>
    <xf numFmtId="6" fontId="0" fillId="0" borderId="0" xfId="0" applyNumberFormat="1"/>
    <xf numFmtId="6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  <xf numFmtId="6" fontId="5" fillId="0" borderId="0" xfId="0" applyNumberFormat="1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6" fontId="6" fillId="0" borderId="0" xfId="0" applyNumberFormat="1" applyFont="1"/>
    <xf numFmtId="6" fontId="7" fillId="0" borderId="0" xfId="0" applyNumberFormat="1" applyFont="1"/>
    <xf numFmtId="6" fontId="2" fillId="0" borderId="0" xfId="0" applyNumberFormat="1" applyFont="1"/>
    <xf numFmtId="0" fontId="0" fillId="0" borderId="0" xfId="0" applyAlignment="1">
      <alignment horizontal="right"/>
    </xf>
    <xf numFmtId="0" fontId="0" fillId="0" borderId="0" xfId="0" applyAlignment="1">
      <alignment horizontal="right" indent="1"/>
    </xf>
    <xf numFmtId="6" fontId="2" fillId="0" borderId="0" xfId="0" applyNumberFormat="1" applyFont="1" applyAlignment="1">
      <alignment horizontal="right"/>
    </xf>
    <xf numFmtId="0" fontId="0" fillId="0" borderId="0" xfId="0" applyAlignment="1"/>
    <xf numFmtId="0" fontId="2" fillId="0" borderId="0" xfId="0" applyFont="1" applyAlignment="1"/>
    <xf numFmtId="6" fontId="0" fillId="0" borderId="0" xfId="0" applyNumberFormat="1" applyAlignment="1"/>
    <xf numFmtId="6" fontId="2" fillId="0" borderId="0" xfId="0" applyNumberFormat="1" applyFont="1" applyAlignment="1"/>
    <xf numFmtId="6" fontId="6" fillId="0" borderId="0" xfId="0" applyNumberFormat="1" applyFont="1" applyAlignment="1"/>
    <xf numFmtId="166" fontId="2" fillId="0" borderId="0" xfId="0" applyNumberFormat="1" applyFont="1" applyAlignment="1">
      <alignment horizontal="left"/>
    </xf>
    <xf numFmtId="166" fontId="0" fillId="0" borderId="0" xfId="0" applyNumberFormat="1"/>
    <xf numFmtId="166" fontId="0" fillId="0" borderId="0" xfId="0" applyNumberFormat="1" applyAlignment="1">
      <alignment horizontal="left"/>
    </xf>
    <xf numFmtId="167" fontId="3" fillId="0" borderId="0" xfId="0" applyNumberFormat="1" applyFont="1"/>
    <xf numFmtId="168" fontId="3" fillId="0" borderId="0" xfId="0" applyNumberFormat="1" applyFont="1"/>
    <xf numFmtId="169" fontId="3" fillId="0" borderId="0" xfId="0" applyNumberFormat="1" applyFont="1"/>
    <xf numFmtId="166" fontId="0" fillId="0" borderId="0" xfId="0" applyNumberFormat="1" applyAlignment="1">
      <alignment horizontal="left" indent="1"/>
    </xf>
    <xf numFmtId="6" fontId="6" fillId="0" borderId="0" xfId="0" applyNumberFormat="1" applyFont="1" applyAlignment="1">
      <alignment horizontal="right"/>
    </xf>
    <xf numFmtId="15" fontId="3" fillId="0" borderId="0" xfId="0" applyNumberFormat="1" applyFont="1"/>
    <xf numFmtId="15" fontId="0" fillId="0" borderId="0" xfId="0" applyNumberFormat="1"/>
    <xf numFmtId="10" fontId="0" fillId="0" borderId="0" xfId="0" applyNumberFormat="1" applyAlignment="1"/>
    <xf numFmtId="170" fontId="0" fillId="0" borderId="0" xfId="0" applyNumberFormat="1" applyAlignment="1"/>
    <xf numFmtId="0" fontId="4" fillId="0" borderId="1" xfId="0" applyFont="1" applyBorder="1"/>
    <xf numFmtId="0" fontId="4" fillId="0" borderId="1" xfId="0" applyFont="1" applyBorder="1" applyAlignment="1"/>
    <xf numFmtId="0" fontId="0" fillId="0" borderId="1" xfId="0" applyBorder="1"/>
    <xf numFmtId="0" fontId="0" fillId="0" borderId="1" xfId="0" applyBorder="1" applyAlignment="1"/>
    <xf numFmtId="165" fontId="3" fillId="0" borderId="1" xfId="0" applyNumberFormat="1" applyFont="1" applyBorder="1"/>
    <xf numFmtId="166" fontId="2" fillId="2" borderId="0" xfId="0" applyNumberFormat="1" applyFont="1" applyFill="1" applyAlignment="1">
      <alignment horizontal="left"/>
    </xf>
    <xf numFmtId="0" fontId="0" fillId="2" borderId="0" xfId="0" applyFill="1"/>
    <xf numFmtId="166" fontId="0" fillId="2" borderId="0" xfId="0" applyNumberFormat="1" applyFill="1" applyAlignment="1">
      <alignment horizontal="left" indent="1"/>
    </xf>
    <xf numFmtId="164" fontId="0" fillId="2" borderId="0" xfId="0" applyNumberFormat="1" applyFill="1"/>
    <xf numFmtId="0" fontId="0" fillId="2" borderId="0" xfId="0" applyFill="1" applyAlignment="1">
      <alignment horizontal="left" indent="1"/>
    </xf>
    <xf numFmtId="10" fontId="0" fillId="2" borderId="0" xfId="0" applyNumberFormat="1" applyFill="1"/>
    <xf numFmtId="170" fontId="0" fillId="2" borderId="0" xfId="0" applyNumberFormat="1" applyFill="1"/>
    <xf numFmtId="6" fontId="0" fillId="2" borderId="0" xfId="0" applyNumberFormat="1" applyFill="1"/>
    <xf numFmtId="9" fontId="3" fillId="0" borderId="0" xfId="0" applyNumberFormat="1" applyFont="1"/>
    <xf numFmtId="0" fontId="6" fillId="0" borderId="0" xfId="0" applyFont="1" applyAlignment="1">
      <alignment horizontal="right"/>
    </xf>
    <xf numFmtId="3" fontId="6" fillId="0" borderId="0" xfId="0" applyNumberFormat="1" applyFont="1"/>
    <xf numFmtId="0" fontId="6" fillId="0" borderId="0" xfId="0" applyFont="1"/>
    <xf numFmtId="0" fontId="2" fillId="0" borderId="1" xfId="0" applyFont="1" applyBorder="1"/>
    <xf numFmtId="6" fontId="0" fillId="0" borderId="1" xfId="0" applyNumberFormat="1" applyBorder="1"/>
    <xf numFmtId="6" fontId="0" fillId="0" borderId="0" xfId="0" applyNumberFormat="1" applyFont="1" applyAlignment="1"/>
    <xf numFmtId="6" fontId="0" fillId="0" borderId="0" xfId="0" applyNumberFormat="1" applyFont="1"/>
    <xf numFmtId="0" fontId="2" fillId="0" borderId="0" xfId="0" applyFont="1" applyAlignment="1">
      <alignment horizontal="left" indent="1"/>
    </xf>
    <xf numFmtId="3" fontId="0" fillId="0" borderId="0" xfId="0" applyNumberFormat="1" applyAlignment="1">
      <alignment horizontal="left" indent="1"/>
    </xf>
    <xf numFmtId="3" fontId="0" fillId="0" borderId="0" xfId="0" applyNumberFormat="1" applyAlignment="1"/>
    <xf numFmtId="3" fontId="6" fillId="0" borderId="0" xfId="0" applyNumberFormat="1" applyFont="1" applyAlignment="1"/>
    <xf numFmtId="6" fontId="8" fillId="0" borderId="0" xfId="0" applyNumberFormat="1" applyFont="1" applyAlignment="1">
      <alignment horizontal="left"/>
    </xf>
    <xf numFmtId="0" fontId="2" fillId="0" borderId="0" xfId="0" quotePrefix="1" applyFont="1"/>
    <xf numFmtId="0" fontId="0" fillId="0" borderId="0" xfId="0" applyAlignment="1">
      <alignment horizontal="center" vertical="center"/>
    </xf>
    <xf numFmtId="44" fontId="0" fillId="0" borderId="0" xfId="1" applyFont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44" fontId="3" fillId="0" borderId="0" xfId="0" applyNumberFormat="1" applyFont="1"/>
    <xf numFmtId="0" fontId="12" fillId="0" borderId="0" xfId="0" applyFont="1"/>
    <xf numFmtId="9" fontId="0" fillId="0" borderId="0" xfId="0" applyNumberFormat="1"/>
    <xf numFmtId="10" fontId="0" fillId="0" borderId="0" xfId="0" applyNumberFormat="1"/>
    <xf numFmtId="0" fontId="12" fillId="0" borderId="0" xfId="0" applyFont="1" applyFill="1"/>
    <xf numFmtId="0" fontId="0" fillId="0" borderId="0" xfId="0" applyFill="1"/>
    <xf numFmtId="171" fontId="0" fillId="0" borderId="0" xfId="0" applyNumberFormat="1" applyFill="1"/>
    <xf numFmtId="171" fontId="12" fillId="0" borderId="0" xfId="0" applyNumberFormat="1" applyFont="1" applyFill="1"/>
    <xf numFmtId="0" fontId="12" fillId="3" borderId="0" xfId="0" applyFont="1" applyFill="1"/>
    <xf numFmtId="171" fontId="12" fillId="3" borderId="0" xfId="0" applyNumberFormat="1" applyFont="1" applyFill="1"/>
    <xf numFmtId="171" fontId="0" fillId="0" borderId="0" xfId="0" applyNumberFormat="1"/>
    <xf numFmtId="171" fontId="12" fillId="0" borderId="0" xfId="0" applyNumberFormat="1" applyFont="1"/>
    <xf numFmtId="10" fontId="12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/>
    <xf numFmtId="0" fontId="13" fillId="0" borderId="0" xfId="0" applyFont="1" applyBorder="1" applyAlignment="1">
      <alignment horizontal="right" wrapText="1"/>
    </xf>
    <xf numFmtId="10" fontId="1" fillId="4" borderId="0" xfId="0" applyNumberFormat="1" applyFont="1" applyFill="1" applyBorder="1" applyAlignment="1">
      <alignment wrapText="1"/>
    </xf>
    <xf numFmtId="0" fontId="12" fillId="0" borderId="0" xfId="0" applyFont="1" applyBorder="1" applyAlignment="1">
      <alignment horizontal="right" wrapText="1"/>
    </xf>
    <xf numFmtId="9" fontId="1" fillId="4" borderId="0" xfId="0" applyNumberFormat="1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15" fontId="1" fillId="0" borderId="0" xfId="0" applyNumberFormat="1" applyFont="1" applyBorder="1" applyAlignment="1">
      <alignment wrapText="1"/>
    </xf>
    <xf numFmtId="0" fontId="1" fillId="8" borderId="2" xfId="0" applyFont="1" applyFill="1" applyBorder="1" applyAlignment="1">
      <alignment wrapText="1"/>
    </xf>
    <xf numFmtId="0" fontId="1" fillId="8" borderId="3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15" fillId="5" borderId="7" xfId="0" applyFont="1" applyFill="1" applyBorder="1" applyAlignment="1">
      <alignment wrapText="1"/>
    </xf>
    <xf numFmtId="171" fontId="1" fillId="0" borderId="0" xfId="0" applyNumberFormat="1" applyFont="1" applyBorder="1" applyAlignment="1">
      <alignment wrapText="1"/>
    </xf>
    <xf numFmtId="171" fontId="13" fillId="0" borderId="0" xfId="0" applyNumberFormat="1" applyFont="1" applyBorder="1" applyAlignment="1">
      <alignment horizontal="right" wrapText="1"/>
    </xf>
    <xf numFmtId="171" fontId="13" fillId="0" borderId="6" xfId="0" applyNumberFormat="1" applyFont="1" applyBorder="1" applyAlignment="1">
      <alignment horizontal="right" wrapText="1"/>
    </xf>
    <xf numFmtId="171" fontId="14" fillId="7" borderId="0" xfId="0" applyNumberFormat="1" applyFont="1" applyFill="1" applyBorder="1" applyAlignment="1">
      <alignment horizontal="right" wrapText="1"/>
    </xf>
    <xf numFmtId="171" fontId="1" fillId="0" borderId="6" xfId="0" applyNumberFormat="1" applyFont="1" applyBorder="1" applyAlignment="1">
      <alignment wrapText="1"/>
    </xf>
    <xf numFmtId="171" fontId="12" fillId="5" borderId="8" xfId="0" applyNumberFormat="1" applyFont="1" applyFill="1" applyBorder="1" applyAlignment="1">
      <alignment horizontal="right" wrapText="1"/>
    </xf>
    <xf numFmtId="171" fontId="1" fillId="5" borderId="8" xfId="0" applyNumberFormat="1" applyFont="1" applyFill="1" applyBorder="1" applyAlignment="1">
      <alignment wrapText="1"/>
    </xf>
    <xf numFmtId="171" fontId="12" fillId="5" borderId="9" xfId="0" applyNumberFormat="1" applyFont="1" applyFill="1" applyBorder="1" applyAlignment="1">
      <alignment horizontal="right" wrapText="1"/>
    </xf>
    <xf numFmtId="171" fontId="12" fillId="0" borderId="0" xfId="0" applyNumberFormat="1" applyFont="1" applyBorder="1" applyAlignment="1">
      <alignment horizontal="right" wrapText="1"/>
    </xf>
    <xf numFmtId="171" fontId="15" fillId="5" borderId="8" xfId="0" applyNumberFormat="1" applyFont="1" applyFill="1" applyBorder="1" applyAlignment="1">
      <alignment wrapText="1"/>
    </xf>
    <xf numFmtId="10" fontId="1" fillId="0" borderId="0" xfId="0" applyNumberFormat="1" applyFont="1" applyBorder="1" applyAlignment="1">
      <alignment horizontal="right" wrapText="1"/>
    </xf>
    <xf numFmtId="0" fontId="12" fillId="0" borderId="0" xfId="0" applyFont="1" applyBorder="1" applyAlignment="1">
      <alignment vertical="center"/>
    </xf>
    <xf numFmtId="9" fontId="12" fillId="0" borderId="0" xfId="0" applyNumberFormat="1" applyFont="1" applyBorder="1" applyAlignment="1">
      <alignment horizontal="right" wrapText="1"/>
    </xf>
    <xf numFmtId="171" fontId="12" fillId="0" borderId="0" xfId="0" applyNumberFormat="1" applyFont="1" applyBorder="1" applyAlignment="1">
      <alignment wrapText="1"/>
    </xf>
    <xf numFmtId="0" fontId="1" fillId="0" borderId="0" xfId="0" applyFont="1" applyBorder="1" applyAlignment="1">
      <alignment vertical="center"/>
    </xf>
    <xf numFmtId="9" fontId="1" fillId="0" borderId="0" xfId="0" applyNumberFormat="1" applyFont="1" applyBorder="1" applyAlignment="1">
      <alignment horizontal="right" wrapText="1"/>
    </xf>
    <xf numFmtId="171" fontId="1" fillId="0" borderId="0" xfId="0" applyNumberFormat="1" applyFont="1" applyBorder="1" applyAlignment="1">
      <alignment horizontal="right" wrapText="1"/>
    </xf>
    <xf numFmtId="0" fontId="1" fillId="6" borderId="0" xfId="0" applyFont="1" applyFill="1" applyBorder="1" applyAlignment="1">
      <alignment wrapText="1"/>
    </xf>
    <xf numFmtId="0" fontId="12" fillId="6" borderId="0" xfId="0" applyFont="1" applyFill="1" applyBorder="1" applyAlignment="1">
      <alignment horizontal="right" wrapText="1"/>
    </xf>
    <xf numFmtId="171" fontId="12" fillId="6" borderId="0" xfId="0" applyNumberFormat="1" applyFont="1" applyFill="1" applyBorder="1" applyAlignment="1">
      <alignment horizontal="right" wrapText="1"/>
    </xf>
    <xf numFmtId="9" fontId="12" fillId="6" borderId="0" xfId="0" applyNumberFormat="1" applyFont="1" applyFill="1" applyBorder="1" applyAlignment="1">
      <alignment horizontal="right" wrapText="1"/>
    </xf>
    <xf numFmtId="0" fontId="12" fillId="6" borderId="0" xfId="0" applyFont="1" applyFill="1" applyBorder="1" applyAlignment="1">
      <alignment vertical="center"/>
    </xf>
    <xf numFmtId="0" fontId="12" fillId="6" borderId="0" xfId="0" applyFont="1" applyFill="1" applyBorder="1" applyAlignment="1">
      <alignment wrapText="1"/>
    </xf>
    <xf numFmtId="0" fontId="12" fillId="0" borderId="0" xfId="0" applyFont="1" applyBorder="1" applyAlignment="1">
      <alignment wrapText="1"/>
    </xf>
    <xf numFmtId="10" fontId="12" fillId="0" borderId="0" xfId="0" applyNumberFormat="1" applyFont="1" applyBorder="1" applyAlignment="1">
      <alignment horizontal="right" wrapText="1"/>
    </xf>
    <xf numFmtId="171" fontId="0" fillId="0" borderId="0" xfId="0" applyNumberFormat="1" applyBorder="1"/>
    <xf numFmtId="172" fontId="1" fillId="8" borderId="3" xfId="0" applyNumberFormat="1" applyFont="1" applyFill="1" applyBorder="1" applyAlignment="1">
      <alignment wrapText="1"/>
    </xf>
    <xf numFmtId="172" fontId="1" fillId="8" borderId="4" xfId="0" applyNumberFormat="1" applyFont="1" applyFill="1" applyBorder="1" applyAlignment="1">
      <alignment wrapText="1"/>
    </xf>
    <xf numFmtId="9" fontId="16" fillId="0" borderId="0" xfId="0" applyNumberFormat="1" applyFont="1" applyFill="1"/>
    <xf numFmtId="44" fontId="0" fillId="0" borderId="0" xfId="0" applyNumberFormat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4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12" fillId="9" borderId="0" xfId="0" applyNumberFormat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zoomScale="124" zoomScaleNormal="124" workbookViewId="0">
      <selection activeCell="J3" sqref="J3"/>
    </sheetView>
  </sheetViews>
  <sheetFormatPr baseColWidth="10" defaultColWidth="8.83203125" defaultRowHeight="15" x14ac:dyDescent="0.2"/>
  <cols>
    <col min="1" max="1" width="29.5" customWidth="1"/>
    <col min="2" max="2" width="11.6640625" customWidth="1"/>
    <col min="4" max="4" width="27.83203125" customWidth="1"/>
    <col min="5" max="5" width="13.6640625" customWidth="1"/>
  </cols>
  <sheetData>
    <row r="1" spans="1:6" x14ac:dyDescent="0.2">
      <c r="A1" s="70" t="s">
        <v>88</v>
      </c>
      <c r="B1" s="73">
        <f>B2+B3</f>
        <v>1003218.5</v>
      </c>
      <c r="C1" s="71"/>
      <c r="D1" s="74" t="s">
        <v>96</v>
      </c>
      <c r="E1" s="75">
        <f>'Phase I Returns - Scenario I'!R16</f>
        <v>4602240</v>
      </c>
    </row>
    <row r="2" spans="1:6" x14ac:dyDescent="0.2">
      <c r="A2" s="71" t="str">
        <f>'Phase I Returns - Scenario I'!G5</f>
        <v>Land Purchase Price</v>
      </c>
      <c r="B2" s="72">
        <f>'Phase I Returns - Scenario I'!I5</f>
        <v>1000000</v>
      </c>
      <c r="C2" s="71"/>
      <c r="D2" s="67" t="s">
        <v>94</v>
      </c>
      <c r="E2" s="77">
        <f>E1-B9-B17</f>
        <v>541283.68065414834</v>
      </c>
    </row>
    <row r="3" spans="1:6" x14ac:dyDescent="0.2">
      <c r="A3" s="71" t="str">
        <f>'Phase I Returns - Scenario I'!G11</f>
        <v>Closing Costs</v>
      </c>
      <c r="B3" s="72">
        <f>'Phase I Returns - Scenario I'!I11</f>
        <v>3218.5</v>
      </c>
      <c r="C3" s="71"/>
      <c r="D3" s="67" t="s">
        <v>95</v>
      </c>
      <c r="E3" s="127">
        <f>'Phase I Returns - Scenario I'!C66</f>
        <v>0.22177082896232606</v>
      </c>
    </row>
    <row r="4" spans="1:6" x14ac:dyDescent="0.2">
      <c r="A4" s="70" t="str">
        <f>'Phase I Returns - Scenario I'!K4</f>
        <v>Entitlement</v>
      </c>
      <c r="B4" s="73">
        <f>B5+B6+B7</f>
        <v>100000</v>
      </c>
      <c r="C4" s="71"/>
    </row>
    <row r="5" spans="1:6" x14ac:dyDescent="0.2">
      <c r="A5" s="71" t="str">
        <f>'Phase I Returns - Scenario I'!K6</f>
        <v>A&amp;E</v>
      </c>
      <c r="B5" s="72">
        <f>'Phase I Returns - Scenario I'!M6</f>
        <v>50000</v>
      </c>
      <c r="C5" s="71"/>
      <c r="D5" s="74" t="s">
        <v>100</v>
      </c>
      <c r="E5" s="74"/>
    </row>
    <row r="6" spans="1:6" x14ac:dyDescent="0.2">
      <c r="A6" s="71" t="str">
        <f>'Phase I Returns - Scenario I'!K7</f>
        <v>Fees and Permits</v>
      </c>
      <c r="B6" s="72">
        <f>'Phase I Returns - Scenario I'!M7</f>
        <v>30000</v>
      </c>
      <c r="C6" s="71"/>
      <c r="D6" t="s">
        <v>98</v>
      </c>
      <c r="E6" s="76">
        <f>'Investor''s IRR'!D14</f>
        <v>443948.07759023656</v>
      </c>
      <c r="F6" s="120">
        <v>0.08</v>
      </c>
    </row>
    <row r="7" spans="1:6" x14ac:dyDescent="0.2">
      <c r="A7" s="71" t="str">
        <f>'Phase I Returns - Scenario I'!K8</f>
        <v>Legal. Exp.</v>
      </c>
      <c r="B7" s="72">
        <f>'Phase I Returns - Scenario I'!M8</f>
        <v>20000</v>
      </c>
      <c r="C7" s="71"/>
      <c r="D7" t="s">
        <v>102</v>
      </c>
      <c r="E7" s="76">
        <f>'Investor''s IRR'!D16</f>
        <v>38934.241225564714</v>
      </c>
      <c r="F7" s="120">
        <v>0.4</v>
      </c>
    </row>
    <row r="8" spans="1:6" x14ac:dyDescent="0.2">
      <c r="A8" s="70" t="str">
        <f>'Phase I Returns - Scenario I'!B60</f>
        <v>Construction Cost</v>
      </c>
      <c r="B8" s="73">
        <f>'Phase I Returns - Scenario I'!C60</f>
        <v>2845227</v>
      </c>
      <c r="C8" s="71"/>
      <c r="D8" t="s">
        <v>103</v>
      </c>
      <c r="E8" s="76">
        <f>'Investor''s IRR'!D17</f>
        <v>58401.361838347068</v>
      </c>
      <c r="F8" s="69">
        <f>100%-F7</f>
        <v>0.6</v>
      </c>
    </row>
    <row r="9" spans="1:6" x14ac:dyDescent="0.2">
      <c r="A9" s="74" t="s">
        <v>89</v>
      </c>
      <c r="B9" s="75">
        <f>B1+B4+B8</f>
        <v>3948445.5</v>
      </c>
      <c r="E9" s="76"/>
    </row>
    <row r="10" spans="1:6" x14ac:dyDescent="0.2">
      <c r="D10" s="74" t="s">
        <v>97</v>
      </c>
      <c r="E10" s="75"/>
    </row>
    <row r="11" spans="1:6" x14ac:dyDescent="0.2">
      <c r="A11" s="74" t="s">
        <v>90</v>
      </c>
      <c r="B11" s="74"/>
      <c r="D11" s="67" t="s">
        <v>99</v>
      </c>
      <c r="E11" s="77">
        <f>E6+E7</f>
        <v>482882.31881580129</v>
      </c>
    </row>
    <row r="12" spans="1:6" x14ac:dyDescent="0.2">
      <c r="A12" s="67" t="s">
        <v>104</v>
      </c>
      <c r="B12" s="77">
        <v>3000000</v>
      </c>
      <c r="D12" s="67" t="s">
        <v>101</v>
      </c>
      <c r="E12" s="78">
        <f>'Investor''s IRR'!B10</f>
        <v>8.0930373072624212E-2</v>
      </c>
    </row>
    <row r="13" spans="1:6" x14ac:dyDescent="0.2">
      <c r="A13" s="67" t="s">
        <v>105</v>
      </c>
      <c r="B13" s="77">
        <v>1000000</v>
      </c>
    </row>
    <row r="14" spans="1:6" x14ac:dyDescent="0.2">
      <c r="A14" t="s">
        <v>87</v>
      </c>
      <c r="B14" s="68">
        <f>'Phase I Returns - Scenario I'!R6</f>
        <v>0.67236989999999996</v>
      </c>
    </row>
    <row r="15" spans="1:6" x14ac:dyDescent="0.2">
      <c r="A15" s="67" t="s">
        <v>91</v>
      </c>
      <c r="B15" s="77">
        <f>'Phase I Returns - Scenario I'!R7</f>
        <v>2654815.9059904497</v>
      </c>
    </row>
    <row r="16" spans="1:6" x14ac:dyDescent="0.2">
      <c r="A16" t="s">
        <v>92</v>
      </c>
      <c r="B16" s="68">
        <f>'Phase I Returns - Scenario I'!R5</f>
        <v>7.0000000000000007E-2</v>
      </c>
    </row>
    <row r="17" spans="1:2" x14ac:dyDescent="0.2">
      <c r="A17" s="67" t="s">
        <v>93</v>
      </c>
      <c r="B17" s="77">
        <f>'Phase I Returns - Scenario I'!R8</f>
        <v>112510.81934585163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102"/>
  <sheetViews>
    <sheetView showGridLines="0" tabSelected="1" topLeftCell="A9" zoomScale="120" zoomScaleNormal="120" workbookViewId="0">
      <selection activeCell="J8" sqref="J8"/>
    </sheetView>
  </sheetViews>
  <sheetFormatPr baseColWidth="10" defaultColWidth="0" defaultRowHeight="15" zeroHeight="1" x14ac:dyDescent="0.2"/>
  <cols>
    <col min="1" max="1" width="1.6640625" customWidth="1"/>
    <col min="2" max="2" width="23.83203125" customWidth="1"/>
    <col min="3" max="3" width="11.6640625" style="17" bestFit="1" customWidth="1"/>
    <col min="4" max="4" width="11.1640625" bestFit="1" customWidth="1"/>
    <col min="5" max="5" width="15" customWidth="1"/>
    <col min="6" max="12" width="11" customWidth="1"/>
    <col min="13" max="13" width="14.5" customWidth="1"/>
    <col min="14" max="17" width="11" customWidth="1"/>
    <col min="18" max="18" width="14.5" customWidth="1"/>
    <col min="19" max="25" width="11" customWidth="1"/>
    <col min="26" max="26" width="11" bestFit="1" customWidth="1"/>
    <col min="27" max="27" width="11" customWidth="1"/>
    <col min="28" max="28" width="11" bestFit="1" customWidth="1"/>
    <col min="29" max="64" width="11" customWidth="1"/>
    <col min="65" max="16384" width="8.83203125" hidden="1"/>
  </cols>
  <sheetData>
    <row r="1" spans="2:26" ht="5" customHeight="1" x14ac:dyDescent="0.2"/>
    <row r="2" spans="2:26" ht="21" x14ac:dyDescent="0.25">
      <c r="B2" s="34" t="s">
        <v>76</v>
      </c>
      <c r="C2" s="35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spans="2:26" ht="5" customHeight="1" x14ac:dyDescent="0.2">
      <c r="B3" s="2"/>
      <c r="C3" s="18"/>
    </row>
    <row r="4" spans="2:26" x14ac:dyDescent="0.2">
      <c r="B4" s="39" t="s">
        <v>40</v>
      </c>
      <c r="C4" s="40"/>
      <c r="D4" s="40"/>
      <c r="E4" s="40"/>
      <c r="F4" s="60" t="s">
        <v>75</v>
      </c>
      <c r="G4" s="2" t="s">
        <v>1</v>
      </c>
      <c r="H4" s="18"/>
      <c r="K4" s="22" t="s">
        <v>10</v>
      </c>
      <c r="L4" s="23"/>
      <c r="M4" s="23"/>
      <c r="O4" s="22" t="s">
        <v>37</v>
      </c>
      <c r="P4" s="23"/>
      <c r="Q4" s="23"/>
    </row>
    <row r="5" spans="2:26" x14ac:dyDescent="0.2">
      <c r="B5" s="41" t="s">
        <v>30</v>
      </c>
      <c r="C5" s="40"/>
      <c r="D5" s="40"/>
      <c r="E5" s="42">
        <f>M5+M12+R13</f>
        <v>23</v>
      </c>
      <c r="G5" s="1" t="s">
        <v>6</v>
      </c>
      <c r="I5" s="5">
        <v>1000000</v>
      </c>
      <c r="K5" s="28" t="s">
        <v>13</v>
      </c>
      <c r="L5" s="23"/>
      <c r="M5" s="6">
        <v>6</v>
      </c>
      <c r="O5" s="28" t="s">
        <v>39</v>
      </c>
      <c r="P5" s="23"/>
      <c r="R5" s="25">
        <v>7.0000000000000007E-2</v>
      </c>
    </row>
    <row r="6" spans="2:26" x14ac:dyDescent="0.2">
      <c r="B6" s="43" t="s">
        <v>31</v>
      </c>
      <c r="C6" s="40"/>
      <c r="D6" s="40"/>
      <c r="E6" s="44">
        <f>C45</f>
        <v>0.16736747622489931</v>
      </c>
      <c r="G6" s="1" t="s">
        <v>8</v>
      </c>
      <c r="I6" s="5">
        <f>I5*0.1</f>
        <v>100000</v>
      </c>
      <c r="K6" s="28" t="s">
        <v>68</v>
      </c>
      <c r="L6" s="23"/>
      <c r="M6" s="5">
        <v>50000</v>
      </c>
      <c r="O6" s="28" t="s">
        <v>38</v>
      </c>
      <c r="P6" s="23"/>
      <c r="R6" s="47">
        <v>0.67236989999999996</v>
      </c>
    </row>
    <row r="7" spans="2:26" x14ac:dyDescent="0.2">
      <c r="B7" s="43" t="s">
        <v>32</v>
      </c>
      <c r="C7" s="40"/>
      <c r="D7" s="40"/>
      <c r="E7" s="45">
        <f>C46</f>
        <v>1.1655827590883552</v>
      </c>
      <c r="G7" s="1"/>
      <c r="I7" s="5"/>
      <c r="K7" s="28" t="s">
        <v>77</v>
      </c>
      <c r="L7" s="23"/>
      <c r="M7" s="5">
        <v>30000</v>
      </c>
      <c r="O7" s="28" t="s">
        <v>65</v>
      </c>
      <c r="R7" s="4">
        <f>(E8)*R6</f>
        <v>2654815.9059904497</v>
      </c>
    </row>
    <row r="8" spans="2:26" x14ac:dyDescent="0.2">
      <c r="B8" s="43" t="s">
        <v>33</v>
      </c>
      <c r="C8" s="40"/>
      <c r="D8" s="40"/>
      <c r="E8" s="46">
        <f>SUM(D42:BL42)</f>
        <v>3948445.5</v>
      </c>
      <c r="F8" s="59">
        <f>E8/$I$13</f>
        <v>658074.25</v>
      </c>
      <c r="G8" s="1"/>
      <c r="I8" s="6"/>
      <c r="K8" s="28" t="s">
        <v>78</v>
      </c>
      <c r="L8" s="23"/>
      <c r="M8" s="5">
        <v>20000</v>
      </c>
      <c r="O8" s="28" t="s">
        <v>63</v>
      </c>
      <c r="R8" s="11">
        <f>SUM(D86:BL86)</f>
        <v>112510.81934585163</v>
      </c>
    </row>
    <row r="9" spans="2:26" x14ac:dyDescent="0.2">
      <c r="B9" s="43" t="s">
        <v>72</v>
      </c>
      <c r="C9" s="40"/>
      <c r="D9" s="40"/>
      <c r="E9" s="46">
        <f>SUM(D44:BL44)</f>
        <v>653794.5</v>
      </c>
      <c r="F9" s="59">
        <f>E9/$I$13</f>
        <v>108965.75</v>
      </c>
      <c r="G9" s="1"/>
      <c r="I9" s="6"/>
      <c r="K9" s="28"/>
      <c r="L9" s="23"/>
      <c r="M9" s="5"/>
      <c r="O9" s="28"/>
      <c r="R9" s="11"/>
    </row>
    <row r="10" spans="2:26" x14ac:dyDescent="0.2">
      <c r="B10" s="43" t="s">
        <v>34</v>
      </c>
      <c r="C10" s="40"/>
      <c r="D10" s="40"/>
      <c r="E10" s="46">
        <v>40000</v>
      </c>
      <c r="F10" s="59">
        <f>E10/$I$13</f>
        <v>6666.666666666667</v>
      </c>
      <c r="G10" s="1" t="s">
        <v>7</v>
      </c>
      <c r="I10" s="7">
        <f>1</f>
        <v>1</v>
      </c>
      <c r="O10" s="28" t="s">
        <v>64</v>
      </c>
      <c r="R10" s="4">
        <f>R8+R7</f>
        <v>2767326.7253363011</v>
      </c>
      <c r="U10" s="4"/>
    </row>
    <row r="11" spans="2:26" x14ac:dyDescent="0.2">
      <c r="C11"/>
      <c r="G11" s="1" t="s">
        <v>4</v>
      </c>
      <c r="I11" s="5">
        <v>3218.5</v>
      </c>
      <c r="K11" s="22" t="s">
        <v>25</v>
      </c>
      <c r="L11" s="23"/>
      <c r="M11" s="23"/>
      <c r="U11" s="4"/>
    </row>
    <row r="12" spans="2:26" x14ac:dyDescent="0.2">
      <c r="B12" s="39" t="s">
        <v>54</v>
      </c>
      <c r="C12" s="40"/>
      <c r="D12" s="40"/>
      <c r="E12" s="40"/>
      <c r="G12" s="1" t="s">
        <v>20</v>
      </c>
      <c r="I12" s="26">
        <v>0.33</v>
      </c>
      <c r="K12" s="28" t="s">
        <v>27</v>
      </c>
      <c r="L12" s="23"/>
      <c r="M12" s="6">
        <v>12</v>
      </c>
      <c r="O12" s="22" t="s">
        <v>43</v>
      </c>
      <c r="P12" s="23"/>
      <c r="Q12" s="23"/>
    </row>
    <row r="13" spans="2:26" x14ac:dyDescent="0.2">
      <c r="B13" s="43" t="s">
        <v>70</v>
      </c>
      <c r="C13" s="40"/>
      <c r="D13" s="40"/>
      <c r="E13" s="44">
        <f>C66</f>
        <v>0.22177082896232606</v>
      </c>
      <c r="G13" s="28" t="s">
        <v>19</v>
      </c>
      <c r="I13" s="27">
        <f>6</f>
        <v>6</v>
      </c>
      <c r="K13" s="28" t="s">
        <v>28</v>
      </c>
      <c r="L13" s="23"/>
      <c r="M13" s="66">
        <f>'Townhouse Estimates'!C10</f>
        <v>474204.5</v>
      </c>
      <c r="O13" s="28" t="s">
        <v>26</v>
      </c>
      <c r="P13" s="23"/>
      <c r="R13" s="6">
        <v>5</v>
      </c>
    </row>
    <row r="14" spans="2:26" x14ac:dyDescent="0.2">
      <c r="B14" s="43" t="s">
        <v>71</v>
      </c>
      <c r="C14" s="40"/>
      <c r="D14" s="40"/>
      <c r="E14" s="45">
        <f>C67</f>
        <v>1.3849428375097406</v>
      </c>
      <c r="G14" s="28"/>
      <c r="H14" s="27"/>
      <c r="K14" s="28"/>
      <c r="L14" s="23"/>
      <c r="M14" s="5"/>
      <c r="O14" s="28" t="s">
        <v>18</v>
      </c>
      <c r="P14" s="23"/>
      <c r="R14" s="5">
        <v>799000</v>
      </c>
    </row>
    <row r="15" spans="2:26" x14ac:dyDescent="0.2">
      <c r="B15" s="43" t="s">
        <v>33</v>
      </c>
      <c r="C15" s="40"/>
      <c r="D15" s="40"/>
      <c r="E15" s="46">
        <f>E8-R7</f>
        <v>1293629.5940095503</v>
      </c>
      <c r="F15" s="59">
        <f>E15/$I$13</f>
        <v>215604.93233492505</v>
      </c>
      <c r="G15" s="28"/>
      <c r="H15" s="27"/>
      <c r="I15" s="4"/>
      <c r="K15" s="28"/>
      <c r="L15" s="23"/>
      <c r="M15" s="5"/>
      <c r="O15" s="28" t="s">
        <v>21</v>
      </c>
      <c r="P15" s="23"/>
      <c r="R15" s="25">
        <v>0.04</v>
      </c>
    </row>
    <row r="16" spans="2:26" x14ac:dyDescent="0.2">
      <c r="B16" s="43" t="s">
        <v>72</v>
      </c>
      <c r="C16" s="40"/>
      <c r="D16" s="40"/>
      <c r="E16" s="46">
        <f>SUM(D65:BL65)</f>
        <v>541283.68065414811</v>
      </c>
      <c r="F16" s="59">
        <f>E16/$I$13</f>
        <v>90213.946775691351</v>
      </c>
      <c r="I16" s="56"/>
      <c r="K16" s="28"/>
      <c r="L16" s="23"/>
      <c r="M16" s="5"/>
      <c r="O16" s="28" t="s">
        <v>57</v>
      </c>
      <c r="P16" s="23"/>
      <c r="R16" s="8">
        <f>$I$13*R14*(1-R15)</f>
        <v>4602240</v>
      </c>
    </row>
    <row r="17" spans="1:64" x14ac:dyDescent="0.2">
      <c r="B17" s="43" t="s">
        <v>69</v>
      </c>
      <c r="C17" s="40"/>
      <c r="D17" s="40"/>
      <c r="E17" s="46">
        <f>R10</f>
        <v>2767326.7253363011</v>
      </c>
      <c r="F17" s="59">
        <f>E17/$I$13</f>
        <v>461221.12088938354</v>
      </c>
      <c r="G17" s="1"/>
      <c r="H17" s="26"/>
      <c r="L17" s="24"/>
    </row>
    <row r="18" spans="1:64" ht="5" customHeight="1" x14ac:dyDescent="0.2">
      <c r="A18" s="36"/>
      <c r="B18" s="36"/>
      <c r="C18" s="37"/>
      <c r="D18" s="38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</row>
    <row r="19" spans="1:64" x14ac:dyDescent="0.2">
      <c r="C19" s="14" t="s">
        <v>41</v>
      </c>
      <c r="D19" s="30">
        <v>43709</v>
      </c>
      <c r="E19" s="31">
        <f>EDATE(D19,1)</f>
        <v>43739</v>
      </c>
      <c r="F19" s="31">
        <f t="shared" ref="F19:AN19" si="0">EDATE(E19,1)</f>
        <v>43770</v>
      </c>
      <c r="G19" s="31">
        <f t="shared" si="0"/>
        <v>43800</v>
      </c>
      <c r="H19" s="31">
        <f t="shared" si="0"/>
        <v>43831</v>
      </c>
      <c r="I19" s="31">
        <f t="shared" si="0"/>
        <v>43862</v>
      </c>
      <c r="J19" s="31">
        <f t="shared" si="0"/>
        <v>43891</v>
      </c>
      <c r="K19" s="31">
        <f t="shared" si="0"/>
        <v>43922</v>
      </c>
      <c r="L19" s="31">
        <f t="shared" si="0"/>
        <v>43952</v>
      </c>
      <c r="M19" s="31">
        <f t="shared" si="0"/>
        <v>43983</v>
      </c>
      <c r="N19" s="31">
        <f t="shared" si="0"/>
        <v>44013</v>
      </c>
      <c r="O19" s="31">
        <f t="shared" si="0"/>
        <v>44044</v>
      </c>
      <c r="P19" s="31">
        <f t="shared" si="0"/>
        <v>44075</v>
      </c>
      <c r="Q19" s="31">
        <f t="shared" si="0"/>
        <v>44105</v>
      </c>
      <c r="R19" s="31">
        <f t="shared" si="0"/>
        <v>44136</v>
      </c>
      <c r="S19" s="31">
        <f t="shared" si="0"/>
        <v>44166</v>
      </c>
      <c r="T19" s="31">
        <f t="shared" si="0"/>
        <v>44197</v>
      </c>
      <c r="U19" s="31">
        <f t="shared" si="0"/>
        <v>44228</v>
      </c>
      <c r="V19" s="31">
        <f t="shared" si="0"/>
        <v>44256</v>
      </c>
      <c r="W19" s="31">
        <f t="shared" si="0"/>
        <v>44287</v>
      </c>
      <c r="X19" s="31">
        <f t="shared" si="0"/>
        <v>44317</v>
      </c>
      <c r="Y19" s="31">
        <f t="shared" si="0"/>
        <v>44348</v>
      </c>
      <c r="Z19" s="31">
        <f t="shared" si="0"/>
        <v>44378</v>
      </c>
      <c r="AA19" s="31">
        <f t="shared" si="0"/>
        <v>44409</v>
      </c>
      <c r="AB19" s="31">
        <f t="shared" si="0"/>
        <v>44440</v>
      </c>
      <c r="AC19" s="31">
        <f t="shared" si="0"/>
        <v>44470</v>
      </c>
      <c r="AD19" s="31">
        <f t="shared" si="0"/>
        <v>44501</v>
      </c>
      <c r="AE19" s="31">
        <f t="shared" si="0"/>
        <v>44531</v>
      </c>
      <c r="AF19" s="31">
        <f t="shared" si="0"/>
        <v>44562</v>
      </c>
      <c r="AG19" s="31">
        <f t="shared" si="0"/>
        <v>44593</v>
      </c>
      <c r="AH19" s="31">
        <f t="shared" si="0"/>
        <v>44621</v>
      </c>
      <c r="AI19" s="31">
        <f t="shared" si="0"/>
        <v>44652</v>
      </c>
      <c r="AJ19" s="31">
        <f t="shared" si="0"/>
        <v>44682</v>
      </c>
      <c r="AK19" s="31">
        <f t="shared" si="0"/>
        <v>44713</v>
      </c>
      <c r="AL19" s="31">
        <f t="shared" si="0"/>
        <v>44743</v>
      </c>
      <c r="AM19" s="31">
        <f t="shared" si="0"/>
        <v>44774</v>
      </c>
      <c r="AN19" s="31">
        <f t="shared" si="0"/>
        <v>44805</v>
      </c>
      <c r="AO19" s="31">
        <f t="shared" ref="AO19" si="1">EDATE(AN19,1)</f>
        <v>44835</v>
      </c>
      <c r="AP19" s="31">
        <f t="shared" ref="AP19" si="2">EDATE(AO19,1)</f>
        <v>44866</v>
      </c>
      <c r="AQ19" s="31">
        <f t="shared" ref="AQ19" si="3">EDATE(AP19,1)</f>
        <v>44896</v>
      </c>
      <c r="AR19" s="31">
        <f t="shared" ref="AR19" si="4">EDATE(AQ19,1)</f>
        <v>44927</v>
      </c>
      <c r="AS19" s="31">
        <f t="shared" ref="AS19" si="5">EDATE(AR19,1)</f>
        <v>44958</v>
      </c>
      <c r="AT19" s="31">
        <f t="shared" ref="AT19" si="6">EDATE(AS19,1)</f>
        <v>44986</v>
      </c>
      <c r="AU19" s="31">
        <f t="shared" ref="AU19" si="7">EDATE(AT19,1)</f>
        <v>45017</v>
      </c>
      <c r="AV19" s="31">
        <f t="shared" ref="AV19" si="8">EDATE(AU19,1)</f>
        <v>45047</v>
      </c>
      <c r="AW19" s="31">
        <f t="shared" ref="AW19" si="9">EDATE(AV19,1)</f>
        <v>45078</v>
      </c>
      <c r="AX19" s="31">
        <f t="shared" ref="AX19" si="10">EDATE(AW19,1)</f>
        <v>45108</v>
      </c>
      <c r="AY19" s="31">
        <f t="shared" ref="AY19" si="11">EDATE(AX19,1)</f>
        <v>45139</v>
      </c>
      <c r="AZ19" s="31">
        <f t="shared" ref="AZ19" si="12">EDATE(AY19,1)</f>
        <v>45170</v>
      </c>
      <c r="BA19" s="31">
        <f t="shared" ref="BA19" si="13">EDATE(AZ19,1)</f>
        <v>45200</v>
      </c>
      <c r="BB19" s="31">
        <f t="shared" ref="BB19" si="14">EDATE(BA19,1)</f>
        <v>45231</v>
      </c>
      <c r="BC19" s="31">
        <f t="shared" ref="BC19" si="15">EDATE(BB19,1)</f>
        <v>45261</v>
      </c>
      <c r="BD19" s="31">
        <f t="shared" ref="BD19" si="16">EDATE(BC19,1)</f>
        <v>45292</v>
      </c>
      <c r="BE19" s="31">
        <f t="shared" ref="BE19" si="17">EDATE(BD19,1)</f>
        <v>45323</v>
      </c>
      <c r="BF19" s="31">
        <f t="shared" ref="BF19" si="18">EDATE(BE19,1)</f>
        <v>45352</v>
      </c>
      <c r="BG19" s="31">
        <f t="shared" ref="BG19" si="19">EDATE(BF19,1)</f>
        <v>45383</v>
      </c>
      <c r="BH19" s="31">
        <f t="shared" ref="BH19" si="20">EDATE(BG19,1)</f>
        <v>45413</v>
      </c>
      <c r="BI19" s="31">
        <f t="shared" ref="BI19" si="21">EDATE(BH19,1)</f>
        <v>45444</v>
      </c>
      <c r="BJ19" s="31">
        <f t="shared" ref="BJ19" si="22">EDATE(BI19,1)</f>
        <v>45474</v>
      </c>
      <c r="BK19" s="31">
        <f t="shared" ref="BK19" si="23">EDATE(BJ19,1)</f>
        <v>45505</v>
      </c>
      <c r="BL19" s="31">
        <f t="shared" ref="BL19" si="24">EDATE(BK19,1)</f>
        <v>45536</v>
      </c>
    </row>
    <row r="20" spans="1:64" hidden="1" x14ac:dyDescent="0.2">
      <c r="C20" s="48" t="s">
        <v>15</v>
      </c>
      <c r="D20" s="50">
        <v>0</v>
      </c>
      <c r="E20" s="50">
        <f>D20+1</f>
        <v>1</v>
      </c>
      <c r="F20" s="50">
        <f t="shared" ref="F20:AN20" si="25">E20+1</f>
        <v>2</v>
      </c>
      <c r="G20" s="50">
        <f t="shared" si="25"/>
        <v>3</v>
      </c>
      <c r="H20" s="50">
        <f t="shared" si="25"/>
        <v>4</v>
      </c>
      <c r="I20" s="50">
        <f t="shared" si="25"/>
        <v>5</v>
      </c>
      <c r="J20" s="50">
        <f t="shared" si="25"/>
        <v>6</v>
      </c>
      <c r="K20" s="50">
        <f t="shared" si="25"/>
        <v>7</v>
      </c>
      <c r="L20" s="50">
        <f t="shared" si="25"/>
        <v>8</v>
      </c>
      <c r="M20" s="50">
        <f t="shared" si="25"/>
        <v>9</v>
      </c>
      <c r="N20" s="50">
        <f t="shared" si="25"/>
        <v>10</v>
      </c>
      <c r="O20" s="50">
        <f t="shared" si="25"/>
        <v>11</v>
      </c>
      <c r="P20" s="50">
        <f t="shared" si="25"/>
        <v>12</v>
      </c>
      <c r="Q20" s="50">
        <f t="shared" si="25"/>
        <v>13</v>
      </c>
      <c r="R20" s="50">
        <f t="shared" si="25"/>
        <v>14</v>
      </c>
      <c r="S20" s="50">
        <f t="shared" si="25"/>
        <v>15</v>
      </c>
      <c r="T20" s="50">
        <f t="shared" si="25"/>
        <v>16</v>
      </c>
      <c r="U20" s="50">
        <f t="shared" si="25"/>
        <v>17</v>
      </c>
      <c r="V20" s="50">
        <f t="shared" si="25"/>
        <v>18</v>
      </c>
      <c r="W20" s="50">
        <f t="shared" si="25"/>
        <v>19</v>
      </c>
      <c r="X20" s="50">
        <f t="shared" si="25"/>
        <v>20</v>
      </c>
      <c r="Y20" s="50">
        <f t="shared" si="25"/>
        <v>21</v>
      </c>
      <c r="Z20" s="50">
        <f t="shared" si="25"/>
        <v>22</v>
      </c>
      <c r="AA20" s="50">
        <f t="shared" si="25"/>
        <v>23</v>
      </c>
      <c r="AB20" s="50">
        <f t="shared" si="25"/>
        <v>24</v>
      </c>
      <c r="AC20" s="50">
        <f t="shared" si="25"/>
        <v>25</v>
      </c>
      <c r="AD20" s="50">
        <f t="shared" si="25"/>
        <v>26</v>
      </c>
      <c r="AE20" s="50">
        <f t="shared" si="25"/>
        <v>27</v>
      </c>
      <c r="AF20" s="50">
        <f t="shared" si="25"/>
        <v>28</v>
      </c>
      <c r="AG20" s="50">
        <f t="shared" si="25"/>
        <v>29</v>
      </c>
      <c r="AH20" s="50">
        <f t="shared" si="25"/>
        <v>30</v>
      </c>
      <c r="AI20" s="50">
        <f t="shared" si="25"/>
        <v>31</v>
      </c>
      <c r="AJ20" s="50">
        <f t="shared" si="25"/>
        <v>32</v>
      </c>
      <c r="AK20" s="50">
        <f t="shared" si="25"/>
        <v>33</v>
      </c>
      <c r="AL20" s="50">
        <f t="shared" si="25"/>
        <v>34</v>
      </c>
      <c r="AM20" s="50">
        <f t="shared" si="25"/>
        <v>35</v>
      </c>
      <c r="AN20" s="50">
        <f t="shared" si="25"/>
        <v>36</v>
      </c>
      <c r="AO20" s="50">
        <f t="shared" ref="AO20" si="26">AN20+1</f>
        <v>37</v>
      </c>
      <c r="AP20" s="50">
        <f t="shared" ref="AP20" si="27">AO20+1</f>
        <v>38</v>
      </c>
      <c r="AQ20" s="50">
        <f t="shared" ref="AQ20" si="28">AP20+1</f>
        <v>39</v>
      </c>
      <c r="AR20" s="50">
        <f t="shared" ref="AR20" si="29">AQ20+1</f>
        <v>40</v>
      </c>
      <c r="AS20" s="50">
        <f t="shared" ref="AS20" si="30">AR20+1</f>
        <v>41</v>
      </c>
      <c r="AT20" s="50">
        <f t="shared" ref="AT20" si="31">AS20+1</f>
        <v>42</v>
      </c>
      <c r="AU20" s="50">
        <f t="shared" ref="AU20" si="32">AT20+1</f>
        <v>43</v>
      </c>
      <c r="AV20" s="50">
        <f t="shared" ref="AV20" si="33">AU20+1</f>
        <v>44</v>
      </c>
      <c r="AW20" s="50">
        <f t="shared" ref="AW20" si="34">AV20+1</f>
        <v>45</v>
      </c>
      <c r="AX20" s="50">
        <f t="shared" ref="AX20" si="35">AW20+1</f>
        <v>46</v>
      </c>
      <c r="AY20" s="50">
        <f t="shared" ref="AY20" si="36">AX20+1</f>
        <v>47</v>
      </c>
      <c r="AZ20" s="50">
        <f t="shared" ref="AZ20" si="37">AY20+1</f>
        <v>48</v>
      </c>
      <c r="BA20" s="50">
        <f t="shared" ref="BA20" si="38">AZ20+1</f>
        <v>49</v>
      </c>
      <c r="BB20" s="50">
        <f t="shared" ref="BB20" si="39">BA20+1</f>
        <v>50</v>
      </c>
      <c r="BC20" s="50">
        <f t="shared" ref="BC20" si="40">BB20+1</f>
        <v>51</v>
      </c>
      <c r="BD20" s="50">
        <f t="shared" ref="BD20" si="41">BC20+1</f>
        <v>52</v>
      </c>
      <c r="BE20" s="50">
        <f t="shared" ref="BE20" si="42">BD20+1</f>
        <v>53</v>
      </c>
      <c r="BF20" s="50">
        <f t="shared" ref="BF20" si="43">BE20+1</f>
        <v>54</v>
      </c>
      <c r="BG20" s="50">
        <f t="shared" ref="BG20" si="44">BF20+1</f>
        <v>55</v>
      </c>
      <c r="BH20" s="50">
        <f t="shared" ref="BH20" si="45">BG20+1</f>
        <v>56</v>
      </c>
      <c r="BI20" s="50">
        <f t="shared" ref="BI20" si="46">BH20+1</f>
        <v>57</v>
      </c>
      <c r="BJ20" s="50">
        <f t="shared" ref="BJ20" si="47">BI20+1</f>
        <v>58</v>
      </c>
      <c r="BK20" s="50">
        <f t="shared" ref="BK20" si="48">BJ20+1</f>
        <v>59</v>
      </c>
      <c r="BL20" s="50">
        <f t="shared" ref="BL20" si="49">BK20+1</f>
        <v>60</v>
      </c>
    </row>
    <row r="21" spans="1:64" hidden="1" x14ac:dyDescent="0.2">
      <c r="B21" s="2" t="s">
        <v>36</v>
      </c>
      <c r="C21" s="14"/>
    </row>
    <row r="22" spans="1:64" hidden="1" x14ac:dyDescent="0.2">
      <c r="B22" s="2" t="s">
        <v>16</v>
      </c>
      <c r="C22" s="14"/>
    </row>
    <row r="23" spans="1:64" hidden="1" x14ac:dyDescent="0.2">
      <c r="B23" s="1" t="s">
        <v>44</v>
      </c>
      <c r="C23" s="29">
        <f>SUM(D23:AN23)</f>
        <v>4602240</v>
      </c>
      <c r="D23" s="11">
        <f t="shared" ref="D23:AI23" si="50">IF(AND(D20&lt;=$M$5+$M$12+$R$13,D20&gt;$M$5+$M$12),$R$16/$R$13,0)</f>
        <v>0</v>
      </c>
      <c r="E23" s="11">
        <f t="shared" si="50"/>
        <v>0</v>
      </c>
      <c r="F23" s="11">
        <f t="shared" si="50"/>
        <v>0</v>
      </c>
      <c r="G23" s="11">
        <f t="shared" si="50"/>
        <v>0</v>
      </c>
      <c r="H23" s="11">
        <f t="shared" si="50"/>
        <v>0</v>
      </c>
      <c r="I23" s="11">
        <f t="shared" si="50"/>
        <v>0</v>
      </c>
      <c r="J23" s="11">
        <f t="shared" si="50"/>
        <v>0</v>
      </c>
      <c r="K23" s="11">
        <f t="shared" si="50"/>
        <v>0</v>
      </c>
      <c r="L23" s="11">
        <f t="shared" si="50"/>
        <v>0</v>
      </c>
      <c r="M23" s="11">
        <f t="shared" si="50"/>
        <v>0</v>
      </c>
      <c r="N23" s="11">
        <f t="shared" si="50"/>
        <v>0</v>
      </c>
      <c r="O23" s="11">
        <f t="shared" si="50"/>
        <v>0</v>
      </c>
      <c r="P23" s="11">
        <f t="shared" si="50"/>
        <v>0</v>
      </c>
      <c r="Q23" s="11">
        <f t="shared" si="50"/>
        <v>0</v>
      </c>
      <c r="R23" s="11">
        <f t="shared" si="50"/>
        <v>0</v>
      </c>
      <c r="S23" s="11">
        <f t="shared" si="50"/>
        <v>0</v>
      </c>
      <c r="T23" s="11">
        <f t="shared" si="50"/>
        <v>0</v>
      </c>
      <c r="U23" s="11">
        <f t="shared" si="50"/>
        <v>0</v>
      </c>
      <c r="V23" s="11">
        <f t="shared" si="50"/>
        <v>0</v>
      </c>
      <c r="W23" s="11">
        <f>IF(AND(W20&lt;=$M$5+$M$12+$R$13,W20&gt;$M$5+$M$12),$R$16/$R$13,0)</f>
        <v>920448</v>
      </c>
      <c r="X23" s="11">
        <f t="shared" si="50"/>
        <v>920448</v>
      </c>
      <c r="Y23" s="11">
        <f t="shared" si="50"/>
        <v>920448</v>
      </c>
      <c r="Z23" s="11">
        <f t="shared" si="50"/>
        <v>920448</v>
      </c>
      <c r="AA23" s="11">
        <f t="shared" si="50"/>
        <v>920448</v>
      </c>
      <c r="AB23" s="11">
        <f t="shared" si="50"/>
        <v>0</v>
      </c>
      <c r="AC23" s="11">
        <f t="shared" si="50"/>
        <v>0</v>
      </c>
      <c r="AD23" s="11">
        <f t="shared" si="50"/>
        <v>0</v>
      </c>
      <c r="AE23" s="11">
        <f t="shared" si="50"/>
        <v>0</v>
      </c>
      <c r="AF23" s="11">
        <f t="shared" si="50"/>
        <v>0</v>
      </c>
      <c r="AG23" s="11">
        <f t="shared" si="50"/>
        <v>0</v>
      </c>
      <c r="AH23" s="11">
        <f t="shared" si="50"/>
        <v>0</v>
      </c>
      <c r="AI23" s="11">
        <f t="shared" si="50"/>
        <v>0</v>
      </c>
      <c r="AJ23" s="11">
        <f t="shared" ref="AJ23:BL23" si="51">IF(AND(AJ20&lt;=$M$5+$M$12+$R$13,AJ20&gt;$M$5+$M$12),$R$16/$R$13,0)</f>
        <v>0</v>
      </c>
      <c r="AK23" s="11">
        <f t="shared" si="51"/>
        <v>0</v>
      </c>
      <c r="AL23" s="11">
        <f t="shared" si="51"/>
        <v>0</v>
      </c>
      <c r="AM23" s="11">
        <f t="shared" si="51"/>
        <v>0</v>
      </c>
      <c r="AN23" s="11">
        <f t="shared" si="51"/>
        <v>0</v>
      </c>
      <c r="AO23" s="11">
        <f t="shared" si="51"/>
        <v>0</v>
      </c>
      <c r="AP23" s="11">
        <f t="shared" si="51"/>
        <v>0</v>
      </c>
      <c r="AQ23" s="11">
        <f t="shared" si="51"/>
        <v>0</v>
      </c>
      <c r="AR23" s="11">
        <f t="shared" si="51"/>
        <v>0</v>
      </c>
      <c r="AS23" s="11">
        <f t="shared" si="51"/>
        <v>0</v>
      </c>
      <c r="AT23" s="11">
        <f t="shared" si="51"/>
        <v>0</v>
      </c>
      <c r="AU23" s="11">
        <f t="shared" si="51"/>
        <v>0</v>
      </c>
      <c r="AV23" s="11">
        <f t="shared" si="51"/>
        <v>0</v>
      </c>
      <c r="AW23" s="11">
        <f t="shared" si="51"/>
        <v>0</v>
      </c>
      <c r="AX23" s="11">
        <f t="shared" si="51"/>
        <v>0</v>
      </c>
      <c r="AY23" s="11">
        <f t="shared" si="51"/>
        <v>0</v>
      </c>
      <c r="AZ23" s="11">
        <f t="shared" si="51"/>
        <v>0</v>
      </c>
      <c r="BA23" s="11">
        <f t="shared" si="51"/>
        <v>0</v>
      </c>
      <c r="BB23" s="11">
        <f t="shared" si="51"/>
        <v>0</v>
      </c>
      <c r="BC23" s="11">
        <f t="shared" si="51"/>
        <v>0</v>
      </c>
      <c r="BD23" s="11">
        <f t="shared" si="51"/>
        <v>0</v>
      </c>
      <c r="BE23" s="11">
        <f t="shared" si="51"/>
        <v>0</v>
      </c>
      <c r="BF23" s="11">
        <f t="shared" si="51"/>
        <v>0</v>
      </c>
      <c r="BG23" s="11">
        <f t="shared" si="51"/>
        <v>0</v>
      </c>
      <c r="BH23" s="11">
        <f t="shared" si="51"/>
        <v>0</v>
      </c>
      <c r="BI23" s="11">
        <f t="shared" si="51"/>
        <v>0</v>
      </c>
      <c r="BJ23" s="11">
        <f t="shared" si="51"/>
        <v>0</v>
      </c>
      <c r="BK23" s="11">
        <f t="shared" si="51"/>
        <v>0</v>
      </c>
      <c r="BL23" s="11">
        <f t="shared" si="51"/>
        <v>0</v>
      </c>
    </row>
    <row r="24" spans="1:64" s="2" customFormat="1" hidden="1" x14ac:dyDescent="0.2">
      <c r="B24" s="2" t="s">
        <v>17</v>
      </c>
      <c r="C24" s="16">
        <f>SUM(C23)</f>
        <v>4602240</v>
      </c>
      <c r="D24" s="16">
        <f t="shared" ref="D24:AN24" si="52">SUM(D23)</f>
        <v>0</v>
      </c>
      <c r="E24" s="16">
        <f t="shared" si="52"/>
        <v>0</v>
      </c>
      <c r="F24" s="16">
        <f t="shared" si="52"/>
        <v>0</v>
      </c>
      <c r="G24" s="16">
        <f t="shared" si="52"/>
        <v>0</v>
      </c>
      <c r="H24" s="16">
        <f t="shared" si="52"/>
        <v>0</v>
      </c>
      <c r="I24" s="16">
        <f t="shared" si="52"/>
        <v>0</v>
      </c>
      <c r="J24" s="16">
        <f t="shared" si="52"/>
        <v>0</v>
      </c>
      <c r="K24" s="16">
        <f t="shared" si="52"/>
        <v>0</v>
      </c>
      <c r="L24" s="16">
        <f t="shared" si="52"/>
        <v>0</v>
      </c>
      <c r="M24" s="16">
        <f t="shared" si="52"/>
        <v>0</v>
      </c>
      <c r="N24" s="16">
        <f t="shared" si="52"/>
        <v>0</v>
      </c>
      <c r="O24" s="16">
        <f t="shared" si="52"/>
        <v>0</v>
      </c>
      <c r="P24" s="16">
        <f t="shared" si="52"/>
        <v>0</v>
      </c>
      <c r="Q24" s="16">
        <f t="shared" si="52"/>
        <v>0</v>
      </c>
      <c r="R24" s="16">
        <f t="shared" si="52"/>
        <v>0</v>
      </c>
      <c r="S24" s="16">
        <f t="shared" si="52"/>
        <v>0</v>
      </c>
      <c r="T24" s="16">
        <f t="shared" si="52"/>
        <v>0</v>
      </c>
      <c r="U24" s="16">
        <f t="shared" si="52"/>
        <v>0</v>
      </c>
      <c r="V24" s="16">
        <f t="shared" si="52"/>
        <v>0</v>
      </c>
      <c r="W24" s="16">
        <f t="shared" si="52"/>
        <v>920448</v>
      </c>
      <c r="X24" s="16">
        <f t="shared" si="52"/>
        <v>920448</v>
      </c>
      <c r="Y24" s="16">
        <f t="shared" si="52"/>
        <v>920448</v>
      </c>
      <c r="Z24" s="16">
        <f t="shared" si="52"/>
        <v>920448</v>
      </c>
      <c r="AA24" s="16">
        <f t="shared" si="52"/>
        <v>920448</v>
      </c>
      <c r="AB24" s="16">
        <f t="shared" si="52"/>
        <v>0</v>
      </c>
      <c r="AC24" s="16">
        <f t="shared" si="52"/>
        <v>0</v>
      </c>
      <c r="AD24" s="16">
        <f t="shared" si="52"/>
        <v>0</v>
      </c>
      <c r="AE24" s="16">
        <f t="shared" si="52"/>
        <v>0</v>
      </c>
      <c r="AF24" s="16">
        <f t="shared" si="52"/>
        <v>0</v>
      </c>
      <c r="AG24" s="16">
        <f t="shared" si="52"/>
        <v>0</v>
      </c>
      <c r="AH24" s="16">
        <f t="shared" si="52"/>
        <v>0</v>
      </c>
      <c r="AI24" s="16">
        <f t="shared" si="52"/>
        <v>0</v>
      </c>
      <c r="AJ24" s="16">
        <f t="shared" si="52"/>
        <v>0</v>
      </c>
      <c r="AK24" s="16">
        <f t="shared" si="52"/>
        <v>0</v>
      </c>
      <c r="AL24" s="16">
        <f t="shared" si="52"/>
        <v>0</v>
      </c>
      <c r="AM24" s="16">
        <f t="shared" si="52"/>
        <v>0</v>
      </c>
      <c r="AN24" s="16">
        <f t="shared" si="52"/>
        <v>0</v>
      </c>
      <c r="AO24" s="16">
        <f t="shared" ref="AO24:BL24" si="53">SUM(AO23)</f>
        <v>0</v>
      </c>
      <c r="AP24" s="16">
        <f t="shared" si="53"/>
        <v>0</v>
      </c>
      <c r="AQ24" s="16">
        <f t="shared" si="53"/>
        <v>0</v>
      </c>
      <c r="AR24" s="16">
        <f t="shared" si="53"/>
        <v>0</v>
      </c>
      <c r="AS24" s="16">
        <f t="shared" si="53"/>
        <v>0</v>
      </c>
      <c r="AT24" s="16">
        <f t="shared" si="53"/>
        <v>0</v>
      </c>
      <c r="AU24" s="16">
        <f t="shared" si="53"/>
        <v>0</v>
      </c>
      <c r="AV24" s="16">
        <f t="shared" si="53"/>
        <v>0</v>
      </c>
      <c r="AW24" s="16">
        <f t="shared" si="53"/>
        <v>0</v>
      </c>
      <c r="AX24" s="16">
        <f t="shared" si="53"/>
        <v>0</v>
      </c>
      <c r="AY24" s="16">
        <f t="shared" si="53"/>
        <v>0</v>
      </c>
      <c r="AZ24" s="16">
        <f t="shared" si="53"/>
        <v>0</v>
      </c>
      <c r="BA24" s="16">
        <f t="shared" si="53"/>
        <v>0</v>
      </c>
      <c r="BB24" s="16">
        <f t="shared" si="53"/>
        <v>0</v>
      </c>
      <c r="BC24" s="16">
        <f t="shared" si="53"/>
        <v>0</v>
      </c>
      <c r="BD24" s="16">
        <f t="shared" si="53"/>
        <v>0</v>
      </c>
      <c r="BE24" s="16">
        <f t="shared" si="53"/>
        <v>0</v>
      </c>
      <c r="BF24" s="16">
        <f t="shared" si="53"/>
        <v>0</v>
      </c>
      <c r="BG24" s="16">
        <f t="shared" si="53"/>
        <v>0</v>
      </c>
      <c r="BH24" s="16">
        <f t="shared" si="53"/>
        <v>0</v>
      </c>
      <c r="BI24" s="16">
        <f t="shared" si="53"/>
        <v>0</v>
      </c>
      <c r="BJ24" s="16">
        <f t="shared" si="53"/>
        <v>0</v>
      </c>
      <c r="BK24" s="16">
        <f t="shared" si="53"/>
        <v>0</v>
      </c>
      <c r="BL24" s="16">
        <f t="shared" si="53"/>
        <v>0</v>
      </c>
    </row>
    <row r="25" spans="1:64" ht="5" hidden="1" customHeight="1" x14ac:dyDescent="0.2">
      <c r="C25" s="14"/>
    </row>
    <row r="26" spans="1:64" hidden="1" x14ac:dyDescent="0.2">
      <c r="B26" s="2" t="s">
        <v>0</v>
      </c>
      <c r="C26" s="18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</row>
    <row r="27" spans="1:64" hidden="1" x14ac:dyDescent="0.2">
      <c r="B27" s="1" t="s">
        <v>1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</row>
    <row r="28" spans="1:64" hidden="1" x14ac:dyDescent="0.2">
      <c r="B28" s="3" t="s">
        <v>2</v>
      </c>
      <c r="C28" s="19">
        <f>SUM(D28:AN28)</f>
        <v>100000</v>
      </c>
      <c r="D28" s="8">
        <f>$I$6</f>
        <v>100000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idden="1" x14ac:dyDescent="0.2">
      <c r="B29" s="3" t="s">
        <v>3</v>
      </c>
      <c r="C29" s="19">
        <f t="shared" ref="C29:C32" si="54">SUM(D29:AN29)</f>
        <v>0</v>
      </c>
      <c r="D29" s="8">
        <v>0</v>
      </c>
      <c r="E29" s="8">
        <f t="shared" ref="E29:AJ29" si="55">IF(E20&lt;=$I$8,$I$7/$I$8,0)</f>
        <v>0</v>
      </c>
      <c r="F29" s="8">
        <f t="shared" si="55"/>
        <v>0</v>
      </c>
      <c r="G29" s="8">
        <f t="shared" si="55"/>
        <v>0</v>
      </c>
      <c r="H29" s="8">
        <f t="shared" si="55"/>
        <v>0</v>
      </c>
      <c r="I29" s="8">
        <f t="shared" si="55"/>
        <v>0</v>
      </c>
      <c r="J29" s="8">
        <f t="shared" si="55"/>
        <v>0</v>
      </c>
      <c r="K29" s="8">
        <f t="shared" si="55"/>
        <v>0</v>
      </c>
      <c r="L29" s="8">
        <f t="shared" si="55"/>
        <v>0</v>
      </c>
      <c r="M29" s="8">
        <f t="shared" si="55"/>
        <v>0</v>
      </c>
      <c r="N29" s="8">
        <f t="shared" si="55"/>
        <v>0</v>
      </c>
      <c r="O29" s="8">
        <f t="shared" si="55"/>
        <v>0</v>
      </c>
      <c r="P29" s="8">
        <f t="shared" si="55"/>
        <v>0</v>
      </c>
      <c r="Q29" s="8">
        <f t="shared" si="55"/>
        <v>0</v>
      </c>
      <c r="R29" s="8">
        <f t="shared" si="55"/>
        <v>0</v>
      </c>
      <c r="S29" s="8">
        <f t="shared" si="55"/>
        <v>0</v>
      </c>
      <c r="T29" s="8">
        <f t="shared" si="55"/>
        <v>0</v>
      </c>
      <c r="U29" s="8">
        <f t="shared" si="55"/>
        <v>0</v>
      </c>
      <c r="V29" s="8">
        <f t="shared" si="55"/>
        <v>0</v>
      </c>
      <c r="W29" s="8">
        <f t="shared" si="55"/>
        <v>0</v>
      </c>
      <c r="X29" s="8">
        <f t="shared" si="55"/>
        <v>0</v>
      </c>
      <c r="Y29" s="8">
        <f t="shared" si="55"/>
        <v>0</v>
      </c>
      <c r="Z29" s="8">
        <f t="shared" si="55"/>
        <v>0</v>
      </c>
      <c r="AA29" s="8">
        <f t="shared" si="55"/>
        <v>0</v>
      </c>
      <c r="AB29" s="8">
        <f t="shared" si="55"/>
        <v>0</v>
      </c>
      <c r="AC29" s="8">
        <f t="shared" si="55"/>
        <v>0</v>
      </c>
      <c r="AD29" s="8">
        <f t="shared" si="55"/>
        <v>0</v>
      </c>
      <c r="AE29" s="8">
        <f t="shared" si="55"/>
        <v>0</v>
      </c>
      <c r="AF29" s="8">
        <f t="shared" si="55"/>
        <v>0</v>
      </c>
      <c r="AG29" s="8">
        <f t="shared" si="55"/>
        <v>0</v>
      </c>
      <c r="AH29" s="8">
        <f t="shared" si="55"/>
        <v>0</v>
      </c>
      <c r="AI29" s="8">
        <f t="shared" si="55"/>
        <v>0</v>
      </c>
      <c r="AJ29" s="8">
        <f t="shared" si="55"/>
        <v>0</v>
      </c>
      <c r="AK29" s="8">
        <f t="shared" ref="AK29:BL29" si="56">IF(AK20&lt;=$I$8,$I$7/$I$8,0)</f>
        <v>0</v>
      </c>
      <c r="AL29" s="8">
        <f t="shared" si="56"/>
        <v>0</v>
      </c>
      <c r="AM29" s="8">
        <f t="shared" si="56"/>
        <v>0</v>
      </c>
      <c r="AN29" s="8">
        <f t="shared" si="56"/>
        <v>0</v>
      </c>
      <c r="AO29" s="8">
        <f t="shared" si="56"/>
        <v>0</v>
      </c>
      <c r="AP29" s="8">
        <f t="shared" si="56"/>
        <v>0</v>
      </c>
      <c r="AQ29" s="8">
        <f t="shared" si="56"/>
        <v>0</v>
      </c>
      <c r="AR29" s="8">
        <f t="shared" si="56"/>
        <v>0</v>
      </c>
      <c r="AS29" s="8">
        <f t="shared" si="56"/>
        <v>0</v>
      </c>
      <c r="AT29" s="8">
        <f t="shared" si="56"/>
        <v>0</v>
      </c>
      <c r="AU29" s="8">
        <f t="shared" si="56"/>
        <v>0</v>
      </c>
      <c r="AV29" s="8">
        <f t="shared" si="56"/>
        <v>0</v>
      </c>
      <c r="AW29" s="8">
        <f t="shared" si="56"/>
        <v>0</v>
      </c>
      <c r="AX29" s="8">
        <f t="shared" si="56"/>
        <v>0</v>
      </c>
      <c r="AY29" s="8">
        <f t="shared" si="56"/>
        <v>0</v>
      </c>
      <c r="AZ29" s="8">
        <f t="shared" si="56"/>
        <v>0</v>
      </c>
      <c r="BA29" s="8">
        <f t="shared" si="56"/>
        <v>0</v>
      </c>
      <c r="BB29" s="8">
        <f t="shared" si="56"/>
        <v>0</v>
      </c>
      <c r="BC29" s="8">
        <f t="shared" si="56"/>
        <v>0</v>
      </c>
      <c r="BD29" s="8">
        <f t="shared" si="56"/>
        <v>0</v>
      </c>
      <c r="BE29" s="8">
        <f t="shared" si="56"/>
        <v>0</v>
      </c>
      <c r="BF29" s="8">
        <f t="shared" si="56"/>
        <v>0</v>
      </c>
      <c r="BG29" s="8">
        <f t="shared" si="56"/>
        <v>0</v>
      </c>
      <c r="BH29" s="8">
        <f t="shared" si="56"/>
        <v>0</v>
      </c>
      <c r="BI29" s="8">
        <f t="shared" si="56"/>
        <v>0</v>
      </c>
      <c r="BJ29" s="8">
        <f t="shared" si="56"/>
        <v>0</v>
      </c>
      <c r="BK29" s="8">
        <f t="shared" si="56"/>
        <v>0</v>
      </c>
      <c r="BL29" s="8">
        <f t="shared" si="56"/>
        <v>0</v>
      </c>
    </row>
    <row r="30" spans="1:64" hidden="1" x14ac:dyDescent="0.2">
      <c r="B30" s="3" t="s">
        <v>4</v>
      </c>
      <c r="C30" s="19">
        <f t="shared" si="54"/>
        <v>3218.5</v>
      </c>
      <c r="D30" s="8">
        <f t="shared" ref="D30:AI30" si="57">IF(D$20=$I$10,$I$11,0)</f>
        <v>0</v>
      </c>
      <c r="E30" s="8">
        <f t="shared" si="57"/>
        <v>3218.5</v>
      </c>
      <c r="F30" s="8">
        <f t="shared" si="57"/>
        <v>0</v>
      </c>
      <c r="G30" s="8">
        <f t="shared" si="57"/>
        <v>0</v>
      </c>
      <c r="H30" s="8">
        <f t="shared" si="57"/>
        <v>0</v>
      </c>
      <c r="I30" s="8">
        <f t="shared" si="57"/>
        <v>0</v>
      </c>
      <c r="J30" s="8">
        <f t="shared" si="57"/>
        <v>0</v>
      </c>
      <c r="K30" s="8">
        <f t="shared" si="57"/>
        <v>0</v>
      </c>
      <c r="L30" s="8">
        <f t="shared" si="57"/>
        <v>0</v>
      </c>
      <c r="M30" s="8">
        <f t="shared" si="57"/>
        <v>0</v>
      </c>
      <c r="N30" s="8">
        <f t="shared" si="57"/>
        <v>0</v>
      </c>
      <c r="O30" s="8">
        <f t="shared" si="57"/>
        <v>0</v>
      </c>
      <c r="P30" s="8">
        <f t="shared" si="57"/>
        <v>0</v>
      </c>
      <c r="Q30" s="8">
        <f t="shared" si="57"/>
        <v>0</v>
      </c>
      <c r="R30" s="8">
        <f t="shared" si="57"/>
        <v>0</v>
      </c>
      <c r="S30" s="8">
        <f t="shared" si="57"/>
        <v>0</v>
      </c>
      <c r="T30" s="8">
        <f t="shared" si="57"/>
        <v>0</v>
      </c>
      <c r="U30" s="8">
        <f t="shared" si="57"/>
        <v>0</v>
      </c>
      <c r="V30" s="8">
        <f t="shared" si="57"/>
        <v>0</v>
      </c>
      <c r="W30" s="8">
        <f t="shared" si="57"/>
        <v>0</v>
      </c>
      <c r="X30" s="8">
        <f t="shared" si="57"/>
        <v>0</v>
      </c>
      <c r="Y30" s="8">
        <f t="shared" si="57"/>
        <v>0</v>
      </c>
      <c r="Z30" s="8">
        <f t="shared" si="57"/>
        <v>0</v>
      </c>
      <c r="AA30" s="8">
        <f t="shared" si="57"/>
        <v>0</v>
      </c>
      <c r="AB30" s="8">
        <f t="shared" si="57"/>
        <v>0</v>
      </c>
      <c r="AC30" s="8">
        <f t="shared" si="57"/>
        <v>0</v>
      </c>
      <c r="AD30" s="8">
        <f t="shared" si="57"/>
        <v>0</v>
      </c>
      <c r="AE30" s="8">
        <f t="shared" si="57"/>
        <v>0</v>
      </c>
      <c r="AF30" s="8">
        <f t="shared" si="57"/>
        <v>0</v>
      </c>
      <c r="AG30" s="8">
        <f t="shared" si="57"/>
        <v>0</v>
      </c>
      <c r="AH30" s="8">
        <f t="shared" si="57"/>
        <v>0</v>
      </c>
      <c r="AI30" s="8">
        <f t="shared" si="57"/>
        <v>0</v>
      </c>
      <c r="AJ30" s="8">
        <f t="shared" ref="AJ30:BL30" si="58">IF(AJ$20=$I$10,$I$11,0)</f>
        <v>0</v>
      </c>
      <c r="AK30" s="8">
        <f t="shared" si="58"/>
        <v>0</v>
      </c>
      <c r="AL30" s="8">
        <f t="shared" si="58"/>
        <v>0</v>
      </c>
      <c r="AM30" s="8">
        <f t="shared" si="58"/>
        <v>0</v>
      </c>
      <c r="AN30" s="8">
        <f t="shared" si="58"/>
        <v>0</v>
      </c>
      <c r="AO30" s="8">
        <f t="shared" si="58"/>
        <v>0</v>
      </c>
      <c r="AP30" s="8">
        <f t="shared" si="58"/>
        <v>0</v>
      </c>
      <c r="AQ30" s="8">
        <f t="shared" si="58"/>
        <v>0</v>
      </c>
      <c r="AR30" s="8">
        <f t="shared" si="58"/>
        <v>0</v>
      </c>
      <c r="AS30" s="8">
        <f t="shared" si="58"/>
        <v>0</v>
      </c>
      <c r="AT30" s="8">
        <f t="shared" si="58"/>
        <v>0</v>
      </c>
      <c r="AU30" s="8">
        <f t="shared" si="58"/>
        <v>0</v>
      </c>
      <c r="AV30" s="8">
        <f t="shared" si="58"/>
        <v>0</v>
      </c>
      <c r="AW30" s="8">
        <f t="shared" si="58"/>
        <v>0</v>
      </c>
      <c r="AX30" s="8">
        <f t="shared" si="58"/>
        <v>0</v>
      </c>
      <c r="AY30" s="8">
        <f t="shared" si="58"/>
        <v>0</v>
      </c>
      <c r="AZ30" s="8">
        <f t="shared" si="58"/>
        <v>0</v>
      </c>
      <c r="BA30" s="8">
        <f t="shared" si="58"/>
        <v>0</v>
      </c>
      <c r="BB30" s="8">
        <f t="shared" si="58"/>
        <v>0</v>
      </c>
      <c r="BC30" s="8">
        <f t="shared" si="58"/>
        <v>0</v>
      </c>
      <c r="BD30" s="8">
        <f t="shared" si="58"/>
        <v>0</v>
      </c>
      <c r="BE30" s="8">
        <f t="shared" si="58"/>
        <v>0</v>
      </c>
      <c r="BF30" s="8">
        <f t="shared" si="58"/>
        <v>0</v>
      </c>
      <c r="BG30" s="8">
        <f t="shared" si="58"/>
        <v>0</v>
      </c>
      <c r="BH30" s="8">
        <f t="shared" si="58"/>
        <v>0</v>
      </c>
      <c r="BI30" s="8">
        <f t="shared" si="58"/>
        <v>0</v>
      </c>
      <c r="BJ30" s="8">
        <f t="shared" si="58"/>
        <v>0</v>
      </c>
      <c r="BK30" s="8">
        <f t="shared" si="58"/>
        <v>0</v>
      </c>
      <c r="BL30" s="8">
        <f t="shared" si="58"/>
        <v>0</v>
      </c>
    </row>
    <row r="31" spans="1:64" hidden="1" x14ac:dyDescent="0.2">
      <c r="B31" s="3" t="s">
        <v>5</v>
      </c>
      <c r="C31" s="21">
        <f t="shared" si="54"/>
        <v>900000</v>
      </c>
      <c r="D31" s="12">
        <f t="shared" ref="D31:AI31" si="59">IF(D$20=$I$10,$I$5-$I$6,0)</f>
        <v>0</v>
      </c>
      <c r="E31" s="12">
        <f t="shared" si="59"/>
        <v>900000</v>
      </c>
      <c r="F31" s="12">
        <f t="shared" si="59"/>
        <v>0</v>
      </c>
      <c r="G31" s="12">
        <f t="shared" si="59"/>
        <v>0</v>
      </c>
      <c r="H31" s="12">
        <f t="shared" si="59"/>
        <v>0</v>
      </c>
      <c r="I31" s="12">
        <f t="shared" si="59"/>
        <v>0</v>
      </c>
      <c r="J31" s="12">
        <f t="shared" si="59"/>
        <v>0</v>
      </c>
      <c r="K31" s="12">
        <f t="shared" si="59"/>
        <v>0</v>
      </c>
      <c r="L31" s="12">
        <f t="shared" si="59"/>
        <v>0</v>
      </c>
      <c r="M31" s="12">
        <f t="shared" si="59"/>
        <v>0</v>
      </c>
      <c r="N31" s="12">
        <f t="shared" si="59"/>
        <v>0</v>
      </c>
      <c r="O31" s="12">
        <f t="shared" si="59"/>
        <v>0</v>
      </c>
      <c r="P31" s="12">
        <f t="shared" si="59"/>
        <v>0</v>
      </c>
      <c r="Q31" s="12">
        <f t="shared" si="59"/>
        <v>0</v>
      </c>
      <c r="R31" s="12">
        <f t="shared" si="59"/>
        <v>0</v>
      </c>
      <c r="S31" s="12">
        <f t="shared" si="59"/>
        <v>0</v>
      </c>
      <c r="T31" s="12">
        <f t="shared" si="59"/>
        <v>0</v>
      </c>
      <c r="U31" s="12">
        <f t="shared" si="59"/>
        <v>0</v>
      </c>
      <c r="V31" s="12">
        <f t="shared" si="59"/>
        <v>0</v>
      </c>
      <c r="W31" s="12">
        <f t="shared" si="59"/>
        <v>0</v>
      </c>
      <c r="X31" s="12">
        <f t="shared" si="59"/>
        <v>0</v>
      </c>
      <c r="Y31" s="12">
        <f t="shared" si="59"/>
        <v>0</v>
      </c>
      <c r="Z31" s="12">
        <f t="shared" si="59"/>
        <v>0</v>
      </c>
      <c r="AA31" s="12">
        <f t="shared" si="59"/>
        <v>0</v>
      </c>
      <c r="AB31" s="12">
        <f t="shared" si="59"/>
        <v>0</v>
      </c>
      <c r="AC31" s="12">
        <f t="shared" si="59"/>
        <v>0</v>
      </c>
      <c r="AD31" s="12">
        <f t="shared" si="59"/>
        <v>0</v>
      </c>
      <c r="AE31" s="12">
        <f t="shared" si="59"/>
        <v>0</v>
      </c>
      <c r="AF31" s="12">
        <f t="shared" si="59"/>
        <v>0</v>
      </c>
      <c r="AG31" s="12">
        <f t="shared" si="59"/>
        <v>0</v>
      </c>
      <c r="AH31" s="12">
        <f t="shared" si="59"/>
        <v>0</v>
      </c>
      <c r="AI31" s="12">
        <f t="shared" si="59"/>
        <v>0</v>
      </c>
      <c r="AJ31" s="12">
        <f t="shared" ref="AJ31:BL31" si="60">IF(AJ$20=$I$10,$I$5-$I$6,0)</f>
        <v>0</v>
      </c>
      <c r="AK31" s="12">
        <f t="shared" si="60"/>
        <v>0</v>
      </c>
      <c r="AL31" s="12">
        <f t="shared" si="60"/>
        <v>0</v>
      </c>
      <c r="AM31" s="12">
        <f t="shared" si="60"/>
        <v>0</v>
      </c>
      <c r="AN31" s="12">
        <f t="shared" si="60"/>
        <v>0</v>
      </c>
      <c r="AO31" s="12">
        <f t="shared" si="60"/>
        <v>0</v>
      </c>
      <c r="AP31" s="12">
        <f t="shared" si="60"/>
        <v>0</v>
      </c>
      <c r="AQ31" s="12">
        <f t="shared" si="60"/>
        <v>0</v>
      </c>
      <c r="AR31" s="12">
        <f t="shared" si="60"/>
        <v>0</v>
      </c>
      <c r="AS31" s="12">
        <f t="shared" si="60"/>
        <v>0</v>
      </c>
      <c r="AT31" s="12">
        <f t="shared" si="60"/>
        <v>0</v>
      </c>
      <c r="AU31" s="12">
        <f t="shared" si="60"/>
        <v>0</v>
      </c>
      <c r="AV31" s="12">
        <f t="shared" si="60"/>
        <v>0</v>
      </c>
      <c r="AW31" s="12">
        <f t="shared" si="60"/>
        <v>0</v>
      </c>
      <c r="AX31" s="12">
        <f t="shared" si="60"/>
        <v>0</v>
      </c>
      <c r="AY31" s="12">
        <f t="shared" si="60"/>
        <v>0</v>
      </c>
      <c r="AZ31" s="12">
        <f t="shared" si="60"/>
        <v>0</v>
      </c>
      <c r="BA31" s="12">
        <f t="shared" si="60"/>
        <v>0</v>
      </c>
      <c r="BB31" s="12">
        <f t="shared" si="60"/>
        <v>0</v>
      </c>
      <c r="BC31" s="12">
        <f t="shared" si="60"/>
        <v>0</v>
      </c>
      <c r="BD31" s="12">
        <f t="shared" si="60"/>
        <v>0</v>
      </c>
      <c r="BE31" s="12">
        <f t="shared" si="60"/>
        <v>0</v>
      </c>
      <c r="BF31" s="12">
        <f t="shared" si="60"/>
        <v>0</v>
      </c>
      <c r="BG31" s="12">
        <f t="shared" si="60"/>
        <v>0</v>
      </c>
      <c r="BH31" s="12">
        <f t="shared" si="60"/>
        <v>0</v>
      </c>
      <c r="BI31" s="12">
        <f t="shared" si="60"/>
        <v>0</v>
      </c>
      <c r="BJ31" s="12">
        <f t="shared" si="60"/>
        <v>0</v>
      </c>
      <c r="BK31" s="12">
        <f t="shared" si="60"/>
        <v>0</v>
      </c>
      <c r="BL31" s="12">
        <f t="shared" si="60"/>
        <v>0</v>
      </c>
    </row>
    <row r="32" spans="1:64" hidden="1" x14ac:dyDescent="0.2">
      <c r="B32" s="9" t="s">
        <v>9</v>
      </c>
      <c r="C32" s="19">
        <f t="shared" si="54"/>
        <v>1003218.5</v>
      </c>
      <c r="D32" s="4">
        <f>SUM(D28:D31)</f>
        <v>100000</v>
      </c>
      <c r="E32" s="4">
        <f t="shared" ref="E32:AN32" si="61">SUM(E28:E31)</f>
        <v>903218.5</v>
      </c>
      <c r="F32" s="4">
        <f t="shared" si="61"/>
        <v>0</v>
      </c>
      <c r="G32" s="4">
        <f t="shared" si="61"/>
        <v>0</v>
      </c>
      <c r="H32" s="4">
        <f t="shared" si="61"/>
        <v>0</v>
      </c>
      <c r="I32" s="4">
        <f t="shared" si="61"/>
        <v>0</v>
      </c>
      <c r="J32" s="4">
        <f t="shared" si="61"/>
        <v>0</v>
      </c>
      <c r="K32" s="4">
        <f t="shared" si="61"/>
        <v>0</v>
      </c>
      <c r="L32" s="4">
        <f t="shared" si="61"/>
        <v>0</v>
      </c>
      <c r="M32" s="4">
        <f t="shared" si="61"/>
        <v>0</v>
      </c>
      <c r="N32" s="4">
        <f t="shared" si="61"/>
        <v>0</v>
      </c>
      <c r="O32" s="4">
        <f t="shared" si="61"/>
        <v>0</v>
      </c>
      <c r="P32" s="4">
        <f t="shared" si="61"/>
        <v>0</v>
      </c>
      <c r="Q32" s="4">
        <f t="shared" si="61"/>
        <v>0</v>
      </c>
      <c r="R32" s="4">
        <f t="shared" si="61"/>
        <v>0</v>
      </c>
      <c r="S32" s="4">
        <f t="shared" si="61"/>
        <v>0</v>
      </c>
      <c r="T32" s="4">
        <f t="shared" si="61"/>
        <v>0</v>
      </c>
      <c r="U32" s="4">
        <f t="shared" si="61"/>
        <v>0</v>
      </c>
      <c r="V32" s="4">
        <f t="shared" si="61"/>
        <v>0</v>
      </c>
      <c r="W32" s="4">
        <f t="shared" si="61"/>
        <v>0</v>
      </c>
      <c r="X32" s="4">
        <f t="shared" si="61"/>
        <v>0</v>
      </c>
      <c r="Y32" s="4">
        <f t="shared" si="61"/>
        <v>0</v>
      </c>
      <c r="Z32" s="4">
        <f t="shared" si="61"/>
        <v>0</v>
      </c>
      <c r="AA32" s="4">
        <f t="shared" si="61"/>
        <v>0</v>
      </c>
      <c r="AB32" s="4">
        <f t="shared" si="61"/>
        <v>0</v>
      </c>
      <c r="AC32" s="4">
        <f t="shared" si="61"/>
        <v>0</v>
      </c>
      <c r="AD32" s="4">
        <f t="shared" si="61"/>
        <v>0</v>
      </c>
      <c r="AE32" s="4">
        <f t="shared" si="61"/>
        <v>0</v>
      </c>
      <c r="AF32" s="4">
        <f t="shared" si="61"/>
        <v>0</v>
      </c>
      <c r="AG32" s="4">
        <f t="shared" si="61"/>
        <v>0</v>
      </c>
      <c r="AH32" s="4">
        <f t="shared" si="61"/>
        <v>0</v>
      </c>
      <c r="AI32" s="4">
        <f t="shared" si="61"/>
        <v>0</v>
      </c>
      <c r="AJ32" s="4">
        <f t="shared" si="61"/>
        <v>0</v>
      </c>
      <c r="AK32" s="4">
        <f t="shared" si="61"/>
        <v>0</v>
      </c>
      <c r="AL32" s="4">
        <f t="shared" si="61"/>
        <v>0</v>
      </c>
      <c r="AM32" s="4">
        <f t="shared" si="61"/>
        <v>0</v>
      </c>
      <c r="AN32" s="4">
        <f t="shared" si="61"/>
        <v>0</v>
      </c>
      <c r="AO32" s="4">
        <f t="shared" ref="AO32:BL32" si="62">SUM(AO28:AO31)</f>
        <v>0</v>
      </c>
      <c r="AP32" s="4">
        <f t="shared" si="62"/>
        <v>0</v>
      </c>
      <c r="AQ32" s="4">
        <f t="shared" si="62"/>
        <v>0</v>
      </c>
      <c r="AR32" s="4">
        <f t="shared" si="62"/>
        <v>0</v>
      </c>
      <c r="AS32" s="4">
        <f t="shared" si="62"/>
        <v>0</v>
      </c>
      <c r="AT32" s="4">
        <f t="shared" si="62"/>
        <v>0</v>
      </c>
      <c r="AU32" s="4">
        <f t="shared" si="62"/>
        <v>0</v>
      </c>
      <c r="AV32" s="4">
        <f t="shared" si="62"/>
        <v>0</v>
      </c>
      <c r="AW32" s="4">
        <f t="shared" si="62"/>
        <v>0</v>
      </c>
      <c r="AX32" s="4">
        <f t="shared" si="62"/>
        <v>0</v>
      </c>
      <c r="AY32" s="4">
        <f t="shared" si="62"/>
        <v>0</v>
      </c>
      <c r="AZ32" s="4">
        <f t="shared" si="62"/>
        <v>0</v>
      </c>
      <c r="BA32" s="4">
        <f t="shared" si="62"/>
        <v>0</v>
      </c>
      <c r="BB32" s="4">
        <f t="shared" si="62"/>
        <v>0</v>
      </c>
      <c r="BC32" s="4">
        <f t="shared" si="62"/>
        <v>0</v>
      </c>
      <c r="BD32" s="4">
        <f t="shared" si="62"/>
        <v>0</v>
      </c>
      <c r="BE32" s="4">
        <f t="shared" si="62"/>
        <v>0</v>
      </c>
      <c r="BF32" s="4">
        <f t="shared" si="62"/>
        <v>0</v>
      </c>
      <c r="BG32" s="4">
        <f t="shared" si="62"/>
        <v>0</v>
      </c>
      <c r="BH32" s="4">
        <f t="shared" si="62"/>
        <v>0</v>
      </c>
      <c r="BI32" s="4">
        <f t="shared" si="62"/>
        <v>0</v>
      </c>
      <c r="BJ32" s="4">
        <f t="shared" si="62"/>
        <v>0</v>
      </c>
      <c r="BK32" s="4">
        <f t="shared" si="62"/>
        <v>0</v>
      </c>
      <c r="BL32" s="4">
        <f t="shared" si="62"/>
        <v>0</v>
      </c>
    </row>
    <row r="33" spans="2:64" ht="5" hidden="1" customHeight="1" x14ac:dyDescent="0.2"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</row>
    <row r="34" spans="2:64" hidden="1" x14ac:dyDescent="0.2">
      <c r="B34" s="1" t="s">
        <v>10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</row>
    <row r="35" spans="2:64" hidden="1" x14ac:dyDescent="0.2">
      <c r="B35" s="3" t="s">
        <v>68</v>
      </c>
      <c r="C35" s="19">
        <f t="shared" ref="C35:C38" si="63">SUM(D35:AN35)</f>
        <v>50000.000000000007</v>
      </c>
      <c r="D35" s="4">
        <v>0</v>
      </c>
      <c r="E35" s="4">
        <f t="shared" ref="E35:AJ35" si="64">IF(E$20&lt;=$M$5,$M6/$M$5,0)</f>
        <v>8333.3333333333339</v>
      </c>
      <c r="F35" s="4">
        <f t="shared" si="64"/>
        <v>8333.3333333333339</v>
      </c>
      <c r="G35" s="4">
        <f t="shared" si="64"/>
        <v>8333.3333333333339</v>
      </c>
      <c r="H35" s="4">
        <f t="shared" si="64"/>
        <v>8333.3333333333339</v>
      </c>
      <c r="I35" s="4">
        <f t="shared" si="64"/>
        <v>8333.3333333333339</v>
      </c>
      <c r="J35" s="4">
        <f t="shared" si="64"/>
        <v>8333.3333333333339</v>
      </c>
      <c r="K35" s="4">
        <f t="shared" si="64"/>
        <v>0</v>
      </c>
      <c r="L35" s="4">
        <f t="shared" si="64"/>
        <v>0</v>
      </c>
      <c r="M35" s="4">
        <f t="shared" si="64"/>
        <v>0</v>
      </c>
      <c r="N35" s="4">
        <f t="shared" si="64"/>
        <v>0</v>
      </c>
      <c r="O35" s="4">
        <f t="shared" si="64"/>
        <v>0</v>
      </c>
      <c r="P35" s="4">
        <f t="shared" si="64"/>
        <v>0</v>
      </c>
      <c r="Q35" s="4">
        <f t="shared" si="64"/>
        <v>0</v>
      </c>
      <c r="R35" s="4">
        <f t="shared" si="64"/>
        <v>0</v>
      </c>
      <c r="S35" s="4">
        <f t="shared" si="64"/>
        <v>0</v>
      </c>
      <c r="T35" s="4">
        <f t="shared" si="64"/>
        <v>0</v>
      </c>
      <c r="U35" s="4">
        <f t="shared" si="64"/>
        <v>0</v>
      </c>
      <c r="V35" s="4">
        <f t="shared" si="64"/>
        <v>0</v>
      </c>
      <c r="W35" s="4">
        <f t="shared" si="64"/>
        <v>0</v>
      </c>
      <c r="X35" s="4">
        <f t="shared" si="64"/>
        <v>0</v>
      </c>
      <c r="Y35" s="4">
        <f t="shared" si="64"/>
        <v>0</v>
      </c>
      <c r="Z35" s="4">
        <f t="shared" si="64"/>
        <v>0</v>
      </c>
      <c r="AA35" s="4">
        <f t="shared" si="64"/>
        <v>0</v>
      </c>
      <c r="AB35" s="4">
        <f t="shared" si="64"/>
        <v>0</v>
      </c>
      <c r="AC35" s="4">
        <f t="shared" si="64"/>
        <v>0</v>
      </c>
      <c r="AD35" s="4">
        <f t="shared" si="64"/>
        <v>0</v>
      </c>
      <c r="AE35" s="4">
        <f t="shared" si="64"/>
        <v>0</v>
      </c>
      <c r="AF35" s="4">
        <f t="shared" si="64"/>
        <v>0</v>
      </c>
      <c r="AG35" s="4">
        <f t="shared" si="64"/>
        <v>0</v>
      </c>
      <c r="AH35" s="4">
        <f t="shared" si="64"/>
        <v>0</v>
      </c>
      <c r="AI35" s="4">
        <f t="shared" si="64"/>
        <v>0</v>
      </c>
      <c r="AJ35" s="4">
        <f t="shared" si="64"/>
        <v>0</v>
      </c>
      <c r="AK35" s="4">
        <f t="shared" ref="AK35:BL35" si="65">IF(AK$20&lt;=$M$5,$M6/$M$5,0)</f>
        <v>0</v>
      </c>
      <c r="AL35" s="4">
        <f t="shared" si="65"/>
        <v>0</v>
      </c>
      <c r="AM35" s="4">
        <f t="shared" si="65"/>
        <v>0</v>
      </c>
      <c r="AN35" s="4">
        <f t="shared" si="65"/>
        <v>0</v>
      </c>
      <c r="AO35" s="4">
        <f t="shared" si="65"/>
        <v>0</v>
      </c>
      <c r="AP35" s="4">
        <f t="shared" si="65"/>
        <v>0</v>
      </c>
      <c r="AQ35" s="4">
        <f t="shared" si="65"/>
        <v>0</v>
      </c>
      <c r="AR35" s="4">
        <f t="shared" si="65"/>
        <v>0</v>
      </c>
      <c r="AS35" s="4">
        <f t="shared" si="65"/>
        <v>0</v>
      </c>
      <c r="AT35" s="4">
        <f t="shared" si="65"/>
        <v>0</v>
      </c>
      <c r="AU35" s="4">
        <f t="shared" si="65"/>
        <v>0</v>
      </c>
      <c r="AV35" s="4">
        <f t="shared" si="65"/>
        <v>0</v>
      </c>
      <c r="AW35" s="4">
        <f t="shared" si="65"/>
        <v>0</v>
      </c>
      <c r="AX35" s="4">
        <f t="shared" si="65"/>
        <v>0</v>
      </c>
      <c r="AY35" s="4">
        <f t="shared" si="65"/>
        <v>0</v>
      </c>
      <c r="AZ35" s="4">
        <f t="shared" si="65"/>
        <v>0</v>
      </c>
      <c r="BA35" s="4">
        <f t="shared" si="65"/>
        <v>0</v>
      </c>
      <c r="BB35" s="4">
        <f t="shared" si="65"/>
        <v>0</v>
      </c>
      <c r="BC35" s="4">
        <f t="shared" si="65"/>
        <v>0</v>
      </c>
      <c r="BD35" s="4">
        <f t="shared" si="65"/>
        <v>0</v>
      </c>
      <c r="BE35" s="4">
        <f t="shared" si="65"/>
        <v>0</v>
      </c>
      <c r="BF35" s="4">
        <f t="shared" si="65"/>
        <v>0</v>
      </c>
      <c r="BG35" s="4">
        <f t="shared" si="65"/>
        <v>0</v>
      </c>
      <c r="BH35" s="4">
        <f t="shared" si="65"/>
        <v>0</v>
      </c>
      <c r="BI35" s="4">
        <f t="shared" si="65"/>
        <v>0</v>
      </c>
      <c r="BJ35" s="4">
        <f t="shared" si="65"/>
        <v>0</v>
      </c>
      <c r="BK35" s="4">
        <f t="shared" si="65"/>
        <v>0</v>
      </c>
      <c r="BL35" s="4">
        <f t="shared" si="65"/>
        <v>0</v>
      </c>
    </row>
    <row r="36" spans="2:64" hidden="1" x14ac:dyDescent="0.2">
      <c r="B36" s="3" t="s">
        <v>11</v>
      </c>
      <c r="C36" s="19">
        <f t="shared" si="63"/>
        <v>30000</v>
      </c>
      <c r="D36" s="4">
        <v>0</v>
      </c>
      <c r="E36" s="4">
        <f t="shared" ref="E36:AJ36" si="66">IF(E$20&lt;=$M$5,$M7/$M$5,0)</f>
        <v>5000</v>
      </c>
      <c r="F36" s="4">
        <f t="shared" si="66"/>
        <v>5000</v>
      </c>
      <c r="G36" s="4">
        <f t="shared" si="66"/>
        <v>5000</v>
      </c>
      <c r="H36" s="4">
        <f t="shared" si="66"/>
        <v>5000</v>
      </c>
      <c r="I36" s="4">
        <f t="shared" si="66"/>
        <v>5000</v>
      </c>
      <c r="J36" s="4">
        <f t="shared" si="66"/>
        <v>5000</v>
      </c>
      <c r="K36" s="4">
        <f t="shared" si="66"/>
        <v>0</v>
      </c>
      <c r="L36" s="4">
        <f t="shared" si="66"/>
        <v>0</v>
      </c>
      <c r="M36" s="4">
        <f t="shared" si="66"/>
        <v>0</v>
      </c>
      <c r="N36" s="4">
        <f t="shared" si="66"/>
        <v>0</v>
      </c>
      <c r="O36" s="4">
        <f t="shared" si="66"/>
        <v>0</v>
      </c>
      <c r="P36" s="4">
        <f t="shared" si="66"/>
        <v>0</v>
      </c>
      <c r="Q36" s="4">
        <f t="shared" si="66"/>
        <v>0</v>
      </c>
      <c r="R36" s="4">
        <f t="shared" si="66"/>
        <v>0</v>
      </c>
      <c r="S36" s="4">
        <f t="shared" si="66"/>
        <v>0</v>
      </c>
      <c r="T36" s="4">
        <f t="shared" si="66"/>
        <v>0</v>
      </c>
      <c r="U36" s="4">
        <f t="shared" si="66"/>
        <v>0</v>
      </c>
      <c r="V36" s="4">
        <f t="shared" si="66"/>
        <v>0</v>
      </c>
      <c r="W36" s="4">
        <f t="shared" si="66"/>
        <v>0</v>
      </c>
      <c r="X36" s="4">
        <f t="shared" si="66"/>
        <v>0</v>
      </c>
      <c r="Y36" s="4">
        <f t="shared" si="66"/>
        <v>0</v>
      </c>
      <c r="Z36" s="4">
        <f t="shared" si="66"/>
        <v>0</v>
      </c>
      <c r="AA36" s="4">
        <f t="shared" si="66"/>
        <v>0</v>
      </c>
      <c r="AB36" s="4">
        <f t="shared" si="66"/>
        <v>0</v>
      </c>
      <c r="AC36" s="4">
        <f t="shared" si="66"/>
        <v>0</v>
      </c>
      <c r="AD36" s="4">
        <f t="shared" si="66"/>
        <v>0</v>
      </c>
      <c r="AE36" s="4">
        <f t="shared" si="66"/>
        <v>0</v>
      </c>
      <c r="AF36" s="4">
        <f t="shared" si="66"/>
        <v>0</v>
      </c>
      <c r="AG36" s="4">
        <f t="shared" si="66"/>
        <v>0</v>
      </c>
      <c r="AH36" s="4">
        <f t="shared" si="66"/>
        <v>0</v>
      </c>
      <c r="AI36" s="4">
        <f t="shared" si="66"/>
        <v>0</v>
      </c>
      <c r="AJ36" s="4">
        <f t="shared" si="66"/>
        <v>0</v>
      </c>
      <c r="AK36" s="4">
        <f t="shared" ref="AK36:BL36" si="67">IF(AK$20&lt;=$M$5,$M7/$M$5,0)</f>
        <v>0</v>
      </c>
      <c r="AL36" s="4">
        <f t="shared" si="67"/>
        <v>0</v>
      </c>
      <c r="AM36" s="4">
        <f t="shared" si="67"/>
        <v>0</v>
      </c>
      <c r="AN36" s="4">
        <f t="shared" si="67"/>
        <v>0</v>
      </c>
      <c r="AO36" s="4">
        <f t="shared" si="67"/>
        <v>0</v>
      </c>
      <c r="AP36" s="4">
        <f t="shared" si="67"/>
        <v>0</v>
      </c>
      <c r="AQ36" s="4">
        <f t="shared" si="67"/>
        <v>0</v>
      </c>
      <c r="AR36" s="4">
        <f t="shared" si="67"/>
        <v>0</v>
      </c>
      <c r="AS36" s="4">
        <f t="shared" si="67"/>
        <v>0</v>
      </c>
      <c r="AT36" s="4">
        <f t="shared" si="67"/>
        <v>0</v>
      </c>
      <c r="AU36" s="4">
        <f t="shared" si="67"/>
        <v>0</v>
      </c>
      <c r="AV36" s="4">
        <f t="shared" si="67"/>
        <v>0</v>
      </c>
      <c r="AW36" s="4">
        <f t="shared" si="67"/>
        <v>0</v>
      </c>
      <c r="AX36" s="4">
        <f t="shared" si="67"/>
        <v>0</v>
      </c>
      <c r="AY36" s="4">
        <f t="shared" si="67"/>
        <v>0</v>
      </c>
      <c r="AZ36" s="4">
        <f t="shared" si="67"/>
        <v>0</v>
      </c>
      <c r="BA36" s="4">
        <f t="shared" si="67"/>
        <v>0</v>
      </c>
      <c r="BB36" s="4">
        <f t="shared" si="67"/>
        <v>0</v>
      </c>
      <c r="BC36" s="4">
        <f t="shared" si="67"/>
        <v>0</v>
      </c>
      <c r="BD36" s="4">
        <f t="shared" si="67"/>
        <v>0</v>
      </c>
      <c r="BE36" s="4">
        <f t="shared" si="67"/>
        <v>0</v>
      </c>
      <c r="BF36" s="4">
        <f t="shared" si="67"/>
        <v>0</v>
      </c>
      <c r="BG36" s="4">
        <f t="shared" si="67"/>
        <v>0</v>
      </c>
      <c r="BH36" s="4">
        <f t="shared" si="67"/>
        <v>0</v>
      </c>
      <c r="BI36" s="4">
        <f t="shared" si="67"/>
        <v>0</v>
      </c>
      <c r="BJ36" s="4">
        <f t="shared" si="67"/>
        <v>0</v>
      </c>
      <c r="BK36" s="4">
        <f t="shared" si="67"/>
        <v>0</v>
      </c>
      <c r="BL36" s="4">
        <f t="shared" si="67"/>
        <v>0</v>
      </c>
    </row>
    <row r="37" spans="2:64" hidden="1" x14ac:dyDescent="0.2">
      <c r="B37" s="3" t="s">
        <v>12</v>
      </c>
      <c r="C37" s="21">
        <f t="shared" si="63"/>
        <v>20000</v>
      </c>
      <c r="D37" s="11">
        <v>0</v>
      </c>
      <c r="E37" s="11">
        <f t="shared" ref="E37:AJ37" si="68">IF(E$20&lt;=$M$5,$M8/$M$5,0)</f>
        <v>3333.3333333333335</v>
      </c>
      <c r="F37" s="11">
        <f t="shared" si="68"/>
        <v>3333.3333333333335</v>
      </c>
      <c r="G37" s="11">
        <f t="shared" si="68"/>
        <v>3333.3333333333335</v>
      </c>
      <c r="H37" s="11">
        <f t="shared" si="68"/>
        <v>3333.3333333333335</v>
      </c>
      <c r="I37" s="11">
        <f t="shared" si="68"/>
        <v>3333.3333333333335</v>
      </c>
      <c r="J37" s="11">
        <f t="shared" si="68"/>
        <v>3333.3333333333335</v>
      </c>
      <c r="K37" s="11">
        <f t="shared" si="68"/>
        <v>0</v>
      </c>
      <c r="L37" s="11">
        <f t="shared" si="68"/>
        <v>0</v>
      </c>
      <c r="M37" s="11">
        <f t="shared" si="68"/>
        <v>0</v>
      </c>
      <c r="N37" s="11">
        <f t="shared" si="68"/>
        <v>0</v>
      </c>
      <c r="O37" s="11">
        <f t="shared" si="68"/>
        <v>0</v>
      </c>
      <c r="P37" s="11">
        <f t="shared" si="68"/>
        <v>0</v>
      </c>
      <c r="Q37" s="11">
        <f t="shared" si="68"/>
        <v>0</v>
      </c>
      <c r="R37" s="11">
        <f t="shared" si="68"/>
        <v>0</v>
      </c>
      <c r="S37" s="11">
        <f t="shared" si="68"/>
        <v>0</v>
      </c>
      <c r="T37" s="11">
        <f t="shared" si="68"/>
        <v>0</v>
      </c>
      <c r="U37" s="11">
        <f t="shared" si="68"/>
        <v>0</v>
      </c>
      <c r="V37" s="11">
        <f t="shared" si="68"/>
        <v>0</v>
      </c>
      <c r="W37" s="11">
        <f t="shared" si="68"/>
        <v>0</v>
      </c>
      <c r="X37" s="11">
        <f t="shared" si="68"/>
        <v>0</v>
      </c>
      <c r="Y37" s="11">
        <f t="shared" si="68"/>
        <v>0</v>
      </c>
      <c r="Z37" s="11">
        <f t="shared" si="68"/>
        <v>0</v>
      </c>
      <c r="AA37" s="11">
        <f t="shared" si="68"/>
        <v>0</v>
      </c>
      <c r="AB37" s="11">
        <f t="shared" si="68"/>
        <v>0</v>
      </c>
      <c r="AC37" s="11">
        <f t="shared" si="68"/>
        <v>0</v>
      </c>
      <c r="AD37" s="11">
        <f t="shared" si="68"/>
        <v>0</v>
      </c>
      <c r="AE37" s="11">
        <f t="shared" si="68"/>
        <v>0</v>
      </c>
      <c r="AF37" s="11">
        <f t="shared" si="68"/>
        <v>0</v>
      </c>
      <c r="AG37" s="11">
        <f t="shared" si="68"/>
        <v>0</v>
      </c>
      <c r="AH37" s="11">
        <f t="shared" si="68"/>
        <v>0</v>
      </c>
      <c r="AI37" s="11">
        <f t="shared" si="68"/>
        <v>0</v>
      </c>
      <c r="AJ37" s="11">
        <f t="shared" si="68"/>
        <v>0</v>
      </c>
      <c r="AK37" s="11">
        <f t="shared" ref="AK37:BL37" si="69">IF(AK$20&lt;=$M$5,$M8/$M$5,0)</f>
        <v>0</v>
      </c>
      <c r="AL37" s="11">
        <f t="shared" si="69"/>
        <v>0</v>
      </c>
      <c r="AM37" s="11">
        <f t="shared" si="69"/>
        <v>0</v>
      </c>
      <c r="AN37" s="11">
        <f t="shared" si="69"/>
        <v>0</v>
      </c>
      <c r="AO37" s="11">
        <f t="shared" si="69"/>
        <v>0</v>
      </c>
      <c r="AP37" s="11">
        <f t="shared" si="69"/>
        <v>0</v>
      </c>
      <c r="AQ37" s="11">
        <f t="shared" si="69"/>
        <v>0</v>
      </c>
      <c r="AR37" s="11">
        <f t="shared" si="69"/>
        <v>0</v>
      </c>
      <c r="AS37" s="11">
        <f t="shared" si="69"/>
        <v>0</v>
      </c>
      <c r="AT37" s="11">
        <f t="shared" si="69"/>
        <v>0</v>
      </c>
      <c r="AU37" s="11">
        <f t="shared" si="69"/>
        <v>0</v>
      </c>
      <c r="AV37" s="11">
        <f t="shared" si="69"/>
        <v>0</v>
      </c>
      <c r="AW37" s="11">
        <f t="shared" si="69"/>
        <v>0</v>
      </c>
      <c r="AX37" s="11">
        <f t="shared" si="69"/>
        <v>0</v>
      </c>
      <c r="AY37" s="11">
        <f t="shared" si="69"/>
        <v>0</v>
      </c>
      <c r="AZ37" s="11">
        <f t="shared" si="69"/>
        <v>0</v>
      </c>
      <c r="BA37" s="11">
        <f t="shared" si="69"/>
        <v>0</v>
      </c>
      <c r="BB37" s="11">
        <f t="shared" si="69"/>
        <v>0</v>
      </c>
      <c r="BC37" s="11">
        <f t="shared" si="69"/>
        <v>0</v>
      </c>
      <c r="BD37" s="11">
        <f t="shared" si="69"/>
        <v>0</v>
      </c>
      <c r="BE37" s="11">
        <f t="shared" si="69"/>
        <v>0</v>
      </c>
      <c r="BF37" s="11">
        <f t="shared" si="69"/>
        <v>0</v>
      </c>
      <c r="BG37" s="11">
        <f t="shared" si="69"/>
        <v>0</v>
      </c>
      <c r="BH37" s="11">
        <f t="shared" si="69"/>
        <v>0</v>
      </c>
      <c r="BI37" s="11">
        <f t="shared" si="69"/>
        <v>0</v>
      </c>
      <c r="BJ37" s="11">
        <f t="shared" si="69"/>
        <v>0</v>
      </c>
      <c r="BK37" s="11">
        <f t="shared" si="69"/>
        <v>0</v>
      </c>
      <c r="BL37" s="11">
        <f t="shared" si="69"/>
        <v>0</v>
      </c>
    </row>
    <row r="38" spans="2:64" hidden="1" x14ac:dyDescent="0.2">
      <c r="B38" s="9" t="s">
        <v>24</v>
      </c>
      <c r="C38" s="19">
        <f t="shared" si="63"/>
        <v>100000.00000000001</v>
      </c>
      <c r="D38" s="4">
        <f t="shared" ref="D38:AI38" si="70">SUM(D35:D37)</f>
        <v>0</v>
      </c>
      <c r="E38" s="4">
        <f t="shared" si="70"/>
        <v>16666.666666666668</v>
      </c>
      <c r="F38" s="4">
        <f t="shared" si="70"/>
        <v>16666.666666666668</v>
      </c>
      <c r="G38" s="4">
        <f t="shared" si="70"/>
        <v>16666.666666666668</v>
      </c>
      <c r="H38" s="4">
        <f t="shared" si="70"/>
        <v>16666.666666666668</v>
      </c>
      <c r="I38" s="4">
        <f t="shared" si="70"/>
        <v>16666.666666666668</v>
      </c>
      <c r="J38" s="4">
        <f t="shared" si="70"/>
        <v>16666.666666666668</v>
      </c>
      <c r="K38" s="4">
        <f t="shared" si="70"/>
        <v>0</v>
      </c>
      <c r="L38" s="4">
        <f t="shared" si="70"/>
        <v>0</v>
      </c>
      <c r="M38" s="4">
        <f t="shared" si="70"/>
        <v>0</v>
      </c>
      <c r="N38" s="4">
        <f t="shared" si="70"/>
        <v>0</v>
      </c>
      <c r="O38" s="4">
        <f t="shared" si="70"/>
        <v>0</v>
      </c>
      <c r="P38" s="4">
        <f t="shared" si="70"/>
        <v>0</v>
      </c>
      <c r="Q38" s="4">
        <f t="shared" si="70"/>
        <v>0</v>
      </c>
      <c r="R38" s="4">
        <f t="shared" si="70"/>
        <v>0</v>
      </c>
      <c r="S38" s="4">
        <f t="shared" si="70"/>
        <v>0</v>
      </c>
      <c r="T38" s="4">
        <f t="shared" si="70"/>
        <v>0</v>
      </c>
      <c r="U38" s="4">
        <f t="shared" si="70"/>
        <v>0</v>
      </c>
      <c r="V38" s="4">
        <f t="shared" si="70"/>
        <v>0</v>
      </c>
      <c r="W38" s="4">
        <f t="shared" si="70"/>
        <v>0</v>
      </c>
      <c r="X38" s="4">
        <f t="shared" si="70"/>
        <v>0</v>
      </c>
      <c r="Y38" s="4">
        <f t="shared" si="70"/>
        <v>0</v>
      </c>
      <c r="Z38" s="4">
        <f t="shared" si="70"/>
        <v>0</v>
      </c>
      <c r="AA38" s="4">
        <f t="shared" si="70"/>
        <v>0</v>
      </c>
      <c r="AB38" s="4">
        <f t="shared" si="70"/>
        <v>0</v>
      </c>
      <c r="AC38" s="4">
        <f t="shared" si="70"/>
        <v>0</v>
      </c>
      <c r="AD38" s="4">
        <f t="shared" si="70"/>
        <v>0</v>
      </c>
      <c r="AE38" s="4">
        <f t="shared" si="70"/>
        <v>0</v>
      </c>
      <c r="AF38" s="4">
        <f t="shared" si="70"/>
        <v>0</v>
      </c>
      <c r="AG38" s="4">
        <f t="shared" si="70"/>
        <v>0</v>
      </c>
      <c r="AH38" s="4">
        <f t="shared" si="70"/>
        <v>0</v>
      </c>
      <c r="AI38" s="4">
        <f t="shared" si="70"/>
        <v>0</v>
      </c>
      <c r="AJ38" s="4">
        <f t="shared" ref="AJ38:BL38" si="71">SUM(AJ35:AJ37)</f>
        <v>0</v>
      </c>
      <c r="AK38" s="4">
        <f t="shared" si="71"/>
        <v>0</v>
      </c>
      <c r="AL38" s="4">
        <f t="shared" si="71"/>
        <v>0</v>
      </c>
      <c r="AM38" s="4">
        <f t="shared" si="71"/>
        <v>0</v>
      </c>
      <c r="AN38" s="4">
        <f t="shared" si="71"/>
        <v>0</v>
      </c>
      <c r="AO38" s="4">
        <f t="shared" si="71"/>
        <v>0</v>
      </c>
      <c r="AP38" s="4">
        <f t="shared" si="71"/>
        <v>0</v>
      </c>
      <c r="AQ38" s="4">
        <f t="shared" si="71"/>
        <v>0</v>
      </c>
      <c r="AR38" s="4">
        <f t="shared" si="71"/>
        <v>0</v>
      </c>
      <c r="AS38" s="4">
        <f t="shared" si="71"/>
        <v>0</v>
      </c>
      <c r="AT38" s="4">
        <f t="shared" si="71"/>
        <v>0</v>
      </c>
      <c r="AU38" s="4">
        <f t="shared" si="71"/>
        <v>0</v>
      </c>
      <c r="AV38" s="4">
        <f t="shared" si="71"/>
        <v>0</v>
      </c>
      <c r="AW38" s="4">
        <f t="shared" si="71"/>
        <v>0</v>
      </c>
      <c r="AX38" s="4">
        <f t="shared" si="71"/>
        <v>0</v>
      </c>
      <c r="AY38" s="4">
        <f t="shared" si="71"/>
        <v>0</v>
      </c>
      <c r="AZ38" s="4">
        <f t="shared" si="71"/>
        <v>0</v>
      </c>
      <c r="BA38" s="4">
        <f t="shared" si="71"/>
        <v>0</v>
      </c>
      <c r="BB38" s="4">
        <f t="shared" si="71"/>
        <v>0</v>
      </c>
      <c r="BC38" s="4">
        <f t="shared" si="71"/>
        <v>0</v>
      </c>
      <c r="BD38" s="4">
        <f t="shared" si="71"/>
        <v>0</v>
      </c>
      <c r="BE38" s="4">
        <f t="shared" si="71"/>
        <v>0</v>
      </c>
      <c r="BF38" s="4">
        <f t="shared" si="71"/>
        <v>0</v>
      </c>
      <c r="BG38" s="4">
        <f t="shared" si="71"/>
        <v>0</v>
      </c>
      <c r="BH38" s="4">
        <f t="shared" si="71"/>
        <v>0</v>
      </c>
      <c r="BI38" s="4">
        <f t="shared" si="71"/>
        <v>0</v>
      </c>
      <c r="BJ38" s="4">
        <f t="shared" si="71"/>
        <v>0</v>
      </c>
      <c r="BK38" s="4">
        <f t="shared" si="71"/>
        <v>0</v>
      </c>
      <c r="BL38" s="4">
        <f t="shared" si="71"/>
        <v>0</v>
      </c>
    </row>
    <row r="39" spans="2:64" ht="5" hidden="1" customHeight="1" x14ac:dyDescent="0.2"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</row>
    <row r="40" spans="2:64" hidden="1" x14ac:dyDescent="0.2">
      <c r="B40" s="9" t="s">
        <v>29</v>
      </c>
      <c r="C40" s="19">
        <f>SUM(D40:AN40)</f>
        <v>2845227</v>
      </c>
      <c r="D40" s="4">
        <f t="shared" ref="D40:AI40" si="72">IF(AND(D20&lt;=$M$5+$M$12,D20&gt;$M$5),($M$13*$I$13)/$M$12,0)</f>
        <v>0</v>
      </c>
      <c r="E40" s="4">
        <f t="shared" si="72"/>
        <v>0</v>
      </c>
      <c r="F40" s="4">
        <f t="shared" si="72"/>
        <v>0</v>
      </c>
      <c r="G40" s="4">
        <f t="shared" si="72"/>
        <v>0</v>
      </c>
      <c r="H40" s="4">
        <f t="shared" si="72"/>
        <v>0</v>
      </c>
      <c r="I40" s="4">
        <f t="shared" si="72"/>
        <v>0</v>
      </c>
      <c r="J40" s="4">
        <f t="shared" si="72"/>
        <v>0</v>
      </c>
      <c r="K40" s="4">
        <f t="shared" si="72"/>
        <v>237102.25</v>
      </c>
      <c r="L40" s="4">
        <f t="shared" si="72"/>
        <v>237102.25</v>
      </c>
      <c r="M40" s="4">
        <f t="shared" si="72"/>
        <v>237102.25</v>
      </c>
      <c r="N40" s="4">
        <f t="shared" si="72"/>
        <v>237102.25</v>
      </c>
      <c r="O40" s="4">
        <f t="shared" si="72"/>
        <v>237102.25</v>
      </c>
      <c r="P40" s="4">
        <f t="shared" si="72"/>
        <v>237102.25</v>
      </c>
      <c r="Q40" s="4">
        <f t="shared" si="72"/>
        <v>237102.25</v>
      </c>
      <c r="R40" s="4">
        <f t="shared" si="72"/>
        <v>237102.25</v>
      </c>
      <c r="S40" s="4">
        <f t="shared" si="72"/>
        <v>237102.25</v>
      </c>
      <c r="T40" s="4">
        <f t="shared" si="72"/>
        <v>237102.25</v>
      </c>
      <c r="U40" s="4">
        <f t="shared" si="72"/>
        <v>237102.25</v>
      </c>
      <c r="V40" s="4">
        <f t="shared" si="72"/>
        <v>237102.25</v>
      </c>
      <c r="W40" s="4">
        <f t="shared" si="72"/>
        <v>0</v>
      </c>
      <c r="X40" s="4">
        <f t="shared" si="72"/>
        <v>0</v>
      </c>
      <c r="Y40" s="4">
        <f t="shared" si="72"/>
        <v>0</v>
      </c>
      <c r="Z40" s="4">
        <f t="shared" si="72"/>
        <v>0</v>
      </c>
      <c r="AA40" s="4">
        <f t="shared" si="72"/>
        <v>0</v>
      </c>
      <c r="AB40" s="4">
        <f t="shared" si="72"/>
        <v>0</v>
      </c>
      <c r="AC40" s="4">
        <f t="shared" si="72"/>
        <v>0</v>
      </c>
      <c r="AD40" s="4">
        <f t="shared" si="72"/>
        <v>0</v>
      </c>
      <c r="AE40" s="4">
        <f t="shared" si="72"/>
        <v>0</v>
      </c>
      <c r="AF40" s="4">
        <f t="shared" si="72"/>
        <v>0</v>
      </c>
      <c r="AG40" s="4">
        <f t="shared" si="72"/>
        <v>0</v>
      </c>
      <c r="AH40" s="4">
        <f t="shared" si="72"/>
        <v>0</v>
      </c>
      <c r="AI40" s="4">
        <f t="shared" si="72"/>
        <v>0</v>
      </c>
      <c r="AJ40" s="4">
        <f t="shared" ref="AJ40:BL40" si="73">IF(AND(AJ20&lt;=$M$5+$M$12,AJ20&gt;$M$5),($M$13*$I$13)/$M$12,0)</f>
        <v>0</v>
      </c>
      <c r="AK40" s="4">
        <f t="shared" si="73"/>
        <v>0</v>
      </c>
      <c r="AL40" s="4">
        <f t="shared" si="73"/>
        <v>0</v>
      </c>
      <c r="AM40" s="4">
        <f t="shared" si="73"/>
        <v>0</v>
      </c>
      <c r="AN40" s="4">
        <f t="shared" si="73"/>
        <v>0</v>
      </c>
      <c r="AO40" s="4">
        <f t="shared" si="73"/>
        <v>0</v>
      </c>
      <c r="AP40" s="4">
        <f t="shared" si="73"/>
        <v>0</v>
      </c>
      <c r="AQ40" s="4">
        <f t="shared" si="73"/>
        <v>0</v>
      </c>
      <c r="AR40" s="4">
        <f t="shared" si="73"/>
        <v>0</v>
      </c>
      <c r="AS40" s="4">
        <f t="shared" si="73"/>
        <v>0</v>
      </c>
      <c r="AT40" s="4">
        <f t="shared" si="73"/>
        <v>0</v>
      </c>
      <c r="AU40" s="4">
        <f t="shared" si="73"/>
        <v>0</v>
      </c>
      <c r="AV40" s="4">
        <f t="shared" si="73"/>
        <v>0</v>
      </c>
      <c r="AW40" s="4">
        <f t="shared" si="73"/>
        <v>0</v>
      </c>
      <c r="AX40" s="4">
        <f t="shared" si="73"/>
        <v>0</v>
      </c>
      <c r="AY40" s="4">
        <f t="shared" si="73"/>
        <v>0</v>
      </c>
      <c r="AZ40" s="4">
        <f t="shared" si="73"/>
        <v>0</v>
      </c>
      <c r="BA40" s="4">
        <f t="shared" si="73"/>
        <v>0</v>
      </c>
      <c r="BB40" s="4">
        <f t="shared" si="73"/>
        <v>0</v>
      </c>
      <c r="BC40" s="4">
        <f t="shared" si="73"/>
        <v>0</v>
      </c>
      <c r="BD40" s="4">
        <f t="shared" si="73"/>
        <v>0</v>
      </c>
      <c r="BE40" s="4">
        <f t="shared" si="73"/>
        <v>0</v>
      </c>
      <c r="BF40" s="4">
        <f t="shared" si="73"/>
        <v>0</v>
      </c>
      <c r="BG40" s="4">
        <f t="shared" si="73"/>
        <v>0</v>
      </c>
      <c r="BH40" s="4">
        <f t="shared" si="73"/>
        <v>0</v>
      </c>
      <c r="BI40" s="4">
        <f t="shared" si="73"/>
        <v>0</v>
      </c>
      <c r="BJ40" s="4">
        <f t="shared" si="73"/>
        <v>0</v>
      </c>
      <c r="BK40" s="4">
        <f t="shared" si="73"/>
        <v>0</v>
      </c>
      <c r="BL40" s="4">
        <f t="shared" si="73"/>
        <v>0</v>
      </c>
    </row>
    <row r="41" spans="2:64" ht="5" hidden="1" customHeight="1" x14ac:dyDescent="0.2"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</row>
    <row r="42" spans="2:64" s="2" customFormat="1" hidden="1" x14ac:dyDescent="0.2">
      <c r="B42" s="10" t="s">
        <v>14</v>
      </c>
      <c r="C42" s="20">
        <f>SUM(D42:AN42)</f>
        <v>3948445.5</v>
      </c>
      <c r="D42" s="13">
        <f t="shared" ref="D42:AI42" si="74">D38+D32+D40</f>
        <v>100000</v>
      </c>
      <c r="E42" s="13">
        <f t="shared" si="74"/>
        <v>919885.16666666663</v>
      </c>
      <c r="F42" s="13">
        <f t="shared" si="74"/>
        <v>16666.666666666668</v>
      </c>
      <c r="G42" s="13">
        <f t="shared" si="74"/>
        <v>16666.666666666668</v>
      </c>
      <c r="H42" s="13">
        <f t="shared" si="74"/>
        <v>16666.666666666668</v>
      </c>
      <c r="I42" s="13">
        <f t="shared" si="74"/>
        <v>16666.666666666668</v>
      </c>
      <c r="J42" s="13">
        <f t="shared" si="74"/>
        <v>16666.666666666668</v>
      </c>
      <c r="K42" s="13">
        <f t="shared" si="74"/>
        <v>237102.25</v>
      </c>
      <c r="L42" s="13">
        <f t="shared" si="74"/>
        <v>237102.25</v>
      </c>
      <c r="M42" s="13">
        <f t="shared" si="74"/>
        <v>237102.25</v>
      </c>
      <c r="N42" s="13">
        <f t="shared" si="74"/>
        <v>237102.25</v>
      </c>
      <c r="O42" s="13">
        <f t="shared" si="74"/>
        <v>237102.25</v>
      </c>
      <c r="P42" s="13">
        <f t="shared" si="74"/>
        <v>237102.25</v>
      </c>
      <c r="Q42" s="13">
        <f t="shared" si="74"/>
        <v>237102.25</v>
      </c>
      <c r="R42" s="13">
        <f t="shared" si="74"/>
        <v>237102.25</v>
      </c>
      <c r="S42" s="13">
        <f t="shared" si="74"/>
        <v>237102.25</v>
      </c>
      <c r="T42" s="13">
        <f t="shared" si="74"/>
        <v>237102.25</v>
      </c>
      <c r="U42" s="13">
        <f t="shared" si="74"/>
        <v>237102.25</v>
      </c>
      <c r="V42" s="13">
        <f t="shared" si="74"/>
        <v>237102.25</v>
      </c>
      <c r="W42" s="13">
        <f t="shared" si="74"/>
        <v>0</v>
      </c>
      <c r="X42" s="13">
        <f t="shared" si="74"/>
        <v>0</v>
      </c>
      <c r="Y42" s="13">
        <f t="shared" si="74"/>
        <v>0</v>
      </c>
      <c r="Z42" s="13">
        <f t="shared" si="74"/>
        <v>0</v>
      </c>
      <c r="AA42" s="13">
        <f t="shared" si="74"/>
        <v>0</v>
      </c>
      <c r="AB42" s="13">
        <f t="shared" si="74"/>
        <v>0</v>
      </c>
      <c r="AC42" s="13">
        <f t="shared" si="74"/>
        <v>0</v>
      </c>
      <c r="AD42" s="13">
        <f t="shared" si="74"/>
        <v>0</v>
      </c>
      <c r="AE42" s="13">
        <f t="shared" si="74"/>
        <v>0</v>
      </c>
      <c r="AF42" s="13">
        <f t="shared" si="74"/>
        <v>0</v>
      </c>
      <c r="AG42" s="13">
        <f t="shared" si="74"/>
        <v>0</v>
      </c>
      <c r="AH42" s="13">
        <f t="shared" si="74"/>
        <v>0</v>
      </c>
      <c r="AI42" s="13">
        <f t="shared" si="74"/>
        <v>0</v>
      </c>
      <c r="AJ42" s="13">
        <f t="shared" ref="AJ42:BL42" si="75">AJ38+AJ32+AJ40</f>
        <v>0</v>
      </c>
      <c r="AK42" s="13">
        <f t="shared" si="75"/>
        <v>0</v>
      </c>
      <c r="AL42" s="13">
        <f t="shared" si="75"/>
        <v>0</v>
      </c>
      <c r="AM42" s="13">
        <f t="shared" si="75"/>
        <v>0</v>
      </c>
      <c r="AN42" s="13">
        <f t="shared" si="75"/>
        <v>0</v>
      </c>
      <c r="AO42" s="13">
        <f t="shared" si="75"/>
        <v>0</v>
      </c>
      <c r="AP42" s="13">
        <f t="shared" si="75"/>
        <v>0</v>
      </c>
      <c r="AQ42" s="13">
        <f t="shared" si="75"/>
        <v>0</v>
      </c>
      <c r="AR42" s="13">
        <f t="shared" si="75"/>
        <v>0</v>
      </c>
      <c r="AS42" s="13">
        <f t="shared" si="75"/>
        <v>0</v>
      </c>
      <c r="AT42" s="13">
        <f t="shared" si="75"/>
        <v>0</v>
      </c>
      <c r="AU42" s="13">
        <f t="shared" si="75"/>
        <v>0</v>
      </c>
      <c r="AV42" s="13">
        <f t="shared" si="75"/>
        <v>0</v>
      </c>
      <c r="AW42" s="13">
        <f t="shared" si="75"/>
        <v>0</v>
      </c>
      <c r="AX42" s="13">
        <f t="shared" si="75"/>
        <v>0</v>
      </c>
      <c r="AY42" s="13">
        <f t="shared" si="75"/>
        <v>0</v>
      </c>
      <c r="AZ42" s="13">
        <f t="shared" si="75"/>
        <v>0</v>
      </c>
      <c r="BA42" s="13">
        <f t="shared" si="75"/>
        <v>0</v>
      </c>
      <c r="BB42" s="13">
        <f t="shared" si="75"/>
        <v>0</v>
      </c>
      <c r="BC42" s="13">
        <f t="shared" si="75"/>
        <v>0</v>
      </c>
      <c r="BD42" s="13">
        <f t="shared" si="75"/>
        <v>0</v>
      </c>
      <c r="BE42" s="13">
        <f t="shared" si="75"/>
        <v>0</v>
      </c>
      <c r="BF42" s="13">
        <f t="shared" si="75"/>
        <v>0</v>
      </c>
      <c r="BG42" s="13">
        <f t="shared" si="75"/>
        <v>0</v>
      </c>
      <c r="BH42" s="13">
        <f t="shared" si="75"/>
        <v>0</v>
      </c>
      <c r="BI42" s="13">
        <f t="shared" si="75"/>
        <v>0</v>
      </c>
      <c r="BJ42" s="13">
        <f t="shared" si="75"/>
        <v>0</v>
      </c>
      <c r="BK42" s="13">
        <f t="shared" si="75"/>
        <v>0</v>
      </c>
      <c r="BL42" s="13">
        <f t="shared" si="75"/>
        <v>0</v>
      </c>
    </row>
    <row r="43" spans="2:64" ht="5" hidden="1" customHeight="1" x14ac:dyDescent="0.2"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</row>
    <row r="44" spans="2:64" s="2" customFormat="1" hidden="1" x14ac:dyDescent="0.2">
      <c r="B44" s="2" t="s">
        <v>47</v>
      </c>
      <c r="C44" s="20">
        <f t="shared" ref="C44:AH44" si="76">-C42+C24</f>
        <v>653794.5</v>
      </c>
      <c r="D44" s="20">
        <f t="shared" si="76"/>
        <v>-100000</v>
      </c>
      <c r="E44" s="20">
        <f t="shared" si="76"/>
        <v>-919885.16666666663</v>
      </c>
      <c r="F44" s="20">
        <f t="shared" si="76"/>
        <v>-16666.666666666668</v>
      </c>
      <c r="G44" s="20">
        <f t="shared" si="76"/>
        <v>-16666.666666666668</v>
      </c>
      <c r="H44" s="20">
        <f t="shared" si="76"/>
        <v>-16666.666666666668</v>
      </c>
      <c r="I44" s="20">
        <f t="shared" si="76"/>
        <v>-16666.666666666668</v>
      </c>
      <c r="J44" s="20">
        <f t="shared" si="76"/>
        <v>-16666.666666666668</v>
      </c>
      <c r="K44" s="20">
        <f t="shared" si="76"/>
        <v>-237102.25</v>
      </c>
      <c r="L44" s="20">
        <f t="shared" si="76"/>
        <v>-237102.25</v>
      </c>
      <c r="M44" s="20">
        <f t="shared" si="76"/>
        <v>-237102.25</v>
      </c>
      <c r="N44" s="20">
        <f t="shared" si="76"/>
        <v>-237102.25</v>
      </c>
      <c r="O44" s="20">
        <f t="shared" si="76"/>
        <v>-237102.25</v>
      </c>
      <c r="P44" s="20">
        <f t="shared" si="76"/>
        <v>-237102.25</v>
      </c>
      <c r="Q44" s="20">
        <f t="shared" si="76"/>
        <v>-237102.25</v>
      </c>
      <c r="R44" s="20">
        <f t="shared" si="76"/>
        <v>-237102.25</v>
      </c>
      <c r="S44" s="20">
        <f t="shared" si="76"/>
        <v>-237102.25</v>
      </c>
      <c r="T44" s="20">
        <f t="shared" si="76"/>
        <v>-237102.25</v>
      </c>
      <c r="U44" s="20">
        <f t="shared" si="76"/>
        <v>-237102.25</v>
      </c>
      <c r="V44" s="20">
        <f t="shared" si="76"/>
        <v>-237102.25</v>
      </c>
      <c r="W44" s="20">
        <f t="shared" si="76"/>
        <v>920448</v>
      </c>
      <c r="X44" s="20">
        <f t="shared" si="76"/>
        <v>920448</v>
      </c>
      <c r="Y44" s="20">
        <f t="shared" si="76"/>
        <v>920448</v>
      </c>
      <c r="Z44" s="20">
        <f t="shared" si="76"/>
        <v>920448</v>
      </c>
      <c r="AA44" s="20">
        <f t="shared" si="76"/>
        <v>920448</v>
      </c>
      <c r="AB44" s="20">
        <f t="shared" si="76"/>
        <v>0</v>
      </c>
      <c r="AC44" s="20">
        <f t="shared" si="76"/>
        <v>0</v>
      </c>
      <c r="AD44" s="20">
        <f t="shared" si="76"/>
        <v>0</v>
      </c>
      <c r="AE44" s="20">
        <f t="shared" si="76"/>
        <v>0</v>
      </c>
      <c r="AF44" s="20">
        <f t="shared" si="76"/>
        <v>0</v>
      </c>
      <c r="AG44" s="20">
        <f t="shared" si="76"/>
        <v>0</v>
      </c>
      <c r="AH44" s="20">
        <f t="shared" si="76"/>
        <v>0</v>
      </c>
      <c r="AI44" s="20">
        <f t="shared" ref="AI44:BL44" si="77">-AI42+AI24</f>
        <v>0</v>
      </c>
      <c r="AJ44" s="20">
        <f t="shared" si="77"/>
        <v>0</v>
      </c>
      <c r="AK44" s="20">
        <f t="shared" si="77"/>
        <v>0</v>
      </c>
      <c r="AL44" s="20">
        <f t="shared" si="77"/>
        <v>0</v>
      </c>
      <c r="AM44" s="20">
        <f t="shared" si="77"/>
        <v>0</v>
      </c>
      <c r="AN44" s="20">
        <f t="shared" si="77"/>
        <v>0</v>
      </c>
      <c r="AO44" s="20">
        <f t="shared" si="77"/>
        <v>0</v>
      </c>
      <c r="AP44" s="20">
        <f t="shared" si="77"/>
        <v>0</v>
      </c>
      <c r="AQ44" s="20">
        <f t="shared" si="77"/>
        <v>0</v>
      </c>
      <c r="AR44" s="20">
        <f t="shared" si="77"/>
        <v>0</v>
      </c>
      <c r="AS44" s="20">
        <f t="shared" si="77"/>
        <v>0</v>
      </c>
      <c r="AT44" s="20">
        <f t="shared" si="77"/>
        <v>0</v>
      </c>
      <c r="AU44" s="20">
        <f t="shared" si="77"/>
        <v>0</v>
      </c>
      <c r="AV44" s="20">
        <f t="shared" si="77"/>
        <v>0</v>
      </c>
      <c r="AW44" s="20">
        <f t="shared" si="77"/>
        <v>0</v>
      </c>
      <c r="AX44" s="20">
        <f t="shared" si="77"/>
        <v>0</v>
      </c>
      <c r="AY44" s="20">
        <f t="shared" si="77"/>
        <v>0</v>
      </c>
      <c r="AZ44" s="20">
        <f t="shared" si="77"/>
        <v>0</v>
      </c>
      <c r="BA44" s="20">
        <f t="shared" si="77"/>
        <v>0</v>
      </c>
      <c r="BB44" s="20">
        <f t="shared" si="77"/>
        <v>0</v>
      </c>
      <c r="BC44" s="20">
        <f t="shared" si="77"/>
        <v>0</v>
      </c>
      <c r="BD44" s="20">
        <f t="shared" si="77"/>
        <v>0</v>
      </c>
      <c r="BE44" s="20">
        <f t="shared" si="77"/>
        <v>0</v>
      </c>
      <c r="BF44" s="20">
        <f t="shared" si="77"/>
        <v>0</v>
      </c>
      <c r="BG44" s="20">
        <f t="shared" si="77"/>
        <v>0</v>
      </c>
      <c r="BH44" s="20">
        <f t="shared" si="77"/>
        <v>0</v>
      </c>
      <c r="BI44" s="20">
        <f t="shared" si="77"/>
        <v>0</v>
      </c>
      <c r="BJ44" s="20">
        <f t="shared" si="77"/>
        <v>0</v>
      </c>
      <c r="BK44" s="20">
        <f t="shared" si="77"/>
        <v>0</v>
      </c>
      <c r="BL44" s="20">
        <f t="shared" si="77"/>
        <v>0</v>
      </c>
    </row>
    <row r="45" spans="2:64" hidden="1" x14ac:dyDescent="0.2">
      <c r="B45" s="15" t="s">
        <v>22</v>
      </c>
      <c r="C45" s="32">
        <f>IF(D44=0,XIRR(E44:BL44,$E$19:$BL$19),XIRR(D44:BL44,$D$19:$BL$19))</f>
        <v>0.16736747622489931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</row>
    <row r="46" spans="2:64" hidden="1" x14ac:dyDescent="0.2">
      <c r="B46" s="15" t="s">
        <v>23</v>
      </c>
      <c r="C46" s="33">
        <f>C47/-C48</f>
        <v>1.1655827590883552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</row>
    <row r="47" spans="2:64" hidden="1" x14ac:dyDescent="0.2">
      <c r="B47" t="s">
        <v>73</v>
      </c>
      <c r="C47" s="57">
        <f>SUMIF($D$44:$BL$44,"&gt;0")</f>
        <v>4602240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 spans="2:64" hidden="1" x14ac:dyDescent="0.2">
      <c r="B48" t="s">
        <v>74</v>
      </c>
      <c r="C48" s="58">
        <f>SUMIF($D$44:$BL$44,"&lt;0")</f>
        <v>-3948445.5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</row>
    <row r="49" spans="2:64" hidden="1" x14ac:dyDescent="0.2">
      <c r="B49" t="s">
        <v>72</v>
      </c>
      <c r="C49" s="57">
        <f>SUM(C47:C48)</f>
        <v>653794.5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</row>
    <row r="50" spans="2:64" hidden="1" x14ac:dyDescent="0.2"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</row>
    <row r="51" spans="2:64" x14ac:dyDescent="0.2">
      <c r="B51" s="2" t="s">
        <v>35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</row>
    <row r="52" spans="2:64" x14ac:dyDescent="0.2">
      <c r="B52" s="2" t="s">
        <v>16</v>
      </c>
      <c r="C52" s="48" t="s">
        <v>15</v>
      </c>
      <c r="D52" s="49">
        <f t="shared" ref="D52:AI52" si="78">D20</f>
        <v>0</v>
      </c>
      <c r="E52" s="49">
        <f t="shared" si="78"/>
        <v>1</v>
      </c>
      <c r="F52" s="49">
        <f t="shared" si="78"/>
        <v>2</v>
      </c>
      <c r="G52" s="49">
        <f t="shared" si="78"/>
        <v>3</v>
      </c>
      <c r="H52" s="49">
        <f t="shared" si="78"/>
        <v>4</v>
      </c>
      <c r="I52" s="49">
        <f t="shared" si="78"/>
        <v>5</v>
      </c>
      <c r="J52" s="49">
        <f t="shared" si="78"/>
        <v>6</v>
      </c>
      <c r="K52" s="49">
        <f t="shared" si="78"/>
        <v>7</v>
      </c>
      <c r="L52" s="49">
        <f t="shared" si="78"/>
        <v>8</v>
      </c>
      <c r="M52" s="49">
        <f t="shared" si="78"/>
        <v>9</v>
      </c>
      <c r="N52" s="49">
        <f t="shared" si="78"/>
        <v>10</v>
      </c>
      <c r="O52" s="49">
        <f t="shared" si="78"/>
        <v>11</v>
      </c>
      <c r="P52" s="49">
        <f t="shared" si="78"/>
        <v>12</v>
      </c>
      <c r="Q52" s="49">
        <f t="shared" si="78"/>
        <v>13</v>
      </c>
      <c r="R52" s="49">
        <f t="shared" si="78"/>
        <v>14</v>
      </c>
      <c r="S52" s="49">
        <f t="shared" si="78"/>
        <v>15</v>
      </c>
      <c r="T52" s="49">
        <f t="shared" si="78"/>
        <v>16</v>
      </c>
      <c r="U52" s="49">
        <f t="shared" si="78"/>
        <v>17</v>
      </c>
      <c r="V52" s="49">
        <f t="shared" si="78"/>
        <v>18</v>
      </c>
      <c r="W52" s="49">
        <f t="shared" si="78"/>
        <v>19</v>
      </c>
      <c r="X52" s="49">
        <f t="shared" si="78"/>
        <v>20</v>
      </c>
      <c r="Y52" s="49">
        <f t="shared" si="78"/>
        <v>21</v>
      </c>
      <c r="Z52" s="49">
        <f t="shared" si="78"/>
        <v>22</v>
      </c>
      <c r="AA52" s="49">
        <f t="shared" si="78"/>
        <v>23</v>
      </c>
      <c r="AB52" s="49">
        <f t="shared" si="78"/>
        <v>24</v>
      </c>
      <c r="AC52" s="49">
        <f t="shared" si="78"/>
        <v>25</v>
      </c>
      <c r="AD52" s="49">
        <f t="shared" si="78"/>
        <v>26</v>
      </c>
      <c r="AE52" s="49">
        <f t="shared" si="78"/>
        <v>27</v>
      </c>
      <c r="AF52" s="49">
        <f t="shared" si="78"/>
        <v>28</v>
      </c>
      <c r="AG52" s="49">
        <f t="shared" si="78"/>
        <v>29</v>
      </c>
      <c r="AH52" s="49">
        <f t="shared" si="78"/>
        <v>30</v>
      </c>
      <c r="AI52" s="49">
        <f t="shared" si="78"/>
        <v>31</v>
      </c>
      <c r="AJ52" s="49">
        <f t="shared" ref="AJ52:BL52" si="79">AJ20</f>
        <v>32</v>
      </c>
      <c r="AK52" s="49">
        <f t="shared" si="79"/>
        <v>33</v>
      </c>
      <c r="AL52" s="49">
        <f t="shared" si="79"/>
        <v>34</v>
      </c>
      <c r="AM52" s="49">
        <f t="shared" si="79"/>
        <v>35</v>
      </c>
      <c r="AN52" s="49">
        <f t="shared" si="79"/>
        <v>36</v>
      </c>
      <c r="AO52" s="49">
        <f t="shared" si="79"/>
        <v>37</v>
      </c>
      <c r="AP52" s="49">
        <f t="shared" si="79"/>
        <v>38</v>
      </c>
      <c r="AQ52" s="49">
        <f t="shared" si="79"/>
        <v>39</v>
      </c>
      <c r="AR52" s="49">
        <f t="shared" si="79"/>
        <v>40</v>
      </c>
      <c r="AS52" s="49">
        <f t="shared" si="79"/>
        <v>41</v>
      </c>
      <c r="AT52" s="49">
        <f t="shared" si="79"/>
        <v>42</v>
      </c>
      <c r="AU52" s="49">
        <f t="shared" si="79"/>
        <v>43</v>
      </c>
      <c r="AV52" s="49">
        <f t="shared" si="79"/>
        <v>44</v>
      </c>
      <c r="AW52" s="49">
        <f t="shared" si="79"/>
        <v>45</v>
      </c>
      <c r="AX52" s="49">
        <f t="shared" si="79"/>
        <v>46</v>
      </c>
      <c r="AY52" s="49">
        <f t="shared" si="79"/>
        <v>47</v>
      </c>
      <c r="AZ52" s="49">
        <f t="shared" si="79"/>
        <v>48</v>
      </c>
      <c r="BA52" s="49">
        <f t="shared" si="79"/>
        <v>49</v>
      </c>
      <c r="BB52" s="49">
        <f t="shared" si="79"/>
        <v>50</v>
      </c>
      <c r="BC52" s="49">
        <f t="shared" si="79"/>
        <v>51</v>
      </c>
      <c r="BD52" s="49">
        <f t="shared" si="79"/>
        <v>52</v>
      </c>
      <c r="BE52" s="49">
        <f t="shared" si="79"/>
        <v>53</v>
      </c>
      <c r="BF52" s="49">
        <f t="shared" si="79"/>
        <v>54</v>
      </c>
      <c r="BG52" s="49">
        <f t="shared" si="79"/>
        <v>55</v>
      </c>
      <c r="BH52" s="49">
        <f t="shared" si="79"/>
        <v>56</v>
      </c>
      <c r="BI52" s="49">
        <f t="shared" si="79"/>
        <v>57</v>
      </c>
      <c r="BJ52" s="49">
        <f t="shared" si="79"/>
        <v>58</v>
      </c>
      <c r="BK52" s="49">
        <f t="shared" si="79"/>
        <v>59</v>
      </c>
      <c r="BL52" s="49">
        <f t="shared" si="79"/>
        <v>60</v>
      </c>
    </row>
    <row r="53" spans="2:64" x14ac:dyDescent="0.2">
      <c r="B53" s="1" t="s">
        <v>42</v>
      </c>
      <c r="C53" s="19">
        <f>SUM(D53:BL53)</f>
        <v>2654815.9059904497</v>
      </c>
      <c r="D53" s="4">
        <f>D81</f>
        <v>0</v>
      </c>
      <c r="E53" s="4">
        <f t="shared" ref="E53:BL53" si="80">E81</f>
        <v>0</v>
      </c>
      <c r="F53" s="4">
        <f t="shared" si="80"/>
        <v>0</v>
      </c>
      <c r="G53" s="4">
        <f t="shared" si="80"/>
        <v>0</v>
      </c>
      <c r="H53" s="4">
        <f t="shared" si="80"/>
        <v>0</v>
      </c>
      <c r="I53" s="4">
        <f t="shared" si="80"/>
        <v>0</v>
      </c>
      <c r="J53" s="4">
        <f t="shared" si="80"/>
        <v>0</v>
      </c>
      <c r="K53" s="4">
        <f t="shared" si="80"/>
        <v>46691.155990449624</v>
      </c>
      <c r="L53" s="4">
        <f t="shared" si="80"/>
        <v>237102.25</v>
      </c>
      <c r="M53" s="4">
        <f>M81</f>
        <v>237102.25</v>
      </c>
      <c r="N53" s="4">
        <f t="shared" si="80"/>
        <v>237102.25</v>
      </c>
      <c r="O53" s="4">
        <f t="shared" si="80"/>
        <v>237102.25</v>
      </c>
      <c r="P53" s="4">
        <f t="shared" si="80"/>
        <v>237102.25</v>
      </c>
      <c r="Q53" s="4">
        <f t="shared" si="80"/>
        <v>237102.25</v>
      </c>
      <c r="R53" s="4">
        <f t="shared" si="80"/>
        <v>237102.25</v>
      </c>
      <c r="S53" s="4">
        <f t="shared" si="80"/>
        <v>237102.25</v>
      </c>
      <c r="T53" s="4">
        <f t="shared" si="80"/>
        <v>237102.25</v>
      </c>
      <c r="U53" s="4">
        <f t="shared" si="80"/>
        <v>237102.25</v>
      </c>
      <c r="V53" s="4">
        <f t="shared" si="80"/>
        <v>237102.25</v>
      </c>
      <c r="W53" s="4">
        <f t="shared" si="80"/>
        <v>0</v>
      </c>
      <c r="X53" s="4">
        <f t="shared" si="80"/>
        <v>0</v>
      </c>
      <c r="Y53" s="4">
        <f t="shared" si="80"/>
        <v>0</v>
      </c>
      <c r="Z53" s="4">
        <f t="shared" si="80"/>
        <v>0</v>
      </c>
      <c r="AA53" s="4">
        <f t="shared" si="80"/>
        <v>0</v>
      </c>
      <c r="AB53" s="4">
        <f t="shared" si="80"/>
        <v>0</v>
      </c>
      <c r="AC53" s="4">
        <f t="shared" si="80"/>
        <v>0</v>
      </c>
      <c r="AD53" s="4">
        <f t="shared" si="80"/>
        <v>0</v>
      </c>
      <c r="AE53" s="4">
        <f t="shared" si="80"/>
        <v>0</v>
      </c>
      <c r="AF53" s="4">
        <f t="shared" si="80"/>
        <v>0</v>
      </c>
      <c r="AG53" s="4">
        <f t="shared" si="80"/>
        <v>0</v>
      </c>
      <c r="AH53" s="4">
        <f t="shared" si="80"/>
        <v>0</v>
      </c>
      <c r="AI53" s="4">
        <f t="shared" si="80"/>
        <v>0</v>
      </c>
      <c r="AJ53" s="4">
        <f t="shared" si="80"/>
        <v>0</v>
      </c>
      <c r="AK53" s="4">
        <f t="shared" si="80"/>
        <v>0</v>
      </c>
      <c r="AL53" s="4">
        <f t="shared" si="80"/>
        <v>0</v>
      </c>
      <c r="AM53" s="4">
        <f t="shared" si="80"/>
        <v>0</v>
      </c>
      <c r="AN53" s="4">
        <f t="shared" si="80"/>
        <v>0</v>
      </c>
      <c r="AO53" s="4">
        <f t="shared" si="80"/>
        <v>0</v>
      </c>
      <c r="AP53" s="4">
        <f t="shared" si="80"/>
        <v>0</v>
      </c>
      <c r="AQ53" s="4">
        <f t="shared" si="80"/>
        <v>0</v>
      </c>
      <c r="AR53" s="4">
        <f t="shared" si="80"/>
        <v>0</v>
      </c>
      <c r="AS53" s="4">
        <f t="shared" si="80"/>
        <v>0</v>
      </c>
      <c r="AT53" s="4">
        <f t="shared" si="80"/>
        <v>0</v>
      </c>
      <c r="AU53" s="4">
        <f t="shared" si="80"/>
        <v>0</v>
      </c>
      <c r="AV53" s="4">
        <f t="shared" si="80"/>
        <v>0</v>
      </c>
      <c r="AW53" s="4">
        <f t="shared" si="80"/>
        <v>0</v>
      </c>
      <c r="AX53" s="4">
        <f t="shared" si="80"/>
        <v>0</v>
      </c>
      <c r="AY53" s="4">
        <f t="shared" si="80"/>
        <v>0</v>
      </c>
      <c r="AZ53" s="4">
        <f t="shared" si="80"/>
        <v>0</v>
      </c>
      <c r="BA53" s="4">
        <f t="shared" si="80"/>
        <v>0</v>
      </c>
      <c r="BB53" s="4">
        <f t="shared" si="80"/>
        <v>0</v>
      </c>
      <c r="BC53" s="4">
        <f t="shared" si="80"/>
        <v>0</v>
      </c>
      <c r="BD53" s="4">
        <f t="shared" si="80"/>
        <v>0</v>
      </c>
      <c r="BE53" s="4">
        <f t="shared" si="80"/>
        <v>0</v>
      </c>
      <c r="BF53" s="4">
        <f t="shared" si="80"/>
        <v>0</v>
      </c>
      <c r="BG53" s="4">
        <f t="shared" si="80"/>
        <v>0</v>
      </c>
      <c r="BH53" s="4">
        <f t="shared" si="80"/>
        <v>0</v>
      </c>
      <c r="BI53" s="4">
        <f t="shared" si="80"/>
        <v>0</v>
      </c>
      <c r="BJ53" s="4">
        <f t="shared" si="80"/>
        <v>0</v>
      </c>
      <c r="BK53" s="4">
        <f t="shared" si="80"/>
        <v>0</v>
      </c>
      <c r="BL53" s="4">
        <f t="shared" si="80"/>
        <v>0</v>
      </c>
    </row>
    <row r="54" spans="2:64" x14ac:dyDescent="0.2">
      <c r="B54" s="1" t="s">
        <v>43</v>
      </c>
      <c r="C54" s="21">
        <f>SUM(D54:BL54)</f>
        <v>4602240</v>
      </c>
      <c r="D54" s="11">
        <f t="shared" ref="D54:AI54" si="81">D23</f>
        <v>0</v>
      </c>
      <c r="E54" s="11">
        <f t="shared" si="81"/>
        <v>0</v>
      </c>
      <c r="F54" s="11">
        <f t="shared" si="81"/>
        <v>0</v>
      </c>
      <c r="G54" s="11">
        <f t="shared" si="81"/>
        <v>0</v>
      </c>
      <c r="H54" s="11">
        <f t="shared" si="81"/>
        <v>0</v>
      </c>
      <c r="I54" s="11">
        <f t="shared" si="81"/>
        <v>0</v>
      </c>
      <c r="J54" s="11">
        <f t="shared" si="81"/>
        <v>0</v>
      </c>
      <c r="K54" s="11">
        <f t="shared" si="81"/>
        <v>0</v>
      </c>
      <c r="L54" s="11">
        <f t="shared" si="81"/>
        <v>0</v>
      </c>
      <c r="M54" s="11">
        <f t="shared" si="81"/>
        <v>0</v>
      </c>
      <c r="N54" s="11">
        <f t="shared" si="81"/>
        <v>0</v>
      </c>
      <c r="O54" s="11">
        <f t="shared" si="81"/>
        <v>0</v>
      </c>
      <c r="P54" s="11">
        <f t="shared" si="81"/>
        <v>0</v>
      </c>
      <c r="Q54" s="11">
        <f t="shared" si="81"/>
        <v>0</v>
      </c>
      <c r="R54" s="11">
        <f t="shared" si="81"/>
        <v>0</v>
      </c>
      <c r="S54" s="11">
        <f t="shared" si="81"/>
        <v>0</v>
      </c>
      <c r="T54" s="11">
        <f t="shared" si="81"/>
        <v>0</v>
      </c>
      <c r="U54" s="11">
        <f t="shared" si="81"/>
        <v>0</v>
      </c>
      <c r="V54" s="11">
        <f t="shared" si="81"/>
        <v>0</v>
      </c>
      <c r="W54" s="11">
        <f>W23</f>
        <v>920448</v>
      </c>
      <c r="X54" s="11">
        <f t="shared" si="81"/>
        <v>920448</v>
      </c>
      <c r="Y54" s="11">
        <f t="shared" si="81"/>
        <v>920448</v>
      </c>
      <c r="Z54" s="11">
        <f t="shared" si="81"/>
        <v>920448</v>
      </c>
      <c r="AA54" s="11">
        <f t="shared" si="81"/>
        <v>920448</v>
      </c>
      <c r="AB54" s="11">
        <f t="shared" si="81"/>
        <v>0</v>
      </c>
      <c r="AC54" s="11">
        <f t="shared" si="81"/>
        <v>0</v>
      </c>
      <c r="AD54" s="11">
        <f t="shared" si="81"/>
        <v>0</v>
      </c>
      <c r="AE54" s="11">
        <f t="shared" si="81"/>
        <v>0</v>
      </c>
      <c r="AF54" s="11">
        <f t="shared" si="81"/>
        <v>0</v>
      </c>
      <c r="AG54" s="11">
        <f t="shared" si="81"/>
        <v>0</v>
      </c>
      <c r="AH54" s="11">
        <f t="shared" si="81"/>
        <v>0</v>
      </c>
      <c r="AI54" s="11">
        <f t="shared" si="81"/>
        <v>0</v>
      </c>
      <c r="AJ54" s="11">
        <f t="shared" ref="AJ54:BL54" si="82">AJ23</f>
        <v>0</v>
      </c>
      <c r="AK54" s="11">
        <f t="shared" si="82"/>
        <v>0</v>
      </c>
      <c r="AL54" s="11">
        <f t="shared" si="82"/>
        <v>0</v>
      </c>
      <c r="AM54" s="11">
        <f t="shared" si="82"/>
        <v>0</v>
      </c>
      <c r="AN54" s="11">
        <f t="shared" si="82"/>
        <v>0</v>
      </c>
      <c r="AO54" s="11">
        <f t="shared" si="82"/>
        <v>0</v>
      </c>
      <c r="AP54" s="11">
        <f t="shared" si="82"/>
        <v>0</v>
      </c>
      <c r="AQ54" s="11">
        <f t="shared" si="82"/>
        <v>0</v>
      </c>
      <c r="AR54" s="11">
        <f t="shared" si="82"/>
        <v>0</v>
      </c>
      <c r="AS54" s="11">
        <f t="shared" si="82"/>
        <v>0</v>
      </c>
      <c r="AT54" s="11">
        <f t="shared" si="82"/>
        <v>0</v>
      </c>
      <c r="AU54" s="11">
        <f t="shared" si="82"/>
        <v>0</v>
      </c>
      <c r="AV54" s="11">
        <f t="shared" si="82"/>
        <v>0</v>
      </c>
      <c r="AW54" s="11">
        <f t="shared" si="82"/>
        <v>0</v>
      </c>
      <c r="AX54" s="11">
        <f t="shared" si="82"/>
        <v>0</v>
      </c>
      <c r="AY54" s="11">
        <f t="shared" si="82"/>
        <v>0</v>
      </c>
      <c r="AZ54" s="11">
        <f t="shared" si="82"/>
        <v>0</v>
      </c>
      <c r="BA54" s="11">
        <f t="shared" si="82"/>
        <v>0</v>
      </c>
      <c r="BB54" s="11">
        <f t="shared" si="82"/>
        <v>0</v>
      </c>
      <c r="BC54" s="11">
        <f t="shared" si="82"/>
        <v>0</v>
      </c>
      <c r="BD54" s="11">
        <f t="shared" si="82"/>
        <v>0</v>
      </c>
      <c r="BE54" s="11">
        <f t="shared" si="82"/>
        <v>0</v>
      </c>
      <c r="BF54" s="11">
        <f t="shared" si="82"/>
        <v>0</v>
      </c>
      <c r="BG54" s="11">
        <f t="shared" si="82"/>
        <v>0</v>
      </c>
      <c r="BH54" s="11">
        <f t="shared" si="82"/>
        <v>0</v>
      </c>
      <c r="BI54" s="11">
        <f t="shared" si="82"/>
        <v>0</v>
      </c>
      <c r="BJ54" s="11">
        <f t="shared" si="82"/>
        <v>0</v>
      </c>
      <c r="BK54" s="11">
        <f t="shared" si="82"/>
        <v>0</v>
      </c>
      <c r="BL54" s="11">
        <f t="shared" si="82"/>
        <v>0</v>
      </c>
    </row>
    <row r="55" spans="2:64" s="2" customFormat="1" x14ac:dyDescent="0.2">
      <c r="B55" s="2" t="s">
        <v>17</v>
      </c>
      <c r="C55" s="20">
        <f t="shared" ref="C55:AH55" si="83">SUM(C53:C54)</f>
        <v>7257055.9059904497</v>
      </c>
      <c r="D55" s="20">
        <f t="shared" si="83"/>
        <v>0</v>
      </c>
      <c r="E55" s="20">
        <f t="shared" si="83"/>
        <v>0</v>
      </c>
      <c r="F55" s="20">
        <f t="shared" si="83"/>
        <v>0</v>
      </c>
      <c r="G55" s="20">
        <f t="shared" si="83"/>
        <v>0</v>
      </c>
      <c r="H55" s="20">
        <f t="shared" si="83"/>
        <v>0</v>
      </c>
      <c r="I55" s="20">
        <f t="shared" si="83"/>
        <v>0</v>
      </c>
      <c r="J55" s="20">
        <f t="shared" si="83"/>
        <v>0</v>
      </c>
      <c r="K55" s="20">
        <f t="shared" si="83"/>
        <v>46691.155990449624</v>
      </c>
      <c r="L55" s="20">
        <f t="shared" si="83"/>
        <v>237102.25</v>
      </c>
      <c r="M55" s="20">
        <f t="shared" si="83"/>
        <v>237102.25</v>
      </c>
      <c r="N55" s="20">
        <f t="shared" si="83"/>
        <v>237102.25</v>
      </c>
      <c r="O55" s="20">
        <f t="shared" si="83"/>
        <v>237102.25</v>
      </c>
      <c r="P55" s="20">
        <f t="shared" si="83"/>
        <v>237102.25</v>
      </c>
      <c r="Q55" s="20">
        <f t="shared" si="83"/>
        <v>237102.25</v>
      </c>
      <c r="R55" s="20">
        <f t="shared" si="83"/>
        <v>237102.25</v>
      </c>
      <c r="S55" s="20">
        <f t="shared" si="83"/>
        <v>237102.25</v>
      </c>
      <c r="T55" s="20">
        <f t="shared" si="83"/>
        <v>237102.25</v>
      </c>
      <c r="U55" s="20">
        <f t="shared" si="83"/>
        <v>237102.25</v>
      </c>
      <c r="V55" s="20">
        <f t="shared" si="83"/>
        <v>237102.25</v>
      </c>
      <c r="W55" s="20">
        <f t="shared" si="83"/>
        <v>920448</v>
      </c>
      <c r="X55" s="20">
        <f t="shared" si="83"/>
        <v>920448</v>
      </c>
      <c r="Y55" s="20">
        <f t="shared" si="83"/>
        <v>920448</v>
      </c>
      <c r="Z55" s="20">
        <f t="shared" si="83"/>
        <v>920448</v>
      </c>
      <c r="AA55" s="20">
        <f t="shared" si="83"/>
        <v>920448</v>
      </c>
      <c r="AB55" s="20">
        <f t="shared" si="83"/>
        <v>0</v>
      </c>
      <c r="AC55" s="20">
        <f t="shared" si="83"/>
        <v>0</v>
      </c>
      <c r="AD55" s="20">
        <f t="shared" si="83"/>
        <v>0</v>
      </c>
      <c r="AE55" s="20">
        <f t="shared" si="83"/>
        <v>0</v>
      </c>
      <c r="AF55" s="20">
        <f t="shared" si="83"/>
        <v>0</v>
      </c>
      <c r="AG55" s="20">
        <f t="shared" si="83"/>
        <v>0</v>
      </c>
      <c r="AH55" s="20">
        <f t="shared" si="83"/>
        <v>0</v>
      </c>
      <c r="AI55" s="20">
        <f t="shared" ref="AI55:BL55" si="84">SUM(AI53:AI54)</f>
        <v>0</v>
      </c>
      <c r="AJ55" s="20">
        <f t="shared" si="84"/>
        <v>0</v>
      </c>
      <c r="AK55" s="20">
        <f t="shared" si="84"/>
        <v>0</v>
      </c>
      <c r="AL55" s="20">
        <f t="shared" si="84"/>
        <v>0</v>
      </c>
      <c r="AM55" s="20">
        <f t="shared" si="84"/>
        <v>0</v>
      </c>
      <c r="AN55" s="20">
        <f t="shared" si="84"/>
        <v>0</v>
      </c>
      <c r="AO55" s="20">
        <f t="shared" si="84"/>
        <v>0</v>
      </c>
      <c r="AP55" s="20">
        <f t="shared" si="84"/>
        <v>0</v>
      </c>
      <c r="AQ55" s="20">
        <f t="shared" si="84"/>
        <v>0</v>
      </c>
      <c r="AR55" s="20">
        <f t="shared" si="84"/>
        <v>0</v>
      </c>
      <c r="AS55" s="20">
        <f t="shared" si="84"/>
        <v>0</v>
      </c>
      <c r="AT55" s="20">
        <f t="shared" si="84"/>
        <v>0</v>
      </c>
      <c r="AU55" s="20">
        <f t="shared" si="84"/>
        <v>0</v>
      </c>
      <c r="AV55" s="20">
        <f t="shared" si="84"/>
        <v>0</v>
      </c>
      <c r="AW55" s="20">
        <f t="shared" si="84"/>
        <v>0</v>
      </c>
      <c r="AX55" s="20">
        <f t="shared" si="84"/>
        <v>0</v>
      </c>
      <c r="AY55" s="20">
        <f t="shared" si="84"/>
        <v>0</v>
      </c>
      <c r="AZ55" s="20">
        <f t="shared" si="84"/>
        <v>0</v>
      </c>
      <c r="BA55" s="20">
        <f t="shared" si="84"/>
        <v>0</v>
      </c>
      <c r="BB55" s="20">
        <f t="shared" si="84"/>
        <v>0</v>
      </c>
      <c r="BC55" s="20">
        <f t="shared" si="84"/>
        <v>0</v>
      </c>
      <c r="BD55" s="20">
        <f t="shared" si="84"/>
        <v>0</v>
      </c>
      <c r="BE55" s="20">
        <f t="shared" si="84"/>
        <v>0</v>
      </c>
      <c r="BF55" s="20">
        <f t="shared" si="84"/>
        <v>0</v>
      </c>
      <c r="BG55" s="20">
        <f t="shared" si="84"/>
        <v>0</v>
      </c>
      <c r="BH55" s="20">
        <f t="shared" si="84"/>
        <v>0</v>
      </c>
      <c r="BI55" s="20">
        <f t="shared" si="84"/>
        <v>0</v>
      </c>
      <c r="BJ55" s="20">
        <f t="shared" si="84"/>
        <v>0</v>
      </c>
      <c r="BK55" s="20">
        <f t="shared" si="84"/>
        <v>0</v>
      </c>
      <c r="BL55" s="20">
        <f t="shared" si="84"/>
        <v>0</v>
      </c>
    </row>
    <row r="56" spans="2:64" x14ac:dyDescent="0.2"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</row>
    <row r="57" spans="2:64" x14ac:dyDescent="0.2">
      <c r="B57" t="s">
        <v>0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</row>
    <row r="58" spans="2:64" x14ac:dyDescent="0.2">
      <c r="B58" s="1" t="s">
        <v>1</v>
      </c>
      <c r="C58" s="19">
        <f>SUM(D58:BL58)</f>
        <v>1003218.5</v>
      </c>
      <c r="D58" s="4">
        <f t="shared" ref="D58:AI58" si="85">D32</f>
        <v>100000</v>
      </c>
      <c r="E58" s="4">
        <f t="shared" si="85"/>
        <v>903218.5</v>
      </c>
      <c r="F58" s="4">
        <f t="shared" si="85"/>
        <v>0</v>
      </c>
      <c r="G58" s="4">
        <f t="shared" si="85"/>
        <v>0</v>
      </c>
      <c r="H58" s="4">
        <f t="shared" si="85"/>
        <v>0</v>
      </c>
      <c r="I58" s="4">
        <f t="shared" si="85"/>
        <v>0</v>
      </c>
      <c r="J58" s="4">
        <f t="shared" si="85"/>
        <v>0</v>
      </c>
      <c r="K58" s="4">
        <f t="shared" si="85"/>
        <v>0</v>
      </c>
      <c r="L58" s="4">
        <f t="shared" si="85"/>
        <v>0</v>
      </c>
      <c r="M58" s="4">
        <f t="shared" si="85"/>
        <v>0</v>
      </c>
      <c r="N58" s="4">
        <f t="shared" si="85"/>
        <v>0</v>
      </c>
      <c r="O58" s="4">
        <f t="shared" si="85"/>
        <v>0</v>
      </c>
      <c r="P58" s="4">
        <f t="shared" si="85"/>
        <v>0</v>
      </c>
      <c r="Q58" s="4">
        <f t="shared" si="85"/>
        <v>0</v>
      </c>
      <c r="R58" s="4">
        <f t="shared" si="85"/>
        <v>0</v>
      </c>
      <c r="S58" s="4">
        <f t="shared" si="85"/>
        <v>0</v>
      </c>
      <c r="T58" s="4">
        <f t="shared" si="85"/>
        <v>0</v>
      </c>
      <c r="U58" s="4">
        <f t="shared" si="85"/>
        <v>0</v>
      </c>
      <c r="V58" s="4">
        <f t="shared" si="85"/>
        <v>0</v>
      </c>
      <c r="W58" s="4">
        <f t="shared" si="85"/>
        <v>0</v>
      </c>
      <c r="X58" s="4">
        <f t="shared" si="85"/>
        <v>0</v>
      </c>
      <c r="Y58" s="4">
        <f t="shared" si="85"/>
        <v>0</v>
      </c>
      <c r="Z58" s="4">
        <f t="shared" si="85"/>
        <v>0</v>
      </c>
      <c r="AA58" s="4">
        <f t="shared" si="85"/>
        <v>0</v>
      </c>
      <c r="AB58" s="4">
        <f t="shared" si="85"/>
        <v>0</v>
      </c>
      <c r="AC58" s="4">
        <f t="shared" si="85"/>
        <v>0</v>
      </c>
      <c r="AD58" s="4">
        <f t="shared" si="85"/>
        <v>0</v>
      </c>
      <c r="AE58" s="4">
        <f t="shared" si="85"/>
        <v>0</v>
      </c>
      <c r="AF58" s="4">
        <f t="shared" si="85"/>
        <v>0</v>
      </c>
      <c r="AG58" s="4">
        <f t="shared" si="85"/>
        <v>0</v>
      </c>
      <c r="AH58" s="4">
        <f t="shared" si="85"/>
        <v>0</v>
      </c>
      <c r="AI58" s="4">
        <f t="shared" si="85"/>
        <v>0</v>
      </c>
      <c r="AJ58" s="4">
        <f t="shared" ref="AJ58:BL58" si="86">AJ32</f>
        <v>0</v>
      </c>
      <c r="AK58" s="4">
        <f t="shared" si="86"/>
        <v>0</v>
      </c>
      <c r="AL58" s="4">
        <f t="shared" si="86"/>
        <v>0</v>
      </c>
      <c r="AM58" s="4">
        <f t="shared" si="86"/>
        <v>0</v>
      </c>
      <c r="AN58" s="4">
        <f t="shared" si="86"/>
        <v>0</v>
      </c>
      <c r="AO58" s="4">
        <f t="shared" si="86"/>
        <v>0</v>
      </c>
      <c r="AP58" s="4">
        <f t="shared" si="86"/>
        <v>0</v>
      </c>
      <c r="AQ58" s="4">
        <f t="shared" si="86"/>
        <v>0</v>
      </c>
      <c r="AR58" s="4">
        <f t="shared" si="86"/>
        <v>0</v>
      </c>
      <c r="AS58" s="4">
        <f t="shared" si="86"/>
        <v>0</v>
      </c>
      <c r="AT58" s="4">
        <f t="shared" si="86"/>
        <v>0</v>
      </c>
      <c r="AU58" s="4">
        <f t="shared" si="86"/>
        <v>0</v>
      </c>
      <c r="AV58" s="4">
        <f t="shared" si="86"/>
        <v>0</v>
      </c>
      <c r="AW58" s="4">
        <f t="shared" si="86"/>
        <v>0</v>
      </c>
      <c r="AX58" s="4">
        <f t="shared" si="86"/>
        <v>0</v>
      </c>
      <c r="AY58" s="4">
        <f t="shared" si="86"/>
        <v>0</v>
      </c>
      <c r="AZ58" s="4">
        <f t="shared" si="86"/>
        <v>0</v>
      </c>
      <c r="BA58" s="4">
        <f t="shared" si="86"/>
        <v>0</v>
      </c>
      <c r="BB58" s="4">
        <f t="shared" si="86"/>
        <v>0</v>
      </c>
      <c r="BC58" s="4">
        <f t="shared" si="86"/>
        <v>0</v>
      </c>
      <c r="BD58" s="4">
        <f t="shared" si="86"/>
        <v>0</v>
      </c>
      <c r="BE58" s="4">
        <f t="shared" si="86"/>
        <v>0</v>
      </c>
      <c r="BF58" s="4">
        <f t="shared" si="86"/>
        <v>0</v>
      </c>
      <c r="BG58" s="4">
        <f t="shared" si="86"/>
        <v>0</v>
      </c>
      <c r="BH58" s="4">
        <f t="shared" si="86"/>
        <v>0</v>
      </c>
      <c r="BI58" s="4">
        <f t="shared" si="86"/>
        <v>0</v>
      </c>
      <c r="BJ58" s="4">
        <f t="shared" si="86"/>
        <v>0</v>
      </c>
      <c r="BK58" s="4">
        <f t="shared" si="86"/>
        <v>0</v>
      </c>
      <c r="BL58" s="4">
        <f t="shared" si="86"/>
        <v>0</v>
      </c>
    </row>
    <row r="59" spans="2:64" x14ac:dyDescent="0.2">
      <c r="B59" s="1" t="s">
        <v>10</v>
      </c>
      <c r="C59" s="19">
        <f t="shared" ref="C59:C63" si="87">SUM(D59:BL59)</f>
        <v>100000.00000000001</v>
      </c>
      <c r="D59" s="4">
        <f t="shared" ref="D59:AI59" si="88">D38</f>
        <v>0</v>
      </c>
      <c r="E59" s="4">
        <f t="shared" si="88"/>
        <v>16666.666666666668</v>
      </c>
      <c r="F59" s="4">
        <f t="shared" si="88"/>
        <v>16666.666666666668</v>
      </c>
      <c r="G59" s="4">
        <f t="shared" si="88"/>
        <v>16666.666666666668</v>
      </c>
      <c r="H59" s="4">
        <f t="shared" si="88"/>
        <v>16666.666666666668</v>
      </c>
      <c r="I59" s="4">
        <f t="shared" si="88"/>
        <v>16666.666666666668</v>
      </c>
      <c r="J59" s="4">
        <f t="shared" si="88"/>
        <v>16666.666666666668</v>
      </c>
      <c r="K59" s="4">
        <f t="shared" si="88"/>
        <v>0</v>
      </c>
      <c r="L59" s="4">
        <f t="shared" si="88"/>
        <v>0</v>
      </c>
      <c r="M59" s="4">
        <f t="shared" si="88"/>
        <v>0</v>
      </c>
      <c r="N59" s="4">
        <f t="shared" si="88"/>
        <v>0</v>
      </c>
      <c r="O59" s="4">
        <f t="shared" si="88"/>
        <v>0</v>
      </c>
      <c r="P59" s="4">
        <f t="shared" si="88"/>
        <v>0</v>
      </c>
      <c r="Q59" s="4">
        <f t="shared" si="88"/>
        <v>0</v>
      </c>
      <c r="R59" s="4">
        <f t="shared" si="88"/>
        <v>0</v>
      </c>
      <c r="S59" s="4">
        <f t="shared" si="88"/>
        <v>0</v>
      </c>
      <c r="T59" s="4">
        <f t="shared" si="88"/>
        <v>0</v>
      </c>
      <c r="U59" s="4">
        <f t="shared" si="88"/>
        <v>0</v>
      </c>
      <c r="V59" s="4">
        <f t="shared" si="88"/>
        <v>0</v>
      </c>
      <c r="W59" s="4">
        <f t="shared" si="88"/>
        <v>0</v>
      </c>
      <c r="X59" s="4">
        <f t="shared" si="88"/>
        <v>0</v>
      </c>
      <c r="Y59" s="4">
        <f t="shared" si="88"/>
        <v>0</v>
      </c>
      <c r="Z59" s="4">
        <f t="shared" si="88"/>
        <v>0</v>
      </c>
      <c r="AA59" s="4">
        <f t="shared" si="88"/>
        <v>0</v>
      </c>
      <c r="AB59" s="4">
        <f t="shared" si="88"/>
        <v>0</v>
      </c>
      <c r="AC59" s="4">
        <f t="shared" si="88"/>
        <v>0</v>
      </c>
      <c r="AD59" s="4">
        <f t="shared" si="88"/>
        <v>0</v>
      </c>
      <c r="AE59" s="4">
        <f t="shared" si="88"/>
        <v>0</v>
      </c>
      <c r="AF59" s="4">
        <f t="shared" si="88"/>
        <v>0</v>
      </c>
      <c r="AG59" s="4">
        <f t="shared" si="88"/>
        <v>0</v>
      </c>
      <c r="AH59" s="4">
        <f t="shared" si="88"/>
        <v>0</v>
      </c>
      <c r="AI59" s="4">
        <f t="shared" si="88"/>
        <v>0</v>
      </c>
      <c r="AJ59" s="4">
        <f t="shared" ref="AJ59:BL59" si="89">AJ38</f>
        <v>0</v>
      </c>
      <c r="AK59" s="4">
        <f t="shared" si="89"/>
        <v>0</v>
      </c>
      <c r="AL59" s="4">
        <f t="shared" si="89"/>
        <v>0</v>
      </c>
      <c r="AM59" s="4">
        <f t="shared" si="89"/>
        <v>0</v>
      </c>
      <c r="AN59" s="4">
        <f t="shared" si="89"/>
        <v>0</v>
      </c>
      <c r="AO59" s="4">
        <f t="shared" si="89"/>
        <v>0</v>
      </c>
      <c r="AP59" s="4">
        <f t="shared" si="89"/>
        <v>0</v>
      </c>
      <c r="AQ59" s="4">
        <f t="shared" si="89"/>
        <v>0</v>
      </c>
      <c r="AR59" s="4">
        <f t="shared" si="89"/>
        <v>0</v>
      </c>
      <c r="AS59" s="4">
        <f t="shared" si="89"/>
        <v>0</v>
      </c>
      <c r="AT59" s="4">
        <f t="shared" si="89"/>
        <v>0</v>
      </c>
      <c r="AU59" s="4">
        <f t="shared" si="89"/>
        <v>0</v>
      </c>
      <c r="AV59" s="4">
        <f t="shared" si="89"/>
        <v>0</v>
      </c>
      <c r="AW59" s="4">
        <f t="shared" si="89"/>
        <v>0</v>
      </c>
      <c r="AX59" s="4">
        <f t="shared" si="89"/>
        <v>0</v>
      </c>
      <c r="AY59" s="4">
        <f t="shared" si="89"/>
        <v>0</v>
      </c>
      <c r="AZ59" s="4">
        <f t="shared" si="89"/>
        <v>0</v>
      </c>
      <c r="BA59" s="4">
        <f t="shared" si="89"/>
        <v>0</v>
      </c>
      <c r="BB59" s="4">
        <f t="shared" si="89"/>
        <v>0</v>
      </c>
      <c r="BC59" s="4">
        <f t="shared" si="89"/>
        <v>0</v>
      </c>
      <c r="BD59" s="4">
        <f t="shared" si="89"/>
        <v>0</v>
      </c>
      <c r="BE59" s="4">
        <f t="shared" si="89"/>
        <v>0</v>
      </c>
      <c r="BF59" s="4">
        <f t="shared" si="89"/>
        <v>0</v>
      </c>
      <c r="BG59" s="4">
        <f t="shared" si="89"/>
        <v>0</v>
      </c>
      <c r="BH59" s="4">
        <f t="shared" si="89"/>
        <v>0</v>
      </c>
      <c r="BI59" s="4">
        <f t="shared" si="89"/>
        <v>0</v>
      </c>
      <c r="BJ59" s="4">
        <f t="shared" si="89"/>
        <v>0</v>
      </c>
      <c r="BK59" s="4">
        <f t="shared" si="89"/>
        <v>0</v>
      </c>
      <c r="BL59" s="4">
        <f t="shared" si="89"/>
        <v>0</v>
      </c>
    </row>
    <row r="60" spans="2:64" x14ac:dyDescent="0.2">
      <c r="B60" s="1" t="s">
        <v>45</v>
      </c>
      <c r="C60" s="19">
        <f t="shared" si="87"/>
        <v>2845227</v>
      </c>
      <c r="D60" s="4">
        <f t="shared" ref="D60:AI60" si="90">D40</f>
        <v>0</v>
      </c>
      <c r="E60" s="4">
        <f t="shared" si="90"/>
        <v>0</v>
      </c>
      <c r="F60" s="4">
        <f t="shared" si="90"/>
        <v>0</v>
      </c>
      <c r="G60" s="4">
        <f t="shared" si="90"/>
        <v>0</v>
      </c>
      <c r="H60" s="4">
        <f t="shared" si="90"/>
        <v>0</v>
      </c>
      <c r="I60" s="4">
        <f t="shared" si="90"/>
        <v>0</v>
      </c>
      <c r="J60" s="4">
        <f t="shared" si="90"/>
        <v>0</v>
      </c>
      <c r="K60" s="4">
        <f t="shared" si="90"/>
        <v>237102.25</v>
      </c>
      <c r="L60" s="4">
        <f t="shared" si="90"/>
        <v>237102.25</v>
      </c>
      <c r="M60" s="4">
        <f t="shared" si="90"/>
        <v>237102.25</v>
      </c>
      <c r="N60" s="4">
        <f t="shared" si="90"/>
        <v>237102.25</v>
      </c>
      <c r="O60" s="4">
        <f t="shared" si="90"/>
        <v>237102.25</v>
      </c>
      <c r="P60" s="4">
        <f t="shared" si="90"/>
        <v>237102.25</v>
      </c>
      <c r="Q60" s="4">
        <f t="shared" si="90"/>
        <v>237102.25</v>
      </c>
      <c r="R60" s="4">
        <f t="shared" si="90"/>
        <v>237102.25</v>
      </c>
      <c r="S60" s="4">
        <f t="shared" si="90"/>
        <v>237102.25</v>
      </c>
      <c r="T60" s="4">
        <f t="shared" si="90"/>
        <v>237102.25</v>
      </c>
      <c r="U60" s="4">
        <f t="shared" si="90"/>
        <v>237102.25</v>
      </c>
      <c r="V60" s="4">
        <f t="shared" si="90"/>
        <v>237102.25</v>
      </c>
      <c r="W60" s="4">
        <f t="shared" si="90"/>
        <v>0</v>
      </c>
      <c r="X60" s="4">
        <f t="shared" si="90"/>
        <v>0</v>
      </c>
      <c r="Y60" s="4">
        <f t="shared" si="90"/>
        <v>0</v>
      </c>
      <c r="Z60" s="4">
        <f t="shared" si="90"/>
        <v>0</v>
      </c>
      <c r="AA60" s="4">
        <f t="shared" si="90"/>
        <v>0</v>
      </c>
      <c r="AB60" s="4">
        <f t="shared" si="90"/>
        <v>0</v>
      </c>
      <c r="AC60" s="4">
        <f t="shared" si="90"/>
        <v>0</v>
      </c>
      <c r="AD60" s="4">
        <f t="shared" si="90"/>
        <v>0</v>
      </c>
      <c r="AE60" s="4">
        <f t="shared" si="90"/>
        <v>0</v>
      </c>
      <c r="AF60" s="4">
        <f t="shared" si="90"/>
        <v>0</v>
      </c>
      <c r="AG60" s="4">
        <f t="shared" si="90"/>
        <v>0</v>
      </c>
      <c r="AH60" s="4">
        <f t="shared" si="90"/>
        <v>0</v>
      </c>
      <c r="AI60" s="4">
        <f t="shared" si="90"/>
        <v>0</v>
      </c>
      <c r="AJ60" s="4">
        <f t="shared" ref="AJ60:BL60" si="91">AJ40</f>
        <v>0</v>
      </c>
      <c r="AK60" s="4">
        <f t="shared" si="91"/>
        <v>0</v>
      </c>
      <c r="AL60" s="4">
        <f t="shared" si="91"/>
        <v>0</v>
      </c>
      <c r="AM60" s="4">
        <f t="shared" si="91"/>
        <v>0</v>
      </c>
      <c r="AN60" s="4">
        <f t="shared" si="91"/>
        <v>0</v>
      </c>
      <c r="AO60" s="4">
        <f t="shared" si="91"/>
        <v>0</v>
      </c>
      <c r="AP60" s="4">
        <f t="shared" si="91"/>
        <v>0</v>
      </c>
      <c r="AQ60" s="4">
        <f t="shared" si="91"/>
        <v>0</v>
      </c>
      <c r="AR60" s="4">
        <f t="shared" si="91"/>
        <v>0</v>
      </c>
      <c r="AS60" s="4">
        <f t="shared" si="91"/>
        <v>0</v>
      </c>
      <c r="AT60" s="4">
        <f t="shared" si="91"/>
        <v>0</v>
      </c>
      <c r="AU60" s="4">
        <f t="shared" si="91"/>
        <v>0</v>
      </c>
      <c r="AV60" s="4">
        <f t="shared" si="91"/>
        <v>0</v>
      </c>
      <c r="AW60" s="4">
        <f t="shared" si="91"/>
        <v>0</v>
      </c>
      <c r="AX60" s="4">
        <f t="shared" si="91"/>
        <v>0</v>
      </c>
      <c r="AY60" s="4">
        <f t="shared" si="91"/>
        <v>0</v>
      </c>
      <c r="AZ60" s="4">
        <f t="shared" si="91"/>
        <v>0</v>
      </c>
      <c r="BA60" s="4">
        <f t="shared" si="91"/>
        <v>0</v>
      </c>
      <c r="BB60" s="4">
        <f t="shared" si="91"/>
        <v>0</v>
      </c>
      <c r="BC60" s="4">
        <f t="shared" si="91"/>
        <v>0</v>
      </c>
      <c r="BD60" s="4">
        <f t="shared" si="91"/>
        <v>0</v>
      </c>
      <c r="BE60" s="4">
        <f t="shared" si="91"/>
        <v>0</v>
      </c>
      <c r="BF60" s="4">
        <f t="shared" si="91"/>
        <v>0</v>
      </c>
      <c r="BG60" s="4">
        <f t="shared" si="91"/>
        <v>0</v>
      </c>
      <c r="BH60" s="4">
        <f t="shared" si="91"/>
        <v>0</v>
      </c>
      <c r="BI60" s="4">
        <f t="shared" si="91"/>
        <v>0</v>
      </c>
      <c r="BJ60" s="4">
        <f t="shared" si="91"/>
        <v>0</v>
      </c>
      <c r="BK60" s="4">
        <f t="shared" si="91"/>
        <v>0</v>
      </c>
      <c r="BL60" s="4">
        <f t="shared" si="91"/>
        <v>0</v>
      </c>
    </row>
    <row r="61" spans="2:64" x14ac:dyDescent="0.2">
      <c r="B61" s="1" t="s">
        <v>46</v>
      </c>
      <c r="C61" s="53">
        <f t="shared" si="87"/>
        <v>2654815.9059904497</v>
      </c>
      <c r="D61" s="54">
        <f>D82</f>
        <v>0</v>
      </c>
      <c r="E61" s="54">
        <f t="shared" ref="E61:BL61" si="92">E82</f>
        <v>0</v>
      </c>
      <c r="F61" s="54">
        <f t="shared" si="92"/>
        <v>0</v>
      </c>
      <c r="G61" s="54">
        <f t="shared" si="92"/>
        <v>0</v>
      </c>
      <c r="H61" s="54">
        <f t="shared" si="92"/>
        <v>0</v>
      </c>
      <c r="I61" s="54">
        <f t="shared" si="92"/>
        <v>0</v>
      </c>
      <c r="J61" s="54">
        <f t="shared" si="92"/>
        <v>0</v>
      </c>
      <c r="K61" s="54">
        <f t="shared" si="92"/>
        <v>0</v>
      </c>
      <c r="L61" s="54">
        <f t="shared" si="92"/>
        <v>0</v>
      </c>
      <c r="M61" s="54">
        <f t="shared" si="92"/>
        <v>0</v>
      </c>
      <c r="N61" s="54">
        <f t="shared" si="92"/>
        <v>0</v>
      </c>
      <c r="O61" s="54">
        <f t="shared" si="92"/>
        <v>0</v>
      </c>
      <c r="P61" s="54">
        <f t="shared" si="92"/>
        <v>0</v>
      </c>
      <c r="Q61" s="54">
        <f t="shared" si="92"/>
        <v>0</v>
      </c>
      <c r="R61" s="54">
        <f t="shared" si="92"/>
        <v>0</v>
      </c>
      <c r="S61" s="54">
        <f t="shared" si="92"/>
        <v>0</v>
      </c>
      <c r="T61" s="54">
        <f t="shared" si="92"/>
        <v>0</v>
      </c>
      <c r="U61" s="54">
        <f t="shared" si="92"/>
        <v>0</v>
      </c>
      <c r="V61" s="54">
        <f t="shared" si="92"/>
        <v>0</v>
      </c>
      <c r="W61" s="54">
        <f t="shared" si="92"/>
        <v>920448</v>
      </c>
      <c r="X61" s="54">
        <f t="shared" si="92"/>
        <v>920448</v>
      </c>
      <c r="Y61" s="54">
        <f t="shared" si="92"/>
        <v>813919.90599044971</v>
      </c>
      <c r="Z61" s="54">
        <f t="shared" si="92"/>
        <v>0</v>
      </c>
      <c r="AA61" s="54">
        <f t="shared" si="92"/>
        <v>0</v>
      </c>
      <c r="AB61" s="54">
        <f t="shared" si="92"/>
        <v>0</v>
      </c>
      <c r="AC61" s="54">
        <f t="shared" si="92"/>
        <v>0</v>
      </c>
      <c r="AD61" s="54">
        <f t="shared" si="92"/>
        <v>0</v>
      </c>
      <c r="AE61" s="54">
        <f t="shared" si="92"/>
        <v>0</v>
      </c>
      <c r="AF61" s="54">
        <f t="shared" si="92"/>
        <v>0</v>
      </c>
      <c r="AG61" s="54">
        <f t="shared" si="92"/>
        <v>0</v>
      </c>
      <c r="AH61" s="54">
        <f t="shared" si="92"/>
        <v>0</v>
      </c>
      <c r="AI61" s="54">
        <f t="shared" si="92"/>
        <v>0</v>
      </c>
      <c r="AJ61" s="54">
        <f t="shared" si="92"/>
        <v>0</v>
      </c>
      <c r="AK61" s="54">
        <f t="shared" si="92"/>
        <v>0</v>
      </c>
      <c r="AL61" s="54">
        <f t="shared" si="92"/>
        <v>0</v>
      </c>
      <c r="AM61" s="54">
        <f t="shared" si="92"/>
        <v>0</v>
      </c>
      <c r="AN61" s="54">
        <f t="shared" si="92"/>
        <v>0</v>
      </c>
      <c r="AO61" s="54">
        <f t="shared" si="92"/>
        <v>0</v>
      </c>
      <c r="AP61" s="54">
        <f t="shared" si="92"/>
        <v>0</v>
      </c>
      <c r="AQ61" s="54">
        <f t="shared" si="92"/>
        <v>0</v>
      </c>
      <c r="AR61" s="54">
        <f t="shared" si="92"/>
        <v>0</v>
      </c>
      <c r="AS61" s="54">
        <f t="shared" si="92"/>
        <v>0</v>
      </c>
      <c r="AT61" s="54">
        <f t="shared" si="92"/>
        <v>0</v>
      </c>
      <c r="AU61" s="54">
        <f t="shared" si="92"/>
        <v>0</v>
      </c>
      <c r="AV61" s="54">
        <f t="shared" si="92"/>
        <v>0</v>
      </c>
      <c r="AW61" s="54">
        <f t="shared" si="92"/>
        <v>0</v>
      </c>
      <c r="AX61" s="54">
        <f t="shared" si="92"/>
        <v>0</v>
      </c>
      <c r="AY61" s="54">
        <f t="shared" si="92"/>
        <v>0</v>
      </c>
      <c r="AZ61" s="54">
        <f t="shared" si="92"/>
        <v>0</v>
      </c>
      <c r="BA61" s="54">
        <f t="shared" si="92"/>
        <v>0</v>
      </c>
      <c r="BB61" s="54">
        <f t="shared" si="92"/>
        <v>0</v>
      </c>
      <c r="BC61" s="54">
        <f t="shared" si="92"/>
        <v>0</v>
      </c>
      <c r="BD61" s="54">
        <f t="shared" si="92"/>
        <v>0</v>
      </c>
      <c r="BE61" s="54">
        <f t="shared" si="92"/>
        <v>0</v>
      </c>
      <c r="BF61" s="54">
        <f t="shared" si="92"/>
        <v>0</v>
      </c>
      <c r="BG61" s="54">
        <f t="shared" si="92"/>
        <v>0</v>
      </c>
      <c r="BH61" s="54">
        <f t="shared" si="92"/>
        <v>0</v>
      </c>
      <c r="BI61" s="54">
        <f t="shared" si="92"/>
        <v>0</v>
      </c>
      <c r="BJ61" s="54">
        <f t="shared" si="92"/>
        <v>0</v>
      </c>
      <c r="BK61" s="54">
        <f t="shared" si="92"/>
        <v>0</v>
      </c>
      <c r="BL61" s="54">
        <f t="shared" si="92"/>
        <v>0</v>
      </c>
    </row>
    <row r="62" spans="2:64" x14ac:dyDescent="0.2">
      <c r="B62" s="1" t="s">
        <v>62</v>
      </c>
      <c r="C62" s="21">
        <f t="shared" si="87"/>
        <v>112510.81934585163</v>
      </c>
      <c r="D62" s="11">
        <f>D86</f>
        <v>0</v>
      </c>
      <c r="E62" s="11">
        <f t="shared" ref="E62:BL62" si="93">E86</f>
        <v>0</v>
      </c>
      <c r="F62" s="11">
        <f t="shared" si="93"/>
        <v>0</v>
      </c>
      <c r="G62" s="11">
        <f t="shared" si="93"/>
        <v>0</v>
      </c>
      <c r="H62" s="11">
        <f t="shared" si="93"/>
        <v>0</v>
      </c>
      <c r="I62" s="11">
        <f t="shared" si="93"/>
        <v>0</v>
      </c>
      <c r="J62" s="11">
        <f t="shared" si="93"/>
        <v>0</v>
      </c>
      <c r="K62" s="11">
        <f t="shared" si="93"/>
        <v>272.36507661095669</v>
      </c>
      <c r="L62" s="11">
        <f t="shared" si="93"/>
        <v>1657.0503312245207</v>
      </c>
      <c r="M62" s="11">
        <f t="shared" si="93"/>
        <v>3049.812916489997</v>
      </c>
      <c r="N62" s="11">
        <f t="shared" si="93"/>
        <v>4450.6999501695227</v>
      </c>
      <c r="O62" s="11">
        <f t="shared" si="93"/>
        <v>5859.7588248788443</v>
      </c>
      <c r="P62" s="11">
        <f t="shared" si="93"/>
        <v>7277.0372096906385</v>
      </c>
      <c r="Q62" s="11">
        <f t="shared" si="93"/>
        <v>8702.5830517471677</v>
      </c>
      <c r="R62" s="11">
        <f t="shared" si="93"/>
        <v>10136.444577882359</v>
      </c>
      <c r="S62" s="11">
        <f t="shared" si="93"/>
        <v>11578.670296253338</v>
      </c>
      <c r="T62" s="11">
        <f t="shared" si="93"/>
        <v>13029.308997981483</v>
      </c>
      <c r="U62" s="11">
        <f t="shared" si="93"/>
        <v>14488.409758803044</v>
      </c>
      <c r="V62" s="11">
        <f t="shared" si="93"/>
        <v>15956.021940729393</v>
      </c>
      <c r="W62" s="11">
        <f t="shared" si="93"/>
        <v>10679.818735383649</v>
      </c>
      <c r="X62" s="11">
        <f t="shared" si="93"/>
        <v>5372.8376780067192</v>
      </c>
      <c r="Y62" s="11">
        <f t="shared" si="93"/>
        <v>0</v>
      </c>
      <c r="Z62" s="11">
        <f t="shared" si="93"/>
        <v>0</v>
      </c>
      <c r="AA62" s="11">
        <f t="shared" si="93"/>
        <v>0</v>
      </c>
      <c r="AB62" s="11">
        <f t="shared" si="93"/>
        <v>0</v>
      </c>
      <c r="AC62" s="11">
        <f t="shared" si="93"/>
        <v>0</v>
      </c>
      <c r="AD62" s="11">
        <f t="shared" si="93"/>
        <v>0</v>
      </c>
      <c r="AE62" s="11">
        <f t="shared" si="93"/>
        <v>0</v>
      </c>
      <c r="AF62" s="11">
        <f t="shared" si="93"/>
        <v>0</v>
      </c>
      <c r="AG62" s="11">
        <f t="shared" si="93"/>
        <v>0</v>
      </c>
      <c r="AH62" s="11">
        <f t="shared" si="93"/>
        <v>0</v>
      </c>
      <c r="AI62" s="11">
        <f t="shared" si="93"/>
        <v>0</v>
      </c>
      <c r="AJ62" s="11">
        <f t="shared" si="93"/>
        <v>0</v>
      </c>
      <c r="AK62" s="11">
        <f t="shared" si="93"/>
        <v>0</v>
      </c>
      <c r="AL62" s="11">
        <f t="shared" si="93"/>
        <v>0</v>
      </c>
      <c r="AM62" s="11">
        <f t="shared" si="93"/>
        <v>0</v>
      </c>
      <c r="AN62" s="11">
        <f t="shared" si="93"/>
        <v>0</v>
      </c>
      <c r="AO62" s="11">
        <f t="shared" si="93"/>
        <v>0</v>
      </c>
      <c r="AP62" s="11">
        <f t="shared" si="93"/>
        <v>0</v>
      </c>
      <c r="AQ62" s="11">
        <f t="shared" si="93"/>
        <v>0</v>
      </c>
      <c r="AR62" s="11">
        <f t="shared" si="93"/>
        <v>0</v>
      </c>
      <c r="AS62" s="11">
        <f t="shared" si="93"/>
        <v>0</v>
      </c>
      <c r="AT62" s="11">
        <f t="shared" si="93"/>
        <v>0</v>
      </c>
      <c r="AU62" s="11">
        <f t="shared" si="93"/>
        <v>0</v>
      </c>
      <c r="AV62" s="11">
        <f t="shared" si="93"/>
        <v>0</v>
      </c>
      <c r="AW62" s="11">
        <f t="shared" si="93"/>
        <v>0</v>
      </c>
      <c r="AX62" s="11">
        <f t="shared" si="93"/>
        <v>0</v>
      </c>
      <c r="AY62" s="11">
        <f t="shared" si="93"/>
        <v>0</v>
      </c>
      <c r="AZ62" s="11">
        <f t="shared" si="93"/>
        <v>0</v>
      </c>
      <c r="BA62" s="11">
        <f t="shared" si="93"/>
        <v>0</v>
      </c>
      <c r="BB62" s="11">
        <f t="shared" si="93"/>
        <v>0</v>
      </c>
      <c r="BC62" s="11">
        <f t="shared" si="93"/>
        <v>0</v>
      </c>
      <c r="BD62" s="11">
        <f t="shared" si="93"/>
        <v>0</v>
      </c>
      <c r="BE62" s="11">
        <f t="shared" si="93"/>
        <v>0</v>
      </c>
      <c r="BF62" s="11">
        <f t="shared" si="93"/>
        <v>0</v>
      </c>
      <c r="BG62" s="11">
        <f t="shared" si="93"/>
        <v>0</v>
      </c>
      <c r="BH62" s="11">
        <f t="shared" si="93"/>
        <v>0</v>
      </c>
      <c r="BI62" s="11">
        <f t="shared" si="93"/>
        <v>0</v>
      </c>
      <c r="BJ62" s="11">
        <f t="shared" si="93"/>
        <v>0</v>
      </c>
      <c r="BK62" s="11">
        <f t="shared" si="93"/>
        <v>0</v>
      </c>
      <c r="BL62" s="11">
        <f t="shared" si="93"/>
        <v>0</v>
      </c>
    </row>
    <row r="63" spans="2:64" s="2" customFormat="1" x14ac:dyDescent="0.2">
      <c r="B63" s="10" t="s">
        <v>14</v>
      </c>
      <c r="C63" s="20">
        <f t="shared" si="87"/>
        <v>6715772.2253363021</v>
      </c>
      <c r="D63" s="13">
        <f>SUM(D58:D62)</f>
        <v>100000</v>
      </c>
      <c r="E63" s="13">
        <f t="shared" ref="E63:BL63" si="94">SUM(E58:E62)</f>
        <v>919885.16666666663</v>
      </c>
      <c r="F63" s="13">
        <f t="shared" si="94"/>
        <v>16666.666666666668</v>
      </c>
      <c r="G63" s="13">
        <f t="shared" si="94"/>
        <v>16666.666666666668</v>
      </c>
      <c r="H63" s="13">
        <f t="shared" si="94"/>
        <v>16666.666666666668</v>
      </c>
      <c r="I63" s="13">
        <f t="shared" si="94"/>
        <v>16666.666666666668</v>
      </c>
      <c r="J63" s="13">
        <f t="shared" si="94"/>
        <v>16666.666666666668</v>
      </c>
      <c r="K63" s="13">
        <f t="shared" si="94"/>
        <v>237374.61507661096</v>
      </c>
      <c r="L63" s="13">
        <f t="shared" si="94"/>
        <v>238759.30033122451</v>
      </c>
      <c r="M63" s="13">
        <f t="shared" si="94"/>
        <v>240152.06291648999</v>
      </c>
      <c r="N63" s="13">
        <f t="shared" si="94"/>
        <v>241552.94995016951</v>
      </c>
      <c r="O63" s="13">
        <f t="shared" si="94"/>
        <v>242962.00882487884</v>
      </c>
      <c r="P63" s="13">
        <f t="shared" si="94"/>
        <v>244379.28720969064</v>
      </c>
      <c r="Q63" s="13">
        <f t="shared" si="94"/>
        <v>245804.83305174718</v>
      </c>
      <c r="R63" s="13">
        <f t="shared" si="94"/>
        <v>247238.69457788236</v>
      </c>
      <c r="S63" s="13">
        <f t="shared" si="94"/>
        <v>248680.92029625335</v>
      </c>
      <c r="T63" s="13">
        <f t="shared" si="94"/>
        <v>250131.55899798148</v>
      </c>
      <c r="U63" s="13">
        <f t="shared" si="94"/>
        <v>251590.65975880306</v>
      </c>
      <c r="V63" s="13">
        <f t="shared" si="94"/>
        <v>253058.27194072941</v>
      </c>
      <c r="W63" s="13">
        <f t="shared" si="94"/>
        <v>931127.81873538368</v>
      </c>
      <c r="X63" s="13">
        <f t="shared" si="94"/>
        <v>925820.83767800673</v>
      </c>
      <c r="Y63" s="13">
        <f t="shared" si="94"/>
        <v>813919.90599044971</v>
      </c>
      <c r="Z63" s="13">
        <f t="shared" si="94"/>
        <v>0</v>
      </c>
      <c r="AA63" s="13">
        <f t="shared" si="94"/>
        <v>0</v>
      </c>
      <c r="AB63" s="13">
        <f t="shared" si="94"/>
        <v>0</v>
      </c>
      <c r="AC63" s="13">
        <f t="shared" si="94"/>
        <v>0</v>
      </c>
      <c r="AD63" s="13">
        <f t="shared" si="94"/>
        <v>0</v>
      </c>
      <c r="AE63" s="13">
        <f t="shared" si="94"/>
        <v>0</v>
      </c>
      <c r="AF63" s="13">
        <f t="shared" si="94"/>
        <v>0</v>
      </c>
      <c r="AG63" s="13">
        <f t="shared" si="94"/>
        <v>0</v>
      </c>
      <c r="AH63" s="13">
        <f t="shared" si="94"/>
        <v>0</v>
      </c>
      <c r="AI63" s="13">
        <f t="shared" si="94"/>
        <v>0</v>
      </c>
      <c r="AJ63" s="13">
        <f t="shared" si="94"/>
        <v>0</v>
      </c>
      <c r="AK63" s="13">
        <f t="shared" si="94"/>
        <v>0</v>
      </c>
      <c r="AL63" s="13">
        <f t="shared" si="94"/>
        <v>0</v>
      </c>
      <c r="AM63" s="13">
        <f t="shared" si="94"/>
        <v>0</v>
      </c>
      <c r="AN63" s="13">
        <f t="shared" si="94"/>
        <v>0</v>
      </c>
      <c r="AO63" s="13">
        <f t="shared" si="94"/>
        <v>0</v>
      </c>
      <c r="AP63" s="13">
        <f t="shared" si="94"/>
        <v>0</v>
      </c>
      <c r="AQ63" s="13">
        <f t="shared" si="94"/>
        <v>0</v>
      </c>
      <c r="AR63" s="13">
        <f t="shared" si="94"/>
        <v>0</v>
      </c>
      <c r="AS63" s="13">
        <f t="shared" si="94"/>
        <v>0</v>
      </c>
      <c r="AT63" s="13">
        <f t="shared" si="94"/>
        <v>0</v>
      </c>
      <c r="AU63" s="13">
        <f t="shared" si="94"/>
        <v>0</v>
      </c>
      <c r="AV63" s="13">
        <f t="shared" si="94"/>
        <v>0</v>
      </c>
      <c r="AW63" s="13">
        <f t="shared" si="94"/>
        <v>0</v>
      </c>
      <c r="AX63" s="13">
        <f t="shared" si="94"/>
        <v>0</v>
      </c>
      <c r="AY63" s="13">
        <f t="shared" si="94"/>
        <v>0</v>
      </c>
      <c r="AZ63" s="13">
        <f t="shared" si="94"/>
        <v>0</v>
      </c>
      <c r="BA63" s="13">
        <f t="shared" si="94"/>
        <v>0</v>
      </c>
      <c r="BB63" s="13">
        <f t="shared" si="94"/>
        <v>0</v>
      </c>
      <c r="BC63" s="13">
        <f t="shared" si="94"/>
        <v>0</v>
      </c>
      <c r="BD63" s="13">
        <f t="shared" si="94"/>
        <v>0</v>
      </c>
      <c r="BE63" s="13">
        <f t="shared" si="94"/>
        <v>0</v>
      </c>
      <c r="BF63" s="13">
        <f t="shared" si="94"/>
        <v>0</v>
      </c>
      <c r="BG63" s="13">
        <f t="shared" si="94"/>
        <v>0</v>
      </c>
      <c r="BH63" s="13">
        <f t="shared" si="94"/>
        <v>0</v>
      </c>
      <c r="BI63" s="13">
        <f t="shared" si="94"/>
        <v>0</v>
      </c>
      <c r="BJ63" s="13">
        <f t="shared" si="94"/>
        <v>0</v>
      </c>
      <c r="BK63" s="13">
        <f t="shared" si="94"/>
        <v>0</v>
      </c>
      <c r="BL63" s="13">
        <f t="shared" si="94"/>
        <v>0</v>
      </c>
    </row>
    <row r="64" spans="2:64" x14ac:dyDescent="0.2"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</row>
    <row r="65" spans="2:64" s="2" customFormat="1" x14ac:dyDescent="0.2">
      <c r="B65" s="10" t="s">
        <v>48</v>
      </c>
      <c r="C65" s="20">
        <f>C55-C63</f>
        <v>541283.68065414764</v>
      </c>
      <c r="D65" s="20">
        <f t="shared" ref="D65:AH65" si="95">D55-D63</f>
        <v>-100000</v>
      </c>
      <c r="E65" s="20">
        <f t="shared" si="95"/>
        <v>-919885.16666666663</v>
      </c>
      <c r="F65" s="20">
        <f t="shared" si="95"/>
        <v>-16666.666666666668</v>
      </c>
      <c r="G65" s="20">
        <f t="shared" si="95"/>
        <v>-16666.666666666668</v>
      </c>
      <c r="H65" s="20">
        <f t="shared" si="95"/>
        <v>-16666.666666666668</v>
      </c>
      <c r="I65" s="20">
        <f t="shared" si="95"/>
        <v>-16666.666666666668</v>
      </c>
      <c r="J65" s="20">
        <f t="shared" si="95"/>
        <v>-16666.666666666668</v>
      </c>
      <c r="K65" s="20">
        <f t="shared" si="95"/>
        <v>-190683.45908616134</v>
      </c>
      <c r="L65" s="20">
        <f t="shared" si="95"/>
        <v>-1657.0503312245128</v>
      </c>
      <c r="M65" s="20">
        <f t="shared" si="95"/>
        <v>-3049.8129164899874</v>
      </c>
      <c r="N65" s="20">
        <f t="shared" si="95"/>
        <v>-4450.69995016951</v>
      </c>
      <c r="O65" s="20">
        <f t="shared" si="95"/>
        <v>-5859.7588248788379</v>
      </c>
      <c r="P65" s="20">
        <f t="shared" si="95"/>
        <v>-7277.0372096906358</v>
      </c>
      <c r="Q65" s="20">
        <f t="shared" si="95"/>
        <v>-8702.5830517471768</v>
      </c>
      <c r="R65" s="20">
        <f t="shared" si="95"/>
        <v>-10136.444577882357</v>
      </c>
      <c r="S65" s="20">
        <f t="shared" si="95"/>
        <v>-11578.670296253345</v>
      </c>
      <c r="T65" s="20">
        <f t="shared" si="95"/>
        <v>-13029.308997981483</v>
      </c>
      <c r="U65" s="20">
        <f t="shared" si="95"/>
        <v>-14488.409758803056</v>
      </c>
      <c r="V65" s="20">
        <f t="shared" si="95"/>
        <v>-15956.021940729406</v>
      </c>
      <c r="W65" s="20">
        <f t="shared" si="95"/>
        <v>-10679.818735383684</v>
      </c>
      <c r="X65" s="20">
        <f t="shared" si="95"/>
        <v>-5372.8376780067338</v>
      </c>
      <c r="Y65" s="20">
        <f t="shared" si="95"/>
        <v>106528.09400955029</v>
      </c>
      <c r="Z65" s="20">
        <f t="shared" si="95"/>
        <v>920448</v>
      </c>
      <c r="AA65" s="20">
        <f t="shared" si="95"/>
        <v>920448</v>
      </c>
      <c r="AB65" s="20">
        <f t="shared" si="95"/>
        <v>0</v>
      </c>
      <c r="AC65" s="20">
        <f t="shared" si="95"/>
        <v>0</v>
      </c>
      <c r="AD65" s="20">
        <f t="shared" si="95"/>
        <v>0</v>
      </c>
      <c r="AE65" s="20">
        <f t="shared" si="95"/>
        <v>0</v>
      </c>
      <c r="AF65" s="20">
        <f t="shared" si="95"/>
        <v>0</v>
      </c>
      <c r="AG65" s="20">
        <f t="shared" si="95"/>
        <v>0</v>
      </c>
      <c r="AH65" s="20">
        <f t="shared" si="95"/>
        <v>0</v>
      </c>
      <c r="AI65" s="20">
        <f t="shared" ref="AI65:BL65" si="96">AI55-AI63</f>
        <v>0</v>
      </c>
      <c r="AJ65" s="20">
        <f t="shared" si="96"/>
        <v>0</v>
      </c>
      <c r="AK65" s="20">
        <f t="shared" si="96"/>
        <v>0</v>
      </c>
      <c r="AL65" s="20">
        <f t="shared" si="96"/>
        <v>0</v>
      </c>
      <c r="AM65" s="20">
        <f t="shared" si="96"/>
        <v>0</v>
      </c>
      <c r="AN65" s="20">
        <f t="shared" si="96"/>
        <v>0</v>
      </c>
      <c r="AO65" s="20">
        <f t="shared" si="96"/>
        <v>0</v>
      </c>
      <c r="AP65" s="20">
        <f t="shared" si="96"/>
        <v>0</v>
      </c>
      <c r="AQ65" s="20">
        <f t="shared" si="96"/>
        <v>0</v>
      </c>
      <c r="AR65" s="20">
        <f t="shared" si="96"/>
        <v>0</v>
      </c>
      <c r="AS65" s="20">
        <f t="shared" si="96"/>
        <v>0</v>
      </c>
      <c r="AT65" s="20">
        <f t="shared" si="96"/>
        <v>0</v>
      </c>
      <c r="AU65" s="20">
        <f t="shared" si="96"/>
        <v>0</v>
      </c>
      <c r="AV65" s="20">
        <f t="shared" si="96"/>
        <v>0</v>
      </c>
      <c r="AW65" s="20">
        <f t="shared" si="96"/>
        <v>0</v>
      </c>
      <c r="AX65" s="20">
        <f t="shared" si="96"/>
        <v>0</v>
      </c>
      <c r="AY65" s="20">
        <f t="shared" si="96"/>
        <v>0</v>
      </c>
      <c r="AZ65" s="20">
        <f t="shared" si="96"/>
        <v>0</v>
      </c>
      <c r="BA65" s="20">
        <f t="shared" si="96"/>
        <v>0</v>
      </c>
      <c r="BB65" s="20">
        <f t="shared" si="96"/>
        <v>0</v>
      </c>
      <c r="BC65" s="20">
        <f t="shared" si="96"/>
        <v>0</v>
      </c>
      <c r="BD65" s="20">
        <f t="shared" si="96"/>
        <v>0</v>
      </c>
      <c r="BE65" s="20">
        <f t="shared" si="96"/>
        <v>0</v>
      </c>
      <c r="BF65" s="20">
        <f t="shared" si="96"/>
        <v>0</v>
      </c>
      <c r="BG65" s="20">
        <f t="shared" si="96"/>
        <v>0</v>
      </c>
      <c r="BH65" s="20">
        <f t="shared" si="96"/>
        <v>0</v>
      </c>
      <c r="BI65" s="20">
        <f t="shared" si="96"/>
        <v>0</v>
      </c>
      <c r="BJ65" s="20">
        <f t="shared" si="96"/>
        <v>0</v>
      </c>
      <c r="BK65" s="20">
        <f t="shared" si="96"/>
        <v>0</v>
      </c>
      <c r="BL65" s="20">
        <f t="shared" si="96"/>
        <v>0</v>
      </c>
    </row>
    <row r="66" spans="2:64" x14ac:dyDescent="0.2">
      <c r="B66" s="15" t="s">
        <v>22</v>
      </c>
      <c r="C66" s="32">
        <f>IF(D65=0,XIRR(E65:BL65,$E$19:$BL$19),XIRR(D65:BL65,$D$19:$BL$19))</f>
        <v>0.22177082896232606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</row>
    <row r="67" spans="2:64" x14ac:dyDescent="0.2">
      <c r="B67" s="15" t="s">
        <v>23</v>
      </c>
      <c r="C67" s="33">
        <f>C68/-C69</f>
        <v>1.3849428375097406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</row>
    <row r="68" spans="2:64" x14ac:dyDescent="0.2">
      <c r="B68" t="s">
        <v>73</v>
      </c>
      <c r="C68" s="57">
        <f>SUMIF($D$65:$BL$65,"&gt;0")</f>
        <v>1947424.0940095503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</row>
    <row r="69" spans="2:64" x14ac:dyDescent="0.2">
      <c r="B69" t="s">
        <v>74</v>
      </c>
      <c r="C69" s="58">
        <f>SUMIF($D$65:$BL$65,"&lt;0")</f>
        <v>-1406140.4133554022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</row>
    <row r="70" spans="2:64" x14ac:dyDescent="0.2">
      <c r="B70" t="s">
        <v>72</v>
      </c>
      <c r="C70" s="57">
        <f>SUM(C68:C69)</f>
        <v>541283.68065414811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</row>
    <row r="71" spans="2:64" x14ac:dyDescent="0.2">
      <c r="C71" s="57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</row>
    <row r="72" spans="2:64" x14ac:dyDescent="0.2">
      <c r="B72" s="51" t="s">
        <v>49</v>
      </c>
      <c r="C72" s="37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2"/>
      <c r="AM72" s="52"/>
      <c r="AN72" s="52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</row>
    <row r="73" spans="2:64" x14ac:dyDescent="0.2"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</row>
    <row r="74" spans="2:64" x14ac:dyDescent="0.2">
      <c r="B74" s="2" t="s">
        <v>50</v>
      </c>
      <c r="D74" s="49">
        <f t="shared" ref="D74:AI74" si="97">D52</f>
        <v>0</v>
      </c>
      <c r="E74" s="49">
        <f t="shared" si="97"/>
        <v>1</v>
      </c>
      <c r="F74" s="49">
        <f t="shared" si="97"/>
        <v>2</v>
      </c>
      <c r="G74" s="49">
        <f t="shared" si="97"/>
        <v>3</v>
      </c>
      <c r="H74" s="49">
        <f t="shared" si="97"/>
        <v>4</v>
      </c>
      <c r="I74" s="49">
        <f t="shared" si="97"/>
        <v>5</v>
      </c>
      <c r="J74" s="49">
        <f t="shared" si="97"/>
        <v>6</v>
      </c>
      <c r="K74" s="49">
        <f t="shared" si="97"/>
        <v>7</v>
      </c>
      <c r="L74" s="49">
        <f t="shared" si="97"/>
        <v>8</v>
      </c>
      <c r="M74" s="49">
        <f t="shared" si="97"/>
        <v>9</v>
      </c>
      <c r="N74" s="49">
        <f t="shared" si="97"/>
        <v>10</v>
      </c>
      <c r="O74" s="49">
        <f t="shared" si="97"/>
        <v>11</v>
      </c>
      <c r="P74" s="49">
        <f t="shared" si="97"/>
        <v>12</v>
      </c>
      <c r="Q74" s="49">
        <f t="shared" si="97"/>
        <v>13</v>
      </c>
      <c r="R74" s="49">
        <f t="shared" si="97"/>
        <v>14</v>
      </c>
      <c r="S74" s="49">
        <f t="shared" si="97"/>
        <v>15</v>
      </c>
      <c r="T74" s="49">
        <f t="shared" si="97"/>
        <v>16</v>
      </c>
      <c r="U74" s="49">
        <f t="shared" si="97"/>
        <v>17</v>
      </c>
      <c r="V74" s="49">
        <f t="shared" si="97"/>
        <v>18</v>
      </c>
      <c r="W74" s="49">
        <f t="shared" si="97"/>
        <v>19</v>
      </c>
      <c r="X74" s="49">
        <f t="shared" si="97"/>
        <v>20</v>
      </c>
      <c r="Y74" s="49">
        <f t="shared" si="97"/>
        <v>21</v>
      </c>
      <c r="Z74" s="49">
        <f t="shared" si="97"/>
        <v>22</v>
      </c>
      <c r="AA74" s="49">
        <f t="shared" si="97"/>
        <v>23</v>
      </c>
      <c r="AB74" s="49">
        <f t="shared" si="97"/>
        <v>24</v>
      </c>
      <c r="AC74" s="49">
        <f t="shared" si="97"/>
        <v>25</v>
      </c>
      <c r="AD74" s="49">
        <f t="shared" si="97"/>
        <v>26</v>
      </c>
      <c r="AE74" s="49">
        <f t="shared" si="97"/>
        <v>27</v>
      </c>
      <c r="AF74" s="49">
        <f t="shared" si="97"/>
        <v>28</v>
      </c>
      <c r="AG74" s="49">
        <f t="shared" si="97"/>
        <v>29</v>
      </c>
      <c r="AH74" s="49">
        <f t="shared" si="97"/>
        <v>30</v>
      </c>
      <c r="AI74" s="49">
        <f t="shared" si="97"/>
        <v>31</v>
      </c>
      <c r="AJ74" s="49">
        <f t="shared" ref="AJ74:BL74" si="98">AJ52</f>
        <v>32</v>
      </c>
      <c r="AK74" s="49">
        <f t="shared" si="98"/>
        <v>33</v>
      </c>
      <c r="AL74" s="49">
        <f t="shared" si="98"/>
        <v>34</v>
      </c>
      <c r="AM74" s="49">
        <f t="shared" si="98"/>
        <v>35</v>
      </c>
      <c r="AN74" s="49">
        <f t="shared" si="98"/>
        <v>36</v>
      </c>
      <c r="AO74" s="49">
        <f t="shared" si="98"/>
        <v>37</v>
      </c>
      <c r="AP74" s="49">
        <f t="shared" si="98"/>
        <v>38</v>
      </c>
      <c r="AQ74" s="49">
        <f t="shared" si="98"/>
        <v>39</v>
      </c>
      <c r="AR74" s="49">
        <f t="shared" si="98"/>
        <v>40</v>
      </c>
      <c r="AS74" s="49">
        <f t="shared" si="98"/>
        <v>41</v>
      </c>
      <c r="AT74" s="49">
        <f t="shared" si="98"/>
        <v>42</v>
      </c>
      <c r="AU74" s="49">
        <f t="shared" si="98"/>
        <v>43</v>
      </c>
      <c r="AV74" s="49">
        <f t="shared" si="98"/>
        <v>44</v>
      </c>
      <c r="AW74" s="49">
        <f t="shared" si="98"/>
        <v>45</v>
      </c>
      <c r="AX74" s="49">
        <f t="shared" si="98"/>
        <v>46</v>
      </c>
      <c r="AY74" s="49">
        <f t="shared" si="98"/>
        <v>47</v>
      </c>
      <c r="AZ74" s="49">
        <f t="shared" si="98"/>
        <v>48</v>
      </c>
      <c r="BA74" s="49">
        <f t="shared" si="98"/>
        <v>49</v>
      </c>
      <c r="BB74" s="49">
        <f t="shared" si="98"/>
        <v>50</v>
      </c>
      <c r="BC74" s="49">
        <f t="shared" si="98"/>
        <v>51</v>
      </c>
      <c r="BD74" s="49">
        <f t="shared" si="98"/>
        <v>52</v>
      </c>
      <c r="BE74" s="49">
        <f t="shared" si="98"/>
        <v>53</v>
      </c>
      <c r="BF74" s="49">
        <f t="shared" si="98"/>
        <v>54</v>
      </c>
      <c r="BG74" s="49">
        <f t="shared" si="98"/>
        <v>55</v>
      </c>
      <c r="BH74" s="49">
        <f t="shared" si="98"/>
        <v>56</v>
      </c>
      <c r="BI74" s="49">
        <f t="shared" si="98"/>
        <v>57</v>
      </c>
      <c r="BJ74" s="49">
        <f t="shared" si="98"/>
        <v>58</v>
      </c>
      <c r="BK74" s="49">
        <f t="shared" si="98"/>
        <v>59</v>
      </c>
      <c r="BL74" s="49">
        <f t="shared" si="98"/>
        <v>60</v>
      </c>
    </row>
    <row r="75" spans="2:64" x14ac:dyDescent="0.2">
      <c r="B75" s="1" t="s">
        <v>51</v>
      </c>
      <c r="D75" s="4">
        <f>$E$15</f>
        <v>1293629.5940095503</v>
      </c>
      <c r="E75" s="4">
        <f>D77</f>
        <v>1193629.5940095503</v>
      </c>
      <c r="F75" s="4">
        <f t="shared" ref="F75:BL75" si="99">E77</f>
        <v>273744.42734288366</v>
      </c>
      <c r="G75" s="4">
        <f t="shared" si="99"/>
        <v>257077.760676217</v>
      </c>
      <c r="H75" s="4">
        <f t="shared" si="99"/>
        <v>240411.09400955035</v>
      </c>
      <c r="I75" s="4">
        <f t="shared" si="99"/>
        <v>223744.42734288369</v>
      </c>
      <c r="J75" s="4">
        <f t="shared" si="99"/>
        <v>207077.76067621703</v>
      </c>
      <c r="K75" s="4">
        <f t="shared" si="99"/>
        <v>190411.09400955038</v>
      </c>
      <c r="L75" s="4">
        <f t="shared" si="99"/>
        <v>0</v>
      </c>
      <c r="M75" s="4">
        <f t="shared" si="99"/>
        <v>0</v>
      </c>
      <c r="N75" s="4">
        <f t="shared" si="99"/>
        <v>0</v>
      </c>
      <c r="O75" s="4">
        <f t="shared" si="99"/>
        <v>0</v>
      </c>
      <c r="P75" s="4">
        <f t="shared" si="99"/>
        <v>0</v>
      </c>
      <c r="Q75" s="4">
        <f t="shared" si="99"/>
        <v>0</v>
      </c>
      <c r="R75" s="4">
        <f t="shared" si="99"/>
        <v>0</v>
      </c>
      <c r="S75" s="4">
        <f t="shared" si="99"/>
        <v>0</v>
      </c>
      <c r="T75" s="4">
        <f t="shared" si="99"/>
        <v>0</v>
      </c>
      <c r="U75" s="4">
        <f t="shared" si="99"/>
        <v>0</v>
      </c>
      <c r="V75" s="4">
        <f t="shared" si="99"/>
        <v>0</v>
      </c>
      <c r="W75" s="4">
        <f t="shared" si="99"/>
        <v>0</v>
      </c>
      <c r="X75" s="4">
        <f t="shared" si="99"/>
        <v>0</v>
      </c>
      <c r="Y75" s="4">
        <f t="shared" si="99"/>
        <v>0</v>
      </c>
      <c r="Z75" s="4">
        <f t="shared" si="99"/>
        <v>0</v>
      </c>
      <c r="AA75" s="4">
        <f t="shared" si="99"/>
        <v>0</v>
      </c>
      <c r="AB75" s="4">
        <f t="shared" si="99"/>
        <v>0</v>
      </c>
      <c r="AC75" s="4">
        <f t="shared" si="99"/>
        <v>0</v>
      </c>
      <c r="AD75" s="4">
        <f t="shared" si="99"/>
        <v>0</v>
      </c>
      <c r="AE75" s="4">
        <f t="shared" si="99"/>
        <v>0</v>
      </c>
      <c r="AF75" s="4">
        <f t="shared" si="99"/>
        <v>0</v>
      </c>
      <c r="AG75" s="4">
        <f t="shared" si="99"/>
        <v>0</v>
      </c>
      <c r="AH75" s="4">
        <f t="shared" si="99"/>
        <v>0</v>
      </c>
      <c r="AI75" s="4">
        <f t="shared" si="99"/>
        <v>0</v>
      </c>
      <c r="AJ75" s="4">
        <f t="shared" si="99"/>
        <v>0</v>
      </c>
      <c r="AK75" s="4">
        <f t="shared" si="99"/>
        <v>0</v>
      </c>
      <c r="AL75" s="4">
        <f t="shared" si="99"/>
        <v>0</v>
      </c>
      <c r="AM75" s="4">
        <f t="shared" si="99"/>
        <v>0</v>
      </c>
      <c r="AN75" s="4">
        <f t="shared" si="99"/>
        <v>0</v>
      </c>
      <c r="AO75" s="4">
        <f t="shared" si="99"/>
        <v>0</v>
      </c>
      <c r="AP75" s="4">
        <f t="shared" si="99"/>
        <v>0</v>
      </c>
      <c r="AQ75" s="4">
        <f t="shared" si="99"/>
        <v>0</v>
      </c>
      <c r="AR75" s="4">
        <f t="shared" si="99"/>
        <v>0</v>
      </c>
      <c r="AS75" s="4">
        <f t="shared" si="99"/>
        <v>0</v>
      </c>
      <c r="AT75" s="4">
        <f t="shared" si="99"/>
        <v>0</v>
      </c>
      <c r="AU75" s="4">
        <f t="shared" si="99"/>
        <v>0</v>
      </c>
      <c r="AV75" s="4">
        <f t="shared" si="99"/>
        <v>0</v>
      </c>
      <c r="AW75" s="4">
        <f t="shared" si="99"/>
        <v>0</v>
      </c>
      <c r="AX75" s="4">
        <f t="shared" si="99"/>
        <v>0</v>
      </c>
      <c r="AY75" s="4">
        <f t="shared" si="99"/>
        <v>0</v>
      </c>
      <c r="AZ75" s="4">
        <f t="shared" si="99"/>
        <v>0</v>
      </c>
      <c r="BA75" s="4">
        <f t="shared" si="99"/>
        <v>0</v>
      </c>
      <c r="BB75" s="4">
        <f t="shared" si="99"/>
        <v>0</v>
      </c>
      <c r="BC75" s="4">
        <f t="shared" si="99"/>
        <v>0</v>
      </c>
      <c r="BD75" s="4">
        <f t="shared" si="99"/>
        <v>0</v>
      </c>
      <c r="BE75" s="4">
        <f t="shared" si="99"/>
        <v>0</v>
      </c>
      <c r="BF75" s="4">
        <f t="shared" si="99"/>
        <v>0</v>
      </c>
      <c r="BG75" s="4">
        <f t="shared" si="99"/>
        <v>0</v>
      </c>
      <c r="BH75" s="4">
        <f t="shared" si="99"/>
        <v>0</v>
      </c>
      <c r="BI75" s="4">
        <f t="shared" si="99"/>
        <v>0</v>
      </c>
      <c r="BJ75" s="4">
        <f t="shared" si="99"/>
        <v>0</v>
      </c>
      <c r="BK75" s="4">
        <f t="shared" si="99"/>
        <v>0</v>
      </c>
      <c r="BL75" s="4">
        <f t="shared" si="99"/>
        <v>0</v>
      </c>
    </row>
    <row r="76" spans="2:64" x14ac:dyDescent="0.2">
      <c r="B76" s="1" t="s">
        <v>52</v>
      </c>
      <c r="C76" s="19">
        <f>SUM(D76:BL76)</f>
        <v>1293629.5940095505</v>
      </c>
      <c r="D76" s="4">
        <f t="shared" ref="D76:AI76" si="100">MAX(MIN(D75,D42),0)</f>
        <v>100000</v>
      </c>
      <c r="E76" s="4">
        <f t="shared" si="100"/>
        <v>919885.16666666663</v>
      </c>
      <c r="F76" s="4">
        <f t="shared" si="100"/>
        <v>16666.666666666668</v>
      </c>
      <c r="G76" s="4">
        <f t="shared" si="100"/>
        <v>16666.666666666668</v>
      </c>
      <c r="H76" s="4">
        <f t="shared" si="100"/>
        <v>16666.666666666668</v>
      </c>
      <c r="I76" s="4">
        <f t="shared" si="100"/>
        <v>16666.666666666668</v>
      </c>
      <c r="J76" s="4">
        <f t="shared" si="100"/>
        <v>16666.666666666668</v>
      </c>
      <c r="K76" s="4">
        <f t="shared" si="100"/>
        <v>190411.09400955038</v>
      </c>
      <c r="L76" s="4">
        <f t="shared" si="100"/>
        <v>0</v>
      </c>
      <c r="M76" s="4">
        <f t="shared" si="100"/>
        <v>0</v>
      </c>
      <c r="N76" s="4">
        <f t="shared" si="100"/>
        <v>0</v>
      </c>
      <c r="O76" s="4">
        <f t="shared" si="100"/>
        <v>0</v>
      </c>
      <c r="P76" s="4">
        <f t="shared" si="100"/>
        <v>0</v>
      </c>
      <c r="Q76" s="4">
        <f t="shared" si="100"/>
        <v>0</v>
      </c>
      <c r="R76" s="4">
        <f t="shared" si="100"/>
        <v>0</v>
      </c>
      <c r="S76" s="4">
        <f t="shared" si="100"/>
        <v>0</v>
      </c>
      <c r="T76" s="4">
        <f t="shared" si="100"/>
        <v>0</v>
      </c>
      <c r="U76" s="4">
        <f t="shared" si="100"/>
        <v>0</v>
      </c>
      <c r="V76" s="4">
        <f t="shared" si="100"/>
        <v>0</v>
      </c>
      <c r="W76" s="4">
        <f t="shared" si="100"/>
        <v>0</v>
      </c>
      <c r="X76" s="4">
        <f t="shared" si="100"/>
        <v>0</v>
      </c>
      <c r="Y76" s="4">
        <f t="shared" si="100"/>
        <v>0</v>
      </c>
      <c r="Z76" s="4">
        <f t="shared" si="100"/>
        <v>0</v>
      </c>
      <c r="AA76" s="4">
        <f t="shared" si="100"/>
        <v>0</v>
      </c>
      <c r="AB76" s="4">
        <f t="shared" si="100"/>
        <v>0</v>
      </c>
      <c r="AC76" s="4">
        <f t="shared" si="100"/>
        <v>0</v>
      </c>
      <c r="AD76" s="4">
        <f t="shared" si="100"/>
        <v>0</v>
      </c>
      <c r="AE76" s="4">
        <f t="shared" si="100"/>
        <v>0</v>
      </c>
      <c r="AF76" s="4">
        <f t="shared" si="100"/>
        <v>0</v>
      </c>
      <c r="AG76" s="4">
        <f t="shared" si="100"/>
        <v>0</v>
      </c>
      <c r="AH76" s="4">
        <f t="shared" si="100"/>
        <v>0</v>
      </c>
      <c r="AI76" s="4">
        <f t="shared" si="100"/>
        <v>0</v>
      </c>
      <c r="AJ76" s="4">
        <f t="shared" ref="AJ76:BL76" si="101">MAX(MIN(AJ75,AJ42),0)</f>
        <v>0</v>
      </c>
      <c r="AK76" s="4">
        <f t="shared" si="101"/>
        <v>0</v>
      </c>
      <c r="AL76" s="4">
        <f t="shared" si="101"/>
        <v>0</v>
      </c>
      <c r="AM76" s="4">
        <f t="shared" si="101"/>
        <v>0</v>
      </c>
      <c r="AN76" s="4">
        <f t="shared" si="101"/>
        <v>0</v>
      </c>
      <c r="AO76" s="4">
        <f t="shared" si="101"/>
        <v>0</v>
      </c>
      <c r="AP76" s="4">
        <f t="shared" si="101"/>
        <v>0</v>
      </c>
      <c r="AQ76" s="4">
        <f t="shared" si="101"/>
        <v>0</v>
      </c>
      <c r="AR76" s="4">
        <f t="shared" si="101"/>
        <v>0</v>
      </c>
      <c r="AS76" s="4">
        <f t="shared" si="101"/>
        <v>0</v>
      </c>
      <c r="AT76" s="4">
        <f t="shared" si="101"/>
        <v>0</v>
      </c>
      <c r="AU76" s="4">
        <f t="shared" si="101"/>
        <v>0</v>
      </c>
      <c r="AV76" s="4">
        <f t="shared" si="101"/>
        <v>0</v>
      </c>
      <c r="AW76" s="4">
        <f t="shared" si="101"/>
        <v>0</v>
      </c>
      <c r="AX76" s="4">
        <f t="shared" si="101"/>
        <v>0</v>
      </c>
      <c r="AY76" s="4">
        <f t="shared" si="101"/>
        <v>0</v>
      </c>
      <c r="AZ76" s="4">
        <f t="shared" si="101"/>
        <v>0</v>
      </c>
      <c r="BA76" s="4">
        <f t="shared" si="101"/>
        <v>0</v>
      </c>
      <c r="BB76" s="4">
        <f t="shared" si="101"/>
        <v>0</v>
      </c>
      <c r="BC76" s="4">
        <f t="shared" si="101"/>
        <v>0</v>
      </c>
      <c r="BD76" s="4">
        <f t="shared" si="101"/>
        <v>0</v>
      </c>
      <c r="BE76" s="4">
        <f t="shared" si="101"/>
        <v>0</v>
      </c>
      <c r="BF76" s="4">
        <f t="shared" si="101"/>
        <v>0</v>
      </c>
      <c r="BG76" s="4">
        <f t="shared" si="101"/>
        <v>0</v>
      </c>
      <c r="BH76" s="4">
        <f t="shared" si="101"/>
        <v>0</v>
      </c>
      <c r="BI76" s="4">
        <f t="shared" si="101"/>
        <v>0</v>
      </c>
      <c r="BJ76" s="4">
        <f t="shared" si="101"/>
        <v>0</v>
      </c>
      <c r="BK76" s="4">
        <f t="shared" si="101"/>
        <v>0</v>
      </c>
      <c r="BL76" s="4">
        <f t="shared" si="101"/>
        <v>0</v>
      </c>
    </row>
    <row r="77" spans="2:64" x14ac:dyDescent="0.2">
      <c r="B77" s="1" t="s">
        <v>53</v>
      </c>
      <c r="D77" s="4">
        <f>D75-D76</f>
        <v>1193629.5940095503</v>
      </c>
      <c r="E77" s="4">
        <f>E75-E76</f>
        <v>273744.42734288366</v>
      </c>
      <c r="F77" s="4">
        <f t="shared" ref="F77:BL77" si="102">F75-F76</f>
        <v>257077.760676217</v>
      </c>
      <c r="G77" s="4">
        <f t="shared" si="102"/>
        <v>240411.09400955035</v>
      </c>
      <c r="H77" s="4">
        <f t="shared" si="102"/>
        <v>223744.42734288369</v>
      </c>
      <c r="I77" s="4">
        <f t="shared" si="102"/>
        <v>207077.76067621703</v>
      </c>
      <c r="J77" s="4">
        <f t="shared" si="102"/>
        <v>190411.09400955038</v>
      </c>
      <c r="K77" s="4">
        <f t="shared" si="102"/>
        <v>0</v>
      </c>
      <c r="L77" s="4">
        <f t="shared" si="102"/>
        <v>0</v>
      </c>
      <c r="M77" s="4">
        <f t="shared" si="102"/>
        <v>0</v>
      </c>
      <c r="N77" s="4">
        <f t="shared" si="102"/>
        <v>0</v>
      </c>
      <c r="O77" s="4">
        <f t="shared" si="102"/>
        <v>0</v>
      </c>
      <c r="P77" s="4">
        <f t="shared" si="102"/>
        <v>0</v>
      </c>
      <c r="Q77" s="4">
        <f t="shared" si="102"/>
        <v>0</v>
      </c>
      <c r="R77" s="4">
        <f t="shared" si="102"/>
        <v>0</v>
      </c>
      <c r="S77" s="4">
        <f t="shared" si="102"/>
        <v>0</v>
      </c>
      <c r="T77" s="4">
        <f t="shared" si="102"/>
        <v>0</v>
      </c>
      <c r="U77" s="4">
        <f t="shared" si="102"/>
        <v>0</v>
      </c>
      <c r="V77" s="4">
        <f t="shared" si="102"/>
        <v>0</v>
      </c>
      <c r="W77" s="4">
        <f t="shared" si="102"/>
        <v>0</v>
      </c>
      <c r="X77" s="4">
        <f t="shared" si="102"/>
        <v>0</v>
      </c>
      <c r="Y77" s="4">
        <f t="shared" si="102"/>
        <v>0</v>
      </c>
      <c r="Z77" s="4">
        <f t="shared" si="102"/>
        <v>0</v>
      </c>
      <c r="AA77" s="4">
        <f t="shared" si="102"/>
        <v>0</v>
      </c>
      <c r="AB77" s="4">
        <f t="shared" si="102"/>
        <v>0</v>
      </c>
      <c r="AC77" s="4">
        <f t="shared" si="102"/>
        <v>0</v>
      </c>
      <c r="AD77" s="4">
        <f t="shared" si="102"/>
        <v>0</v>
      </c>
      <c r="AE77" s="4">
        <f t="shared" si="102"/>
        <v>0</v>
      </c>
      <c r="AF77" s="4">
        <f t="shared" si="102"/>
        <v>0</v>
      </c>
      <c r="AG77" s="4">
        <f t="shared" si="102"/>
        <v>0</v>
      </c>
      <c r="AH77" s="4">
        <f t="shared" si="102"/>
        <v>0</v>
      </c>
      <c r="AI77" s="4">
        <f t="shared" si="102"/>
        <v>0</v>
      </c>
      <c r="AJ77" s="4">
        <f t="shared" si="102"/>
        <v>0</v>
      </c>
      <c r="AK77" s="4">
        <f t="shared" si="102"/>
        <v>0</v>
      </c>
      <c r="AL77" s="4">
        <f t="shared" si="102"/>
        <v>0</v>
      </c>
      <c r="AM77" s="4">
        <f t="shared" si="102"/>
        <v>0</v>
      </c>
      <c r="AN77" s="4">
        <f t="shared" si="102"/>
        <v>0</v>
      </c>
      <c r="AO77" s="4">
        <f t="shared" si="102"/>
        <v>0</v>
      </c>
      <c r="AP77" s="4">
        <f t="shared" si="102"/>
        <v>0</v>
      </c>
      <c r="AQ77" s="4">
        <f t="shared" si="102"/>
        <v>0</v>
      </c>
      <c r="AR77" s="4">
        <f t="shared" si="102"/>
        <v>0</v>
      </c>
      <c r="AS77" s="4">
        <f t="shared" si="102"/>
        <v>0</v>
      </c>
      <c r="AT77" s="4">
        <f t="shared" si="102"/>
        <v>0</v>
      </c>
      <c r="AU77" s="4">
        <f t="shared" si="102"/>
        <v>0</v>
      </c>
      <c r="AV77" s="4">
        <f t="shared" si="102"/>
        <v>0</v>
      </c>
      <c r="AW77" s="4">
        <f t="shared" si="102"/>
        <v>0</v>
      </c>
      <c r="AX77" s="4">
        <f t="shared" si="102"/>
        <v>0</v>
      </c>
      <c r="AY77" s="4">
        <f t="shared" si="102"/>
        <v>0</v>
      </c>
      <c r="AZ77" s="4">
        <f t="shared" si="102"/>
        <v>0</v>
      </c>
      <c r="BA77" s="4">
        <f t="shared" si="102"/>
        <v>0</v>
      </c>
      <c r="BB77" s="4">
        <f t="shared" si="102"/>
        <v>0</v>
      </c>
      <c r="BC77" s="4">
        <f t="shared" si="102"/>
        <v>0</v>
      </c>
      <c r="BD77" s="4">
        <f t="shared" si="102"/>
        <v>0</v>
      </c>
      <c r="BE77" s="4">
        <f t="shared" si="102"/>
        <v>0</v>
      </c>
      <c r="BF77" s="4">
        <f t="shared" si="102"/>
        <v>0</v>
      </c>
      <c r="BG77" s="4">
        <f t="shared" si="102"/>
        <v>0</v>
      </c>
      <c r="BH77" s="4">
        <f t="shared" si="102"/>
        <v>0</v>
      </c>
      <c r="BI77" s="4">
        <f t="shared" si="102"/>
        <v>0</v>
      </c>
      <c r="BJ77" s="4">
        <f t="shared" si="102"/>
        <v>0</v>
      </c>
      <c r="BK77" s="4">
        <f t="shared" si="102"/>
        <v>0</v>
      </c>
      <c r="BL77" s="4">
        <f t="shared" si="102"/>
        <v>0</v>
      </c>
    </row>
    <row r="78" spans="2:64" x14ac:dyDescent="0.2"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</row>
    <row r="79" spans="2:64" x14ac:dyDescent="0.2">
      <c r="B79" s="2" t="s">
        <v>66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</row>
    <row r="80" spans="2:64" x14ac:dyDescent="0.2">
      <c r="B80" s="1" t="s">
        <v>58</v>
      </c>
      <c r="D80" s="4">
        <f>R7</f>
        <v>2654815.9059904497</v>
      </c>
      <c r="E80" s="4">
        <f>D83</f>
        <v>2654815.9059904497</v>
      </c>
      <c r="F80" s="4">
        <f t="shared" ref="F80:BL80" si="103">E83</f>
        <v>2654815.9059904497</v>
      </c>
      <c r="G80" s="4">
        <f t="shared" si="103"/>
        <v>2654815.9059904497</v>
      </c>
      <c r="H80" s="4">
        <f t="shared" si="103"/>
        <v>2654815.9059904497</v>
      </c>
      <c r="I80" s="4">
        <f t="shared" si="103"/>
        <v>2654815.9059904497</v>
      </c>
      <c r="J80" s="4">
        <f t="shared" si="103"/>
        <v>2654815.9059904497</v>
      </c>
      <c r="K80" s="4">
        <f t="shared" si="103"/>
        <v>2654815.9059904497</v>
      </c>
      <c r="L80" s="4">
        <f t="shared" si="103"/>
        <v>2608124.75</v>
      </c>
      <c r="M80" s="4">
        <f>L83</f>
        <v>2371022.5</v>
      </c>
      <c r="N80" s="4">
        <f t="shared" si="103"/>
        <v>2133920.25</v>
      </c>
      <c r="O80" s="4">
        <f t="shared" si="103"/>
        <v>1896818</v>
      </c>
      <c r="P80" s="4">
        <f t="shared" si="103"/>
        <v>1659715.75</v>
      </c>
      <c r="Q80" s="4">
        <f t="shared" si="103"/>
        <v>1422613.5</v>
      </c>
      <c r="R80" s="4">
        <f t="shared" si="103"/>
        <v>1185511.25</v>
      </c>
      <c r="S80" s="4">
        <f t="shared" si="103"/>
        <v>948409</v>
      </c>
      <c r="T80" s="4">
        <f t="shared" si="103"/>
        <v>711306.75</v>
      </c>
      <c r="U80" s="4">
        <f t="shared" si="103"/>
        <v>474204.5</v>
      </c>
      <c r="V80" s="4">
        <f t="shared" si="103"/>
        <v>237102.25</v>
      </c>
      <c r="W80" s="4">
        <f t="shared" si="103"/>
        <v>0</v>
      </c>
      <c r="X80" s="4">
        <f t="shared" si="103"/>
        <v>920448</v>
      </c>
      <c r="Y80" s="4">
        <f t="shared" si="103"/>
        <v>1840896</v>
      </c>
      <c r="Z80" s="4">
        <f t="shared" si="103"/>
        <v>2654815.9059904497</v>
      </c>
      <c r="AA80" s="4">
        <f t="shared" si="103"/>
        <v>2654815.9059904497</v>
      </c>
      <c r="AB80" s="4">
        <f t="shared" si="103"/>
        <v>2654815.9059904497</v>
      </c>
      <c r="AC80" s="4">
        <f t="shared" si="103"/>
        <v>2654815.9059904497</v>
      </c>
      <c r="AD80" s="4">
        <f t="shared" si="103"/>
        <v>2654815.9059904497</v>
      </c>
      <c r="AE80" s="4">
        <f t="shared" si="103"/>
        <v>2654815.9059904497</v>
      </c>
      <c r="AF80" s="4">
        <f t="shared" si="103"/>
        <v>2654815.9059904497</v>
      </c>
      <c r="AG80" s="4">
        <f t="shared" si="103"/>
        <v>2654815.9059904497</v>
      </c>
      <c r="AH80" s="4">
        <f t="shared" si="103"/>
        <v>2654815.9059904497</v>
      </c>
      <c r="AI80" s="4">
        <f t="shared" si="103"/>
        <v>2654815.9059904497</v>
      </c>
      <c r="AJ80" s="4">
        <f t="shared" si="103"/>
        <v>2654815.9059904497</v>
      </c>
      <c r="AK80" s="4">
        <f t="shared" si="103"/>
        <v>2654815.9059904497</v>
      </c>
      <c r="AL80" s="4">
        <f t="shared" si="103"/>
        <v>2654815.9059904497</v>
      </c>
      <c r="AM80" s="4">
        <f t="shared" si="103"/>
        <v>2654815.9059904497</v>
      </c>
      <c r="AN80" s="4">
        <f t="shared" si="103"/>
        <v>2654815.9059904497</v>
      </c>
      <c r="AO80" s="4">
        <f t="shared" si="103"/>
        <v>2654815.9059904497</v>
      </c>
      <c r="AP80" s="4">
        <f t="shared" si="103"/>
        <v>2654815.9059904497</v>
      </c>
      <c r="AQ80" s="4">
        <f t="shared" si="103"/>
        <v>2654815.9059904497</v>
      </c>
      <c r="AR80" s="4">
        <f t="shared" si="103"/>
        <v>2654815.9059904497</v>
      </c>
      <c r="AS80" s="4">
        <f t="shared" si="103"/>
        <v>2654815.9059904497</v>
      </c>
      <c r="AT80" s="4">
        <f t="shared" si="103"/>
        <v>2654815.9059904497</v>
      </c>
      <c r="AU80" s="4">
        <f t="shared" si="103"/>
        <v>2654815.9059904497</v>
      </c>
      <c r="AV80" s="4">
        <f t="shared" si="103"/>
        <v>2654815.9059904497</v>
      </c>
      <c r="AW80" s="4">
        <f t="shared" si="103"/>
        <v>2654815.9059904497</v>
      </c>
      <c r="AX80" s="4">
        <f t="shared" si="103"/>
        <v>2654815.9059904497</v>
      </c>
      <c r="AY80" s="4">
        <f t="shared" si="103"/>
        <v>2654815.9059904497</v>
      </c>
      <c r="AZ80" s="4">
        <f t="shared" si="103"/>
        <v>2654815.9059904497</v>
      </c>
      <c r="BA80" s="4">
        <f t="shared" si="103"/>
        <v>2654815.9059904497</v>
      </c>
      <c r="BB80" s="4">
        <f t="shared" si="103"/>
        <v>2654815.9059904497</v>
      </c>
      <c r="BC80" s="4">
        <f t="shared" si="103"/>
        <v>2654815.9059904497</v>
      </c>
      <c r="BD80" s="4">
        <f t="shared" si="103"/>
        <v>2654815.9059904497</v>
      </c>
      <c r="BE80" s="4">
        <f t="shared" si="103"/>
        <v>2654815.9059904497</v>
      </c>
      <c r="BF80" s="4">
        <f t="shared" si="103"/>
        <v>2654815.9059904497</v>
      </c>
      <c r="BG80" s="4">
        <f t="shared" si="103"/>
        <v>2654815.9059904497</v>
      </c>
      <c r="BH80" s="4">
        <f t="shared" si="103"/>
        <v>2654815.9059904497</v>
      </c>
      <c r="BI80" s="4">
        <f t="shared" si="103"/>
        <v>2654815.9059904497</v>
      </c>
      <c r="BJ80" s="4">
        <f t="shared" si="103"/>
        <v>2654815.9059904497</v>
      </c>
      <c r="BK80" s="4">
        <f t="shared" si="103"/>
        <v>2654815.9059904497</v>
      </c>
      <c r="BL80" s="4">
        <f t="shared" si="103"/>
        <v>2654815.9059904497</v>
      </c>
    </row>
    <row r="81" spans="2:64" x14ac:dyDescent="0.2">
      <c r="B81" s="1" t="s">
        <v>55</v>
      </c>
      <c r="C81" s="19">
        <f>SUM(D81:BL81)</f>
        <v>2654815.9059904497</v>
      </c>
      <c r="D81" s="4">
        <f t="shared" ref="D81:AI81" si="104">MAX(MIN(D42-D76,D80),0)</f>
        <v>0</v>
      </c>
      <c r="E81" s="4">
        <f t="shared" si="104"/>
        <v>0</v>
      </c>
      <c r="F81" s="4">
        <f t="shared" si="104"/>
        <v>0</v>
      </c>
      <c r="G81" s="4">
        <f t="shared" si="104"/>
        <v>0</v>
      </c>
      <c r="H81" s="4">
        <f t="shared" si="104"/>
        <v>0</v>
      </c>
      <c r="I81" s="4">
        <f t="shared" si="104"/>
        <v>0</v>
      </c>
      <c r="J81" s="4">
        <f t="shared" si="104"/>
        <v>0</v>
      </c>
      <c r="K81" s="4">
        <f t="shared" si="104"/>
        <v>46691.155990449624</v>
      </c>
      <c r="L81" s="4">
        <f t="shared" si="104"/>
        <v>237102.25</v>
      </c>
      <c r="M81" s="4">
        <f>MAX(MIN(M42-M76,M80),0)</f>
        <v>237102.25</v>
      </c>
      <c r="N81" s="4">
        <f t="shared" si="104"/>
        <v>237102.25</v>
      </c>
      <c r="O81" s="4">
        <f t="shared" si="104"/>
        <v>237102.25</v>
      </c>
      <c r="P81" s="4">
        <f t="shared" si="104"/>
        <v>237102.25</v>
      </c>
      <c r="Q81" s="4">
        <f t="shared" si="104"/>
        <v>237102.25</v>
      </c>
      <c r="R81" s="4">
        <f t="shared" si="104"/>
        <v>237102.25</v>
      </c>
      <c r="S81" s="4">
        <f t="shared" si="104"/>
        <v>237102.25</v>
      </c>
      <c r="T81" s="4">
        <f t="shared" si="104"/>
        <v>237102.25</v>
      </c>
      <c r="U81" s="4">
        <f t="shared" si="104"/>
        <v>237102.25</v>
      </c>
      <c r="V81" s="4">
        <f t="shared" si="104"/>
        <v>237102.25</v>
      </c>
      <c r="W81" s="4">
        <f t="shared" si="104"/>
        <v>0</v>
      </c>
      <c r="X81" s="4">
        <f t="shared" si="104"/>
        <v>0</v>
      </c>
      <c r="Y81" s="4">
        <f t="shared" si="104"/>
        <v>0</v>
      </c>
      <c r="Z81" s="4">
        <f t="shared" si="104"/>
        <v>0</v>
      </c>
      <c r="AA81" s="4">
        <f t="shared" si="104"/>
        <v>0</v>
      </c>
      <c r="AB81" s="4">
        <f t="shared" si="104"/>
        <v>0</v>
      </c>
      <c r="AC81" s="4">
        <f t="shared" si="104"/>
        <v>0</v>
      </c>
      <c r="AD81" s="4">
        <f t="shared" si="104"/>
        <v>0</v>
      </c>
      <c r="AE81" s="4">
        <f t="shared" si="104"/>
        <v>0</v>
      </c>
      <c r="AF81" s="4">
        <f t="shared" si="104"/>
        <v>0</v>
      </c>
      <c r="AG81" s="4">
        <f t="shared" si="104"/>
        <v>0</v>
      </c>
      <c r="AH81" s="4">
        <f t="shared" si="104"/>
        <v>0</v>
      </c>
      <c r="AI81" s="4">
        <f t="shared" si="104"/>
        <v>0</v>
      </c>
      <c r="AJ81" s="4">
        <f t="shared" ref="AJ81:BL81" si="105">MAX(MIN(AJ42-AJ76,AJ80),0)</f>
        <v>0</v>
      </c>
      <c r="AK81" s="4">
        <f t="shared" si="105"/>
        <v>0</v>
      </c>
      <c r="AL81" s="4">
        <f t="shared" si="105"/>
        <v>0</v>
      </c>
      <c r="AM81" s="4">
        <f t="shared" si="105"/>
        <v>0</v>
      </c>
      <c r="AN81" s="4">
        <f t="shared" si="105"/>
        <v>0</v>
      </c>
      <c r="AO81" s="4">
        <f t="shared" si="105"/>
        <v>0</v>
      </c>
      <c r="AP81" s="4">
        <f t="shared" si="105"/>
        <v>0</v>
      </c>
      <c r="AQ81" s="4">
        <f t="shared" si="105"/>
        <v>0</v>
      </c>
      <c r="AR81" s="4">
        <f t="shared" si="105"/>
        <v>0</v>
      </c>
      <c r="AS81" s="4">
        <f t="shared" si="105"/>
        <v>0</v>
      </c>
      <c r="AT81" s="4">
        <f t="shared" si="105"/>
        <v>0</v>
      </c>
      <c r="AU81" s="4">
        <f t="shared" si="105"/>
        <v>0</v>
      </c>
      <c r="AV81" s="4">
        <f t="shared" si="105"/>
        <v>0</v>
      </c>
      <c r="AW81" s="4">
        <f t="shared" si="105"/>
        <v>0</v>
      </c>
      <c r="AX81" s="4">
        <f t="shared" si="105"/>
        <v>0</v>
      </c>
      <c r="AY81" s="4">
        <f t="shared" si="105"/>
        <v>0</v>
      </c>
      <c r="AZ81" s="4">
        <f t="shared" si="105"/>
        <v>0</v>
      </c>
      <c r="BA81" s="4">
        <f t="shared" si="105"/>
        <v>0</v>
      </c>
      <c r="BB81" s="4">
        <f t="shared" si="105"/>
        <v>0</v>
      </c>
      <c r="BC81" s="4">
        <f t="shared" si="105"/>
        <v>0</v>
      </c>
      <c r="BD81" s="4">
        <f t="shared" si="105"/>
        <v>0</v>
      </c>
      <c r="BE81" s="4">
        <f t="shared" si="105"/>
        <v>0</v>
      </c>
      <c r="BF81" s="4">
        <f t="shared" si="105"/>
        <v>0</v>
      </c>
      <c r="BG81" s="4">
        <f t="shared" si="105"/>
        <v>0</v>
      </c>
      <c r="BH81" s="4">
        <f t="shared" si="105"/>
        <v>0</v>
      </c>
      <c r="BI81" s="4">
        <f t="shared" si="105"/>
        <v>0</v>
      </c>
      <c r="BJ81" s="4">
        <f t="shared" si="105"/>
        <v>0</v>
      </c>
      <c r="BK81" s="4">
        <f t="shared" si="105"/>
        <v>0</v>
      </c>
      <c r="BL81" s="4">
        <f t="shared" si="105"/>
        <v>0</v>
      </c>
    </row>
    <row r="82" spans="2:64" x14ac:dyDescent="0.2">
      <c r="B82" s="1" t="s">
        <v>56</v>
      </c>
      <c r="D82" s="4">
        <f>IF(D23&gt;0,MIN($R$7+#REF!-D80,D23),0)</f>
        <v>0</v>
      </c>
      <c r="E82" s="4">
        <f t="shared" ref="E82:AJ82" si="106">IF(E23&gt;0,MIN($R$7-E80,E23),0)</f>
        <v>0</v>
      </c>
      <c r="F82" s="4">
        <f t="shared" si="106"/>
        <v>0</v>
      </c>
      <c r="G82" s="4">
        <f t="shared" si="106"/>
        <v>0</v>
      </c>
      <c r="H82" s="4">
        <f t="shared" si="106"/>
        <v>0</v>
      </c>
      <c r="I82" s="4">
        <f t="shared" si="106"/>
        <v>0</v>
      </c>
      <c r="J82" s="4">
        <f t="shared" si="106"/>
        <v>0</v>
      </c>
      <c r="K82" s="4">
        <f t="shared" si="106"/>
        <v>0</v>
      </c>
      <c r="L82" s="4">
        <f t="shared" si="106"/>
        <v>0</v>
      </c>
      <c r="M82" s="4">
        <f t="shared" si="106"/>
        <v>0</v>
      </c>
      <c r="N82" s="4">
        <f t="shared" si="106"/>
        <v>0</v>
      </c>
      <c r="O82" s="4">
        <f t="shared" si="106"/>
        <v>0</v>
      </c>
      <c r="P82" s="4">
        <f t="shared" si="106"/>
        <v>0</v>
      </c>
      <c r="Q82" s="4">
        <f t="shared" si="106"/>
        <v>0</v>
      </c>
      <c r="R82" s="4">
        <f t="shared" si="106"/>
        <v>0</v>
      </c>
      <c r="S82" s="4">
        <f t="shared" si="106"/>
        <v>0</v>
      </c>
      <c r="T82" s="4">
        <f t="shared" si="106"/>
        <v>0</v>
      </c>
      <c r="U82" s="4">
        <f t="shared" si="106"/>
        <v>0</v>
      </c>
      <c r="V82" s="4">
        <f t="shared" si="106"/>
        <v>0</v>
      </c>
      <c r="W82" s="4">
        <f t="shared" si="106"/>
        <v>920448</v>
      </c>
      <c r="X82" s="4">
        <f t="shared" si="106"/>
        <v>920448</v>
      </c>
      <c r="Y82" s="4">
        <f t="shared" si="106"/>
        <v>813919.90599044971</v>
      </c>
      <c r="Z82" s="4">
        <f t="shared" si="106"/>
        <v>0</v>
      </c>
      <c r="AA82" s="4">
        <f t="shared" si="106"/>
        <v>0</v>
      </c>
      <c r="AB82" s="4">
        <f t="shared" si="106"/>
        <v>0</v>
      </c>
      <c r="AC82" s="4">
        <f t="shared" si="106"/>
        <v>0</v>
      </c>
      <c r="AD82" s="4">
        <f t="shared" si="106"/>
        <v>0</v>
      </c>
      <c r="AE82" s="4">
        <f t="shared" si="106"/>
        <v>0</v>
      </c>
      <c r="AF82" s="4">
        <f t="shared" si="106"/>
        <v>0</v>
      </c>
      <c r="AG82" s="4">
        <f t="shared" si="106"/>
        <v>0</v>
      </c>
      <c r="AH82" s="4">
        <f t="shared" si="106"/>
        <v>0</v>
      </c>
      <c r="AI82" s="4">
        <f t="shared" si="106"/>
        <v>0</v>
      </c>
      <c r="AJ82" s="4">
        <f t="shared" si="106"/>
        <v>0</v>
      </c>
      <c r="AK82" s="4">
        <f t="shared" ref="AK82:BL82" si="107">IF(AK23&gt;0,MIN($R$7-AK80,AK23),0)</f>
        <v>0</v>
      </c>
      <c r="AL82" s="4">
        <f t="shared" si="107"/>
        <v>0</v>
      </c>
      <c r="AM82" s="4">
        <f t="shared" si="107"/>
        <v>0</v>
      </c>
      <c r="AN82" s="4">
        <f t="shared" si="107"/>
        <v>0</v>
      </c>
      <c r="AO82" s="4">
        <f t="shared" si="107"/>
        <v>0</v>
      </c>
      <c r="AP82" s="4">
        <f t="shared" si="107"/>
        <v>0</v>
      </c>
      <c r="AQ82" s="4">
        <f t="shared" si="107"/>
        <v>0</v>
      </c>
      <c r="AR82" s="4">
        <f t="shared" si="107"/>
        <v>0</v>
      </c>
      <c r="AS82" s="4">
        <f t="shared" si="107"/>
        <v>0</v>
      </c>
      <c r="AT82" s="4">
        <f t="shared" si="107"/>
        <v>0</v>
      </c>
      <c r="AU82" s="4">
        <f t="shared" si="107"/>
        <v>0</v>
      </c>
      <c r="AV82" s="4">
        <f t="shared" si="107"/>
        <v>0</v>
      </c>
      <c r="AW82" s="4">
        <f t="shared" si="107"/>
        <v>0</v>
      </c>
      <c r="AX82" s="4">
        <f t="shared" si="107"/>
        <v>0</v>
      </c>
      <c r="AY82" s="4">
        <f t="shared" si="107"/>
        <v>0</v>
      </c>
      <c r="AZ82" s="4">
        <f t="shared" si="107"/>
        <v>0</v>
      </c>
      <c r="BA82" s="4">
        <f t="shared" si="107"/>
        <v>0</v>
      </c>
      <c r="BB82" s="4">
        <f t="shared" si="107"/>
        <v>0</v>
      </c>
      <c r="BC82" s="4">
        <f t="shared" si="107"/>
        <v>0</v>
      </c>
      <c r="BD82" s="4">
        <f t="shared" si="107"/>
        <v>0</v>
      </c>
      <c r="BE82" s="4">
        <f t="shared" si="107"/>
        <v>0</v>
      </c>
      <c r="BF82" s="4">
        <f t="shared" si="107"/>
        <v>0</v>
      </c>
      <c r="BG82" s="4">
        <f t="shared" si="107"/>
        <v>0</v>
      </c>
      <c r="BH82" s="4">
        <f t="shared" si="107"/>
        <v>0</v>
      </c>
      <c r="BI82" s="4">
        <f t="shared" si="107"/>
        <v>0</v>
      </c>
      <c r="BJ82" s="4">
        <f t="shared" si="107"/>
        <v>0</v>
      </c>
      <c r="BK82" s="4">
        <f t="shared" si="107"/>
        <v>0</v>
      </c>
      <c r="BL82" s="4">
        <f t="shared" si="107"/>
        <v>0</v>
      </c>
    </row>
    <row r="83" spans="2:64" x14ac:dyDescent="0.2">
      <c r="B83" s="1" t="s">
        <v>59</v>
      </c>
      <c r="D83" s="4">
        <f t="shared" ref="D83:AI83" si="108">D80-D81+D82</f>
        <v>2654815.9059904497</v>
      </c>
      <c r="E83" s="4">
        <f t="shared" si="108"/>
        <v>2654815.9059904497</v>
      </c>
      <c r="F83" s="4">
        <f t="shared" si="108"/>
        <v>2654815.9059904497</v>
      </c>
      <c r="G83" s="4">
        <f t="shared" si="108"/>
        <v>2654815.9059904497</v>
      </c>
      <c r="H83" s="4">
        <f t="shared" si="108"/>
        <v>2654815.9059904497</v>
      </c>
      <c r="I83" s="4">
        <f t="shared" si="108"/>
        <v>2654815.9059904497</v>
      </c>
      <c r="J83" s="4">
        <f t="shared" si="108"/>
        <v>2654815.9059904497</v>
      </c>
      <c r="K83" s="4">
        <f t="shared" si="108"/>
        <v>2608124.75</v>
      </c>
      <c r="L83" s="4">
        <f t="shared" si="108"/>
        <v>2371022.5</v>
      </c>
      <c r="M83" s="4">
        <f t="shared" si="108"/>
        <v>2133920.25</v>
      </c>
      <c r="N83" s="4">
        <f t="shared" si="108"/>
        <v>1896818</v>
      </c>
      <c r="O83" s="4">
        <f t="shared" si="108"/>
        <v>1659715.75</v>
      </c>
      <c r="P83" s="4">
        <f t="shared" si="108"/>
        <v>1422613.5</v>
      </c>
      <c r="Q83" s="4">
        <f t="shared" si="108"/>
        <v>1185511.25</v>
      </c>
      <c r="R83" s="4">
        <f t="shared" si="108"/>
        <v>948409</v>
      </c>
      <c r="S83" s="4">
        <f t="shared" si="108"/>
        <v>711306.75</v>
      </c>
      <c r="T83" s="4">
        <f t="shared" si="108"/>
        <v>474204.5</v>
      </c>
      <c r="U83" s="4">
        <f t="shared" si="108"/>
        <v>237102.25</v>
      </c>
      <c r="V83" s="4">
        <f t="shared" si="108"/>
        <v>0</v>
      </c>
      <c r="W83" s="4">
        <f t="shared" si="108"/>
        <v>920448</v>
      </c>
      <c r="X83" s="4">
        <f t="shared" si="108"/>
        <v>1840896</v>
      </c>
      <c r="Y83" s="4">
        <f t="shared" si="108"/>
        <v>2654815.9059904497</v>
      </c>
      <c r="Z83" s="4">
        <f t="shared" si="108"/>
        <v>2654815.9059904497</v>
      </c>
      <c r="AA83" s="4">
        <f t="shared" si="108"/>
        <v>2654815.9059904497</v>
      </c>
      <c r="AB83" s="4">
        <f t="shared" si="108"/>
        <v>2654815.9059904497</v>
      </c>
      <c r="AC83" s="4">
        <f t="shared" si="108"/>
        <v>2654815.9059904497</v>
      </c>
      <c r="AD83" s="4">
        <f t="shared" si="108"/>
        <v>2654815.9059904497</v>
      </c>
      <c r="AE83" s="4">
        <f t="shared" si="108"/>
        <v>2654815.9059904497</v>
      </c>
      <c r="AF83" s="4">
        <f t="shared" si="108"/>
        <v>2654815.9059904497</v>
      </c>
      <c r="AG83" s="4">
        <f t="shared" si="108"/>
        <v>2654815.9059904497</v>
      </c>
      <c r="AH83" s="4">
        <f t="shared" si="108"/>
        <v>2654815.9059904497</v>
      </c>
      <c r="AI83" s="4">
        <f t="shared" si="108"/>
        <v>2654815.9059904497</v>
      </c>
      <c r="AJ83" s="4">
        <f t="shared" ref="AJ83:BL83" si="109">AJ80-AJ81+AJ82</f>
        <v>2654815.9059904497</v>
      </c>
      <c r="AK83" s="4">
        <f t="shared" si="109"/>
        <v>2654815.9059904497</v>
      </c>
      <c r="AL83" s="4">
        <f t="shared" si="109"/>
        <v>2654815.9059904497</v>
      </c>
      <c r="AM83" s="4">
        <f t="shared" si="109"/>
        <v>2654815.9059904497</v>
      </c>
      <c r="AN83" s="4">
        <f t="shared" si="109"/>
        <v>2654815.9059904497</v>
      </c>
      <c r="AO83" s="4">
        <f t="shared" si="109"/>
        <v>2654815.9059904497</v>
      </c>
      <c r="AP83" s="4">
        <f t="shared" si="109"/>
        <v>2654815.9059904497</v>
      </c>
      <c r="AQ83" s="4">
        <f t="shared" si="109"/>
        <v>2654815.9059904497</v>
      </c>
      <c r="AR83" s="4">
        <f t="shared" si="109"/>
        <v>2654815.9059904497</v>
      </c>
      <c r="AS83" s="4">
        <f t="shared" si="109"/>
        <v>2654815.9059904497</v>
      </c>
      <c r="AT83" s="4">
        <f t="shared" si="109"/>
        <v>2654815.9059904497</v>
      </c>
      <c r="AU83" s="4">
        <f t="shared" si="109"/>
        <v>2654815.9059904497</v>
      </c>
      <c r="AV83" s="4">
        <f t="shared" si="109"/>
        <v>2654815.9059904497</v>
      </c>
      <c r="AW83" s="4">
        <f t="shared" si="109"/>
        <v>2654815.9059904497</v>
      </c>
      <c r="AX83" s="4">
        <f t="shared" si="109"/>
        <v>2654815.9059904497</v>
      </c>
      <c r="AY83" s="4">
        <f t="shared" si="109"/>
        <v>2654815.9059904497</v>
      </c>
      <c r="AZ83" s="4">
        <f t="shared" si="109"/>
        <v>2654815.9059904497</v>
      </c>
      <c r="BA83" s="4">
        <f t="shared" si="109"/>
        <v>2654815.9059904497</v>
      </c>
      <c r="BB83" s="4">
        <f t="shared" si="109"/>
        <v>2654815.9059904497</v>
      </c>
      <c r="BC83" s="4">
        <f t="shared" si="109"/>
        <v>2654815.9059904497</v>
      </c>
      <c r="BD83" s="4">
        <f t="shared" si="109"/>
        <v>2654815.9059904497</v>
      </c>
      <c r="BE83" s="4">
        <f t="shared" si="109"/>
        <v>2654815.9059904497</v>
      </c>
      <c r="BF83" s="4">
        <f t="shared" si="109"/>
        <v>2654815.9059904497</v>
      </c>
      <c r="BG83" s="4">
        <f t="shared" si="109"/>
        <v>2654815.9059904497</v>
      </c>
      <c r="BH83" s="4">
        <f t="shared" si="109"/>
        <v>2654815.9059904497</v>
      </c>
      <c r="BI83" s="4">
        <f t="shared" si="109"/>
        <v>2654815.9059904497</v>
      </c>
      <c r="BJ83" s="4">
        <f t="shared" si="109"/>
        <v>2654815.9059904497</v>
      </c>
      <c r="BK83" s="4">
        <f t="shared" si="109"/>
        <v>2654815.9059904497</v>
      </c>
      <c r="BL83" s="4">
        <f t="shared" si="109"/>
        <v>2654815.9059904497</v>
      </c>
    </row>
    <row r="84" spans="2:64" x14ac:dyDescent="0.2"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</row>
    <row r="85" spans="2:64" x14ac:dyDescent="0.2">
      <c r="B85" s="1" t="s">
        <v>60</v>
      </c>
      <c r="D85" s="4">
        <f t="shared" ref="D85:AI85" si="110">$R$7-D83</f>
        <v>0</v>
      </c>
      <c r="E85" s="4">
        <f t="shared" si="110"/>
        <v>0</v>
      </c>
      <c r="F85" s="4">
        <f t="shared" si="110"/>
        <v>0</v>
      </c>
      <c r="G85" s="4">
        <f t="shared" si="110"/>
        <v>0</v>
      </c>
      <c r="H85" s="4">
        <f t="shared" si="110"/>
        <v>0</v>
      </c>
      <c r="I85" s="4">
        <f t="shared" si="110"/>
        <v>0</v>
      </c>
      <c r="J85" s="4">
        <f t="shared" si="110"/>
        <v>0</v>
      </c>
      <c r="K85" s="4">
        <f t="shared" si="110"/>
        <v>46691.155990449712</v>
      </c>
      <c r="L85" s="4">
        <f t="shared" si="110"/>
        <v>283793.40599044971</v>
      </c>
      <c r="M85" s="4">
        <f t="shared" si="110"/>
        <v>520895.65599044971</v>
      </c>
      <c r="N85" s="4">
        <f t="shared" si="110"/>
        <v>757997.90599044971</v>
      </c>
      <c r="O85" s="4">
        <f t="shared" si="110"/>
        <v>995100.15599044971</v>
      </c>
      <c r="P85" s="4">
        <f t="shared" si="110"/>
        <v>1232202.4059904497</v>
      </c>
      <c r="Q85" s="4">
        <f t="shared" si="110"/>
        <v>1469304.6559904497</v>
      </c>
      <c r="R85" s="4">
        <f t="shared" si="110"/>
        <v>1706406.9059904497</v>
      </c>
      <c r="S85" s="4">
        <f t="shared" si="110"/>
        <v>1943509.1559904497</v>
      </c>
      <c r="T85" s="4">
        <f t="shared" si="110"/>
        <v>2180611.4059904497</v>
      </c>
      <c r="U85" s="4">
        <f t="shared" si="110"/>
        <v>2417713.6559904497</v>
      </c>
      <c r="V85" s="4">
        <f t="shared" si="110"/>
        <v>2654815.9059904497</v>
      </c>
      <c r="W85" s="4">
        <f t="shared" si="110"/>
        <v>1734367.9059904497</v>
      </c>
      <c r="X85" s="4">
        <f t="shared" si="110"/>
        <v>813919.90599044971</v>
      </c>
      <c r="Y85" s="4">
        <f t="shared" si="110"/>
        <v>0</v>
      </c>
      <c r="Z85" s="4">
        <f t="shared" si="110"/>
        <v>0</v>
      </c>
      <c r="AA85" s="4">
        <f t="shared" si="110"/>
        <v>0</v>
      </c>
      <c r="AB85" s="4">
        <f t="shared" si="110"/>
        <v>0</v>
      </c>
      <c r="AC85" s="4">
        <f t="shared" si="110"/>
        <v>0</v>
      </c>
      <c r="AD85" s="4">
        <f t="shared" si="110"/>
        <v>0</v>
      </c>
      <c r="AE85" s="4">
        <f t="shared" si="110"/>
        <v>0</v>
      </c>
      <c r="AF85" s="4">
        <f t="shared" si="110"/>
        <v>0</v>
      </c>
      <c r="AG85" s="4">
        <f t="shared" si="110"/>
        <v>0</v>
      </c>
      <c r="AH85" s="4">
        <f t="shared" si="110"/>
        <v>0</v>
      </c>
      <c r="AI85" s="4">
        <f t="shared" si="110"/>
        <v>0</v>
      </c>
      <c r="AJ85" s="4">
        <f t="shared" ref="AJ85:BL85" si="111">$R$7-AJ83</f>
        <v>0</v>
      </c>
      <c r="AK85" s="4">
        <f t="shared" si="111"/>
        <v>0</v>
      </c>
      <c r="AL85" s="4">
        <f t="shared" si="111"/>
        <v>0</v>
      </c>
      <c r="AM85" s="4">
        <f t="shared" si="111"/>
        <v>0</v>
      </c>
      <c r="AN85" s="4">
        <f t="shared" si="111"/>
        <v>0</v>
      </c>
      <c r="AO85" s="4">
        <f t="shared" si="111"/>
        <v>0</v>
      </c>
      <c r="AP85" s="4">
        <f t="shared" si="111"/>
        <v>0</v>
      </c>
      <c r="AQ85" s="4">
        <f t="shared" si="111"/>
        <v>0</v>
      </c>
      <c r="AR85" s="4">
        <f t="shared" si="111"/>
        <v>0</v>
      </c>
      <c r="AS85" s="4">
        <f t="shared" si="111"/>
        <v>0</v>
      </c>
      <c r="AT85" s="4">
        <f t="shared" si="111"/>
        <v>0</v>
      </c>
      <c r="AU85" s="4">
        <f t="shared" si="111"/>
        <v>0</v>
      </c>
      <c r="AV85" s="4">
        <f t="shared" si="111"/>
        <v>0</v>
      </c>
      <c r="AW85" s="4">
        <f t="shared" si="111"/>
        <v>0</v>
      </c>
      <c r="AX85" s="4">
        <f t="shared" si="111"/>
        <v>0</v>
      </c>
      <c r="AY85" s="4">
        <f t="shared" si="111"/>
        <v>0</v>
      </c>
      <c r="AZ85" s="4">
        <f t="shared" si="111"/>
        <v>0</v>
      </c>
      <c r="BA85" s="4">
        <f t="shared" si="111"/>
        <v>0</v>
      </c>
      <c r="BB85" s="4">
        <f t="shared" si="111"/>
        <v>0</v>
      </c>
      <c r="BC85" s="4">
        <f t="shared" si="111"/>
        <v>0</v>
      </c>
      <c r="BD85" s="4">
        <f t="shared" si="111"/>
        <v>0</v>
      </c>
      <c r="BE85" s="4">
        <f t="shared" si="111"/>
        <v>0</v>
      </c>
      <c r="BF85" s="4">
        <f t="shared" si="111"/>
        <v>0</v>
      </c>
      <c r="BG85" s="4">
        <f t="shared" si="111"/>
        <v>0</v>
      </c>
      <c r="BH85" s="4">
        <f t="shared" si="111"/>
        <v>0</v>
      </c>
      <c r="BI85" s="4">
        <f t="shared" si="111"/>
        <v>0</v>
      </c>
      <c r="BJ85" s="4">
        <f t="shared" si="111"/>
        <v>0</v>
      </c>
      <c r="BK85" s="4">
        <f t="shared" si="111"/>
        <v>0</v>
      </c>
      <c r="BL85" s="4">
        <f t="shared" si="111"/>
        <v>0</v>
      </c>
    </row>
    <row r="86" spans="2:64" x14ac:dyDescent="0.2">
      <c r="B86" s="1" t="s">
        <v>62</v>
      </c>
      <c r="D86" s="4">
        <f t="shared" ref="D86:AI86" si="112">(D85+D87)*$R$5/12</f>
        <v>0</v>
      </c>
      <c r="E86" s="4">
        <f t="shared" si="112"/>
        <v>0</v>
      </c>
      <c r="F86" s="4">
        <f t="shared" si="112"/>
        <v>0</v>
      </c>
      <c r="G86" s="4">
        <f t="shared" si="112"/>
        <v>0</v>
      </c>
      <c r="H86" s="4">
        <f t="shared" si="112"/>
        <v>0</v>
      </c>
      <c r="I86" s="4">
        <f t="shared" si="112"/>
        <v>0</v>
      </c>
      <c r="J86" s="4">
        <f t="shared" si="112"/>
        <v>0</v>
      </c>
      <c r="K86" s="4">
        <f t="shared" si="112"/>
        <v>272.36507661095669</v>
      </c>
      <c r="L86" s="4">
        <f t="shared" si="112"/>
        <v>1657.0503312245207</v>
      </c>
      <c r="M86" s="4">
        <f t="shared" si="112"/>
        <v>3049.812916489997</v>
      </c>
      <c r="N86" s="4">
        <f t="shared" si="112"/>
        <v>4450.6999501695227</v>
      </c>
      <c r="O86" s="4">
        <f t="shared" si="112"/>
        <v>5859.7588248788443</v>
      </c>
      <c r="P86" s="4">
        <f t="shared" si="112"/>
        <v>7277.0372096906385</v>
      </c>
      <c r="Q86" s="4">
        <f t="shared" si="112"/>
        <v>8702.5830517471677</v>
      </c>
      <c r="R86" s="4">
        <f t="shared" si="112"/>
        <v>10136.444577882359</v>
      </c>
      <c r="S86" s="4">
        <f t="shared" si="112"/>
        <v>11578.670296253338</v>
      </c>
      <c r="T86" s="4">
        <f t="shared" si="112"/>
        <v>13029.308997981483</v>
      </c>
      <c r="U86" s="4">
        <f t="shared" si="112"/>
        <v>14488.409758803044</v>
      </c>
      <c r="V86" s="4">
        <f t="shared" si="112"/>
        <v>15956.021940729393</v>
      </c>
      <c r="W86" s="4">
        <f t="shared" si="112"/>
        <v>10679.818735383649</v>
      </c>
      <c r="X86" s="4">
        <f t="shared" si="112"/>
        <v>5372.8376780067192</v>
      </c>
      <c r="Y86" s="4">
        <f t="shared" si="112"/>
        <v>0</v>
      </c>
      <c r="Z86" s="4">
        <f t="shared" si="112"/>
        <v>0</v>
      </c>
      <c r="AA86" s="4">
        <f t="shared" si="112"/>
        <v>0</v>
      </c>
      <c r="AB86" s="4">
        <f t="shared" si="112"/>
        <v>0</v>
      </c>
      <c r="AC86" s="4">
        <f t="shared" si="112"/>
        <v>0</v>
      </c>
      <c r="AD86" s="4">
        <f t="shared" si="112"/>
        <v>0</v>
      </c>
      <c r="AE86" s="4">
        <f t="shared" si="112"/>
        <v>0</v>
      </c>
      <c r="AF86" s="4">
        <f t="shared" si="112"/>
        <v>0</v>
      </c>
      <c r="AG86" s="4">
        <f t="shared" si="112"/>
        <v>0</v>
      </c>
      <c r="AH86" s="4">
        <f t="shared" si="112"/>
        <v>0</v>
      </c>
      <c r="AI86" s="4">
        <f t="shared" si="112"/>
        <v>0</v>
      </c>
      <c r="AJ86" s="4">
        <f t="shared" ref="AJ86:BL86" si="113">(AJ85+AJ87)*$R$5/12</f>
        <v>0</v>
      </c>
      <c r="AK86" s="4">
        <f t="shared" si="113"/>
        <v>0</v>
      </c>
      <c r="AL86" s="4">
        <f t="shared" si="113"/>
        <v>0</v>
      </c>
      <c r="AM86" s="4">
        <f t="shared" si="113"/>
        <v>0</v>
      </c>
      <c r="AN86" s="4">
        <f t="shared" si="113"/>
        <v>0</v>
      </c>
      <c r="AO86" s="4">
        <f t="shared" si="113"/>
        <v>0</v>
      </c>
      <c r="AP86" s="4">
        <f t="shared" si="113"/>
        <v>0</v>
      </c>
      <c r="AQ86" s="4">
        <f t="shared" si="113"/>
        <v>0</v>
      </c>
      <c r="AR86" s="4">
        <f t="shared" si="113"/>
        <v>0</v>
      </c>
      <c r="AS86" s="4">
        <f t="shared" si="113"/>
        <v>0</v>
      </c>
      <c r="AT86" s="4">
        <f t="shared" si="113"/>
        <v>0</v>
      </c>
      <c r="AU86" s="4">
        <f t="shared" si="113"/>
        <v>0</v>
      </c>
      <c r="AV86" s="4">
        <f t="shared" si="113"/>
        <v>0</v>
      </c>
      <c r="AW86" s="4">
        <f t="shared" si="113"/>
        <v>0</v>
      </c>
      <c r="AX86" s="4">
        <f t="shared" si="113"/>
        <v>0</v>
      </c>
      <c r="AY86" s="4">
        <f t="shared" si="113"/>
        <v>0</v>
      </c>
      <c r="AZ86" s="4">
        <f t="shared" si="113"/>
        <v>0</v>
      </c>
      <c r="BA86" s="4">
        <f t="shared" si="113"/>
        <v>0</v>
      </c>
      <c r="BB86" s="4">
        <f t="shared" si="113"/>
        <v>0</v>
      </c>
      <c r="BC86" s="4">
        <f t="shared" si="113"/>
        <v>0</v>
      </c>
      <c r="BD86" s="4">
        <f t="shared" si="113"/>
        <v>0</v>
      </c>
      <c r="BE86" s="4">
        <f t="shared" si="113"/>
        <v>0</v>
      </c>
      <c r="BF86" s="4">
        <f t="shared" si="113"/>
        <v>0</v>
      </c>
      <c r="BG86" s="4">
        <f t="shared" si="113"/>
        <v>0</v>
      </c>
      <c r="BH86" s="4">
        <f t="shared" si="113"/>
        <v>0</v>
      </c>
      <c r="BI86" s="4">
        <f t="shared" si="113"/>
        <v>0</v>
      </c>
      <c r="BJ86" s="4">
        <f t="shared" si="113"/>
        <v>0</v>
      </c>
      <c r="BK86" s="4">
        <f t="shared" si="113"/>
        <v>0</v>
      </c>
      <c r="BL86" s="4">
        <f t="shared" si="113"/>
        <v>0</v>
      </c>
    </row>
    <row r="87" spans="2:64" x14ac:dyDescent="0.2">
      <c r="B87" s="1" t="s">
        <v>61</v>
      </c>
      <c r="D87" s="4">
        <f>IF(D85=0,0,SUM($C$86:C86))</f>
        <v>0</v>
      </c>
      <c r="E87" s="4">
        <f>IF(E85=0,0,SUM($C$86:D86))</f>
        <v>0</v>
      </c>
      <c r="F87" s="4">
        <f>IF(F85=0,0,SUM($C$86:E86))</f>
        <v>0</v>
      </c>
      <c r="G87" s="4">
        <f>IF(G85=0,0,SUM($C$86:F86))</f>
        <v>0</v>
      </c>
      <c r="H87" s="4">
        <f>IF(H85=0,0,SUM($C$86:G86))</f>
        <v>0</v>
      </c>
      <c r="I87" s="4">
        <f>IF(I85=0,0,SUM($C$86:H86))</f>
        <v>0</v>
      </c>
      <c r="J87" s="4">
        <f>IF(J85=0,0,SUM($C$86:I86))</f>
        <v>0</v>
      </c>
      <c r="K87" s="4">
        <f>IF(K85=0,0,SUM($C$86:J86))</f>
        <v>0</v>
      </c>
      <c r="L87" s="4">
        <f>IF(L85=0,0,SUM($C$86:K86))</f>
        <v>272.36507661095669</v>
      </c>
      <c r="M87" s="4">
        <f>IF(M85=0,0,SUM($C$86:L86))</f>
        <v>1929.4154078354775</v>
      </c>
      <c r="N87" s="4">
        <f>IF(N85=0,0,SUM($C$86:M86))</f>
        <v>4979.2283243254742</v>
      </c>
      <c r="O87" s="4">
        <f>IF(O85=0,0,SUM($C$86:N86))</f>
        <v>9429.928274494996</v>
      </c>
      <c r="P87" s="4">
        <f>IF(P85=0,0,SUM($C$86:O86))</f>
        <v>15289.687099373841</v>
      </c>
      <c r="Q87" s="4">
        <f>IF(Q85=0,0,SUM($C$86:P86))</f>
        <v>22566.724309064481</v>
      </c>
      <c r="R87" s="4">
        <f>IF(R85=0,0,SUM($C$86:Q86))</f>
        <v>31269.307360811647</v>
      </c>
      <c r="S87" s="4">
        <f>IF(S85=0,0,SUM($C$86:R86))</f>
        <v>41405.751938694004</v>
      </c>
      <c r="T87" s="4">
        <f>IF(T85=0,0,SUM($C$86:S86))</f>
        <v>52984.422234947342</v>
      </c>
      <c r="U87" s="4">
        <f>IF(U85=0,0,SUM($C$86:T86))</f>
        <v>66013.731232928825</v>
      </c>
      <c r="V87" s="4">
        <f>IF(V85=0,0,SUM($C$86:U86))</f>
        <v>80502.140991731867</v>
      </c>
      <c r="W87" s="4">
        <f>IF(W85=0,0,SUM($C$86:V86))</f>
        <v>96458.162932461259</v>
      </c>
      <c r="X87" s="4">
        <f>IF(X85=0,0,SUM($C$86:W86))</f>
        <v>107137.98166784491</v>
      </c>
      <c r="Y87" s="4">
        <f>IF(Y85=0,0,SUM($C$86:X86))</f>
        <v>0</v>
      </c>
      <c r="Z87" s="4">
        <f>IF(Z85=0,0,SUM($C$86:Y86))</f>
        <v>0</v>
      </c>
      <c r="AA87" s="4">
        <f>IF(AA85=0,0,SUM($C$86:Z86))</f>
        <v>0</v>
      </c>
      <c r="AB87" s="4">
        <f>IF(AB85=0,0,SUM($C$86:AA86))</f>
        <v>0</v>
      </c>
      <c r="AC87" s="4">
        <f>IF(AC85=0,0,SUM($C$86:AB86))</f>
        <v>0</v>
      </c>
      <c r="AD87" s="4">
        <f>IF(AD85=0,0,SUM($C$86:AC86))</f>
        <v>0</v>
      </c>
      <c r="AE87" s="4">
        <f>IF(AE85=0,0,SUM($C$86:AD86))</f>
        <v>0</v>
      </c>
      <c r="AF87" s="4">
        <f>IF(AF85=0,0,SUM($C$86:AE86))</f>
        <v>0</v>
      </c>
      <c r="AG87" s="4">
        <f>IF(AG85=0,0,SUM($C$86:AF86))</f>
        <v>0</v>
      </c>
      <c r="AH87" s="4">
        <f>IF(AH85=0,0,SUM($C$86:AG86))</f>
        <v>0</v>
      </c>
      <c r="AI87" s="4">
        <f>IF(AI85=0,0,SUM($C$86:AH86))</f>
        <v>0</v>
      </c>
      <c r="AJ87" s="4">
        <f>IF(AJ85=0,0,SUM($C$86:AI86))</f>
        <v>0</v>
      </c>
      <c r="AK87" s="4">
        <f>IF(AK85=0,0,SUM($C$86:AJ86))</f>
        <v>0</v>
      </c>
      <c r="AL87" s="4">
        <f>IF(AL85=0,0,SUM($C$86:AK86))</f>
        <v>0</v>
      </c>
      <c r="AM87" s="4">
        <f>IF(AM85=0,0,SUM($C$86:AL86))</f>
        <v>0</v>
      </c>
      <c r="AN87" s="4">
        <f>IF(AN85=0,0,SUM($C$86:AM86))</f>
        <v>0</v>
      </c>
      <c r="AO87" s="4">
        <f>IF(AO85=0,0,SUM($C$86:AN86))</f>
        <v>0</v>
      </c>
      <c r="AP87" s="4">
        <f>IF(AP85=0,0,SUM($C$86:AO86))</f>
        <v>0</v>
      </c>
      <c r="AQ87" s="4">
        <f>IF(AQ85=0,0,SUM($C$86:AP86))</f>
        <v>0</v>
      </c>
      <c r="AR87" s="4">
        <f>IF(AR85=0,0,SUM($C$86:AQ86))</f>
        <v>0</v>
      </c>
      <c r="AS87" s="4">
        <f>IF(AS85=0,0,SUM($C$86:AR86))</f>
        <v>0</v>
      </c>
      <c r="AT87" s="4">
        <f>IF(AT85=0,0,SUM($C$86:AS86))</f>
        <v>0</v>
      </c>
      <c r="AU87" s="4">
        <f>IF(AU85=0,0,SUM($C$86:AT86))</f>
        <v>0</v>
      </c>
      <c r="AV87" s="4">
        <f>IF(AV85=0,0,SUM($C$86:AU86))</f>
        <v>0</v>
      </c>
      <c r="AW87" s="4">
        <f>IF(AW85=0,0,SUM($C$86:AV86))</f>
        <v>0</v>
      </c>
      <c r="AX87" s="4">
        <f>IF(AX85=0,0,SUM($C$86:AW86))</f>
        <v>0</v>
      </c>
      <c r="AY87" s="4">
        <f>IF(AY85=0,0,SUM($C$86:AX86))</f>
        <v>0</v>
      </c>
      <c r="AZ87" s="4">
        <f>IF(AZ85=0,0,SUM($C$86:AY86))</f>
        <v>0</v>
      </c>
      <c r="BA87" s="4">
        <f>IF(BA85=0,0,SUM($C$86:AZ86))</f>
        <v>0</v>
      </c>
      <c r="BB87" s="4">
        <f>IF(BB85=0,0,SUM($C$86:BA86))</f>
        <v>0</v>
      </c>
      <c r="BC87" s="4">
        <f>IF(BC85=0,0,SUM($C$86:BB86))</f>
        <v>0</v>
      </c>
      <c r="BD87" s="4">
        <f>IF(BD85=0,0,SUM($C$86:BC86))</f>
        <v>0</v>
      </c>
      <c r="BE87" s="4">
        <f>IF(BE85=0,0,SUM($C$86:BD86))</f>
        <v>0</v>
      </c>
      <c r="BF87" s="4">
        <f>IF(BF85=0,0,SUM($C$86:BE86))</f>
        <v>0</v>
      </c>
      <c r="BG87" s="4">
        <f>IF(BG85=0,0,SUM($C$86:BF86))</f>
        <v>0</v>
      </c>
      <c r="BH87" s="4">
        <f>IF(BH85=0,0,SUM($C$86:BG86))</f>
        <v>0</v>
      </c>
      <c r="BI87" s="4">
        <f>IF(BI85=0,0,SUM($C$86:BH86))</f>
        <v>0</v>
      </c>
      <c r="BJ87" s="4">
        <f>IF(BJ85=0,0,SUM($C$86:BI86))</f>
        <v>0</v>
      </c>
      <c r="BK87" s="4">
        <f>IF(BK85=0,0,SUM($C$86:BJ86))</f>
        <v>0</v>
      </c>
      <c r="BL87" s="4">
        <f>IF(BL85=0,0,SUM($C$86:BK86))</f>
        <v>0</v>
      </c>
    </row>
    <row r="88" spans="2:64" x14ac:dyDescent="0.2">
      <c r="B88" s="55" t="s">
        <v>67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</row>
    <row r="89" spans="2:64" x14ac:dyDescent="0.2"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</row>
    <row r="90" spans="2:64" x14ac:dyDescent="0.2"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</row>
    <row r="91" spans="2:64" x14ac:dyDescent="0.2"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</row>
    <row r="92" spans="2:64" x14ac:dyDescent="0.2"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</row>
    <row r="93" spans="2:64" x14ac:dyDescent="0.2"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</row>
    <row r="94" spans="2:64" x14ac:dyDescent="0.2"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</row>
    <row r="95" spans="2:64" x14ac:dyDescent="0.2"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</row>
    <row r="96" spans="2:64" x14ac:dyDescent="0.2"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</row>
    <row r="97" spans="4:40" x14ac:dyDescent="0.2"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</row>
    <row r="98" spans="4:40" x14ac:dyDescent="0.2"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</row>
    <row r="99" spans="4:40" x14ac:dyDescent="0.2"/>
    <row r="100" spans="4:40" x14ac:dyDescent="0.2"/>
    <row r="101" spans="4:40" x14ac:dyDescent="0.2"/>
    <row r="102" spans="4:40" x14ac:dyDescent="0.2"/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"/>
  <sheetViews>
    <sheetView zoomScale="133" zoomScaleNormal="133" workbookViewId="0">
      <selection activeCell="C9" sqref="C9"/>
    </sheetView>
  </sheetViews>
  <sheetFormatPr baseColWidth="10" defaultColWidth="10.83203125" defaultRowHeight="15" x14ac:dyDescent="0.2"/>
  <cols>
    <col min="1" max="1" width="20.6640625" style="61" customWidth="1"/>
    <col min="2" max="2" width="22" style="61" customWidth="1"/>
    <col min="3" max="3" width="17.5" style="61" customWidth="1"/>
    <col min="4" max="5" width="10.83203125" style="61"/>
    <col min="6" max="7" width="12.1640625" style="61" bestFit="1" customWidth="1"/>
    <col min="8" max="16384" width="10.83203125" style="61"/>
  </cols>
  <sheetData>
    <row r="1" spans="1:9" x14ac:dyDescent="0.2">
      <c r="A1" s="61" t="s">
        <v>79</v>
      </c>
      <c r="B1" s="61" t="s">
        <v>80</v>
      </c>
      <c r="C1" s="61" t="s">
        <v>81</v>
      </c>
      <c r="F1" s="123" t="s">
        <v>118</v>
      </c>
      <c r="G1" s="123"/>
    </row>
    <row r="2" spans="1:9" x14ac:dyDescent="0.2">
      <c r="A2" s="61" t="s">
        <v>83</v>
      </c>
      <c r="B2" s="61">
        <v>2459</v>
      </c>
      <c r="C2" s="61">
        <v>2473</v>
      </c>
      <c r="F2" s="62">
        <v>315</v>
      </c>
      <c r="G2" s="62">
        <v>350</v>
      </c>
      <c r="I2" s="122">
        <f>AVERAGE(F2:G2)</f>
        <v>332.5</v>
      </c>
    </row>
    <row r="3" spans="1:9" x14ac:dyDescent="0.2">
      <c r="A3" s="61" t="s">
        <v>82</v>
      </c>
      <c r="B3" s="123">
        <v>6</v>
      </c>
      <c r="C3" s="123"/>
      <c r="F3" s="121">
        <f>$B$2*F2</f>
        <v>774585</v>
      </c>
      <c r="G3" s="121">
        <f>$B$2*G2</f>
        <v>860650</v>
      </c>
    </row>
    <row r="4" spans="1:9" x14ac:dyDescent="0.2">
      <c r="A4" s="61" t="s">
        <v>85</v>
      </c>
      <c r="B4" s="62">
        <v>120</v>
      </c>
      <c r="C4" s="62">
        <v>55</v>
      </c>
    </row>
    <row r="5" spans="1:9" x14ac:dyDescent="0.2">
      <c r="B5" s="63">
        <f>B2*B3*B4</f>
        <v>1770480</v>
      </c>
      <c r="C5" s="63">
        <f>C2*B3*C4</f>
        <v>816090</v>
      </c>
      <c r="F5" s="125">
        <f>AVERAGE(F3:G3)</f>
        <v>817617.5</v>
      </c>
      <c r="G5" s="126"/>
    </row>
    <row r="8" spans="1:9" x14ac:dyDescent="0.2">
      <c r="A8" s="61" t="s">
        <v>15</v>
      </c>
      <c r="B8" s="124">
        <f>B5+C5</f>
        <v>2586570</v>
      </c>
      <c r="C8" s="123"/>
    </row>
    <row r="9" spans="1:9" x14ac:dyDescent="0.2">
      <c r="A9" s="61" t="s">
        <v>86</v>
      </c>
      <c r="B9" s="65">
        <v>0.1</v>
      </c>
      <c r="C9" s="63">
        <f>B8*B9+B8</f>
        <v>2845227</v>
      </c>
    </row>
    <row r="10" spans="1:9" ht="28" customHeight="1" x14ac:dyDescent="0.2">
      <c r="A10" s="64" t="s">
        <v>84</v>
      </c>
      <c r="C10" s="63">
        <f>C9/6</f>
        <v>474204.5</v>
      </c>
    </row>
  </sheetData>
  <mergeCells count="4">
    <mergeCell ref="B3:C3"/>
    <mergeCell ref="B8:C8"/>
    <mergeCell ref="F1:G1"/>
    <mergeCell ref="F5:G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3"/>
  <sheetViews>
    <sheetView topLeftCell="A2" workbookViewId="0">
      <selection activeCell="C5" sqref="C5"/>
    </sheetView>
  </sheetViews>
  <sheetFormatPr baseColWidth="10" defaultColWidth="11.5" defaultRowHeight="15.75" customHeight="1" x14ac:dyDescent="0.2"/>
  <cols>
    <col min="1" max="1" width="9.6640625" customWidth="1"/>
    <col min="2" max="2" width="25.1640625" customWidth="1"/>
    <col min="7" max="7" width="10.5" customWidth="1"/>
  </cols>
  <sheetData>
    <row r="1" spans="1:33" ht="15.75" customHeight="1" thickBot="1" x14ac:dyDescent="0.25">
      <c r="A1" s="80"/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1"/>
      <c r="AC1" s="81"/>
      <c r="AD1" s="81"/>
    </row>
    <row r="2" spans="1:33" ht="15.75" customHeight="1" x14ac:dyDescent="0.2">
      <c r="A2" s="86"/>
      <c r="B2" s="88"/>
      <c r="C2" s="89"/>
      <c r="D2" s="118">
        <f>'Phase I Returns - Scenario I'!D19</f>
        <v>43709</v>
      </c>
      <c r="E2" s="118">
        <f>'Phase I Returns - Scenario I'!E19</f>
        <v>43739</v>
      </c>
      <c r="F2" s="118">
        <f>'Phase I Returns - Scenario I'!F19</f>
        <v>43770</v>
      </c>
      <c r="G2" s="118">
        <f>'Phase I Returns - Scenario I'!G19</f>
        <v>43800</v>
      </c>
      <c r="H2" s="118">
        <f>'Phase I Returns - Scenario I'!H19</f>
        <v>43831</v>
      </c>
      <c r="I2" s="118">
        <f>'Phase I Returns - Scenario I'!I19</f>
        <v>43862</v>
      </c>
      <c r="J2" s="118">
        <f>'Phase I Returns - Scenario I'!J19</f>
        <v>43891</v>
      </c>
      <c r="K2" s="118">
        <f>'Phase I Returns - Scenario I'!K19</f>
        <v>43922</v>
      </c>
      <c r="L2" s="118">
        <f>'Phase I Returns - Scenario I'!L19</f>
        <v>43952</v>
      </c>
      <c r="M2" s="118">
        <f>'Phase I Returns - Scenario I'!M19</f>
        <v>43983</v>
      </c>
      <c r="N2" s="118">
        <f>'Phase I Returns - Scenario I'!N19</f>
        <v>44013</v>
      </c>
      <c r="O2" s="118">
        <f>'Phase I Returns - Scenario I'!O19</f>
        <v>44044</v>
      </c>
      <c r="P2" s="118">
        <f>'Phase I Returns - Scenario I'!P19</f>
        <v>44075</v>
      </c>
      <c r="Q2" s="118">
        <f>'Phase I Returns - Scenario I'!Q19</f>
        <v>44105</v>
      </c>
      <c r="R2" s="118">
        <f>'Phase I Returns - Scenario I'!R19</f>
        <v>44136</v>
      </c>
      <c r="S2" s="118">
        <f>'Phase I Returns - Scenario I'!S19</f>
        <v>44166</v>
      </c>
      <c r="T2" s="118">
        <f>'Phase I Returns - Scenario I'!T19</f>
        <v>44197</v>
      </c>
      <c r="U2" s="118">
        <f>'Phase I Returns - Scenario I'!U19</f>
        <v>44228</v>
      </c>
      <c r="V2" s="118">
        <f>'Phase I Returns - Scenario I'!V19</f>
        <v>44256</v>
      </c>
      <c r="W2" s="118">
        <f>'Phase I Returns - Scenario I'!W19</f>
        <v>44287</v>
      </c>
      <c r="X2" s="118">
        <f>'Phase I Returns - Scenario I'!X19</f>
        <v>44317</v>
      </c>
      <c r="Y2" s="118">
        <f>'Phase I Returns - Scenario I'!Y19</f>
        <v>44348</v>
      </c>
      <c r="Z2" s="118">
        <f>'Phase I Returns - Scenario I'!Z19</f>
        <v>44378</v>
      </c>
      <c r="AA2" s="119">
        <f>'Phase I Returns - Scenario I'!AA19</f>
        <v>44409</v>
      </c>
      <c r="AB2" s="87"/>
      <c r="AC2" s="87"/>
      <c r="AD2" s="87"/>
      <c r="AE2" s="87"/>
      <c r="AF2" s="87"/>
      <c r="AG2" s="87"/>
    </row>
    <row r="3" spans="1:33" ht="28.5" customHeight="1" x14ac:dyDescent="0.2">
      <c r="A3" s="85">
        <f>Resume!F6</f>
        <v>0.08</v>
      </c>
      <c r="B3" s="90" t="s">
        <v>117</v>
      </c>
      <c r="C3" s="83">
        <f>(1+A3)^(1/12)-1</f>
        <v>6.4340301100034303E-3</v>
      </c>
      <c r="D3" s="92"/>
      <c r="E3" s="93">
        <f t="shared" ref="E3:AA3" si="0">-$C$3*$D$5</f>
        <v>19302.090330010291</v>
      </c>
      <c r="F3" s="93">
        <f t="shared" si="0"/>
        <v>19302.090330010291</v>
      </c>
      <c r="G3" s="93">
        <f t="shared" si="0"/>
        <v>19302.090330010291</v>
      </c>
      <c r="H3" s="93">
        <f t="shared" si="0"/>
        <v>19302.090330010291</v>
      </c>
      <c r="I3" s="93">
        <f t="shared" si="0"/>
        <v>19302.090330010291</v>
      </c>
      <c r="J3" s="93">
        <f t="shared" si="0"/>
        <v>19302.090330010291</v>
      </c>
      <c r="K3" s="93">
        <f t="shared" si="0"/>
        <v>19302.090330010291</v>
      </c>
      <c r="L3" s="93">
        <f t="shared" si="0"/>
        <v>19302.090330010291</v>
      </c>
      <c r="M3" s="93">
        <f t="shared" si="0"/>
        <v>19302.090330010291</v>
      </c>
      <c r="N3" s="93">
        <f t="shared" si="0"/>
        <v>19302.090330010291</v>
      </c>
      <c r="O3" s="93">
        <f t="shared" si="0"/>
        <v>19302.090330010291</v>
      </c>
      <c r="P3" s="93">
        <f t="shared" si="0"/>
        <v>19302.090330010291</v>
      </c>
      <c r="Q3" s="93">
        <f t="shared" si="0"/>
        <v>19302.090330010291</v>
      </c>
      <c r="R3" s="93">
        <f t="shared" si="0"/>
        <v>19302.090330010291</v>
      </c>
      <c r="S3" s="93">
        <f t="shared" si="0"/>
        <v>19302.090330010291</v>
      </c>
      <c r="T3" s="93">
        <f t="shared" si="0"/>
        <v>19302.090330010291</v>
      </c>
      <c r="U3" s="93">
        <f t="shared" si="0"/>
        <v>19302.090330010291</v>
      </c>
      <c r="V3" s="93">
        <f t="shared" si="0"/>
        <v>19302.090330010291</v>
      </c>
      <c r="W3" s="93">
        <f t="shared" si="0"/>
        <v>19302.090330010291</v>
      </c>
      <c r="X3" s="93">
        <f t="shared" si="0"/>
        <v>19302.090330010291</v>
      </c>
      <c r="Y3" s="93">
        <f t="shared" si="0"/>
        <v>19302.090330010291</v>
      </c>
      <c r="Z3" s="93">
        <f t="shared" si="0"/>
        <v>19302.090330010291</v>
      </c>
      <c r="AA3" s="94">
        <f t="shared" si="0"/>
        <v>19302.090330010291</v>
      </c>
      <c r="AB3" s="81"/>
      <c r="AC3" s="81"/>
      <c r="AD3" s="81"/>
    </row>
    <row r="4" spans="1:33" ht="15.75" customHeight="1" x14ac:dyDescent="0.2">
      <c r="A4" s="80"/>
      <c r="B4" s="90" t="s">
        <v>106</v>
      </c>
      <c r="C4" s="100">
        <f>SUM(D3:AA3)</f>
        <v>443948.07759023656</v>
      </c>
      <c r="D4" s="92">
        <f>D3</f>
        <v>0</v>
      </c>
      <c r="E4" s="93">
        <f>D4+E3</f>
        <v>19302.090330010291</v>
      </c>
      <c r="F4" s="93">
        <f t="shared" ref="F4:AA4" si="1">E4+F3</f>
        <v>38604.180660020582</v>
      </c>
      <c r="G4" s="93">
        <f t="shared" si="1"/>
        <v>57906.270990030869</v>
      </c>
      <c r="H4" s="93">
        <f t="shared" si="1"/>
        <v>77208.361320041164</v>
      </c>
      <c r="I4" s="93">
        <f t="shared" si="1"/>
        <v>96510.451650051458</v>
      </c>
      <c r="J4" s="93">
        <f t="shared" si="1"/>
        <v>115812.54198006175</v>
      </c>
      <c r="K4" s="93">
        <f t="shared" si="1"/>
        <v>135114.63231007205</v>
      </c>
      <c r="L4" s="93">
        <f t="shared" si="1"/>
        <v>154416.72264008233</v>
      </c>
      <c r="M4" s="93">
        <f t="shared" si="1"/>
        <v>173718.81297009261</v>
      </c>
      <c r="N4" s="93">
        <f t="shared" si="1"/>
        <v>193020.90330010289</v>
      </c>
      <c r="O4" s="93">
        <f t="shared" si="1"/>
        <v>212322.99363011317</v>
      </c>
      <c r="P4" s="93">
        <f t="shared" si="1"/>
        <v>231625.08396012345</v>
      </c>
      <c r="Q4" s="93">
        <f t="shared" si="1"/>
        <v>250927.17429013373</v>
      </c>
      <c r="R4" s="93">
        <f t="shared" si="1"/>
        <v>270229.26462014404</v>
      </c>
      <c r="S4" s="93">
        <f t="shared" si="1"/>
        <v>289531.35495015432</v>
      </c>
      <c r="T4" s="93">
        <f t="shared" si="1"/>
        <v>308833.4452801646</v>
      </c>
      <c r="U4" s="93">
        <f t="shared" si="1"/>
        <v>328135.53561017488</v>
      </c>
      <c r="V4" s="93">
        <f t="shared" si="1"/>
        <v>347437.62594018516</v>
      </c>
      <c r="W4" s="93">
        <f t="shared" si="1"/>
        <v>366739.71627019544</v>
      </c>
      <c r="X4" s="93">
        <f t="shared" si="1"/>
        <v>386041.80660020572</v>
      </c>
      <c r="Y4" s="93">
        <f t="shared" si="1"/>
        <v>405343.896930216</v>
      </c>
      <c r="Z4" s="93">
        <f t="shared" si="1"/>
        <v>424645.98726022628</v>
      </c>
      <c r="AA4" s="94">
        <f t="shared" si="1"/>
        <v>443948.07759023656</v>
      </c>
      <c r="AB4" s="81"/>
      <c r="AC4" s="81"/>
      <c r="AD4" s="81"/>
    </row>
    <row r="5" spans="1:33" ht="31.5" customHeight="1" x14ac:dyDescent="0.2">
      <c r="A5" s="80"/>
      <c r="B5" s="90" t="s">
        <v>107</v>
      </c>
      <c r="C5" s="100">
        <f>SUM(D5:AA5)</f>
        <v>-3000000</v>
      </c>
      <c r="D5" s="95">
        <f>-Resume!B12</f>
        <v>-3000000</v>
      </c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6"/>
      <c r="AB5" s="81"/>
      <c r="AC5" s="81"/>
      <c r="AD5" s="81"/>
    </row>
    <row r="6" spans="1:33" ht="32.25" customHeight="1" x14ac:dyDescent="0.2">
      <c r="A6" s="79"/>
      <c r="B6" s="90" t="s">
        <v>109</v>
      </c>
      <c r="C6" s="100"/>
      <c r="D6" s="92">
        <f>-D5</f>
        <v>3000000</v>
      </c>
      <c r="E6" s="92">
        <f t="shared" ref="E6:AA6" si="2">D6+E3</f>
        <v>3019302.0903300103</v>
      </c>
      <c r="F6" s="92">
        <f t="shared" si="2"/>
        <v>3038604.1806600206</v>
      </c>
      <c r="G6" s="92">
        <f t="shared" si="2"/>
        <v>3057906.2709900308</v>
      </c>
      <c r="H6" s="92">
        <f t="shared" si="2"/>
        <v>3077208.3613200411</v>
      </c>
      <c r="I6" s="92">
        <f t="shared" si="2"/>
        <v>3096510.4516500514</v>
      </c>
      <c r="J6" s="92">
        <f t="shared" si="2"/>
        <v>3115812.5419800617</v>
      </c>
      <c r="K6" s="92">
        <f t="shared" si="2"/>
        <v>3135114.632310072</v>
      </c>
      <c r="L6" s="92">
        <f t="shared" si="2"/>
        <v>3154416.7226400822</v>
      </c>
      <c r="M6" s="92">
        <f t="shared" si="2"/>
        <v>3173718.8129700925</v>
      </c>
      <c r="N6" s="92">
        <f t="shared" si="2"/>
        <v>3193020.9033001028</v>
      </c>
      <c r="O6" s="92">
        <f t="shared" si="2"/>
        <v>3212322.9936301131</v>
      </c>
      <c r="P6" s="92">
        <f t="shared" si="2"/>
        <v>3231625.0839601234</v>
      </c>
      <c r="Q6" s="92">
        <f t="shared" si="2"/>
        <v>3250927.1742901336</v>
      </c>
      <c r="R6" s="92">
        <f t="shared" si="2"/>
        <v>3270229.2646201439</v>
      </c>
      <c r="S6" s="92">
        <f t="shared" si="2"/>
        <v>3289531.3549501542</v>
      </c>
      <c r="T6" s="92">
        <f t="shared" si="2"/>
        <v>3308833.4452801645</v>
      </c>
      <c r="U6" s="92">
        <f t="shared" si="2"/>
        <v>3328135.5356101748</v>
      </c>
      <c r="V6" s="92">
        <f t="shared" si="2"/>
        <v>3347437.625940185</v>
      </c>
      <c r="W6" s="92">
        <f t="shared" si="2"/>
        <v>3366739.7162701953</v>
      </c>
      <c r="X6" s="92">
        <f t="shared" si="2"/>
        <v>3386041.8066002056</v>
      </c>
      <c r="Y6" s="92">
        <f t="shared" si="2"/>
        <v>3405343.8969302159</v>
      </c>
      <c r="Z6" s="92">
        <f t="shared" si="2"/>
        <v>3424645.9872602262</v>
      </c>
      <c r="AA6" s="96">
        <f t="shared" si="2"/>
        <v>3443948.0775902364</v>
      </c>
    </row>
    <row r="7" spans="1:33" ht="18.75" customHeight="1" x14ac:dyDescent="0.2">
      <c r="A7" s="79"/>
      <c r="B7" s="90" t="s">
        <v>108</v>
      </c>
      <c r="C7" s="100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6">
        <f>AA6</f>
        <v>3443948.0775902364</v>
      </c>
    </row>
    <row r="8" spans="1:33" ht="18" customHeight="1" thickBot="1" x14ac:dyDescent="0.25">
      <c r="A8" s="80"/>
      <c r="B8" s="91" t="s">
        <v>110</v>
      </c>
      <c r="C8" s="101">
        <f>SUM(D8:AA8)</f>
        <v>482882.31881580129</v>
      </c>
      <c r="D8" s="97">
        <f>D5</f>
        <v>-3000000</v>
      </c>
      <c r="E8" s="97"/>
      <c r="F8" s="97"/>
      <c r="G8" s="97"/>
      <c r="H8" s="98"/>
      <c r="I8" s="98"/>
      <c r="J8" s="98"/>
      <c r="K8" s="98"/>
      <c r="L8" s="98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9">
        <f>AA7+D16</f>
        <v>3482882.3188158013</v>
      </c>
    </row>
    <row r="9" spans="1:33" ht="15.75" customHeight="1" x14ac:dyDescent="0.2">
      <c r="A9" s="79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1"/>
      <c r="AC9" s="81"/>
      <c r="AD9" s="81"/>
    </row>
    <row r="10" spans="1:33" ht="27.75" customHeight="1" x14ac:dyDescent="0.2">
      <c r="A10" s="82" t="s">
        <v>101</v>
      </c>
      <c r="B10" s="102">
        <f>XIRR(D8:AA8, D2:AA2)</f>
        <v>8.0930373072624212E-2</v>
      </c>
      <c r="C10" s="80"/>
      <c r="D10" s="80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</row>
    <row r="11" spans="1:33" ht="15.75" customHeight="1" x14ac:dyDescent="0.2">
      <c r="A11" s="80"/>
      <c r="B11" s="103" t="s">
        <v>104</v>
      </c>
      <c r="C11" s="104">
        <v>1</v>
      </c>
      <c r="D11" s="100">
        <f>Resume!B12</f>
        <v>3000000</v>
      </c>
    </row>
    <row r="12" spans="1:33" ht="15.75" customHeight="1" x14ac:dyDescent="0.2">
      <c r="A12" s="80"/>
      <c r="B12" s="84" t="s">
        <v>111</v>
      </c>
      <c r="C12" s="100">
        <f>Resume!E2</f>
        <v>541283.68065414834</v>
      </c>
      <c r="D12" s="80"/>
    </row>
    <row r="13" spans="1:33" ht="15.75" customHeight="1" x14ac:dyDescent="0.2">
      <c r="A13" s="80"/>
      <c r="B13" s="80"/>
      <c r="C13" s="80"/>
      <c r="D13" s="80"/>
    </row>
    <row r="14" spans="1:33" ht="15.75" customHeight="1" x14ac:dyDescent="0.2">
      <c r="A14" s="80"/>
      <c r="B14" s="103" t="s">
        <v>112</v>
      </c>
      <c r="C14" s="104">
        <f>Resume!F6</f>
        <v>0.08</v>
      </c>
      <c r="D14" s="105">
        <f>C4</f>
        <v>443948.07759023656</v>
      </c>
    </row>
    <row r="15" spans="1:33" ht="15.75" customHeight="1" x14ac:dyDescent="0.2">
      <c r="A15" s="80"/>
      <c r="B15" s="103" t="s">
        <v>113</v>
      </c>
      <c r="C15" s="84"/>
      <c r="D15" s="105">
        <f>C12-D14</f>
        <v>97335.603063911782</v>
      </c>
    </row>
    <row r="16" spans="1:33" ht="15.75" customHeight="1" x14ac:dyDescent="0.2">
      <c r="A16" s="80"/>
      <c r="B16" s="106" t="s">
        <v>102</v>
      </c>
      <c r="C16" s="107">
        <f>Resume!F7</f>
        <v>0.4</v>
      </c>
      <c r="D16" s="108">
        <f>C16*D15</f>
        <v>38934.241225564714</v>
      </c>
    </row>
    <row r="17" spans="1:4" ht="15.75" customHeight="1" x14ac:dyDescent="0.2">
      <c r="A17" s="80"/>
      <c r="B17" s="106" t="s">
        <v>114</v>
      </c>
      <c r="C17" s="107">
        <f>100%-C16</f>
        <v>0.6</v>
      </c>
      <c r="D17" s="108">
        <f>C17*D15</f>
        <v>58401.361838347068</v>
      </c>
    </row>
    <row r="18" spans="1:4" ht="15.75" customHeight="1" x14ac:dyDescent="0.2">
      <c r="A18" s="80"/>
      <c r="B18" s="80"/>
      <c r="C18" s="80"/>
      <c r="D18" s="80"/>
    </row>
    <row r="19" spans="1:4" ht="15.75" customHeight="1" x14ac:dyDescent="0.2">
      <c r="A19" s="109"/>
      <c r="B19" s="110" t="s">
        <v>115</v>
      </c>
      <c r="C19" s="111">
        <f>D14+D16</f>
        <v>482882.31881580129</v>
      </c>
      <c r="D19" s="112">
        <f>C19/C22</f>
        <v>0.89210581451898152</v>
      </c>
    </row>
    <row r="20" spans="1:4" ht="15.75" customHeight="1" x14ac:dyDescent="0.2">
      <c r="A20" s="109"/>
      <c r="B20" s="113" t="s">
        <v>114</v>
      </c>
      <c r="C20" s="111">
        <f>D17</f>
        <v>58401.361838347068</v>
      </c>
      <c r="D20" s="112">
        <f>C20/C22</f>
        <v>0.10789418548101851</v>
      </c>
    </row>
    <row r="21" spans="1:4" ht="15.75" customHeight="1" x14ac:dyDescent="0.2">
      <c r="A21" s="109"/>
      <c r="B21" s="114"/>
      <c r="C21" s="110"/>
      <c r="D21" s="109"/>
    </row>
    <row r="22" spans="1:4" ht="15.75" customHeight="1" x14ac:dyDescent="0.2">
      <c r="A22" s="80"/>
      <c r="B22" s="115" t="s">
        <v>116</v>
      </c>
      <c r="C22" s="100">
        <f>C19+C20</f>
        <v>541283.68065414834</v>
      </c>
      <c r="D22" s="116">
        <v>1</v>
      </c>
    </row>
    <row r="23" spans="1:4" ht="15.75" customHeight="1" x14ac:dyDescent="0.2">
      <c r="A23" s="81"/>
      <c r="B23" s="81"/>
      <c r="C23" s="117">
        <f>C22-C12</f>
        <v>0</v>
      </c>
      <c r="D23" s="8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Resume</vt:lpstr>
      <vt:lpstr>Phase I Returns - Scenario I</vt:lpstr>
      <vt:lpstr>Townhouse Estimates</vt:lpstr>
      <vt:lpstr>Investor's IRR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BURTON, SPENCER</dc:creator>
  <cp:lastModifiedBy>Polyushkin, Nikolay P</cp:lastModifiedBy>
  <dcterms:created xsi:type="dcterms:W3CDTF">2016-08-26T21:15:46Z</dcterms:created>
  <dcterms:modified xsi:type="dcterms:W3CDTF">2019-04-22T22:21:25Z</dcterms:modified>
</cp:coreProperties>
</file>