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camme\Dropbox\Teach\2019-2020\FRE501\Assignments\"/>
    </mc:Choice>
  </mc:AlternateContent>
  <bookViews>
    <workbookView xWindow="0" yWindow="0" windowWidth="23040" windowHeight="9192"/>
  </bookViews>
  <sheets>
    <sheet name="Main" sheetId="1" r:id="rId1"/>
  </sheets>
  <definedNames>
    <definedName name="a">Main!$B$4</definedName>
    <definedName name="b">Main!$B$5</definedName>
    <definedName name="c_0">Main!$B$2</definedName>
    <definedName name="c_1">Main!$B$3</definedName>
    <definedName name="gamma_0">Main!$E$5</definedName>
    <definedName name="gamma_1">Main!$E$6</definedName>
    <definedName name="H">Main!$B$6</definedName>
    <definedName name="H_2">Main!$B$7</definedName>
    <definedName name="L_big">Main!$B$8</definedName>
    <definedName name="L_small">Main!$B$9</definedName>
    <definedName name="lambda">Main!$E$9</definedName>
    <definedName name="m">Main!$E$4</definedName>
    <definedName name="R_">Main!$B$12</definedName>
    <definedName name="rho_0">Main!$E$10</definedName>
    <definedName name="rho_1">Main!$E$11</definedName>
    <definedName name="theta_0">Main!$E$7</definedName>
    <definedName name="theta_1">Main!$E$8</definedName>
    <definedName name="X_1_1_s">Main!$B$14</definedName>
    <definedName name="X_1_1_so">Main!$B$13</definedName>
    <definedName name="X_1_2_s_L">Main!$D$16</definedName>
    <definedName name="X_1_2_s_N">Main!$D$15</definedName>
    <definedName name="X_1_2_so_L">Main!$B$16</definedName>
    <definedName name="X_1_2_so_N">Main!$B$15</definedName>
    <definedName name="Z">Main!$E$3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B26" i="1"/>
  <c r="A22" i="1"/>
  <c r="A23" i="1" s="1"/>
  <c r="A24" i="1" s="1"/>
  <c r="A25" i="1" s="1"/>
  <c r="A27" i="1" s="1"/>
  <c r="A28" i="1" s="1"/>
  <c r="A29" i="1" s="1"/>
  <c r="A30" i="1" s="1"/>
  <c r="N21" i="1"/>
  <c r="J21" i="1"/>
  <c r="F21" i="1"/>
  <c r="B21" i="1"/>
  <c r="B8" i="1"/>
  <c r="E4" i="1"/>
  <c r="E10" i="1" s="1"/>
  <c r="E3" i="1"/>
  <c r="E7" i="1" l="1"/>
  <c r="E8" i="1"/>
  <c r="E5" i="1"/>
  <c r="E11" i="1"/>
  <c r="E6" i="1"/>
  <c r="B15" i="1" l="1"/>
  <c r="B12" i="1"/>
  <c r="B14" i="1" s="1"/>
  <c r="E9" i="1"/>
  <c r="B16" i="1"/>
  <c r="E2" i="1"/>
  <c r="B13" i="1"/>
  <c r="D15" i="1" l="1"/>
  <c r="K30" i="1" s="1"/>
  <c r="L30" i="1" s="1"/>
  <c r="D16" i="1"/>
  <c r="N27" i="1" s="1"/>
  <c r="J26" i="1"/>
  <c r="N26" i="1"/>
  <c r="K22" i="1"/>
  <c r="L22" i="1" s="1"/>
  <c r="K25" i="1"/>
  <c r="L25" i="1" s="1"/>
  <c r="O22" i="1"/>
  <c r="P22" i="1" s="1"/>
  <c r="N23" i="1"/>
  <c r="J22" i="1"/>
  <c r="O23" i="1"/>
  <c r="P23" i="1" s="1"/>
  <c r="K23" i="1"/>
  <c r="L23" i="1" s="1"/>
  <c r="O25" i="1"/>
  <c r="P25" i="1" s="1"/>
  <c r="O24" i="1"/>
  <c r="P24" i="1" s="1"/>
  <c r="J24" i="1"/>
  <c r="J23" i="1"/>
  <c r="N25" i="1"/>
  <c r="J25" i="1"/>
  <c r="N22" i="1"/>
  <c r="N24" i="1"/>
  <c r="K24" i="1"/>
  <c r="L24" i="1" s="1"/>
  <c r="C22" i="1"/>
  <c r="D22" i="1" s="1"/>
  <c r="G22" i="1"/>
  <c r="H22" i="1" s="1"/>
  <c r="F22" i="1"/>
  <c r="F25" i="1"/>
  <c r="C23" i="1"/>
  <c r="D23" i="1" s="1"/>
  <c r="G24" i="1"/>
  <c r="H24" i="1" s="1"/>
  <c r="B24" i="1"/>
  <c r="G25" i="1"/>
  <c r="H25" i="1" s="1"/>
  <c r="G23" i="1"/>
  <c r="H23" i="1" s="1"/>
  <c r="B22" i="1"/>
  <c r="C24" i="1"/>
  <c r="D24" i="1" s="1"/>
  <c r="F24" i="1"/>
  <c r="F23" i="1"/>
  <c r="C25" i="1"/>
  <c r="D25" i="1" s="1"/>
  <c r="B25" i="1"/>
  <c r="B23" i="1"/>
  <c r="G27" i="1"/>
  <c r="H27" i="1" s="1"/>
  <c r="F27" i="1"/>
  <c r="G29" i="1"/>
  <c r="H29" i="1" s="1"/>
  <c r="F30" i="1"/>
  <c r="F28" i="1"/>
  <c r="F29" i="1"/>
  <c r="G30" i="1"/>
  <c r="H30" i="1" s="1"/>
  <c r="G28" i="1"/>
  <c r="H28" i="1" s="1"/>
  <c r="C27" i="1"/>
  <c r="D27" i="1" s="1"/>
  <c r="B27" i="1"/>
  <c r="B29" i="1"/>
  <c r="C28" i="1"/>
  <c r="D28" i="1" s="1"/>
  <c r="C30" i="1"/>
  <c r="D30" i="1" s="1"/>
  <c r="B30" i="1"/>
  <c r="B28" i="1"/>
  <c r="C29" i="1"/>
  <c r="D29" i="1" s="1"/>
  <c r="N29" i="1" l="1"/>
  <c r="N28" i="1"/>
  <c r="O27" i="1"/>
  <c r="P27" i="1" s="1"/>
  <c r="O29" i="1"/>
  <c r="P29" i="1" s="1"/>
  <c r="J29" i="1"/>
  <c r="K29" i="1"/>
  <c r="L29" i="1" s="1"/>
  <c r="K28" i="1"/>
  <c r="L28" i="1" s="1"/>
  <c r="D17" i="1"/>
  <c r="J30" i="1"/>
  <c r="O28" i="1"/>
  <c r="P28" i="1" s="1"/>
  <c r="K27" i="1"/>
  <c r="L27" i="1" s="1"/>
  <c r="N30" i="1"/>
  <c r="O30" i="1"/>
  <c r="P30" i="1" s="1"/>
  <c r="J28" i="1"/>
  <c r="J27" i="1"/>
  <c r="B17" i="1"/>
</calcChain>
</file>

<file path=xl/sharedStrings.xml><?xml version="1.0" encoding="utf-8"?>
<sst xmlns="http://schemas.openxmlformats.org/spreadsheetml/2006/main" count="50" uniqueCount="39">
  <si>
    <t>Parameters</t>
  </si>
  <si>
    <t>a</t>
  </si>
  <si>
    <t>b</t>
  </si>
  <si>
    <t>Period</t>
  </si>
  <si>
    <t>X</t>
  </si>
  <si>
    <t>Variables</t>
  </si>
  <si>
    <t>Z</t>
  </si>
  <si>
    <t>m</t>
  </si>
  <si>
    <t>S (end)</t>
  </si>
  <si>
    <t>X_1_1_s</t>
  </si>
  <si>
    <t>Parameter combinations</t>
  </si>
  <si>
    <t>gamma_0</t>
  </si>
  <si>
    <t>gamma_1</t>
  </si>
  <si>
    <t>theta_0</t>
  </si>
  <si>
    <t>theta_1</t>
  </si>
  <si>
    <t>lambda</t>
  </si>
  <si>
    <t>H_2</t>
  </si>
  <si>
    <t>P</t>
  </si>
  <si>
    <t>rho_0</t>
  </si>
  <si>
    <t>rho_1</t>
  </si>
  <si>
    <t>H</t>
  </si>
  <si>
    <t>Harvest 2 is Normal</t>
  </si>
  <si>
    <t>Harvest 2 is Low</t>
  </si>
  <si>
    <t>L_big</t>
  </si>
  <si>
    <t>L_small</t>
  </si>
  <si>
    <t>Stockout (L is small)</t>
  </si>
  <si>
    <t>No Stockout (L is big)</t>
  </si>
  <si>
    <t>X_1_2_so_N</t>
  </si>
  <si>
    <t>X_1_2_so_L</t>
  </si>
  <si>
    <t>X_1_2_s_N</t>
  </si>
  <si>
    <t>X_1_2_s_L</t>
  </si>
  <si>
    <t>E_P_1_2_s</t>
  </si>
  <si>
    <t>P_4_1_s</t>
  </si>
  <si>
    <t>X_1_1_so</t>
  </si>
  <si>
    <t>L_star</t>
  </si>
  <si>
    <t>Abbreviations</t>
  </si>
  <si>
    <t>m_0</t>
  </si>
  <si>
    <t>m_1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</si>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</sst>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/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721467</xdr:colOff>
      <xdr:row>1</xdr:row>
      <xdr:rowOff>24318</xdr:rowOff>
    </xdr:from>
    <xdr:to>
      <xdr:col>18</xdr:col>
      <xdr:colOff>178340</xdr:colOff>
      <xdr:row>14</xdr:row>
      <xdr:rowOff>178341</xdr:rowOff>
    </xdr:to>
    <xdr:sp macro="" textlink="">
      <xdr:nvSpPr>
        <xdr:cNvPr id="5" name="TextBox 4"/>
        <xdr:cNvSpPr txBox="1"/>
      </xdr:nvSpPr>
      <xdr:spPr>
        <a:xfrm>
          <a:off x="4377446" y="210765"/>
          <a:ext cx="7919937" cy="2577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Parameters</a:t>
          </a:r>
          <a:endParaRPr lang="en-US" sz="1100" b="0"/>
        </a:p>
        <a:p>
          <a:r>
            <a:rPr lang="en-US" sz="1100" b="0"/>
            <a:t>· m_0 and m_1 are the parameters of the carrying cost function.</a:t>
          </a:r>
        </a:p>
        <a:p>
          <a:r>
            <a:rPr lang="en-US" sz="1100" b="0"/>
            <a:t>· a and b are the parameters of the</a:t>
          </a:r>
          <a:r>
            <a:rPr lang="en-US" sz="1100" b="0" baseline="0"/>
            <a:t> inverse demand curve.</a:t>
          </a:r>
        </a:p>
        <a:p>
          <a:r>
            <a:rPr lang="en-US" sz="1100" b="0" baseline="0"/>
            <a:t>· H and H_2 are the sizes of the year 1 and year 2 harvests, respectively.</a:t>
          </a:r>
        </a:p>
        <a:p>
          <a:r>
            <a:rPr lang="en-US" sz="1100" b="0" baseline="0"/>
            <a:t>· L_big and L_small are the sizes of the loss in the year 2 harvest: L_small results in a stockout. and L_big results in positive carryover.</a:t>
          </a:r>
        </a:p>
        <a:p>
          <a:r>
            <a:rPr lang="en-US" sz="1100" b="0" baseline="0"/>
            <a:t>· R is the volume of stocks carried from year 1 to year 2.</a:t>
          </a:r>
        </a:p>
        <a:p>
          <a:r>
            <a:rPr lang="en-US" sz="1100" b="0" baseline="0"/>
            <a:t>· X_1_1_so is the level of consumption in the first quarter of year 1 when there is a stock out.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X_1_1_s is the level of consumption in the first quarter year 1 when there is no stock out.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X_1_2_so_N is the level of consumption in the first quarter of year 2 when there is a stock out and the year 2 harvest is normal.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X_1_1_so_L is the level of consumption in the first quarter of year 2 when there is a stock out and the year 2 harvest is low.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X_1_2_s_N is the level of consumption in the first quarter of year 2 when there is no stock out and the year 2 harvest is normal.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X_1_1_s_L is the level of consumption in the first quarter of year 2 when there is no stock out and the year 2 harvest is low.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P_4_1_s is the price in Q4 when there is no stockout.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E_P_1_2_s is the price that traders expect for Q5 when there is no stockout.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endParaRPr lang="en-US" sz="1100" b="0" baseline="0"/>
        </a:p>
        <a:p>
          <a:endParaRPr lang="en-US" sz="1100" b="0" baseline="0"/>
        </a:p>
        <a:p>
          <a:endParaRPr lang="en-US" sz="1100" b="0" baseline="0"/>
        </a:p>
        <a:p>
          <a:endParaRPr lang="en-US" sz="1100" b="1"/>
        </a:p>
      </xdr:txBody>
    </xdr:sp>
    <xdr:clientData/>
  </xdr:twoCellAnchor>
  <xdr:twoCellAnchor>
    <xdr:from>
      <xdr:col>0</xdr:col>
      <xdr:colOff>551234</xdr:colOff>
      <xdr:row>9</xdr:row>
      <xdr:rowOff>48639</xdr:rowOff>
    </xdr:from>
    <xdr:to>
      <xdr:col>2</xdr:col>
      <xdr:colOff>843062</xdr:colOff>
      <xdr:row>10</xdr:row>
      <xdr:rowOff>121596</xdr:rowOff>
    </xdr:to>
    <xdr:sp macro="" textlink="">
      <xdr:nvSpPr>
        <xdr:cNvPr id="22" name="TextBox 21"/>
        <xdr:cNvSpPr txBox="1"/>
      </xdr:nvSpPr>
      <xdr:spPr>
        <a:xfrm>
          <a:off x="551234" y="1726660"/>
          <a:ext cx="1702339" cy="2594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these values only!</a:t>
          </a:r>
        </a:p>
      </xdr:txBody>
    </xdr:sp>
    <xdr:clientData/>
  </xdr:twoCellAnchor>
  <xdr:twoCellAnchor>
    <xdr:from>
      <xdr:col>2</xdr:col>
      <xdr:colOff>0</xdr:colOff>
      <xdr:row>7</xdr:row>
      <xdr:rowOff>81063</xdr:rowOff>
    </xdr:from>
    <xdr:to>
      <xdr:col>2</xdr:col>
      <xdr:colOff>202659</xdr:colOff>
      <xdr:row>9</xdr:row>
      <xdr:rowOff>89170</xdr:rowOff>
    </xdr:to>
    <xdr:cxnSp macro="">
      <xdr:nvCxnSpPr>
        <xdr:cNvPr id="41" name="Straight Arrow Connector 40"/>
        <xdr:cNvCxnSpPr/>
      </xdr:nvCxnSpPr>
      <xdr:spPr>
        <a:xfrm flipH="1" flipV="1">
          <a:off x="1410511" y="1386191"/>
          <a:ext cx="202659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abSelected="1" zoomScale="94" zoomScaleNormal="94" workbookViewId="0"/>
  </sheetViews>
  <sheetFormatPr defaultColWidth="9.109375" defaultRowHeight="14.4" x14ac:dyDescent="0.3"/>
  <cols>
    <col min="1" max="1" width="11.44140625" style="2" customWidth="1"/>
    <col min="2" max="2" width="9.109375" style="2"/>
    <col min="3" max="3" width="12.33203125" style="2" customWidth="1"/>
    <col min="4" max="4" width="9.109375" style="2"/>
    <col min="5" max="5" width="11.33203125" style="2" customWidth="1"/>
    <col min="6" max="6" width="10.6640625" style="2" customWidth="1"/>
    <col min="7" max="8" width="9.109375" style="2"/>
    <col min="9" max="9" width="12.6640625" style="2" bestFit="1" customWidth="1"/>
    <col min="10" max="16384" width="9.109375" style="2"/>
  </cols>
  <sheetData>
    <row r="1" spans="1:9" x14ac:dyDescent="0.3">
      <c r="A1" s="1" t="s">
        <v>0</v>
      </c>
      <c r="D1" s="1" t="s">
        <v>10</v>
      </c>
      <c r="G1" s="1" t="s">
        <v>35</v>
      </c>
      <c r="I1" s="3"/>
    </row>
    <row r="2" spans="1:9" x14ac:dyDescent="0.3">
      <c r="A2" s="10" t="s">
        <v>36</v>
      </c>
      <c r="B2" s="11">
        <v>0.05</v>
      </c>
      <c r="D2" s="2" t="s">
        <v>34</v>
      </c>
      <c r="E2" s="7">
        <f>(b*(1-gamma_1)*(gamma_1*H+theta_0*Z)+c_0*theta_1-b*(rho_0*H+rho_1)*theta_1)/(0.5*b*gamma_1)</f>
        <v>4.6711331823711353</v>
      </c>
    </row>
    <row r="3" spans="1:9" x14ac:dyDescent="0.3">
      <c r="A3" s="10" t="s">
        <v>37</v>
      </c>
      <c r="B3" s="12">
        <v>5.0000000000000001E-3</v>
      </c>
      <c r="D3" s="2" t="s">
        <v>6</v>
      </c>
      <c r="E3" s="5">
        <f>c_0/b</f>
        <v>9.8814229249011856E-2</v>
      </c>
    </row>
    <row r="4" spans="1:9" x14ac:dyDescent="0.3">
      <c r="A4" s="2" t="s">
        <v>1</v>
      </c>
      <c r="B4" s="12">
        <v>5.55</v>
      </c>
      <c r="D4" s="2" t="s">
        <v>7</v>
      </c>
      <c r="E4" s="5">
        <f>c_1/b</f>
        <v>9.881422924901186E-3</v>
      </c>
    </row>
    <row r="5" spans="1:9" x14ac:dyDescent="0.3">
      <c r="A5" s="2" t="s">
        <v>2</v>
      </c>
      <c r="B5" s="12">
        <v>0.50600000000000001</v>
      </c>
      <c r="D5" s="2" t="s">
        <v>11</v>
      </c>
      <c r="E5" s="5">
        <f>-m*(1+m)*(3+m)*H-(3+4*m+m^2)*Z</f>
        <v>-0.73978184507712208</v>
      </c>
    </row>
    <row r="6" spans="1:9" x14ac:dyDescent="0.3">
      <c r="A6" s="2" t="s">
        <v>20</v>
      </c>
      <c r="B6" s="12">
        <v>14.63</v>
      </c>
      <c r="D6" s="2" t="s">
        <v>12</v>
      </c>
      <c r="E6" s="5">
        <f>1+6*m+5*m^2+m^3</f>
        <v>1.0597777149915368</v>
      </c>
    </row>
    <row r="7" spans="1:9" x14ac:dyDescent="0.3">
      <c r="A7" s="2" t="s">
        <v>16</v>
      </c>
      <c r="B7" s="12">
        <v>14.63</v>
      </c>
      <c r="D7" s="2" t="s">
        <v>13</v>
      </c>
      <c r="E7" s="5">
        <f>(3+m)*(2+m)</f>
        <v>6.0495047571435272</v>
      </c>
    </row>
    <row r="8" spans="1:9" x14ac:dyDescent="0.3">
      <c r="A8" s="2" t="s">
        <v>23</v>
      </c>
      <c r="B8" s="12">
        <f>0.5*14.63</f>
        <v>7.3150000000000004</v>
      </c>
      <c r="D8" s="2" t="s">
        <v>14</v>
      </c>
      <c r="E8" s="5">
        <f>4+10*m+6*m^2+m^3</f>
        <v>4.0994010492101625</v>
      </c>
    </row>
    <row r="9" spans="1:9" x14ac:dyDescent="0.3">
      <c r="A9" s="2" t="s">
        <v>24</v>
      </c>
      <c r="B9" s="13">
        <v>1.75</v>
      </c>
      <c r="D9" s="2" t="s">
        <v>15</v>
      </c>
      <c r="E9" s="5">
        <f>(b*gamma_1+c_1*theta_1)*(gamma_1*H+theta_0*Z)/theta_1-b*(gamma_1*H_2+theta_0*Z)/theta_1-(c_0+c_1*gamma_1*H+c_1*theta_0*Z-b*gamma_0)</f>
        <v>-0.3055182418419935</v>
      </c>
    </row>
    <row r="10" spans="1:9" x14ac:dyDescent="0.3">
      <c r="D10" s="2" t="s">
        <v>18</v>
      </c>
      <c r="E10" s="5">
        <f>-m*(1+m)*(3+m)</f>
        <v>-3.0035803697812506E-2</v>
      </c>
    </row>
    <row r="11" spans="1:9" x14ac:dyDescent="0.3">
      <c r="A11" s="1" t="s">
        <v>5</v>
      </c>
      <c r="D11" s="2" t="s">
        <v>19</v>
      </c>
      <c r="E11" s="5">
        <f>-(3+4*m+m^2)*Z</f>
        <v>-0.30035803697812508</v>
      </c>
    </row>
    <row r="12" spans="1:9" x14ac:dyDescent="0.3">
      <c r="A12" s="10" t="s">
        <v>38</v>
      </c>
      <c r="B12" s="5">
        <f>(0.5*b*gamma_1*L_big+b*(rho_0*H+rho_1)*theta_1-c_0*theta_1-b*(1-gamma_1)*(gamma_1*H+theta_0*Z))/(c_1*theta_1+2*b*gamma_1)</f>
        <v>0.64857152003897089</v>
      </c>
    </row>
    <row r="13" spans="1:9" x14ac:dyDescent="0.3">
      <c r="A13" s="2" t="s">
        <v>33</v>
      </c>
      <c r="B13" s="5">
        <f>(gamma_1*H+theta_0*Z)/theta_1</f>
        <v>3.9279701905096625</v>
      </c>
    </row>
    <row r="14" spans="1:9" x14ac:dyDescent="0.3">
      <c r="A14" s="2" t="s">
        <v>9</v>
      </c>
      <c r="B14" s="5">
        <f>(gamma_1*H+theta_0*Z-R_)/theta_1</f>
        <v>3.769758902506033</v>
      </c>
    </row>
    <row r="15" spans="1:9" x14ac:dyDescent="0.3">
      <c r="A15" s="2" t="s">
        <v>27</v>
      </c>
      <c r="B15" s="5">
        <f>(gamma_1*(0+H)+theta_0*Z)/theta_1</f>
        <v>3.9279701905096625</v>
      </c>
      <c r="C15" s="2" t="s">
        <v>29</v>
      </c>
      <c r="D15" s="5">
        <f>(gamma_1*(R_+H)+theta_0*Z)/theta_1</f>
        <v>4.0956389877960175</v>
      </c>
    </row>
    <row r="16" spans="1:9" x14ac:dyDescent="0.3">
      <c r="A16" s="2" t="s">
        <v>28</v>
      </c>
      <c r="B16" s="5">
        <f>(gamma_1*(0+H-L_small)+theta_0*Z)/theta_1</f>
        <v>3.4755599532647556</v>
      </c>
      <c r="C16" s="2" t="s">
        <v>30</v>
      </c>
      <c r="D16" s="5">
        <f>(gamma_1*(R_+H-L_big)+theta_0*Z)/theta_1</f>
        <v>2.2045641961123068</v>
      </c>
    </row>
    <row r="17" spans="1:16" x14ac:dyDescent="0.3">
      <c r="A17" s="2" t="s">
        <v>32</v>
      </c>
      <c r="B17" s="5">
        <f>L25</f>
        <v>3.9028057368709987</v>
      </c>
      <c r="C17" s="2" t="s">
        <v>31</v>
      </c>
      <c r="D17" s="7">
        <f>a-0.5*b*(X_1_2_s_N+X_1_2_s_L)</f>
        <v>3.9560485944711936</v>
      </c>
    </row>
    <row r="18" spans="1:16" x14ac:dyDescent="0.3">
      <c r="B18" s="9" t="s">
        <v>25</v>
      </c>
      <c r="C18" s="9"/>
      <c r="D18" s="9"/>
      <c r="E18" s="9"/>
      <c r="F18" s="9"/>
      <c r="G18" s="9"/>
      <c r="H18" s="9"/>
      <c r="J18" s="9" t="s">
        <v>26</v>
      </c>
      <c r="K18" s="9"/>
      <c r="L18" s="9"/>
      <c r="M18" s="9"/>
      <c r="N18" s="9"/>
      <c r="O18" s="9"/>
      <c r="P18" s="9"/>
    </row>
    <row r="19" spans="1:16" x14ac:dyDescent="0.3">
      <c r="B19" s="8" t="s">
        <v>21</v>
      </c>
      <c r="C19" s="8"/>
      <c r="D19" s="8"/>
      <c r="F19" s="8" t="s">
        <v>22</v>
      </c>
      <c r="G19" s="8"/>
      <c r="H19" s="8"/>
      <c r="J19" s="8" t="s">
        <v>21</v>
      </c>
      <c r="K19" s="8"/>
      <c r="L19" s="8"/>
      <c r="N19" s="8" t="s">
        <v>22</v>
      </c>
      <c r="O19" s="8"/>
      <c r="P19" s="8"/>
    </row>
    <row r="20" spans="1:16" x14ac:dyDescent="0.3">
      <c r="A20" s="4" t="s">
        <v>3</v>
      </c>
      <c r="B20" s="4" t="s">
        <v>8</v>
      </c>
      <c r="C20" s="4" t="s">
        <v>4</v>
      </c>
      <c r="D20" s="4" t="s">
        <v>17</v>
      </c>
      <c r="F20" s="4" t="s">
        <v>8</v>
      </c>
      <c r="G20" s="4" t="s">
        <v>4</v>
      </c>
      <c r="H20" s="4" t="s">
        <v>17</v>
      </c>
      <c r="J20" s="4" t="s">
        <v>8</v>
      </c>
      <c r="K20" s="4" t="s">
        <v>4</v>
      </c>
      <c r="L20" s="4" t="s">
        <v>17</v>
      </c>
      <c r="N20" s="4" t="s">
        <v>8</v>
      </c>
      <c r="O20" s="4" t="s">
        <v>4</v>
      </c>
      <c r="P20" s="4" t="s">
        <v>17</v>
      </c>
    </row>
    <row r="21" spans="1:16" x14ac:dyDescent="0.3">
      <c r="A21" s="4">
        <v>0</v>
      </c>
      <c r="B21" s="6">
        <f>H</f>
        <v>14.63</v>
      </c>
      <c r="C21" s="4"/>
      <c r="F21" s="6">
        <f>H</f>
        <v>14.63</v>
      </c>
      <c r="G21" s="4"/>
      <c r="J21" s="6">
        <f>H</f>
        <v>14.63</v>
      </c>
      <c r="K21" s="4"/>
      <c r="N21" s="6">
        <f>H</f>
        <v>14.63</v>
      </c>
      <c r="O21" s="4"/>
    </row>
    <row r="22" spans="1:16" x14ac:dyDescent="0.3">
      <c r="A22" s="4">
        <f>A21+1</f>
        <v>1</v>
      </c>
      <c r="B22" s="6">
        <f>B21-X_1_1_so</f>
        <v>10.702029809490337</v>
      </c>
      <c r="C22" s="6">
        <f>X_1_1_so</f>
        <v>3.9279701905096625</v>
      </c>
      <c r="D22" s="6">
        <f>a-b*C22</f>
        <v>3.5624470836021107</v>
      </c>
      <c r="F22" s="6">
        <f>F21-X_1_1_so</f>
        <v>10.702029809490337</v>
      </c>
      <c r="G22" s="6">
        <f>X_1_1_so</f>
        <v>3.9279701905096625</v>
      </c>
      <c r="H22" s="6">
        <f>a-b*G22</f>
        <v>3.5624470836021107</v>
      </c>
      <c r="J22" s="6">
        <f>J21-X_1_1_s</f>
        <v>10.860241097493969</v>
      </c>
      <c r="K22" s="6">
        <f>X_1_1_s</f>
        <v>3.769758902506033</v>
      </c>
      <c r="L22" s="6">
        <f>a-b*K22</f>
        <v>3.6425019953319469</v>
      </c>
      <c r="N22" s="6">
        <f>N21-X_1_1_s</f>
        <v>10.860241097493969</v>
      </c>
      <c r="O22" s="6">
        <f>X_1_1_s</f>
        <v>3.769758902506033</v>
      </c>
      <c r="P22" s="6">
        <f>a-b*O22</f>
        <v>3.6425019953319469</v>
      </c>
    </row>
    <row r="23" spans="1:16" x14ac:dyDescent="0.3">
      <c r="A23" s="4">
        <f>A22+1</f>
        <v>2</v>
      </c>
      <c r="B23" s="6">
        <f>(1+m)*H-(2+m)*X_1_1_so+Z</f>
        <v>6.9786251309321594</v>
      </c>
      <c r="C23" s="6">
        <f>(1+m)*X_1_1_so-Z-m*H</f>
        <v>3.7234046785581771</v>
      </c>
      <c r="D23" s="6">
        <f>a-b*C23</f>
        <v>3.6659572326495624</v>
      </c>
      <c r="E23" s="3"/>
      <c r="F23" s="6">
        <f>(1+m)*H-(2+m)*X_1_1_so+Z</f>
        <v>6.9786251309321594</v>
      </c>
      <c r="G23" s="6">
        <f>(1+m)*X_1_1_so-Z-m*H</f>
        <v>3.7234046785581771</v>
      </c>
      <c r="H23" s="6">
        <f>a-b*G23</f>
        <v>3.6659572326495624</v>
      </c>
      <c r="J23" s="6">
        <f>(1+m)*H-(2+m)*X_1_1_s+Z</f>
        <v>7.2966110595876756</v>
      </c>
      <c r="K23" s="6">
        <f>(1+m)*X_1_1_s-Z-m*H</f>
        <v>3.5636300379062904</v>
      </c>
      <c r="L23" s="6">
        <f>a-b*K23</f>
        <v>3.746803200819417</v>
      </c>
      <c r="M23" s="3"/>
      <c r="N23" s="6">
        <f>(1+m)*H-(2+m)*X_1_1_s+Z</f>
        <v>7.2966110595876756</v>
      </c>
      <c r="O23" s="6">
        <f>(1+m)*X_1_1_s-Z-m*H</f>
        <v>3.5636300379062904</v>
      </c>
      <c r="P23" s="6">
        <f>a-b*O23</f>
        <v>3.746803200819417</v>
      </c>
    </row>
    <row r="24" spans="1:16" x14ac:dyDescent="0.3">
      <c r="A24" s="4">
        <f t="shared" ref="A24:A30" si="0">A23+1</f>
        <v>3</v>
      </c>
      <c r="B24" s="6">
        <f>(1+3*m+m^2)*H-(1+m)*(3+m)*X_1_1_so+(3+m)*Z</f>
        <v>3.4229934279760812</v>
      </c>
      <c r="C24" s="6">
        <f>-m*(2+m)*H+(1+3*m+m^2)*X_1_1_so-(2+m)*Z</f>
        <v>3.55563170295608</v>
      </c>
      <c r="D24" s="6">
        <f>a-b*C24</f>
        <v>3.7508503583042234</v>
      </c>
      <c r="E24" s="3"/>
      <c r="F24" s="6">
        <f>(1+3*m+m^2)*H-(1+m)*(3+m)*X_1_1_so+(3+m)*Z</f>
        <v>3.4229934279760812</v>
      </c>
      <c r="G24" s="6">
        <f>-m*(2+m)*H+(1+3*m+m^2)*X_1_1_so-(2+m)*Z</f>
        <v>3.55563170295608</v>
      </c>
      <c r="H24" s="6">
        <f>a-b*G24</f>
        <v>3.7508503583042234</v>
      </c>
      <c r="J24" s="6">
        <f>(1+3*m+m^2)*H-(1+m)*(3+m)*X_1_1_s+(3+m)*Z</f>
        <v>3.9038961507286967</v>
      </c>
      <c r="K24" s="6">
        <f>-m*(2+m)*H+(1+3*m+m^2)*X_1_1_s-(2+m)*Z</f>
        <v>3.3927149088589807</v>
      </c>
      <c r="L24" s="6">
        <f>a-b*K24</f>
        <v>3.8332862561173555</v>
      </c>
      <c r="N24" s="6">
        <f>(1+3*m+m^2)*H-(1+m)*(3+m)*X_1_1_s+(3+m)*Z</f>
        <v>3.9038961507286967</v>
      </c>
      <c r="O24" s="6">
        <f>-m*(2+m)*H+(1+3*m+m^2)*X_1_1_s-(2+m)*Z</f>
        <v>3.3927149088589807</v>
      </c>
      <c r="P24" s="6">
        <f>a-b*O24</f>
        <v>3.8332862561173555</v>
      </c>
    </row>
    <row r="25" spans="1:16" x14ac:dyDescent="0.3">
      <c r="A25" s="4">
        <f t="shared" si="0"/>
        <v>4</v>
      </c>
      <c r="B25" s="6">
        <f>(1+6*m+5*m^2+m^3)*H-(4+10*m+6*m^2+m^3)*X_1_1_so+(3+m)*(2+m)*Z</f>
        <v>0</v>
      </c>
      <c r="C25" s="6">
        <f>-(3*m+4*m^2+m^3)*H+(1+6*m+5*m^2+m^3)*X_1_1_so-(3+m)*(1+m)*Z</f>
        <v>3.422993427976079</v>
      </c>
      <c r="D25" s="6">
        <f>a-b*C25</f>
        <v>3.8179653254441037</v>
      </c>
      <c r="F25" s="6">
        <f>(1+6*m+5*m^2+m^3)*H-(4+10*m+6*m^2+m^3)*X_1_1_so+(3+m)*(2+m)*Z</f>
        <v>0</v>
      </c>
      <c r="G25" s="6">
        <f>-(3*m+4*m^2+m^3)*H+(1+6*m+5*m^2+m^3)*X_1_1_so-(3+m)*(1+m)*Z</f>
        <v>3.422993427976079</v>
      </c>
      <c r="H25" s="6">
        <f>a-b*G25</f>
        <v>3.8179653254441037</v>
      </c>
      <c r="J25" s="6">
        <f>(1+6*m+5*m^2+m^3)*H-(4+10*m+6*m^2+m^3)*X_1_1_s+(3+m)*(2+m)*Z</f>
        <v>0.64857152003897101</v>
      </c>
      <c r="K25" s="6">
        <f>-(3*m+4*m^2+m^3)*H+(1+6*m+5*m^2+m^3)*X_1_1_s-(3+m)*(1+m)*Z</f>
        <v>3.2553246306897248</v>
      </c>
      <c r="L25" s="6">
        <f>a-b*K25</f>
        <v>3.9028057368709987</v>
      </c>
      <c r="N25" s="6">
        <f>(1+6*m+5*m^2+m^3)*H-(4+10*m+6*m^2+m^3)*X_1_1_s+(3+m)*(2+m)*Z</f>
        <v>0.64857152003897101</v>
      </c>
      <c r="O25" s="6">
        <f>-(3*m+4*m^2+m^3)*H+(1+6*m+5*m^2+m^3)*X_1_1_s-(3+m)*(1+m)*Z</f>
        <v>3.2553246306897248</v>
      </c>
      <c r="P25" s="6">
        <f>a-b*O25</f>
        <v>3.9028057368709987</v>
      </c>
    </row>
    <row r="26" spans="1:16" x14ac:dyDescent="0.3">
      <c r="A26" s="4">
        <v>4</v>
      </c>
      <c r="B26" s="6">
        <f>H</f>
        <v>14.63</v>
      </c>
      <c r="C26" s="6"/>
      <c r="D26" s="6"/>
      <c r="F26" s="6">
        <f>H-L_small</f>
        <v>12.88</v>
      </c>
      <c r="G26" s="6"/>
      <c r="H26" s="6"/>
      <c r="J26" s="6">
        <f>H+R_</f>
        <v>15.278571520038971</v>
      </c>
      <c r="K26" s="6"/>
      <c r="L26" s="6"/>
      <c r="N26" s="6">
        <f>H+R_-L_big</f>
        <v>7.963571520038971</v>
      </c>
      <c r="O26" s="6"/>
      <c r="P26" s="6"/>
    </row>
    <row r="27" spans="1:16" x14ac:dyDescent="0.3">
      <c r="A27" s="4">
        <f>A25+1</f>
        <v>5</v>
      </c>
      <c r="B27" s="6">
        <f>H-X_1_2_so_N</f>
        <v>10.702029809490337</v>
      </c>
      <c r="C27" s="6">
        <f>X_1_2_so_N</f>
        <v>3.9279701905096625</v>
      </c>
      <c r="D27" s="6">
        <f>a-b*C27</f>
        <v>3.5624470836021107</v>
      </c>
      <c r="F27" s="6">
        <f>H-L_small-X_1_2_so_L</f>
        <v>9.404440046735246</v>
      </c>
      <c r="G27" s="6">
        <f>X_1_2_so_L</f>
        <v>3.4755599532647556</v>
      </c>
      <c r="H27" s="6">
        <f>a-b*G27</f>
        <v>3.7913666636480334</v>
      </c>
      <c r="J27" s="6">
        <f>H+R_-X_1_2_s_N</f>
        <v>11.182932532242955</v>
      </c>
      <c r="K27" s="6">
        <f>X_1_2_s_N</f>
        <v>4.0956389877960175</v>
      </c>
      <c r="L27" s="6">
        <f>a-b*K27</f>
        <v>3.4776066721752148</v>
      </c>
      <c r="N27" s="6">
        <f>H+R_-L_big-X_1_2_s_L</f>
        <v>5.7590073239266637</v>
      </c>
      <c r="O27" s="6">
        <f>X_1_2_s_L</f>
        <v>2.2045641961123068</v>
      </c>
      <c r="P27" s="6">
        <f>a-b*O27</f>
        <v>4.4344905167671724</v>
      </c>
    </row>
    <row r="28" spans="1:16" x14ac:dyDescent="0.3">
      <c r="A28" s="4">
        <f t="shared" si="0"/>
        <v>6</v>
      </c>
      <c r="B28" s="6">
        <f>(1+m)*H-(2+m)*X_1_2_so_N+Z</f>
        <v>6.9786251309321594</v>
      </c>
      <c r="C28" s="6">
        <f>(1+m)*X_1_2_so_N-Z-m*H</f>
        <v>3.7234046785581771</v>
      </c>
      <c r="D28" s="6">
        <f>a-b*C28</f>
        <v>3.6659572326495624</v>
      </c>
      <c r="E28" s="3"/>
      <c r="F28" s="6">
        <f>(1+m)*(H-L_small)-(2+m)*X_1_2_so_L+Z</f>
        <v>6.1206235721931685</v>
      </c>
      <c r="G28" s="6">
        <f>(1+m)*X_1_2_so_L-Z-m*(H-L_small)</f>
        <v>3.2838164745420753</v>
      </c>
      <c r="H28" s="6">
        <f>a-b*G28</f>
        <v>3.8883888638817097</v>
      </c>
      <c r="J28" s="6">
        <f>(1+m)*(H+R_)-(2+m)*X_1_2_s_N+Z</f>
        <v>7.2966110595876756</v>
      </c>
      <c r="K28" s="6">
        <f>(1+m)*X_1_2_s_N-Z-m*(H+R_)</f>
        <v>3.8863214726552773</v>
      </c>
      <c r="L28" s="6">
        <f>a-b*K28</f>
        <v>3.5835213348364294</v>
      </c>
      <c r="M28" s="3"/>
      <c r="N28" s="6">
        <f>(1+m)*(H+R_-L_big)-(2+m)*X_1_2_s_L+Z</f>
        <v>3.7101645440586921</v>
      </c>
      <c r="O28" s="6">
        <f>(1+m)*X_1_2_s_L-Z-m*(H+R_-L_big)</f>
        <v>2.0488427798679725</v>
      </c>
      <c r="P28" s="6">
        <f>a-b*O28</f>
        <v>4.5132855533868055</v>
      </c>
    </row>
    <row r="29" spans="1:16" x14ac:dyDescent="0.3">
      <c r="A29" s="4">
        <f t="shared" si="0"/>
        <v>7</v>
      </c>
      <c r="B29" s="6">
        <f>(1+3*m+m^2)*H-(1+m)*(3+m)*X_1_2_so_N+(3+m)*Z</f>
        <v>3.4229934279760812</v>
      </c>
      <c r="C29" s="6">
        <f>-m*(2+m)*H+(1+3*m+m^2)*X_1_2_so_N-(2+m)*Z</f>
        <v>3.55563170295608</v>
      </c>
      <c r="D29" s="6">
        <f>a-b*C29</f>
        <v>3.7508503583042234</v>
      </c>
      <c r="F29" s="6">
        <f>(1+3*m+m^2)*(H-L_small)-(1+m)*(3+m)*X_1_2_so_L+(3+m)*Z</f>
        <v>2.9961017969810673</v>
      </c>
      <c r="G29" s="6">
        <f>-m*(2+m)*(H-L_small)+(1+3*m+m^2)*X_1_2_so_L-(2+m)*Z</f>
        <v>3.1245217752121031</v>
      </c>
      <c r="H29" s="6">
        <f>a-b*G29</f>
        <v>3.9689919817426755</v>
      </c>
      <c r="J29" s="6">
        <f>(1+3*m+m^2)*(H+R_)-(1+m)*(3+m)*X_1_2_s_N+(3+m)*Z</f>
        <v>3.5812047159797089</v>
      </c>
      <c r="K29" s="6">
        <f>-m*(2+m)*(H+R_)+(1+3*m+m^2)*X_1_2_s_N-(2+m)*Z</f>
        <v>3.7154063436079672</v>
      </c>
      <c r="L29" s="6">
        <f>a-b*K29</f>
        <v>3.6700043901343684</v>
      </c>
      <c r="N29" s="6">
        <f>(1+3*m+m^2)*(H+R_-L_big)-(1+m)*(3+m)*X_1_2_s_L+(3+m)*Z</f>
        <v>1.7967976984205496</v>
      </c>
      <c r="O29" s="6">
        <f>-m*(2+m)*(H+R_-L_big)+(1+3*m+m^2)*X_1_2_s_L-(2+m)*Z</f>
        <v>1.9133668456381432</v>
      </c>
      <c r="P29" s="6">
        <f>a-b*O29</f>
        <v>4.5818363761070993</v>
      </c>
    </row>
    <row r="30" spans="1:16" x14ac:dyDescent="0.3">
      <c r="A30" s="4">
        <f t="shared" si="0"/>
        <v>8</v>
      </c>
      <c r="B30" s="6">
        <f>(1+6*m+5*m^2+m^3)*H-(4+10*m+6*m^2+m^3)*X_1_2_so_N+(3+m)*(2+m)*Z</f>
        <v>0</v>
      </c>
      <c r="C30" s="6">
        <f>-(3*m+4*m^2+m^3)*H+(1+6*m+5*m^2+m^3)*X_1_2_so_N-(3+m)*(1+m)*Z</f>
        <v>3.422993427976079</v>
      </c>
      <c r="D30" s="6">
        <f>a-b*C30</f>
        <v>3.8179653254441037</v>
      </c>
      <c r="F30" s="6">
        <f>(1+6*m+5*m^2+m^3)*(H-L_small)-(4+10*m+6*m^2+m^3)*X_1_2_so_L+(3+m)*(2+m)*Z</f>
        <v>0</v>
      </c>
      <c r="G30" s="6">
        <f>-(3*m+4*m^2+m^3)*(H-L_small)+(1+6*m+5*m^2+m^3)*X_1_2_so_L-(3+m)*(1+m)*Z</f>
        <v>2.996101796981065</v>
      </c>
      <c r="H30" s="6">
        <f>a-b*G30</f>
        <v>4.0339724907275807</v>
      </c>
      <c r="J30" s="6">
        <f>(1+6*m+5*m^2+m^3)*(H+R_)-(4+10*m+6*m^2+m^3)*X_1_2_s_N+(3+m)*(2+m)*Z</f>
        <v>-1.3322676295501878E-15</v>
      </c>
      <c r="K30" s="6">
        <f>-(3*m+4*m^2+m^3)*(H+R_)+(1+6*m+5*m^2+m^3)*X_1_2_s_N-(3+m)*(1+m)*Z</f>
        <v>3.5812047159797098</v>
      </c>
      <c r="L30" s="6">
        <f>a-b*K30</f>
        <v>3.7379104137142667</v>
      </c>
      <c r="N30" s="6">
        <f>(1+6*m+5*m^2+m^3)*(H+R_-L_big)-(4+10*m+6*m^2+m^3)*X_1_2_s_L+(3+m)*(2+m)*Z</f>
        <v>0</v>
      </c>
      <c r="O30" s="6">
        <f>-(3*m+4*m^2+m^3)*(H+R_-L_big)+(1+6*m+5*m^2+m^3)*X_1_2_s_L-(3+m)*(1+m)*Z</f>
        <v>1.7967976984205487</v>
      </c>
      <c r="P30" s="6">
        <f>a-b*O30</f>
        <v>4.6408203645992021</v>
      </c>
    </row>
    <row r="31" spans="1:16" x14ac:dyDescent="0.3">
      <c r="B31" s="3"/>
      <c r="C31" s="5"/>
      <c r="M31" s="3"/>
      <c r="N31" s="5"/>
    </row>
    <row r="32" spans="1:16" x14ac:dyDescent="0.3">
      <c r="B32" s="3"/>
      <c r="C32" s="5"/>
      <c r="M32" s="3"/>
      <c r="N32" s="5"/>
    </row>
    <row r="33" spans="2:8" x14ac:dyDescent="0.3">
      <c r="B33" s="3"/>
      <c r="C33" s="3"/>
      <c r="D33" s="3"/>
      <c r="E33" s="3"/>
      <c r="F33" s="6"/>
      <c r="G33" s="6"/>
      <c r="H33" s="6"/>
    </row>
    <row r="34" spans="2:8" x14ac:dyDescent="0.3">
      <c r="B34" s="3"/>
      <c r="C34" s="3"/>
      <c r="D34" s="3"/>
      <c r="E34" s="3"/>
      <c r="F34" s="6"/>
      <c r="G34" s="6"/>
      <c r="H34" s="6"/>
    </row>
    <row r="35" spans="2:8" x14ac:dyDescent="0.3">
      <c r="B35" s="3"/>
      <c r="F35" s="6"/>
      <c r="G35" s="6"/>
      <c r="H35" s="6"/>
    </row>
    <row r="36" spans="2:8" x14ac:dyDescent="0.3">
      <c r="B36" s="3"/>
      <c r="C36" s="3"/>
      <c r="D36" s="3"/>
      <c r="E36" s="3"/>
      <c r="F36" s="6"/>
      <c r="G36" s="6"/>
      <c r="H36" s="6"/>
    </row>
    <row r="37" spans="2:8" x14ac:dyDescent="0.3">
      <c r="B37" s="3"/>
      <c r="C37" s="3"/>
      <c r="D37" s="3"/>
      <c r="E37" s="3"/>
      <c r="F37" s="6"/>
      <c r="G37" s="6"/>
      <c r="H37" s="6"/>
    </row>
    <row r="40" spans="2:8" x14ac:dyDescent="0.3">
      <c r="B40" s="8"/>
      <c r="C40" s="8"/>
      <c r="D40" s="8"/>
      <c r="E40" s="8"/>
      <c r="F40" s="8"/>
      <c r="G40" s="8"/>
      <c r="H40" s="8"/>
    </row>
    <row r="41" spans="2:8" x14ac:dyDescent="0.3">
      <c r="B41" s="4"/>
      <c r="C41" s="4"/>
      <c r="D41" s="4"/>
      <c r="E41" s="4"/>
      <c r="F41" s="4"/>
      <c r="G41" s="4"/>
      <c r="H41" s="4"/>
    </row>
    <row r="42" spans="2:8" x14ac:dyDescent="0.3">
      <c r="B42" s="6"/>
      <c r="C42" s="6"/>
      <c r="D42" s="6"/>
      <c r="E42" s="6"/>
      <c r="F42" s="6"/>
      <c r="G42" s="6"/>
      <c r="H42" s="6"/>
    </row>
    <row r="43" spans="2:8" x14ac:dyDescent="0.3">
      <c r="B43" s="6"/>
      <c r="C43" s="6"/>
      <c r="D43" s="6"/>
      <c r="E43" s="6"/>
      <c r="F43" s="6"/>
      <c r="G43" s="6"/>
      <c r="H43" s="6"/>
    </row>
    <row r="44" spans="2:8" x14ac:dyDescent="0.3">
      <c r="B44" s="6"/>
      <c r="C44" s="6"/>
      <c r="D44" s="6"/>
      <c r="E44" s="6"/>
      <c r="F44" s="6"/>
      <c r="G44" s="6"/>
      <c r="H44" s="6"/>
    </row>
    <row r="45" spans="2:8" x14ac:dyDescent="0.3">
      <c r="B45" s="6"/>
      <c r="C45" s="6"/>
      <c r="D45" s="6"/>
      <c r="E45" s="6"/>
      <c r="F45" s="6"/>
      <c r="G45" s="6"/>
      <c r="H45" s="6"/>
    </row>
    <row r="46" spans="2:8" x14ac:dyDescent="0.3">
      <c r="B46" s="6"/>
      <c r="C46" s="6"/>
      <c r="D46" s="6"/>
      <c r="E46" s="6"/>
      <c r="F46" s="6"/>
      <c r="G46" s="6"/>
      <c r="H46" s="6"/>
    </row>
    <row r="48" spans="2:8" x14ac:dyDescent="0.3">
      <c r="B48" s="8"/>
      <c r="C48" s="8"/>
      <c r="D48" s="8"/>
      <c r="E48" s="8"/>
      <c r="F48" s="8"/>
      <c r="G48" s="8"/>
      <c r="H48" s="8"/>
    </row>
    <row r="49" spans="2:8" x14ac:dyDescent="0.3">
      <c r="B49" s="4"/>
      <c r="C49" s="4"/>
      <c r="D49" s="4"/>
      <c r="E49" s="4"/>
      <c r="F49" s="4"/>
      <c r="G49" s="4"/>
      <c r="H49" s="4"/>
    </row>
    <row r="50" spans="2:8" x14ac:dyDescent="0.3">
      <c r="B50" s="6"/>
      <c r="C50" s="6"/>
      <c r="D50" s="6"/>
      <c r="E50" s="6"/>
      <c r="F50" s="6"/>
      <c r="G50" s="6"/>
      <c r="H50" s="6"/>
    </row>
    <row r="51" spans="2:8" x14ac:dyDescent="0.3">
      <c r="B51" s="6"/>
      <c r="C51" s="6"/>
      <c r="D51" s="6"/>
      <c r="E51" s="6"/>
      <c r="F51" s="6"/>
      <c r="G51" s="6"/>
      <c r="H51" s="6"/>
    </row>
    <row r="52" spans="2:8" x14ac:dyDescent="0.3">
      <c r="B52" s="6"/>
      <c r="C52" s="6"/>
      <c r="D52" s="6"/>
      <c r="E52" s="6"/>
      <c r="F52" s="6"/>
      <c r="G52" s="6"/>
      <c r="H52" s="6"/>
    </row>
    <row r="53" spans="2:8" x14ac:dyDescent="0.3">
      <c r="B53" s="6"/>
      <c r="C53" s="6"/>
      <c r="D53" s="6"/>
      <c r="E53" s="6"/>
      <c r="F53" s="6"/>
      <c r="G53" s="6"/>
      <c r="H53" s="6"/>
    </row>
    <row r="54" spans="2:8" x14ac:dyDescent="0.3">
      <c r="B54" s="6"/>
      <c r="C54" s="6"/>
      <c r="D54" s="6"/>
      <c r="E54" s="6"/>
      <c r="F54" s="6"/>
      <c r="G54" s="6"/>
      <c r="H54" s="6"/>
    </row>
  </sheetData>
  <sheetProtection sheet="1" objects="1" scenarios="1"/>
  <mergeCells count="8">
    <mergeCell ref="B19:D19"/>
    <mergeCell ref="F19:H19"/>
    <mergeCell ref="B18:H18"/>
    <mergeCell ref="J18:P18"/>
    <mergeCell ref="J19:L19"/>
    <mergeCell ref="N19:P19"/>
    <mergeCell ref="B40:H40"/>
    <mergeCell ref="B48:H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Main</vt:lpstr>
      <vt:lpstr>a</vt:lpstr>
      <vt:lpstr>b</vt:lpstr>
      <vt:lpstr>c_0</vt:lpstr>
      <vt:lpstr>c_1</vt:lpstr>
      <vt:lpstr>gamma_0</vt:lpstr>
      <vt:lpstr>gamma_1</vt:lpstr>
      <vt:lpstr>H</vt:lpstr>
      <vt:lpstr>H_2</vt:lpstr>
      <vt:lpstr>L_big</vt:lpstr>
      <vt:lpstr>L_small</vt:lpstr>
      <vt:lpstr>lambda</vt:lpstr>
      <vt:lpstr>m</vt:lpstr>
      <vt:lpstr>R_</vt:lpstr>
      <vt:lpstr>rho_0</vt:lpstr>
      <vt:lpstr>rho_1</vt:lpstr>
      <vt:lpstr>theta_0</vt:lpstr>
      <vt:lpstr>theta_1</vt:lpstr>
      <vt:lpstr>X_1_1_s</vt:lpstr>
      <vt:lpstr>X_1_1_so</vt:lpstr>
      <vt:lpstr>X_1_2_s_L</vt:lpstr>
      <vt:lpstr>X_1_2_s_N</vt:lpstr>
      <vt:lpstr>X_1_2_so_L</vt:lpstr>
      <vt:lpstr>X_1_2_so_N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Vercammen, James</dc:creator>
  <cp:lastModifiedBy>Vercammen, James</cp:lastModifiedBy>
  <dcterms:created xsi:type="dcterms:W3CDTF">2019-02-25T21:16:40Z</dcterms:created>
  <dcterms:modified xsi:type="dcterms:W3CDTF">2019-07-31T18:33:11Z</dcterms:modified>
</cp:coreProperties>
</file>