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Mother_folder\analog\LDO\Design\##VL502_PSRR_Demo\VL502_1st_LDO\"/>
    </mc:Choice>
  </mc:AlternateContent>
  <xr:revisionPtr revIDLastSave="0" documentId="13_ncr:1_{D9A4DDEB-8E29-4DE7-A9F4-B76FB510D458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heet1" sheetId="1" r:id="rId1"/>
    <sheet name="Sheet2" sheetId="2" r:id="rId2"/>
  </sheets>
  <calcPr calcId="191029" concurrentCalc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1" i="2" l="1"/>
  <c r="C55" i="2"/>
  <c r="C58" i="2"/>
  <c r="C42" i="2"/>
  <c r="C47" i="2"/>
  <c r="C48" i="2"/>
  <c r="C14" i="2"/>
  <c r="C23" i="2"/>
  <c r="C28" i="2"/>
  <c r="C29" i="2"/>
  <c r="C33" i="2"/>
  <c r="C34" i="2"/>
  <c r="C30" i="2"/>
  <c r="C35" i="2"/>
  <c r="C57" i="2"/>
  <c r="C46" i="2"/>
  <c r="C36" i="2"/>
  <c r="C24" i="2"/>
  <c r="G111" i="1"/>
  <c r="C94" i="1"/>
  <c r="C95" i="1"/>
  <c r="C100" i="1"/>
  <c r="C97" i="1"/>
  <c r="C103" i="1"/>
  <c r="C109" i="1"/>
  <c r="C105" i="1"/>
  <c r="C110" i="1"/>
  <c r="G110" i="1"/>
  <c r="G109" i="1"/>
  <c r="C35" i="1"/>
  <c r="C40" i="1"/>
  <c r="C42" i="1"/>
  <c r="C46" i="1"/>
  <c r="C47" i="1"/>
  <c r="C48" i="1"/>
  <c r="C58" i="1"/>
  <c r="C63" i="1"/>
  <c r="C80" i="1"/>
  <c r="C82" i="1"/>
  <c r="C87" i="1"/>
  <c r="C88" i="1"/>
  <c r="C67" i="1"/>
  <c r="C71" i="1"/>
  <c r="C74" i="1"/>
  <c r="C64" i="1"/>
  <c r="C79" i="1"/>
  <c r="C72" i="1"/>
  <c r="C73" i="1"/>
  <c r="C20" i="1"/>
  <c r="C49" i="1"/>
  <c r="C50" i="1"/>
  <c r="C62" i="1"/>
  <c r="C51" i="1"/>
  <c r="C52" i="1"/>
  <c r="E38" i="1"/>
  <c r="E41" i="1"/>
  <c r="E34" i="1"/>
  <c r="G34" i="1"/>
  <c r="G35" i="1"/>
  <c r="C36" i="1"/>
  <c r="G36" i="1"/>
  <c r="E37" i="1"/>
  <c r="G37" i="1"/>
  <c r="G38" i="1"/>
  <c r="G39" i="1"/>
  <c r="G40" i="1"/>
  <c r="C41" i="1"/>
  <c r="G41" i="1"/>
  <c r="G42" i="1"/>
  <c r="E33" i="1"/>
  <c r="G33" i="1"/>
  <c r="C27" i="1"/>
  <c r="E27" i="1"/>
  <c r="C23" i="1"/>
  <c r="C22" i="1"/>
  <c r="C24" i="1"/>
</calcChain>
</file>

<file path=xl/sharedStrings.xml><?xml version="1.0" encoding="utf-8"?>
<sst xmlns="http://schemas.openxmlformats.org/spreadsheetml/2006/main" count="246" uniqueCount="137">
  <si>
    <t>gm/Id</t>
  </si>
  <si>
    <t>Id/W</t>
  </si>
  <si>
    <t>gmro</t>
  </si>
  <si>
    <t>Id</t>
  </si>
  <si>
    <t>W</t>
  </si>
  <si>
    <t>Length</t>
  </si>
  <si>
    <t>gm</t>
  </si>
  <si>
    <t>fu</t>
  </si>
  <si>
    <t>wu</t>
  </si>
  <si>
    <t>Vin</t>
  </si>
  <si>
    <t>Vout</t>
  </si>
  <si>
    <t>PSRR</t>
  </si>
  <si>
    <t>Iload|min</t>
  </si>
  <si>
    <t>Iload|max</t>
  </si>
  <si>
    <t>Cload</t>
  </si>
  <si>
    <t>Load Slew Rate</t>
  </si>
  <si>
    <t>Units</t>
  </si>
  <si>
    <t>V</t>
  </si>
  <si>
    <t>dB</t>
  </si>
  <si>
    <t>mA</t>
  </si>
  <si>
    <t>nF</t>
  </si>
  <si>
    <t>mA/μs</t>
  </si>
  <si>
    <t>Low Freq Loop Gain</t>
  </si>
  <si>
    <t>Value</t>
  </si>
  <si>
    <t>Drop Out Voltage</t>
  </si>
  <si>
    <t>Transient spread</t>
  </si>
  <si>
    <t>% of vout peak to peak</t>
  </si>
  <si>
    <t>ΔI (Load step)</t>
  </si>
  <si>
    <t>ΔV (Load step) overshoot/undershoot</t>
  </si>
  <si>
    <t>Assuming overshoot and undershoot same</t>
  </si>
  <si>
    <t>Comments</t>
  </si>
  <si>
    <t>s</t>
  </si>
  <si>
    <t>V/V</t>
  </si>
  <si>
    <t>A</t>
  </si>
  <si>
    <t>Power FET</t>
  </si>
  <si>
    <t>Simulation</t>
  </si>
  <si>
    <t>Hand Calculations</t>
  </si>
  <si>
    <t>ft</t>
  </si>
  <si>
    <t>μm</t>
  </si>
  <si>
    <t>ro</t>
  </si>
  <si>
    <t>Cgs+Cgd</t>
  </si>
  <si>
    <t>Step 1: List Down the Specifications and classify them</t>
  </si>
  <si>
    <t>Relaxed</t>
  </si>
  <si>
    <t>Aggressive</t>
  </si>
  <si>
    <t>Moderate</t>
  </si>
  <si>
    <t>Iquiescent</t>
  </si>
  <si>
    <t>μA</t>
  </si>
  <si>
    <t>Transient duration</t>
  </si>
  <si>
    <t>μs</t>
  </si>
  <si>
    <t>Step 2: Evaluate Interim Design Goals</t>
  </si>
  <si>
    <t>Δt (Response time of the loopbound)</t>
  </si>
  <si>
    <t>Note the current slew rate wasnt taken into picture which will play a role in this.</t>
  </si>
  <si>
    <t>wumin</t>
  </si>
  <si>
    <t>Hz</t>
  </si>
  <si>
    <t>(fu must be more than 159 kHz)</t>
  </si>
  <si>
    <t>Step 3: Power FET Sizing</t>
  </si>
  <si>
    <t>Hand/Techplots Calculations</t>
  </si>
  <si>
    <t>Error</t>
  </si>
  <si>
    <t>1/V</t>
  </si>
  <si>
    <t>Assumption for Vov=200mV; Vov&lt;Vdsat</t>
  </si>
  <si>
    <t>A/m</t>
  </si>
  <si>
    <t>From Id/W vs. gm/Id plot</t>
  </si>
  <si>
    <t>m</t>
  </si>
  <si>
    <t>A/V</t>
  </si>
  <si>
    <t>Ohm</t>
  </si>
  <si>
    <t>F</t>
  </si>
  <si>
    <t>Step 4: Revaluate Interim Design Parameters</t>
  </si>
  <si>
    <t>wp2heavy</t>
  </si>
  <si>
    <t>rad/s</t>
  </si>
  <si>
    <t>-</t>
  </si>
  <si>
    <t>wp2light</t>
  </si>
  <si>
    <t>fp2light</t>
  </si>
  <si>
    <t>MHz</t>
  </si>
  <si>
    <t>gmn/Cc</t>
  </si>
  <si>
    <t>gm*(ron||rop)</t>
  </si>
  <si>
    <t>gmron</t>
  </si>
  <si>
    <t>rodiff</t>
  </si>
  <si>
    <t>Cc</t>
  </si>
  <si>
    <t>pF</t>
  </si>
  <si>
    <t>Cg</t>
  </si>
  <si>
    <t>Ceq</t>
  </si>
  <si>
    <t>tslew</t>
  </si>
  <si>
    <t>tslewmax</t>
  </si>
  <si>
    <t>Stop at this stage to simulate because not very clear boundary plus assumptions made</t>
  </si>
  <si>
    <t>Plus we assume really fast slew rate that is not captured here.</t>
  </si>
  <si>
    <t>Step 5: Diffamp Input Pair Sizing (Heavy load error will be higher than light load because we used light load Charts)</t>
  </si>
  <si>
    <t>gm/Iddiff</t>
  </si>
  <si>
    <t>Taking all budget available and check later</t>
  </si>
  <si>
    <t>um</t>
  </si>
  <si>
    <t>Vds for heavy load lower</t>
  </si>
  <si>
    <t>Please simulate for Vds of 0.5 everything and you are good to go</t>
  </si>
  <si>
    <t>kHz</t>
  </si>
  <si>
    <t>ns</t>
  </si>
  <si>
    <t>Light</t>
  </si>
  <si>
    <t>gm1</t>
  </si>
  <si>
    <t>gmpass</t>
  </si>
  <si>
    <t>ropass</t>
  </si>
  <si>
    <t>Cl</t>
  </si>
  <si>
    <t>Rz</t>
  </si>
  <si>
    <t>Measured</t>
  </si>
  <si>
    <t>Get the length for the desired gain from the techplots (gmro vs. gm/Id)</t>
  </si>
  <si>
    <t>Hand Calculation.</t>
  </si>
  <si>
    <t>Keep Loop Gain Margin vs. PSRR (PSRR will degrade)</t>
  </si>
  <si>
    <t>Worst case approximation because loop can start responsing midway</t>
  </si>
  <si>
    <t>Step 6: PMOS Load sizing (Vds assumed to be 0.4 for techplots - which can change)</t>
  </si>
  <si>
    <t>Sizing CC</t>
  </si>
  <si>
    <t>Adiffamp_min</t>
  </si>
  <si>
    <t>Adiff_n_min</t>
  </si>
  <si>
    <t>1/wp1/Apass/rodiff</t>
  </si>
  <si>
    <t>gmn/wu</t>
  </si>
  <si>
    <t>Cc+Cgd</t>
  </si>
  <si>
    <t>22ns</t>
  </si>
  <si>
    <t>gmpass/Cl</t>
  </si>
  <si>
    <t>In real world, gm doesn’t scale as sqrt I</t>
  </si>
  <si>
    <t>Check Slew Rate</t>
  </si>
  <si>
    <t>Cgdpass</t>
  </si>
  <si>
    <t>Cgspass</t>
  </si>
  <si>
    <t>Miller Effective</t>
  </si>
  <si>
    <t>Aldo</t>
  </si>
  <si>
    <t>Ceq1 (Miller multiplied)</t>
  </si>
  <si>
    <t>rondiff</t>
  </si>
  <si>
    <t>ropdiff</t>
  </si>
  <si>
    <t>Error can be due to the second pole coming in (PM less than 90)</t>
  </si>
  <si>
    <t>fulight</t>
  </si>
  <si>
    <t>fp1light</t>
  </si>
  <si>
    <t>fuheavy</t>
  </si>
  <si>
    <t>Higher the phase margin, closer wu to fp1*A</t>
  </si>
  <si>
    <t>Setting wu to half of wp2 -for a variation across corners and  gm not scaling with a sqrt(I)</t>
  </si>
  <si>
    <t>We want to make sure that the Bias fet has enough headroom</t>
  </si>
  <si>
    <t>Break-Frequency Check</t>
  </si>
  <si>
    <t>Measured Stability Sheet at light load</t>
  </si>
  <si>
    <t>optional- Based on gm/Cc value of RHP zero</t>
  </si>
  <si>
    <t>uF</t>
  </si>
  <si>
    <t>wp1</t>
  </si>
  <si>
    <t>wp2</t>
  </si>
  <si>
    <t>gm/Idload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</si>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</sst>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1"/>
      <name val="Calibri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11" fontId="0" fillId="0" borderId="0" xfId="0" applyNumberForma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9" fontId="0" fillId="0" borderId="0" xfId="0" applyNumberFormat="1"/>
    <xf numFmtId="11" fontId="6" fillId="0" borderId="0" xfId="0" applyNumberFormat="1" applyFont="1"/>
    <xf numFmtId="0" fontId="6" fillId="0" borderId="0" xfId="0" applyFont="1" applyAlignment="1">
      <alignment vertical="center"/>
    </xf>
    <xf numFmtId="0" fontId="8" fillId="0" borderId="0" xfId="0" applyFont="1"/>
    <xf numFmtId="11" fontId="8" fillId="0" borderId="0" xfId="0" applyNumberFormat="1" applyFont="1"/>
    <xf numFmtId="0" fontId="6" fillId="2" borderId="0" xfId="0" applyFont="1" applyFill="1"/>
    <xf numFmtId="11" fontId="6" fillId="2" borderId="0" xfId="0" applyNumberFormat="1" applyFont="1" applyFill="1"/>
    <xf numFmtId="0" fontId="0" fillId="2" borderId="0" xfId="0" applyFill="1"/>
    <xf numFmtId="0" fontId="4" fillId="3" borderId="0" xfId="0" applyFont="1" applyFill="1"/>
    <xf numFmtId="0" fontId="0" fillId="3" borderId="0" xfId="0" applyFill="1"/>
    <xf numFmtId="0" fontId="8" fillId="3" borderId="0" xfId="0" applyFont="1" applyFill="1"/>
    <xf numFmtId="0" fontId="7" fillId="3" borderId="0" xfId="0" applyFont="1" applyFill="1"/>
    <xf numFmtId="0" fontId="6" fillId="3" borderId="0" xfId="0" applyFont="1" applyFill="1"/>
    <xf numFmtId="11" fontId="8" fillId="3" borderId="0" xfId="0" applyNumberFormat="1" applyFont="1" applyFill="1"/>
    <xf numFmtId="11" fontId="6" fillId="3" borderId="0" xfId="0" applyNumberFormat="1" applyFont="1" applyFill="1"/>
    <xf numFmtId="0" fontId="6" fillId="3" borderId="0" xfId="0" applyFont="1" applyFill="1" applyAlignment="1">
      <alignment vertical="center"/>
    </xf>
  </cellXfs>
  <cellStyles count="3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12"/>
  <sheetViews>
    <sheetView workbookViewId="0">
      <selection sqref="A1:XFD1048576"/>
    </sheetView>
  </sheetViews>
  <sheetFormatPr defaultColWidth="11" defaultRowHeight="15.75" x14ac:dyDescent="0.25"/>
  <cols>
    <col min="2" max="2" width="18.875" customWidth="1"/>
    <col min="3" max="3" width="12.125" bestFit="1" customWidth="1"/>
    <col min="5" max="5" width="16.5" customWidth="1"/>
    <col min="9" max="9" width="15.625" customWidth="1"/>
    <col min="12" max="12" width="12.125" bestFit="1" customWidth="1"/>
    <col min="15" max="15" width="11.125" bestFit="1" customWidth="1"/>
    <col min="16" max="16" width="12.125" bestFit="1" customWidth="1"/>
  </cols>
  <sheetData>
    <row r="3" spans="2:5" s="15" customFormat="1" ht="26.25" x14ac:dyDescent="0.4">
      <c r="B3" s="14" t="s">
        <v>41</v>
      </c>
    </row>
    <row r="5" spans="2:5" x14ac:dyDescent="0.25">
      <c r="C5" s="2" t="s">
        <v>23</v>
      </c>
      <c r="D5" s="2" t="s">
        <v>16</v>
      </c>
      <c r="E5" s="2" t="s">
        <v>30</v>
      </c>
    </row>
    <row r="7" spans="2:5" x14ac:dyDescent="0.25">
      <c r="B7" t="s">
        <v>9</v>
      </c>
      <c r="C7">
        <v>1.4</v>
      </c>
      <c r="D7" t="s">
        <v>17</v>
      </c>
    </row>
    <row r="8" spans="2:5" x14ac:dyDescent="0.25">
      <c r="B8" t="s">
        <v>10</v>
      </c>
      <c r="C8">
        <v>1</v>
      </c>
      <c r="D8" t="s">
        <v>17</v>
      </c>
      <c r="E8" t="s">
        <v>42</v>
      </c>
    </row>
    <row r="9" spans="2:5" x14ac:dyDescent="0.25">
      <c r="B9" t="s">
        <v>11</v>
      </c>
      <c r="C9">
        <v>50</v>
      </c>
      <c r="D9" t="s">
        <v>18</v>
      </c>
      <c r="E9" t="s">
        <v>43</v>
      </c>
    </row>
    <row r="10" spans="2:5" x14ac:dyDescent="0.25">
      <c r="B10" t="s">
        <v>12</v>
      </c>
      <c r="C10">
        <v>2</v>
      </c>
      <c r="D10" t="s">
        <v>19</v>
      </c>
    </row>
    <row r="11" spans="2:5" x14ac:dyDescent="0.25">
      <c r="B11" t="s">
        <v>13</v>
      </c>
      <c r="C11">
        <v>10</v>
      </c>
      <c r="D11" t="s">
        <v>19</v>
      </c>
      <c r="E11" t="s">
        <v>44</v>
      </c>
    </row>
    <row r="12" spans="2:5" x14ac:dyDescent="0.25">
      <c r="B12" t="s">
        <v>14</v>
      </c>
      <c r="C12">
        <v>2</v>
      </c>
      <c r="D12" t="s">
        <v>20</v>
      </c>
      <c r="E12" t="s">
        <v>43</v>
      </c>
    </row>
    <row r="13" spans="2:5" x14ac:dyDescent="0.25">
      <c r="B13" t="s">
        <v>15</v>
      </c>
      <c r="C13">
        <v>50</v>
      </c>
      <c r="D13" t="s">
        <v>21</v>
      </c>
      <c r="E13" t="s">
        <v>43</v>
      </c>
    </row>
    <row r="14" spans="2:5" x14ac:dyDescent="0.25">
      <c r="B14" t="s">
        <v>25</v>
      </c>
      <c r="C14">
        <v>15</v>
      </c>
      <c r="D14" t="s">
        <v>26</v>
      </c>
      <c r="E14" t="s">
        <v>42</v>
      </c>
    </row>
    <row r="15" spans="2:5" x14ac:dyDescent="0.25">
      <c r="B15" t="s">
        <v>45</v>
      </c>
      <c r="C15">
        <v>50</v>
      </c>
      <c r="D15" t="s">
        <v>46</v>
      </c>
      <c r="E15" t="s">
        <v>44</v>
      </c>
    </row>
    <row r="16" spans="2:5" x14ac:dyDescent="0.25">
      <c r="B16" t="s">
        <v>47</v>
      </c>
      <c r="C16">
        <v>1</v>
      </c>
      <c r="D16" t="s">
        <v>48</v>
      </c>
      <c r="E16" t="s">
        <v>44</v>
      </c>
    </row>
    <row r="18" spans="2:9" s="15" customFormat="1" ht="26.25" x14ac:dyDescent="0.4">
      <c r="B18" s="14" t="s">
        <v>49</v>
      </c>
    </row>
    <row r="20" spans="2:9" x14ac:dyDescent="0.25">
      <c r="B20" t="s">
        <v>22</v>
      </c>
      <c r="C20">
        <f>10^((C9+10)/20)</f>
        <v>1000</v>
      </c>
      <c r="D20" t="s">
        <v>32</v>
      </c>
      <c r="I20" t="s">
        <v>102</v>
      </c>
    </row>
    <row r="21" spans="2:9" x14ac:dyDescent="0.25">
      <c r="B21" t="s">
        <v>24</v>
      </c>
      <c r="C21">
        <v>0.4</v>
      </c>
      <c r="D21" t="s">
        <v>17</v>
      </c>
    </row>
    <row r="22" spans="2:9" x14ac:dyDescent="0.25">
      <c r="B22" t="s">
        <v>27</v>
      </c>
      <c r="C22">
        <f>(C11-C10)/1000</f>
        <v>8.0000000000000002E-3</v>
      </c>
      <c r="D22" t="s">
        <v>33</v>
      </c>
    </row>
    <row r="23" spans="2:9" x14ac:dyDescent="0.25">
      <c r="B23" t="s">
        <v>28</v>
      </c>
      <c r="C23">
        <f>C14*C8/100/2</f>
        <v>7.4999999999999997E-2</v>
      </c>
      <c r="D23" t="s">
        <v>17</v>
      </c>
      <c r="I23" t="s">
        <v>29</v>
      </c>
    </row>
    <row r="24" spans="2:9" x14ac:dyDescent="0.25">
      <c r="B24" t="s">
        <v>50</v>
      </c>
      <c r="C24">
        <f>0.000000001*C12*C23/C22</f>
        <v>1.8749999999999999E-8</v>
      </c>
      <c r="D24" t="s">
        <v>31</v>
      </c>
      <c r="E24">
        <v>18</v>
      </c>
      <c r="F24" t="s">
        <v>92</v>
      </c>
      <c r="I24" t="s">
        <v>103</v>
      </c>
    </row>
    <row r="25" spans="2:9" x14ac:dyDescent="0.25">
      <c r="I25" t="s">
        <v>51</v>
      </c>
    </row>
    <row r="27" spans="2:9" x14ac:dyDescent="0.25">
      <c r="B27" t="s">
        <v>52</v>
      </c>
      <c r="C27">
        <f>1/(C16*0.000001)</f>
        <v>1000000</v>
      </c>
      <c r="E27">
        <f>C27/2/3.142/1000</f>
        <v>159.13430935709741</v>
      </c>
      <c r="F27" t="s">
        <v>91</v>
      </c>
      <c r="I27" t="s">
        <v>54</v>
      </c>
    </row>
    <row r="29" spans="2:9" s="15" customFormat="1" ht="26.25" x14ac:dyDescent="0.4">
      <c r="B29" s="14" t="s">
        <v>55</v>
      </c>
    </row>
    <row r="31" spans="2:9" ht="18.75" x14ac:dyDescent="0.3">
      <c r="B31" s="4" t="s">
        <v>34</v>
      </c>
    </row>
    <row r="32" spans="2:9" x14ac:dyDescent="0.25">
      <c r="C32" s="2" t="s">
        <v>56</v>
      </c>
      <c r="E32" t="s">
        <v>35</v>
      </c>
      <c r="G32" t="s">
        <v>57</v>
      </c>
      <c r="I32" t="s">
        <v>30</v>
      </c>
    </row>
    <row r="33" spans="2:10" x14ac:dyDescent="0.25">
      <c r="B33" t="s">
        <v>0</v>
      </c>
      <c r="C33">
        <v>10</v>
      </c>
      <c r="D33" t="s">
        <v>58</v>
      </c>
      <c r="E33" s="1">
        <f>E40/E35</f>
        <v>10.9</v>
      </c>
      <c r="G33" s="6">
        <f>100%*(E33-C33)/E33</f>
        <v>8.2568807339449574E-2</v>
      </c>
      <c r="I33" t="s">
        <v>59</v>
      </c>
    </row>
    <row r="34" spans="2:10" x14ac:dyDescent="0.25">
      <c r="B34" t="s">
        <v>1</v>
      </c>
      <c r="C34">
        <v>7.5</v>
      </c>
      <c r="D34" t="s">
        <v>60</v>
      </c>
      <c r="E34" s="1">
        <f>E35/E36</f>
        <v>7.518796992481203</v>
      </c>
      <c r="G34" s="6">
        <f t="shared" ref="G34:G42" si="0">100%*(E34-C34)/E34</f>
        <v>2.5000000000000035E-3</v>
      </c>
      <c r="I34" t="s">
        <v>61</v>
      </c>
    </row>
    <row r="35" spans="2:10" x14ac:dyDescent="0.25">
      <c r="B35" t="s">
        <v>3</v>
      </c>
      <c r="C35">
        <f>C11*0.001</f>
        <v>0.01</v>
      </c>
      <c r="D35" t="s">
        <v>33</v>
      </c>
      <c r="E35">
        <v>0.01</v>
      </c>
      <c r="G35" s="6">
        <f t="shared" si="0"/>
        <v>0</v>
      </c>
    </row>
    <row r="36" spans="2:10" x14ac:dyDescent="0.25">
      <c r="B36" s="13" t="s">
        <v>4</v>
      </c>
      <c r="C36" s="13">
        <f>C35/C34</f>
        <v>1.3333333333333333E-3</v>
      </c>
      <c r="D36" t="s">
        <v>62</v>
      </c>
      <c r="E36" s="1">
        <v>1.33E-3</v>
      </c>
      <c r="G36" s="6">
        <f t="shared" si="0"/>
        <v>-2.5062656641603532E-3</v>
      </c>
    </row>
    <row r="37" spans="2:10" x14ac:dyDescent="0.25">
      <c r="B37" t="s">
        <v>2</v>
      </c>
      <c r="C37">
        <v>36</v>
      </c>
      <c r="D37" t="s">
        <v>32</v>
      </c>
      <c r="E37" s="1">
        <f>E40*E41</f>
        <v>35.855263157894733</v>
      </c>
      <c r="G37" s="6">
        <f t="shared" si="0"/>
        <v>-4.0366972477065373E-3</v>
      </c>
    </row>
    <row r="38" spans="2:10" x14ac:dyDescent="0.25">
      <c r="B38" t="s">
        <v>37</v>
      </c>
      <c r="C38" s="1">
        <v>8600000000</v>
      </c>
      <c r="D38" t="s">
        <v>53</v>
      </c>
      <c r="E38" s="1">
        <f>E40/E42/2/3.142</f>
        <v>8672819859.9618073</v>
      </c>
      <c r="G38" s="6">
        <f t="shared" si="0"/>
        <v>8.3963302752292981E-3</v>
      </c>
    </row>
    <row r="39" spans="2:10" x14ac:dyDescent="0.25">
      <c r="B39" s="13" t="s">
        <v>5</v>
      </c>
      <c r="C39" s="13">
        <v>0.18</v>
      </c>
      <c r="D39" t="s">
        <v>38</v>
      </c>
      <c r="E39">
        <v>0.18</v>
      </c>
      <c r="G39" s="6">
        <f t="shared" si="0"/>
        <v>0</v>
      </c>
    </row>
    <row r="40" spans="2:10" x14ac:dyDescent="0.25">
      <c r="B40" t="s">
        <v>6</v>
      </c>
      <c r="C40" s="1">
        <f>C33*C35</f>
        <v>0.1</v>
      </c>
      <c r="D40" t="s">
        <v>63</v>
      </c>
      <c r="E40" s="1">
        <v>0.109</v>
      </c>
      <c r="G40" s="6">
        <f t="shared" si="0"/>
        <v>8.256880733944949E-2</v>
      </c>
    </row>
    <row r="41" spans="2:10" x14ac:dyDescent="0.25">
      <c r="B41" t="s">
        <v>39</v>
      </c>
      <c r="C41" s="1">
        <f>C37/C40</f>
        <v>360</v>
      </c>
      <c r="D41" t="s">
        <v>64</v>
      </c>
      <c r="E41">
        <f>1/0.00304</f>
        <v>328.9473684210526</v>
      </c>
      <c r="G41" s="6">
        <f t="shared" si="0"/>
        <v>-9.4400000000000095E-2</v>
      </c>
    </row>
    <row r="42" spans="2:10" x14ac:dyDescent="0.25">
      <c r="B42" t="s">
        <v>40</v>
      </c>
      <c r="C42" s="1">
        <f>C40/2/3.142/C38</f>
        <v>1.8503989460127605E-12</v>
      </c>
      <c r="D42" t="s">
        <v>65</v>
      </c>
      <c r="E42" s="1">
        <v>2E-12</v>
      </c>
      <c r="G42" s="6">
        <f t="shared" si="0"/>
        <v>7.480052699361972E-2</v>
      </c>
    </row>
    <row r="43" spans="2:10" x14ac:dyDescent="0.25">
      <c r="J43" s="1"/>
    </row>
    <row r="44" spans="2:10" s="15" customFormat="1" ht="26.25" x14ac:dyDescent="0.4">
      <c r="B44" s="14" t="s">
        <v>66</v>
      </c>
    </row>
    <row r="46" spans="2:10" x14ac:dyDescent="0.25">
      <c r="B46" t="s">
        <v>67</v>
      </c>
      <c r="C46" s="1">
        <f>C40/(C12+(C42/2))/0.000000001</f>
        <v>49999999.999976873</v>
      </c>
      <c r="D46" t="s">
        <v>68</v>
      </c>
      <c r="E46" t="s">
        <v>69</v>
      </c>
      <c r="G46" t="s">
        <v>112</v>
      </c>
    </row>
    <row r="47" spans="2:10" x14ac:dyDescent="0.25">
      <c r="B47" t="s">
        <v>70</v>
      </c>
      <c r="C47" s="1">
        <f>C46*(SQRT(C10/C11))</f>
        <v>22360679.774987552</v>
      </c>
      <c r="I47" t="s">
        <v>113</v>
      </c>
    </row>
    <row r="48" spans="2:10" x14ac:dyDescent="0.25">
      <c r="B48" t="s">
        <v>8</v>
      </c>
      <c r="C48" s="1">
        <f>C47/2</f>
        <v>11180339.887493776</v>
      </c>
      <c r="E48" s="1"/>
      <c r="I48" t="s">
        <v>127</v>
      </c>
    </row>
    <row r="49" spans="2:9" x14ac:dyDescent="0.25">
      <c r="B49" t="s">
        <v>71</v>
      </c>
      <c r="C49" s="1">
        <f>C47/2/3.142</f>
        <v>3558351.3327478603</v>
      </c>
      <c r="D49" t="s">
        <v>72</v>
      </c>
    </row>
    <row r="50" spans="2:9" x14ac:dyDescent="0.25">
      <c r="B50" t="s">
        <v>7</v>
      </c>
      <c r="C50" s="1">
        <f>C48/2/3.142</f>
        <v>1779175.6663739302</v>
      </c>
      <c r="D50" t="s">
        <v>72</v>
      </c>
      <c r="G50" t="s">
        <v>73</v>
      </c>
    </row>
    <row r="51" spans="2:9" x14ac:dyDescent="0.25">
      <c r="B51" t="s">
        <v>106</v>
      </c>
      <c r="C51">
        <f>ROUND((C20/C37),0)</f>
        <v>28</v>
      </c>
      <c r="G51" t="s">
        <v>74</v>
      </c>
    </row>
    <row r="52" spans="2:9" x14ac:dyDescent="0.25">
      <c r="B52" t="s">
        <v>107</v>
      </c>
      <c r="C52">
        <f>C51*2</f>
        <v>56</v>
      </c>
      <c r="G52" t="s">
        <v>75</v>
      </c>
    </row>
    <row r="53" spans="2:9" x14ac:dyDescent="0.25">
      <c r="C53" s="1"/>
    </row>
    <row r="55" spans="2:9" s="15" customFormat="1" ht="26.25" x14ac:dyDescent="0.4">
      <c r="B55" s="14" t="s">
        <v>85</v>
      </c>
    </row>
    <row r="56" spans="2:9" ht="26.25" x14ac:dyDescent="0.4">
      <c r="B56" s="3"/>
      <c r="C56" t="s">
        <v>101</v>
      </c>
    </row>
    <row r="57" spans="2:9" x14ac:dyDescent="0.25">
      <c r="B57" t="s">
        <v>86</v>
      </c>
      <c r="C57">
        <v>10</v>
      </c>
      <c r="E57" s="1"/>
      <c r="I57" t="s">
        <v>128</v>
      </c>
    </row>
    <row r="58" spans="2:9" x14ac:dyDescent="0.25">
      <c r="B58" t="s">
        <v>3</v>
      </c>
      <c r="C58">
        <f>C15/2/1000000</f>
        <v>2.5000000000000001E-5</v>
      </c>
      <c r="D58" t="s">
        <v>33</v>
      </c>
      <c r="I58" t="s">
        <v>87</v>
      </c>
    </row>
    <row r="59" spans="2:9" x14ac:dyDescent="0.25">
      <c r="B59" t="s">
        <v>2</v>
      </c>
      <c r="C59">
        <v>275</v>
      </c>
      <c r="E59" s="1"/>
      <c r="I59" t="s">
        <v>89</v>
      </c>
    </row>
    <row r="60" spans="2:9" x14ac:dyDescent="0.25">
      <c r="B60" s="13" t="s">
        <v>5</v>
      </c>
      <c r="C60" s="13">
        <v>4</v>
      </c>
      <c r="D60" t="s">
        <v>88</v>
      </c>
      <c r="I60" t="s">
        <v>100</v>
      </c>
    </row>
    <row r="61" spans="2:9" x14ac:dyDescent="0.25">
      <c r="B61" t="s">
        <v>1</v>
      </c>
      <c r="C61">
        <v>1.3</v>
      </c>
      <c r="D61" t="s">
        <v>60</v>
      </c>
    </row>
    <row r="62" spans="2:9" x14ac:dyDescent="0.25">
      <c r="B62" s="13" t="s">
        <v>4</v>
      </c>
      <c r="C62" s="13">
        <f>C58/C61</f>
        <v>1.9230769230769231E-5</v>
      </c>
      <c r="D62" t="s">
        <v>88</v>
      </c>
    </row>
    <row r="63" spans="2:9" x14ac:dyDescent="0.25">
      <c r="B63" t="s">
        <v>6</v>
      </c>
      <c r="C63">
        <f>C57*C58</f>
        <v>2.5000000000000001E-4</v>
      </c>
      <c r="E63" s="1"/>
      <c r="G63" s="6"/>
    </row>
    <row r="64" spans="2:9" x14ac:dyDescent="0.25">
      <c r="B64" t="s">
        <v>39</v>
      </c>
      <c r="C64">
        <f>C59/C63</f>
        <v>1100000</v>
      </c>
    </row>
    <row r="66" spans="2:13" s="15" customFormat="1" ht="26.25" x14ac:dyDescent="0.4">
      <c r="B66" s="14" t="s">
        <v>104</v>
      </c>
    </row>
    <row r="67" spans="2:13" x14ac:dyDescent="0.25">
      <c r="B67" t="s">
        <v>3</v>
      </c>
      <c r="C67">
        <f>0.000025</f>
        <v>2.5000000000000001E-5</v>
      </c>
    </row>
    <row r="68" spans="2:13" x14ac:dyDescent="0.25">
      <c r="B68" t="s">
        <v>86</v>
      </c>
      <c r="C68">
        <v>10</v>
      </c>
    </row>
    <row r="69" spans="2:13" x14ac:dyDescent="0.25">
      <c r="B69" t="s">
        <v>2</v>
      </c>
      <c r="C69">
        <v>250</v>
      </c>
    </row>
    <row r="70" spans="2:13" x14ac:dyDescent="0.25">
      <c r="B70" s="13" t="s">
        <v>5</v>
      </c>
      <c r="C70" s="13">
        <v>4</v>
      </c>
      <c r="I70" t="s">
        <v>90</v>
      </c>
    </row>
    <row r="71" spans="2:13" x14ac:dyDescent="0.25">
      <c r="B71" t="s">
        <v>6</v>
      </c>
      <c r="C71">
        <f>C68*C67</f>
        <v>2.5000000000000001E-4</v>
      </c>
    </row>
    <row r="72" spans="2:13" x14ac:dyDescent="0.25">
      <c r="B72" t="s">
        <v>1</v>
      </c>
      <c r="C72">
        <f>0.3</f>
        <v>0.3</v>
      </c>
    </row>
    <row r="73" spans="2:13" x14ac:dyDescent="0.25">
      <c r="B73" s="13" t="s">
        <v>4</v>
      </c>
      <c r="C73" s="13">
        <f>C67/C72</f>
        <v>8.3333333333333344E-5</v>
      </c>
    </row>
    <row r="74" spans="2:13" x14ac:dyDescent="0.25">
      <c r="B74" t="s">
        <v>39</v>
      </c>
      <c r="C74">
        <f>C69/C71</f>
        <v>1000000</v>
      </c>
    </row>
    <row r="78" spans="2:13" s="15" customFormat="1" ht="26.25" x14ac:dyDescent="0.4">
      <c r="B78" s="16" t="s">
        <v>105</v>
      </c>
      <c r="C78" s="17"/>
      <c r="D78" s="18"/>
      <c r="E78" s="18"/>
      <c r="F78" s="18"/>
      <c r="G78" s="18"/>
      <c r="H78" s="18"/>
      <c r="I78" s="18"/>
      <c r="J78" s="18"/>
    </row>
    <row r="79" spans="2:13" x14ac:dyDescent="0.25">
      <c r="B79" s="5" t="s">
        <v>76</v>
      </c>
      <c r="C79" s="5">
        <f>(C74*C64)/(C74+C64)</f>
        <v>523809.52380952379</v>
      </c>
      <c r="D79" s="5"/>
      <c r="E79" s="5"/>
      <c r="F79" s="5"/>
      <c r="G79" s="5"/>
      <c r="H79" s="5"/>
      <c r="I79" s="5"/>
      <c r="J79" s="5"/>
    </row>
    <row r="80" spans="2:13" x14ac:dyDescent="0.25">
      <c r="B80" s="5" t="s">
        <v>110</v>
      </c>
      <c r="C80" s="7">
        <f>C63/C48</f>
        <v>2.2360679775008243E-11</v>
      </c>
      <c r="D80" s="5" t="s">
        <v>78</v>
      </c>
      <c r="E80" s="5"/>
      <c r="F80" s="5"/>
      <c r="G80" s="5"/>
      <c r="H80" s="5"/>
      <c r="I80" s="5" t="s">
        <v>108</v>
      </c>
      <c r="J80" s="5"/>
      <c r="K80" s="5" t="s">
        <v>109</v>
      </c>
      <c r="L80" s="5"/>
      <c r="M80" s="5"/>
    </row>
    <row r="81" spans="2:13" x14ac:dyDescent="0.25">
      <c r="B81" s="5" t="s">
        <v>79</v>
      </c>
      <c r="C81" s="7">
        <v>1.8E-12</v>
      </c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2:13" x14ac:dyDescent="0.25">
      <c r="B82" s="11" t="s">
        <v>77</v>
      </c>
      <c r="C82" s="12">
        <f>C80-C81</f>
        <v>2.0560679775008243E-11</v>
      </c>
      <c r="D82" s="5"/>
      <c r="E82" s="5"/>
      <c r="F82" s="5"/>
      <c r="G82" s="5"/>
      <c r="H82" s="5"/>
      <c r="I82" s="5"/>
      <c r="J82" s="5"/>
      <c r="K82" s="5"/>
      <c r="L82" s="5"/>
      <c r="M82" s="5"/>
    </row>
    <row r="83" spans="2:13" x14ac:dyDescent="0.25">
      <c r="B83" s="5"/>
      <c r="C83" s="7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2:13" x14ac:dyDescent="0.25">
      <c r="B84" s="5"/>
      <c r="C84" s="7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2:13" s="14" customFormat="1" ht="26.25" x14ac:dyDescent="0.4">
      <c r="B85" s="16" t="s">
        <v>114</v>
      </c>
      <c r="C85" s="19"/>
      <c r="D85" s="16"/>
      <c r="E85" s="16"/>
      <c r="F85" s="16"/>
      <c r="G85" s="16"/>
      <c r="H85" s="16"/>
      <c r="I85" s="16"/>
      <c r="J85" s="16"/>
      <c r="K85" s="16"/>
      <c r="L85" s="16"/>
      <c r="M85" s="16"/>
    </row>
    <row r="86" spans="2:13" s="3" customFormat="1" ht="26.25" x14ac:dyDescent="0.4">
      <c r="B86" s="9"/>
      <c r="C86" s="10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2:13" x14ac:dyDescent="0.25">
      <c r="B87" s="5" t="s">
        <v>80</v>
      </c>
      <c r="C87" s="7">
        <f>C82+C81</f>
        <v>2.2360679775008243E-11</v>
      </c>
      <c r="D87" s="5"/>
      <c r="E87" s="5"/>
      <c r="F87" s="5"/>
      <c r="G87" s="5"/>
      <c r="H87" s="5"/>
      <c r="I87" s="5"/>
      <c r="J87" s="5"/>
      <c r="K87" s="5"/>
      <c r="L87" s="5"/>
      <c r="M87" s="5"/>
    </row>
    <row r="88" spans="2:13" x14ac:dyDescent="0.25">
      <c r="B88" s="5" t="s">
        <v>81</v>
      </c>
      <c r="C88" s="7">
        <f>C87*0.05/C15/0.000001</f>
        <v>2.2360679775008248E-8</v>
      </c>
      <c r="D88" s="5"/>
      <c r="E88" s="5"/>
      <c r="F88" s="5"/>
      <c r="G88" s="5"/>
      <c r="H88" s="5" t="s">
        <v>111</v>
      </c>
      <c r="I88" s="5" t="s">
        <v>82</v>
      </c>
      <c r="J88" s="8" t="s">
        <v>83</v>
      </c>
      <c r="K88" s="8"/>
      <c r="L88" s="5"/>
      <c r="M88" s="5"/>
    </row>
    <row r="89" spans="2:13" x14ac:dyDescent="0.25">
      <c r="B89" s="5"/>
      <c r="C89" s="7"/>
      <c r="D89" s="5"/>
      <c r="E89" s="5"/>
      <c r="F89" s="5"/>
      <c r="G89" s="5"/>
      <c r="H89" s="8"/>
      <c r="I89" s="5"/>
      <c r="J89" s="8" t="s">
        <v>84</v>
      </c>
      <c r="K89" s="8"/>
      <c r="L89" s="5"/>
      <c r="M89" s="5"/>
    </row>
    <row r="90" spans="2:13" s="15" customFormat="1" ht="26.25" x14ac:dyDescent="0.4">
      <c r="B90" s="16" t="s">
        <v>129</v>
      </c>
      <c r="C90" s="20"/>
      <c r="D90" s="18"/>
      <c r="E90" s="18"/>
      <c r="F90" s="18"/>
      <c r="G90" s="18"/>
      <c r="H90" s="18"/>
      <c r="I90" s="18"/>
      <c r="J90" s="18"/>
      <c r="K90" s="18"/>
      <c r="L90" s="21"/>
      <c r="M90" s="21"/>
    </row>
    <row r="91" spans="2:13" x14ac:dyDescent="0.25">
      <c r="B91" s="2" t="s">
        <v>130</v>
      </c>
      <c r="H91" s="7"/>
      <c r="I91" s="5"/>
      <c r="J91" s="5"/>
      <c r="K91" s="8"/>
      <c r="L91" s="8"/>
      <c r="M91" s="5"/>
    </row>
    <row r="92" spans="2:13" x14ac:dyDescent="0.25">
      <c r="B92" t="s">
        <v>93</v>
      </c>
      <c r="H92" s="5"/>
      <c r="I92" s="5"/>
      <c r="J92" s="5"/>
      <c r="K92" s="5"/>
      <c r="L92" s="5"/>
      <c r="M92" s="5"/>
    </row>
    <row r="93" spans="2:13" x14ac:dyDescent="0.25">
      <c r="B93" t="s">
        <v>94</v>
      </c>
      <c r="C93" s="1">
        <v>2.2699999999999999E-4</v>
      </c>
      <c r="K93" s="5"/>
      <c r="L93" s="5"/>
      <c r="M93" s="5"/>
    </row>
    <row r="94" spans="2:13" x14ac:dyDescent="0.25">
      <c r="B94" t="s">
        <v>120</v>
      </c>
      <c r="C94">
        <f>1/0.00000083</f>
        <v>1204819.2771084337</v>
      </c>
    </row>
    <row r="95" spans="2:13" x14ac:dyDescent="0.25">
      <c r="B95" t="s">
        <v>121</v>
      </c>
      <c r="C95">
        <f>1/0.000000877</f>
        <v>1140250.8551881413</v>
      </c>
    </row>
    <row r="96" spans="2:13" x14ac:dyDescent="0.25">
      <c r="B96" t="s">
        <v>95</v>
      </c>
      <c r="C96" s="1">
        <v>3.7499999999999999E-2</v>
      </c>
      <c r="G96" s="1"/>
      <c r="J96" s="1"/>
    </row>
    <row r="97" spans="2:9" x14ac:dyDescent="0.25">
      <c r="B97" t="s">
        <v>96</v>
      </c>
      <c r="C97">
        <f>1/0.0006</f>
        <v>1666.6666666666667</v>
      </c>
      <c r="G97" s="1"/>
      <c r="I97" s="1"/>
    </row>
    <row r="98" spans="2:9" x14ac:dyDescent="0.25">
      <c r="B98" t="s">
        <v>77</v>
      </c>
      <c r="C98" s="1">
        <v>1.9999999999999999E-11</v>
      </c>
    </row>
    <row r="99" spans="2:9" x14ac:dyDescent="0.25">
      <c r="B99" t="s">
        <v>97</v>
      </c>
      <c r="C99" s="1">
        <v>2.0000000000000001E-9</v>
      </c>
    </row>
    <row r="100" spans="2:9" x14ac:dyDescent="0.25">
      <c r="B100" t="s">
        <v>76</v>
      </c>
      <c r="C100">
        <f>(C94*C95)/(C94+C95)</f>
        <v>585823.08142940828</v>
      </c>
      <c r="G100" s="1"/>
    </row>
    <row r="101" spans="2:9" x14ac:dyDescent="0.25">
      <c r="B101" t="s">
        <v>115</v>
      </c>
      <c r="C101" s="1">
        <v>9.9999999999999998E-13</v>
      </c>
    </row>
    <row r="102" spans="2:9" x14ac:dyDescent="0.25">
      <c r="B102" t="s">
        <v>116</v>
      </c>
      <c r="C102" s="1">
        <v>9.9999999999999998E-13</v>
      </c>
    </row>
    <row r="103" spans="2:9" x14ac:dyDescent="0.25">
      <c r="B103" t="s">
        <v>119</v>
      </c>
      <c r="C103" s="1">
        <f>((C98+C101)*C96*C97)+C102</f>
        <v>1.3135000000000001E-9</v>
      </c>
      <c r="I103" t="s">
        <v>117</v>
      </c>
    </row>
    <row r="104" spans="2:9" x14ac:dyDescent="0.25">
      <c r="B104" t="s">
        <v>98</v>
      </c>
      <c r="C104" s="1">
        <v>4410</v>
      </c>
      <c r="I104" t="s">
        <v>131</v>
      </c>
    </row>
    <row r="105" spans="2:9" x14ac:dyDescent="0.25">
      <c r="B105" t="s">
        <v>118</v>
      </c>
      <c r="C105" s="1">
        <f>C93*C100*C96*C97</f>
        <v>8311.3649677797293</v>
      </c>
    </row>
    <row r="106" spans="2:9" x14ac:dyDescent="0.25">
      <c r="C106" s="1"/>
    </row>
    <row r="107" spans="2:9" x14ac:dyDescent="0.25">
      <c r="B107" s="2" t="s">
        <v>36</v>
      </c>
      <c r="E107" s="2" t="s">
        <v>99</v>
      </c>
      <c r="G107" s="2" t="s">
        <v>57</v>
      </c>
    </row>
    <row r="109" spans="2:9" x14ac:dyDescent="0.25">
      <c r="B109" t="s">
        <v>124</v>
      </c>
      <c r="C109" s="1">
        <f>1/C100/C103/2/3.142</f>
        <v>206.80796807960812</v>
      </c>
      <c r="E109" s="1">
        <v>208</v>
      </c>
      <c r="G109" s="6">
        <f t="shared" ref="G109:G111" si="1">100%*(E109-C109)/E109</f>
        <v>5.7309226941917486E-3</v>
      </c>
    </row>
    <row r="110" spans="2:9" x14ac:dyDescent="0.25">
      <c r="B110" t="s">
        <v>123</v>
      </c>
      <c r="C110" s="1">
        <f>C109*C105</f>
        <v>1718856.5009545635</v>
      </c>
      <c r="E110" s="1">
        <v>1420000</v>
      </c>
      <c r="G110" s="6">
        <f t="shared" si="1"/>
        <v>-0.21046232461588979</v>
      </c>
      <c r="I110" t="s">
        <v>122</v>
      </c>
    </row>
    <row r="111" spans="2:9" x14ac:dyDescent="0.25">
      <c r="B111" t="s">
        <v>125</v>
      </c>
      <c r="C111" s="1">
        <v>1720000</v>
      </c>
      <c r="E111" s="1">
        <v>1600000</v>
      </c>
      <c r="G111" s="6">
        <f t="shared" si="1"/>
        <v>-7.4999999999999997E-2</v>
      </c>
      <c r="I111" t="s">
        <v>126</v>
      </c>
    </row>
    <row r="112" spans="2:9" x14ac:dyDescent="0.25">
      <c r="C11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62"/>
  <sheetViews>
    <sheetView tabSelected="1" workbookViewId="0">
      <selection activeCell="H8" sqref="H8"/>
    </sheetView>
  </sheetViews>
  <sheetFormatPr defaultColWidth="11" defaultRowHeight="15.75" x14ac:dyDescent="0.25"/>
  <cols>
    <col min="2" max="2" width="18.875" customWidth="1"/>
    <col min="3" max="3" width="12.125" bestFit="1" customWidth="1"/>
    <col min="8" max="8" width="15.625" customWidth="1"/>
    <col min="11" max="11" width="12.125" bestFit="1" customWidth="1"/>
    <col min="14" max="14" width="11.125" bestFit="1" customWidth="1"/>
    <col min="15" max="15" width="12.125" bestFit="1" customWidth="1"/>
  </cols>
  <sheetData>
    <row r="1" spans="2:8" s="15" customFormat="1" ht="26.25" x14ac:dyDescent="0.4">
      <c r="B1" s="14" t="s">
        <v>41</v>
      </c>
    </row>
    <row r="3" spans="2:8" x14ac:dyDescent="0.25">
      <c r="C3" s="2" t="s">
        <v>23</v>
      </c>
      <c r="D3" s="2" t="s">
        <v>16</v>
      </c>
    </row>
    <row r="5" spans="2:8" x14ac:dyDescent="0.25">
      <c r="B5" t="s">
        <v>9</v>
      </c>
      <c r="C5">
        <v>1.4</v>
      </c>
      <c r="D5" t="s">
        <v>17</v>
      </c>
    </row>
    <row r="6" spans="2:8" x14ac:dyDescent="0.25">
      <c r="B6" t="s">
        <v>10</v>
      </c>
      <c r="C6">
        <v>1</v>
      </c>
      <c r="D6" t="s">
        <v>17</v>
      </c>
    </row>
    <row r="7" spans="2:8" x14ac:dyDescent="0.25">
      <c r="B7" t="s">
        <v>11</v>
      </c>
      <c r="C7">
        <v>60</v>
      </c>
      <c r="D7" t="s">
        <v>18</v>
      </c>
    </row>
    <row r="8" spans="2:8" x14ac:dyDescent="0.25">
      <c r="B8" t="s">
        <v>13</v>
      </c>
      <c r="C8">
        <v>10</v>
      </c>
      <c r="D8" t="s">
        <v>19</v>
      </c>
    </row>
    <row r="9" spans="2:8" x14ac:dyDescent="0.25">
      <c r="B9" t="s">
        <v>14</v>
      </c>
      <c r="C9">
        <v>1</v>
      </c>
      <c r="D9" t="s">
        <v>132</v>
      </c>
    </row>
    <row r="10" spans="2:8" x14ac:dyDescent="0.25">
      <c r="B10" t="s">
        <v>45</v>
      </c>
      <c r="C10">
        <v>50</v>
      </c>
      <c r="D10" t="s">
        <v>46</v>
      </c>
    </row>
    <row r="12" spans="2:8" s="15" customFormat="1" ht="26.25" x14ac:dyDescent="0.4">
      <c r="B12" s="14" t="s">
        <v>49</v>
      </c>
    </row>
    <row r="14" spans="2:8" x14ac:dyDescent="0.25">
      <c r="B14" t="s">
        <v>22</v>
      </c>
      <c r="C14">
        <f>1000</f>
        <v>1000</v>
      </c>
      <c r="D14" t="s">
        <v>32</v>
      </c>
      <c r="H14" t="s">
        <v>102</v>
      </c>
    </row>
    <row r="15" spans="2:8" x14ac:dyDescent="0.25">
      <c r="B15" t="s">
        <v>24</v>
      </c>
      <c r="C15">
        <v>0.4</v>
      </c>
      <c r="D15" t="s">
        <v>17</v>
      </c>
    </row>
    <row r="17" spans="2:9" s="15" customFormat="1" ht="26.25" x14ac:dyDescent="0.4">
      <c r="B17" s="14" t="s">
        <v>55</v>
      </c>
    </row>
    <row r="19" spans="2:9" ht="18.75" x14ac:dyDescent="0.3">
      <c r="B19" s="4" t="s">
        <v>34</v>
      </c>
    </row>
    <row r="20" spans="2:9" x14ac:dyDescent="0.25">
      <c r="C20" s="2" t="s">
        <v>56</v>
      </c>
      <c r="E20" t="s">
        <v>30</v>
      </c>
    </row>
    <row r="21" spans="2:9" x14ac:dyDescent="0.25">
      <c r="B21" t="s">
        <v>0</v>
      </c>
      <c r="C21">
        <v>10</v>
      </c>
      <c r="D21" t="s">
        <v>58</v>
      </c>
      <c r="E21" t="s">
        <v>59</v>
      </c>
    </row>
    <row r="22" spans="2:9" x14ac:dyDescent="0.25">
      <c r="B22" t="s">
        <v>1</v>
      </c>
      <c r="C22">
        <v>45</v>
      </c>
      <c r="D22" t="s">
        <v>60</v>
      </c>
      <c r="E22" t="s">
        <v>61</v>
      </c>
    </row>
    <row r="23" spans="2:9" x14ac:dyDescent="0.25">
      <c r="B23" t="s">
        <v>3</v>
      </c>
      <c r="C23">
        <f>C8*0.001</f>
        <v>0.01</v>
      </c>
      <c r="D23" t="s">
        <v>33</v>
      </c>
    </row>
    <row r="24" spans="2:9" x14ac:dyDescent="0.25">
      <c r="B24" s="13" t="s">
        <v>4</v>
      </c>
      <c r="C24" s="13">
        <f>C23/C22</f>
        <v>2.2222222222222223E-4</v>
      </c>
      <c r="D24" t="s">
        <v>62</v>
      </c>
    </row>
    <row r="25" spans="2:9" x14ac:dyDescent="0.25">
      <c r="B25" t="s">
        <v>2</v>
      </c>
      <c r="C25">
        <v>50</v>
      </c>
      <c r="D25" t="s">
        <v>32</v>
      </c>
    </row>
    <row r="26" spans="2:9" x14ac:dyDescent="0.25">
      <c r="B26" t="s">
        <v>37</v>
      </c>
      <c r="C26" s="1">
        <v>28000000000</v>
      </c>
      <c r="D26" t="s">
        <v>53</v>
      </c>
    </row>
    <row r="27" spans="2:9" x14ac:dyDescent="0.25">
      <c r="B27" s="13" t="s">
        <v>5</v>
      </c>
      <c r="C27" s="13">
        <v>90</v>
      </c>
      <c r="D27" t="s">
        <v>136</v>
      </c>
    </row>
    <row r="28" spans="2:9" x14ac:dyDescent="0.25">
      <c r="B28" t="s">
        <v>6</v>
      </c>
      <c r="C28" s="1">
        <f>C21*C23</f>
        <v>0.1</v>
      </c>
      <c r="D28" t="s">
        <v>63</v>
      </c>
    </row>
    <row r="29" spans="2:9" x14ac:dyDescent="0.25">
      <c r="B29" t="s">
        <v>39</v>
      </c>
      <c r="C29" s="1">
        <f>C25/C28</f>
        <v>500</v>
      </c>
      <c r="D29" t="s">
        <v>64</v>
      </c>
    </row>
    <row r="30" spans="2:9" x14ac:dyDescent="0.25">
      <c r="B30" t="s">
        <v>40</v>
      </c>
      <c r="C30" s="1">
        <f>C28/2/3.142/C26</f>
        <v>5.6833681913249082E-13</v>
      </c>
      <c r="D30" t="s">
        <v>65</v>
      </c>
    </row>
    <row r="31" spans="2:9" x14ac:dyDescent="0.25">
      <c r="I31" s="1"/>
    </row>
    <row r="32" spans="2:9" s="15" customFormat="1" ht="26.25" x14ac:dyDescent="0.4">
      <c r="B32" s="14" t="s">
        <v>66</v>
      </c>
    </row>
    <row r="33" spans="2:6" x14ac:dyDescent="0.25">
      <c r="B33" t="s">
        <v>133</v>
      </c>
      <c r="C33" s="1">
        <f>1/C9/0.000001/C29</f>
        <v>2000</v>
      </c>
    </row>
    <row r="34" spans="2:6" x14ac:dyDescent="0.25">
      <c r="B34" t="s">
        <v>134</v>
      </c>
      <c r="C34" s="1">
        <f>C14*C33</f>
        <v>2000000</v>
      </c>
      <c r="D34" t="s">
        <v>68</v>
      </c>
    </row>
    <row r="35" spans="2:6" x14ac:dyDescent="0.25">
      <c r="B35" t="s">
        <v>106</v>
      </c>
      <c r="C35">
        <f>C14/C25</f>
        <v>20</v>
      </c>
      <c r="F35" t="s">
        <v>74</v>
      </c>
    </row>
    <row r="36" spans="2:6" x14ac:dyDescent="0.25">
      <c r="B36" t="s">
        <v>107</v>
      </c>
      <c r="C36">
        <f>C35*2</f>
        <v>40</v>
      </c>
      <c r="F36" t="s">
        <v>75</v>
      </c>
    </row>
    <row r="37" spans="2:6" x14ac:dyDescent="0.25">
      <c r="B37" t="s">
        <v>76</v>
      </c>
      <c r="C37" s="1">
        <v>80000</v>
      </c>
    </row>
    <row r="39" spans="2:6" s="15" customFormat="1" ht="26.25" x14ac:dyDescent="0.4">
      <c r="B39" s="14" t="s">
        <v>85</v>
      </c>
    </row>
    <row r="40" spans="2:6" ht="26.25" x14ac:dyDescent="0.4">
      <c r="B40" s="3"/>
      <c r="C40" t="s">
        <v>101</v>
      </c>
    </row>
    <row r="41" spans="2:6" x14ac:dyDescent="0.25">
      <c r="B41" t="s">
        <v>86</v>
      </c>
      <c r="C41">
        <v>10</v>
      </c>
    </row>
    <row r="42" spans="2:6" x14ac:dyDescent="0.25">
      <c r="B42" t="s">
        <v>3</v>
      </c>
      <c r="C42">
        <f>C10/2/1000000</f>
        <v>2.5000000000000001E-5</v>
      </c>
      <c r="D42" t="s">
        <v>33</v>
      </c>
    </row>
    <row r="43" spans="2:6" x14ac:dyDescent="0.25">
      <c r="B43" t="s">
        <v>2</v>
      </c>
      <c r="C43">
        <v>40</v>
      </c>
    </row>
    <row r="44" spans="2:6" x14ac:dyDescent="0.25">
      <c r="B44" s="13" t="s">
        <v>5</v>
      </c>
      <c r="C44" s="13">
        <v>75</v>
      </c>
      <c r="D44" t="s">
        <v>136</v>
      </c>
    </row>
    <row r="45" spans="2:6" x14ac:dyDescent="0.25">
      <c r="B45" t="s">
        <v>1</v>
      </c>
      <c r="C45">
        <v>80</v>
      </c>
      <c r="D45" t="s">
        <v>60</v>
      </c>
    </row>
    <row r="46" spans="2:6" x14ac:dyDescent="0.25">
      <c r="B46" s="13" t="s">
        <v>4</v>
      </c>
      <c r="C46" s="13">
        <f>C42/C45</f>
        <v>3.1250000000000003E-7</v>
      </c>
      <c r="D46" t="s">
        <v>88</v>
      </c>
    </row>
    <row r="47" spans="2:6" x14ac:dyDescent="0.25">
      <c r="B47" t="s">
        <v>6</v>
      </c>
      <c r="C47">
        <f>C41*C42</f>
        <v>2.5000000000000001E-4</v>
      </c>
      <c r="F47" s="6"/>
    </row>
    <row r="48" spans="2:6" x14ac:dyDescent="0.25">
      <c r="B48" t="s">
        <v>39</v>
      </c>
      <c r="C48">
        <f>C43/C47</f>
        <v>160000</v>
      </c>
    </row>
    <row r="50" spans="2:4" s="15" customFormat="1" ht="26.25" x14ac:dyDescent="0.4">
      <c r="B50" s="14" t="s">
        <v>104</v>
      </c>
    </row>
    <row r="51" spans="2:4" x14ac:dyDescent="0.25">
      <c r="B51" t="s">
        <v>3</v>
      </c>
      <c r="C51">
        <f>0.000025</f>
        <v>2.5000000000000001E-5</v>
      </c>
    </row>
    <row r="52" spans="2:4" x14ac:dyDescent="0.25">
      <c r="B52" t="s">
        <v>135</v>
      </c>
      <c r="C52">
        <v>10</v>
      </c>
    </row>
    <row r="53" spans="2:4" x14ac:dyDescent="0.25">
      <c r="B53" t="s">
        <v>2</v>
      </c>
      <c r="C53">
        <v>40</v>
      </c>
    </row>
    <row r="54" spans="2:4" x14ac:dyDescent="0.25">
      <c r="B54" s="13" t="s">
        <v>5</v>
      </c>
      <c r="C54" s="13">
        <v>75</v>
      </c>
      <c r="D54" t="s">
        <v>136</v>
      </c>
    </row>
    <row r="55" spans="2:4" x14ac:dyDescent="0.25">
      <c r="B55" t="s">
        <v>6</v>
      </c>
      <c r="C55">
        <f>C52*C51</f>
        <v>2.5000000000000001E-4</v>
      </c>
    </row>
    <row r="56" spans="2:4" x14ac:dyDescent="0.25">
      <c r="B56" t="s">
        <v>1</v>
      </c>
      <c r="C56">
        <v>45</v>
      </c>
    </row>
    <row r="57" spans="2:4" x14ac:dyDescent="0.25">
      <c r="B57" s="13" t="s">
        <v>4</v>
      </c>
      <c r="C57" s="13">
        <f>C51/C56</f>
        <v>5.5555555555555562E-7</v>
      </c>
    </row>
    <row r="58" spans="2:4" x14ac:dyDescent="0.25">
      <c r="B58" t="s">
        <v>39</v>
      </c>
      <c r="C58">
        <f>C53/C55</f>
        <v>160000</v>
      </c>
    </row>
    <row r="62" spans="2:4" x14ac:dyDescent="0.25">
      <c r="C62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Ratndeep Srivastava</dc:creator>
  <cp:lastModifiedBy>GOURAB KUNDU</cp:lastModifiedBy>
  <dcterms:created xsi:type="dcterms:W3CDTF">2024-02-28T13:57:48Z</dcterms:created>
  <dcterms:modified xsi:type="dcterms:W3CDTF">2024-12-13T08:47:58Z</dcterms:modified>
</cp:coreProperties>
</file>