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Mother_folder\analog\LDO\submission\"/>
    </mc:Choice>
  </mc:AlternateContent>
  <xr:revisionPtr revIDLastSave="0" documentId="13_ncr:1_{E6AB186F-E4E3-4C89-8070-36EA2A5F6B2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D40" i="1"/>
  <c r="D41" i="1"/>
  <c r="D44" i="1"/>
  <c r="D49" i="1"/>
  <c r="D18" i="1"/>
  <c r="D43" i="1"/>
  <c r="D53" i="1"/>
  <c r="D67" i="1"/>
  <c r="D71" i="1"/>
  <c r="D74" i="1"/>
  <c r="D58" i="1"/>
  <c r="D63" i="1"/>
  <c r="D64" i="1"/>
  <c r="D79" i="1"/>
  <c r="D80" i="1"/>
  <c r="D30" i="1"/>
  <c r="D35" i="1"/>
  <c r="D37" i="1"/>
  <c r="D81" i="1"/>
  <c r="D82" i="1"/>
  <c r="D83" i="1"/>
  <c r="D73" i="1"/>
  <c r="D54" i="1"/>
  <c r="D51" i="1"/>
  <c r="D52" i="1"/>
  <c r="D50" i="1"/>
  <c r="D48" i="1"/>
  <c r="D36" i="1"/>
  <c r="D22" i="1"/>
  <c r="D20" i="1"/>
</calcChain>
</file>

<file path=xl/sharedStrings.xml><?xml version="1.0" encoding="utf-8"?>
<sst xmlns="http://schemas.openxmlformats.org/spreadsheetml/2006/main" count="130" uniqueCount="97">
  <si>
    <t>Step 1: List Down the Specifications and classify them</t>
  </si>
  <si>
    <t>Value</t>
  </si>
  <si>
    <t>Vin</t>
  </si>
  <si>
    <t>Vout</t>
  </si>
  <si>
    <t>PSRR</t>
  </si>
  <si>
    <t>Iload|min</t>
  </si>
  <si>
    <t>Iload|max</t>
  </si>
  <si>
    <t>Cload</t>
  </si>
  <si>
    <t>Iquiescent</t>
  </si>
  <si>
    <t>Transient duration</t>
  </si>
  <si>
    <t>Step 2: Evaluate Interim Design Goals</t>
  </si>
  <si>
    <t>Drop Out Voltage</t>
  </si>
  <si>
    <t>ΔI (Load step)</t>
  </si>
  <si>
    <t>wumin</t>
  </si>
  <si>
    <t>Step 3: Power FET Sizing</t>
  </si>
  <si>
    <t>Power FET</t>
  </si>
  <si>
    <t>Hand/Techplots Calculations</t>
  </si>
  <si>
    <t>gm/Id</t>
  </si>
  <si>
    <t>Id/W</t>
  </si>
  <si>
    <t>Id</t>
  </si>
  <si>
    <t>W</t>
  </si>
  <si>
    <t>gmro</t>
  </si>
  <si>
    <t>ft</t>
  </si>
  <si>
    <t>Length</t>
  </si>
  <si>
    <t>gm</t>
  </si>
  <si>
    <t>ro</t>
  </si>
  <si>
    <t>Cgs+Cgd</t>
  </si>
  <si>
    <t>LIGHT LOAD</t>
  </si>
  <si>
    <t>Low-frequency loop gain light load</t>
  </si>
  <si>
    <t>gmlight</t>
  </si>
  <si>
    <t>Step 4: Revaluate Interim Design Parameters</t>
  </si>
  <si>
    <t>wp2heavy</t>
  </si>
  <si>
    <t>wp2light</t>
  </si>
  <si>
    <t>fp2light</t>
  </si>
  <si>
    <t>Adiffamp_min</t>
  </si>
  <si>
    <t>Adiff_n_min</t>
  </si>
  <si>
    <t>wp1</t>
  </si>
  <si>
    <t>fp1</t>
  </si>
  <si>
    <t>Step 5: Diffamp Input Pair Sizing (Heavy load error will be higher than light load because we used light load Charts)</t>
  </si>
  <si>
    <t>Hand Calculation.</t>
  </si>
  <si>
    <t>gm/Iddiff</t>
  </si>
  <si>
    <t>Step 6: PMOS Load sizing (Vds assumed to be 0.4 for techplots - which can change)</t>
  </si>
  <si>
    <t>Sizing CC</t>
  </si>
  <si>
    <t>rodiff</t>
  </si>
  <si>
    <t>Cc+Cgd</t>
  </si>
  <si>
    <t>Cgg</t>
  </si>
  <si>
    <t>Cgd</t>
  </si>
  <si>
    <t>Cc</t>
  </si>
  <si>
    <t>Vin-Vout of the LDO</t>
  </si>
  <si>
    <t>Imax-Imin</t>
  </si>
  <si>
    <t>1/tau or transient duration</t>
  </si>
  <si>
    <t>Proxy for 200 mV Vov (You can change it later as long as you guarantee the transistor in saturation)</t>
  </si>
  <si>
    <t>From techplots of PMOS</t>
  </si>
  <si>
    <t>Id/(Id/W)</t>
  </si>
  <si>
    <t>Design for max load</t>
  </si>
  <si>
    <t>From techplots</t>
  </si>
  <si>
    <t>Minimum length to keep pass fet area low</t>
  </si>
  <si>
    <t>gm/Id  * Id</t>
  </si>
  <si>
    <t>gmro/gm</t>
  </si>
  <si>
    <t>ft/gm/2pi</t>
  </si>
  <si>
    <t>Worst Case Stability Condition</t>
  </si>
  <si>
    <t>Imin</t>
  </si>
  <si>
    <t>Imin/Width derived above</t>
  </si>
  <si>
    <t>gm/Id*Id</t>
  </si>
  <si>
    <t>Apass scales by gmro_light/gmro_heavy. Same scaling factor for Loop Gain : So 1000*(65/33)</t>
  </si>
  <si>
    <t>gmpass_heavy/CL</t>
  </si>
  <si>
    <t>gmpass_light/CL</t>
  </si>
  <si>
    <t>gmpass_light/CL/2pi</t>
  </si>
  <si>
    <t>Alg/Apass_heavy</t>
  </si>
  <si>
    <t>Apass_heavy (gmro)</t>
  </si>
  <si>
    <t>Low Freq Loop Gain (Alg)</t>
  </si>
  <si>
    <t>Adiffamp_min*2 : Diffamp gain is gmro/2 so gmro is 2*Adiffamp_min</t>
  </si>
  <si>
    <t>Notes</t>
  </si>
  <si>
    <t>20*log(Vin/Vout) You can also have it as 20*log(Vout/Vin) and then report PSRR as negative</t>
  </si>
  <si>
    <t>Again, proxy for 200 mV</t>
  </si>
  <si>
    <t>Ibias/2</t>
  </si>
  <si>
    <t>From NMOS techplots</t>
  </si>
  <si>
    <t>From NMOS techplots: Choose higher, a little overdesigned</t>
  </si>
  <si>
    <t>gm/Id * Id</t>
  </si>
  <si>
    <t>Match with the gm/Id of Pass FET for reduced Vds mismatch</t>
  </si>
  <si>
    <t>From PMOS Techplots</t>
  </si>
  <si>
    <t>If you don’t have exact Vds techplots, then choose the length accordingly. For us, we have techplots for Vds of 0.4 and Vds of Pload is Vt+Vov (&gt;0.7V)</t>
  </si>
  <si>
    <t>rop||ron</t>
  </si>
  <si>
    <t>1/wp1/rodiff/Apass</t>
  </si>
  <si>
    <t>From gmpass fT</t>
  </si>
  <si>
    <t>For our technology Cgd is 0.33*Cgg in Saturation</t>
  </si>
  <si>
    <t>(Cc+Cgd)-Cgd</t>
  </si>
  <si>
    <t>Units</t>
  </si>
  <si>
    <t>V</t>
  </si>
  <si>
    <t>dB</t>
  </si>
  <si>
    <t>mA</t>
  </si>
  <si>
    <t>nF</t>
  </si>
  <si>
    <t>uA</t>
  </si>
  <si>
    <t>uS</t>
  </si>
  <si>
    <t>90n</t>
  </si>
  <si>
    <t>due to light load</t>
  </si>
  <si>
    <t>75n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</si>
</sst>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b/>
      <sz val="14"/>
      <color theme="1"/>
      <name val="Calibri"/>
      <scheme val="minor"/>
    </font>
    <font>
      <b/>
      <sz val="20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11" fontId="0" fillId="0" borderId="0" xfId="0" applyNumberFormat="1"/>
    <xf numFmtId="0" fontId="2" fillId="0" borderId="0" xfId="0" applyFont="1"/>
    <xf numFmtId="0" fontId="6" fillId="0" borderId="0" xfId="0" applyFont="1"/>
    <xf numFmtId="11" fontId="6" fillId="0" borderId="0" xfId="0" applyNumberFormat="1" applyFont="1"/>
    <xf numFmtId="0" fontId="6" fillId="2" borderId="0" xfId="0" applyFont="1" applyFill="1"/>
    <xf numFmtId="11" fontId="6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83"/>
  <sheetViews>
    <sheetView tabSelected="1" topLeftCell="A13" workbookViewId="0">
      <selection activeCell="D34" sqref="D34"/>
    </sheetView>
  </sheetViews>
  <sheetFormatPr defaultColWidth="11" defaultRowHeight="15.75" x14ac:dyDescent="0.25"/>
  <sheetData>
    <row r="3" spans="2:6" s="10" customFormat="1" ht="26.25" x14ac:dyDescent="0.4">
      <c r="B3" s="11" t="s">
        <v>0</v>
      </c>
      <c r="C3" s="11"/>
    </row>
    <row r="5" spans="2:6" x14ac:dyDescent="0.25">
      <c r="D5" s="1" t="s">
        <v>1</v>
      </c>
      <c r="E5" s="1" t="s">
        <v>87</v>
      </c>
      <c r="F5" t="s">
        <v>72</v>
      </c>
    </row>
    <row r="7" spans="2:6" x14ac:dyDescent="0.25">
      <c r="B7" t="s">
        <v>2</v>
      </c>
      <c r="D7" s="14">
        <v>1.4</v>
      </c>
      <c r="E7" s="14" t="s">
        <v>88</v>
      </c>
    </row>
    <row r="8" spans="2:6" x14ac:dyDescent="0.25">
      <c r="B8" t="s">
        <v>3</v>
      </c>
      <c r="D8" s="14">
        <v>1</v>
      </c>
      <c r="E8" s="14" t="s">
        <v>88</v>
      </c>
    </row>
    <row r="9" spans="2:6" x14ac:dyDescent="0.25">
      <c r="B9" t="s">
        <v>4</v>
      </c>
      <c r="D9" s="14">
        <v>60</v>
      </c>
      <c r="E9" s="14" t="s">
        <v>89</v>
      </c>
      <c r="F9" t="s">
        <v>73</v>
      </c>
    </row>
    <row r="10" spans="2:6" x14ac:dyDescent="0.25">
      <c r="B10" t="s">
        <v>5</v>
      </c>
      <c r="D10" s="14">
        <v>2</v>
      </c>
      <c r="E10" s="14" t="s">
        <v>90</v>
      </c>
    </row>
    <row r="11" spans="2:6" x14ac:dyDescent="0.25">
      <c r="B11" t="s">
        <v>6</v>
      </c>
      <c r="D11" s="14">
        <v>10</v>
      </c>
      <c r="E11" s="14" t="s">
        <v>90</v>
      </c>
    </row>
    <row r="12" spans="2:6" x14ac:dyDescent="0.25">
      <c r="B12" t="s">
        <v>7</v>
      </c>
      <c r="D12" s="14">
        <v>2</v>
      </c>
      <c r="E12" s="14" t="s">
        <v>91</v>
      </c>
    </row>
    <row r="13" spans="2:6" x14ac:dyDescent="0.25">
      <c r="B13" t="s">
        <v>8</v>
      </c>
      <c r="D13" s="14">
        <v>50</v>
      </c>
      <c r="E13" s="14" t="s">
        <v>92</v>
      </c>
    </row>
    <row r="14" spans="2:6" x14ac:dyDescent="0.25">
      <c r="B14" t="s">
        <v>9</v>
      </c>
      <c r="D14" s="14">
        <v>1</v>
      </c>
      <c r="E14" s="14" t="s">
        <v>93</v>
      </c>
    </row>
    <row r="16" spans="2:6" s="10" customFormat="1" ht="26.25" x14ac:dyDescent="0.4">
      <c r="B16" s="11" t="s">
        <v>10</v>
      </c>
      <c r="C16" s="11"/>
    </row>
    <row r="18" spans="2:6" x14ac:dyDescent="0.25">
      <c r="B18" t="s">
        <v>70</v>
      </c>
      <c r="D18">
        <f>10^(D9/20)</f>
        <v>1000</v>
      </c>
    </row>
    <row r="19" spans="2:6" x14ac:dyDescent="0.25">
      <c r="B19" t="s">
        <v>11</v>
      </c>
      <c r="D19">
        <v>0.4</v>
      </c>
      <c r="F19" t="s">
        <v>48</v>
      </c>
    </row>
    <row r="20" spans="2:6" x14ac:dyDescent="0.25">
      <c r="B20" t="s">
        <v>12</v>
      </c>
      <c r="D20">
        <f>(D11-D10)/1000</f>
        <v>8.0000000000000002E-3</v>
      </c>
      <c r="F20" t="s">
        <v>49</v>
      </c>
    </row>
    <row r="22" spans="2:6" x14ac:dyDescent="0.25">
      <c r="B22" t="s">
        <v>13</v>
      </c>
      <c r="D22">
        <f>1/(D14*0.000001)</f>
        <v>1000000</v>
      </c>
      <c r="F22" t="s">
        <v>50</v>
      </c>
    </row>
    <row r="24" spans="2:6" s="10" customFormat="1" ht="26.25" x14ac:dyDescent="0.4">
      <c r="B24" s="11" t="s">
        <v>14</v>
      </c>
      <c r="C24" s="11"/>
    </row>
    <row r="26" spans="2:6" ht="18.75" x14ac:dyDescent="0.3">
      <c r="B26" s="2" t="s">
        <v>15</v>
      </c>
      <c r="C26" s="2"/>
    </row>
    <row r="27" spans="2:6" x14ac:dyDescent="0.25">
      <c r="D27" s="1" t="s">
        <v>16</v>
      </c>
    </row>
    <row r="28" spans="2:6" x14ac:dyDescent="0.25">
      <c r="B28" t="s">
        <v>17</v>
      </c>
      <c r="D28">
        <v>10</v>
      </c>
      <c r="F28" t="s">
        <v>51</v>
      </c>
    </row>
    <row r="29" spans="2:6" x14ac:dyDescent="0.25">
      <c r="B29" t="s">
        <v>18</v>
      </c>
      <c r="D29">
        <v>45</v>
      </c>
      <c r="F29" t="s">
        <v>52</v>
      </c>
    </row>
    <row r="30" spans="2:6" x14ac:dyDescent="0.25">
      <c r="B30" t="s">
        <v>19</v>
      </c>
      <c r="D30">
        <f>D11*0.001</f>
        <v>0.01</v>
      </c>
      <c r="F30" t="s">
        <v>54</v>
      </c>
    </row>
    <row r="31" spans="2:6" x14ac:dyDescent="0.25">
      <c r="B31" s="3" t="s">
        <v>20</v>
      </c>
      <c r="C31" s="3"/>
      <c r="D31" s="3">
        <v>2.5000000000000001E-4</v>
      </c>
      <c r="F31" s="6" t="s">
        <v>53</v>
      </c>
    </row>
    <row r="32" spans="2:6" x14ac:dyDescent="0.25">
      <c r="B32" t="s">
        <v>69</v>
      </c>
      <c r="D32">
        <v>50</v>
      </c>
      <c r="F32" t="s">
        <v>55</v>
      </c>
    </row>
    <row r="33" spans="2:6" x14ac:dyDescent="0.25">
      <c r="B33" t="s">
        <v>22</v>
      </c>
      <c r="D33" s="4">
        <v>28000000000</v>
      </c>
      <c r="F33" t="s">
        <v>55</v>
      </c>
    </row>
    <row r="34" spans="2:6" x14ac:dyDescent="0.25">
      <c r="B34" s="3" t="s">
        <v>23</v>
      </c>
      <c r="C34" s="3"/>
      <c r="D34" s="15" t="s">
        <v>94</v>
      </c>
      <c r="F34" t="s">
        <v>56</v>
      </c>
    </row>
    <row r="35" spans="2:6" x14ac:dyDescent="0.25">
      <c r="B35" t="s">
        <v>24</v>
      </c>
      <c r="D35" s="4">
        <f>D28*D30</f>
        <v>0.1</v>
      </c>
      <c r="F35" t="s">
        <v>57</v>
      </c>
    </row>
    <row r="36" spans="2:6" x14ac:dyDescent="0.25">
      <c r="B36" t="s">
        <v>25</v>
      </c>
      <c r="D36" s="4">
        <f>D32/D35</f>
        <v>500</v>
      </c>
      <c r="F36" t="s">
        <v>58</v>
      </c>
    </row>
    <row r="37" spans="2:6" x14ac:dyDescent="0.25">
      <c r="B37" t="s">
        <v>26</v>
      </c>
      <c r="D37" s="4">
        <f>D35/2/3.142/D33</f>
        <v>5.6833681913249082E-13</v>
      </c>
      <c r="F37" t="s">
        <v>59</v>
      </c>
    </row>
    <row r="38" spans="2:6" x14ac:dyDescent="0.25">
      <c r="B38" s="1" t="s">
        <v>27</v>
      </c>
      <c r="C38" s="1"/>
      <c r="D38" s="4"/>
      <c r="F38" t="s">
        <v>60</v>
      </c>
    </row>
    <row r="39" spans="2:6" x14ac:dyDescent="0.25">
      <c r="B39" t="s">
        <v>19</v>
      </c>
      <c r="D39" s="4">
        <v>2E-3</v>
      </c>
      <c r="F39" t="s">
        <v>61</v>
      </c>
    </row>
    <row r="40" spans="2:6" x14ac:dyDescent="0.25">
      <c r="B40" t="s">
        <v>18</v>
      </c>
      <c r="D40" s="4">
        <f>D39/D31</f>
        <v>8</v>
      </c>
      <c r="F40" t="s">
        <v>62</v>
      </c>
    </row>
    <row r="41" spans="2:6" x14ac:dyDescent="0.25">
      <c r="B41" t="s">
        <v>17</v>
      </c>
      <c r="D41">
        <f>19</f>
        <v>19</v>
      </c>
      <c r="F41" t="s">
        <v>55</v>
      </c>
    </row>
    <row r="42" spans="2:6" x14ac:dyDescent="0.25">
      <c r="B42" t="s">
        <v>21</v>
      </c>
      <c r="D42">
        <v>60</v>
      </c>
      <c r="F42" t="s">
        <v>55</v>
      </c>
    </row>
    <row r="43" spans="2:6" x14ac:dyDescent="0.25">
      <c r="B43" t="s">
        <v>28</v>
      </c>
      <c r="D43">
        <f>D18*D42/D32</f>
        <v>1200</v>
      </c>
      <c r="F43" t="s">
        <v>64</v>
      </c>
    </row>
    <row r="44" spans="2:6" x14ac:dyDescent="0.25">
      <c r="B44" t="s">
        <v>29</v>
      </c>
      <c r="D44" s="4">
        <f>D41*D39</f>
        <v>3.7999999999999999E-2</v>
      </c>
      <c r="F44" t="s">
        <v>63</v>
      </c>
    </row>
    <row r="45" spans="2:6" x14ac:dyDescent="0.25">
      <c r="D45" s="4"/>
    </row>
    <row r="46" spans="2:6" s="10" customFormat="1" ht="26.25" x14ac:dyDescent="0.4">
      <c r="B46" s="11" t="s">
        <v>30</v>
      </c>
      <c r="C46" s="11"/>
    </row>
    <row r="48" spans="2:6" x14ac:dyDescent="0.25">
      <c r="B48" t="s">
        <v>31</v>
      </c>
      <c r="D48" s="4">
        <f>D35/(D12+(D37/2))/0.000000001</f>
        <v>49999999.999992892</v>
      </c>
      <c r="F48" t="s">
        <v>65</v>
      </c>
    </row>
    <row r="49" spans="2:8" x14ac:dyDescent="0.25">
      <c r="B49" t="s">
        <v>32</v>
      </c>
      <c r="D49" s="4">
        <f>D44/(D12*0.000000001)</f>
        <v>19000000</v>
      </c>
      <c r="F49" t="s">
        <v>66</v>
      </c>
    </row>
    <row r="50" spans="2:8" x14ac:dyDescent="0.25">
      <c r="B50" t="s">
        <v>33</v>
      </c>
      <c r="D50" s="4">
        <f>D49/2/3.142</f>
        <v>3023551.8777848505</v>
      </c>
      <c r="F50" t="s">
        <v>67</v>
      </c>
    </row>
    <row r="51" spans="2:8" x14ac:dyDescent="0.25">
      <c r="B51" t="s">
        <v>34</v>
      </c>
      <c r="D51">
        <f>ROUND((D18/D32),0)</f>
        <v>20</v>
      </c>
      <c r="F51" t="s">
        <v>68</v>
      </c>
    </row>
    <row r="52" spans="2:8" x14ac:dyDescent="0.25">
      <c r="B52" t="s">
        <v>35</v>
      </c>
      <c r="D52">
        <f>D51*2</f>
        <v>40</v>
      </c>
      <c r="F52" t="s">
        <v>71</v>
      </c>
    </row>
    <row r="53" spans="2:8" x14ac:dyDescent="0.25">
      <c r="B53" t="s">
        <v>36</v>
      </c>
      <c r="D53" s="4">
        <f>D49/D43</f>
        <v>15833.333333333334</v>
      </c>
      <c r="F53" t="s">
        <v>34</v>
      </c>
      <c r="H53" t="s">
        <v>95</v>
      </c>
    </row>
    <row r="54" spans="2:8" x14ac:dyDescent="0.25">
      <c r="B54" t="s">
        <v>37</v>
      </c>
      <c r="D54" s="4">
        <f>D53/2/3.142</f>
        <v>2519.6265648207091</v>
      </c>
    </row>
    <row r="55" spans="2:8" s="10" customFormat="1" ht="26.25" x14ac:dyDescent="0.4">
      <c r="B55" s="11" t="s">
        <v>38</v>
      </c>
      <c r="C55" s="11"/>
    </row>
    <row r="56" spans="2:8" ht="26.25" x14ac:dyDescent="0.4">
      <c r="B56" s="5"/>
      <c r="C56" s="5"/>
      <c r="D56" t="s">
        <v>39</v>
      </c>
    </row>
    <row r="57" spans="2:8" x14ac:dyDescent="0.25">
      <c r="B57" t="s">
        <v>40</v>
      </c>
      <c r="D57">
        <v>10</v>
      </c>
      <c r="F57" t="s">
        <v>74</v>
      </c>
    </row>
    <row r="58" spans="2:8" x14ac:dyDescent="0.25">
      <c r="B58" t="s">
        <v>19</v>
      </c>
      <c r="D58">
        <f>D13/2/1000000</f>
        <v>2.5000000000000001E-5</v>
      </c>
      <c r="F58" t="s">
        <v>75</v>
      </c>
    </row>
    <row r="59" spans="2:8" x14ac:dyDescent="0.25">
      <c r="B59" t="s">
        <v>21</v>
      </c>
      <c r="D59">
        <v>40</v>
      </c>
      <c r="F59" t="s">
        <v>77</v>
      </c>
    </row>
    <row r="60" spans="2:8" x14ac:dyDescent="0.25">
      <c r="B60" s="3" t="s">
        <v>23</v>
      </c>
      <c r="C60" s="3"/>
      <c r="D60" s="15" t="s">
        <v>96</v>
      </c>
      <c r="F60" t="s">
        <v>76</v>
      </c>
    </row>
    <row r="61" spans="2:8" x14ac:dyDescent="0.25">
      <c r="B61" t="s">
        <v>18</v>
      </c>
      <c r="D61">
        <v>45</v>
      </c>
      <c r="F61" t="s">
        <v>76</v>
      </c>
    </row>
    <row r="62" spans="2:8" x14ac:dyDescent="0.25">
      <c r="B62" s="3" t="s">
        <v>20</v>
      </c>
      <c r="C62" s="3"/>
      <c r="D62" s="3">
        <f>1000000*D58/D61</f>
        <v>0.55555555555555558</v>
      </c>
      <c r="F62" t="s">
        <v>53</v>
      </c>
    </row>
    <row r="63" spans="2:8" x14ac:dyDescent="0.25">
      <c r="B63" t="s">
        <v>24</v>
      </c>
      <c r="D63">
        <f>D57*D58</f>
        <v>2.5000000000000001E-4</v>
      </c>
      <c r="F63" t="s">
        <v>78</v>
      </c>
    </row>
    <row r="64" spans="2:8" x14ac:dyDescent="0.25">
      <c r="B64" t="s">
        <v>25</v>
      </c>
      <c r="D64">
        <f>D59/D63</f>
        <v>160000</v>
      </c>
      <c r="F64" t="s">
        <v>58</v>
      </c>
    </row>
    <row r="66" spans="2:6" s="10" customFormat="1" ht="26.25" x14ac:dyDescent="0.4">
      <c r="B66" s="11" t="s">
        <v>41</v>
      </c>
      <c r="C66" s="11"/>
    </row>
    <row r="67" spans="2:6" x14ac:dyDescent="0.25">
      <c r="B67" t="s">
        <v>19</v>
      </c>
      <c r="D67">
        <f>0.000025</f>
        <v>2.5000000000000001E-5</v>
      </c>
      <c r="F67" t="s">
        <v>75</v>
      </c>
    </row>
    <row r="68" spans="2:6" x14ac:dyDescent="0.25">
      <c r="B68" t="s">
        <v>40</v>
      </c>
      <c r="D68">
        <v>10</v>
      </c>
      <c r="F68" t="s">
        <v>79</v>
      </c>
    </row>
    <row r="69" spans="2:6" x14ac:dyDescent="0.25">
      <c r="B69" t="s">
        <v>21</v>
      </c>
      <c r="D69">
        <v>40</v>
      </c>
      <c r="F69" t="s">
        <v>80</v>
      </c>
    </row>
    <row r="70" spans="2:6" x14ac:dyDescent="0.25">
      <c r="B70" s="3" t="s">
        <v>23</v>
      </c>
      <c r="C70" s="3"/>
      <c r="D70" s="15" t="s">
        <v>96</v>
      </c>
      <c r="F70" t="s">
        <v>81</v>
      </c>
    </row>
    <row r="71" spans="2:6" x14ac:dyDescent="0.25">
      <c r="B71" t="s">
        <v>24</v>
      </c>
      <c r="D71">
        <f>D68*D67</f>
        <v>2.5000000000000001E-4</v>
      </c>
      <c r="F71" t="s">
        <v>63</v>
      </c>
    </row>
    <row r="72" spans="2:6" x14ac:dyDescent="0.25">
      <c r="B72" t="s">
        <v>18</v>
      </c>
      <c r="D72">
        <v>80</v>
      </c>
      <c r="F72" t="s">
        <v>80</v>
      </c>
    </row>
    <row r="73" spans="2:6" x14ac:dyDescent="0.25">
      <c r="B73" s="3" t="s">
        <v>20</v>
      </c>
      <c r="C73" s="3"/>
      <c r="D73" s="3">
        <f>D67/D72</f>
        <v>3.1250000000000003E-7</v>
      </c>
      <c r="F73" t="s">
        <v>53</v>
      </c>
    </row>
    <row r="74" spans="2:6" x14ac:dyDescent="0.25">
      <c r="B74" t="s">
        <v>25</v>
      </c>
      <c r="D74">
        <f>D69/D71</f>
        <v>160000</v>
      </c>
      <c r="F74" t="s">
        <v>58</v>
      </c>
    </row>
    <row r="78" spans="2:6" s="10" customFormat="1" ht="26.25" x14ac:dyDescent="0.4">
      <c r="B78" s="12" t="s">
        <v>42</v>
      </c>
      <c r="C78" s="12"/>
      <c r="D78" s="13"/>
    </row>
    <row r="79" spans="2:6" x14ac:dyDescent="0.25">
      <c r="B79" s="6" t="s">
        <v>43</v>
      </c>
      <c r="C79" s="6"/>
      <c r="D79" s="6">
        <f>(D74*D64)/(D74+D64)</f>
        <v>80000</v>
      </c>
      <c r="F79" t="s">
        <v>82</v>
      </c>
    </row>
    <row r="80" spans="2:6" x14ac:dyDescent="0.25">
      <c r="B80" s="6" t="s">
        <v>44</v>
      </c>
      <c r="C80" s="6"/>
      <c r="D80" s="7">
        <f>1/D53/D42/D79</f>
        <v>1.3157894736842104E-11</v>
      </c>
      <c r="F80" t="s">
        <v>83</v>
      </c>
    </row>
    <row r="81" spans="2:6" x14ac:dyDescent="0.25">
      <c r="B81" s="6" t="s">
        <v>45</v>
      </c>
      <c r="C81" s="6"/>
      <c r="D81" s="7">
        <f>D37</f>
        <v>5.6833681913249082E-13</v>
      </c>
      <c r="F81" t="s">
        <v>84</v>
      </c>
    </row>
    <row r="82" spans="2:6" x14ac:dyDescent="0.25">
      <c r="B82" s="8" t="s">
        <v>46</v>
      </c>
      <c r="C82" s="8"/>
      <c r="D82" s="9">
        <f>D81*0.33</f>
        <v>1.8755115031372198E-13</v>
      </c>
      <c r="F82" t="s">
        <v>85</v>
      </c>
    </row>
    <row r="83" spans="2:6" x14ac:dyDescent="0.25">
      <c r="B83" s="6" t="s">
        <v>47</v>
      </c>
      <c r="C83" s="6"/>
      <c r="D83" s="7">
        <f>D80-D82</f>
        <v>1.2970343586528381E-11</v>
      </c>
      <c r="F83" t="s">
        <v>86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Ratndeep Srivastava</dc:creator>
  <cp:lastModifiedBy>GOURAB KUNDU</cp:lastModifiedBy>
  <dcterms:created xsi:type="dcterms:W3CDTF">2024-10-29T10:18:47Z</dcterms:created>
  <dcterms:modified xsi:type="dcterms:W3CDTF">2024-12-13T07:56:33Z</dcterms:modified>
</cp:coreProperties>
</file>