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S Tool Display Page" sheetId="1" state="visible" r:id="rId2"/>
    <sheet name="WS Tool_Backend" sheetId="2" state="visible" r:id="rId3"/>
    <sheet name="Runoff Losses" sheetId="3" state="visible" r:id="rId4"/>
    <sheet name="Groundwater Recharge" sheetId="4" state="visible" r:id="rId5"/>
    <sheet name="Surface WQI" sheetId="5" state="visible" r:id="rId6"/>
    <sheet name="GWQI" sheetId="6" state="visible" r:id="rId7"/>
    <sheet name="Forest Cover" sheetId="7" state="visible" r:id="rId8"/>
    <sheet name="CDI" sheetId="8" state="visible" r:id="rId9"/>
    <sheet name="CI" sheetId="9" state="visible" r:id="rId10"/>
    <sheet name="Soil Depth" sheetId="10" state="visible" r:id="rId11"/>
    <sheet name="Soil Irrigability" sheetId="11" state="visible" r:id="rId12"/>
    <sheet name="Land Capability" sheetId="12" state="visible" r:id="rId13"/>
  </sheets>
  <definedNames>
    <definedName function="false" hidden="false" name="_xlchart.0" vbProcedure="false">'Runoff Losses'!$H$12:$H$16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<sst xmlns="http://schemas.openxmlformats.org/spreadsheetml/2006/main" count="1078" uniqueCount="442">
  <si>
    <t xml:space="preserve">Display Page</t>
  </si>
  <si>
    <t xml:space="preserve">State</t>
  </si>
  <si>
    <t xml:space="preserve">Chhattisgarh</t>
  </si>
  <si>
    <t xml:space="preserve">District</t>
  </si>
  <si>
    <t xml:space="preserve">Kanker</t>
  </si>
  <si>
    <t xml:space="preserve">Watershed</t>
  </si>
  <si>
    <t xml:space="preserve">IWMP 14</t>
  </si>
  <si>
    <t xml:space="preserve">Year</t>
  </si>
  <si>
    <t xml:space="preserve">Themes</t>
  </si>
  <si>
    <t xml:space="preserve">Theme weight</t>
  </si>
  <si>
    <t xml:space="preserve">Indicators</t>
  </si>
  <si>
    <t xml:space="preserve">Grades Obtained</t>
  </si>
  <si>
    <t xml:space="preserve">Water Quantity</t>
  </si>
  <si>
    <t xml:space="preserve">Runoff Losses from Watershed</t>
  </si>
  <si>
    <t xml:space="preserve">Natural Groundwater Recharge</t>
  </si>
  <si>
    <t xml:space="preserve">Water Quality</t>
  </si>
  <si>
    <t xml:space="preserve">Surface Water Quality Index</t>
  </si>
  <si>
    <t xml:space="preserve">Groundwater Quality Index</t>
  </si>
  <si>
    <t xml:space="preserve">Forest Conditions</t>
  </si>
  <si>
    <t xml:space="preserve">% Forest Cover
(Dense and Scrub Forests)</t>
  </si>
  <si>
    <t xml:space="preserve">Agricultural Conditions</t>
  </si>
  <si>
    <t xml:space="preserve">Crop Diversification index</t>
  </si>
  <si>
    <t xml:space="preserve">Cropping Intensity</t>
  </si>
  <si>
    <t xml:space="preserve">Soil Conditions</t>
  </si>
  <si>
    <t xml:space="preserve">Soil Depth</t>
  </si>
  <si>
    <t xml:space="preserve">Soil Irrigability</t>
  </si>
  <si>
    <t xml:space="preserve">Land Capability</t>
  </si>
  <si>
    <t xml:space="preserve">Overall Watershed Score</t>
  </si>
  <si>
    <t xml:space="preserve">Overall Watershed Grade</t>
  </si>
  <si>
    <t xml:space="preserve">B</t>
  </si>
  <si>
    <t xml:space="preserve">Overall Watershed Status</t>
  </si>
  <si>
    <t xml:space="preserve">Very Good ecosystem conditions.
Some protection may be required</t>
  </si>
  <si>
    <t xml:space="preserve">Table 1 : - Watershed Status as per Score and Grade Classification</t>
  </si>
  <si>
    <t xml:space="preserve">Grade</t>
  </si>
  <si>
    <t xml:space="preserve">Class intervals</t>
  </si>
  <si>
    <t xml:space="preserve">Condition</t>
  </si>
  <si>
    <t xml:space="preserve">A</t>
  </si>
  <si>
    <t xml:space="preserve">80 - 100</t>
  </si>
  <si>
    <t xml:space="preserve">Excellent ecosystem conditions</t>
  </si>
  <si>
    <t xml:space="preserve">60 - 80</t>
  </si>
  <si>
    <t xml:space="preserve">C</t>
  </si>
  <si>
    <t xml:space="preserve">40 – 60</t>
  </si>
  <si>
    <t xml:space="preserve">Good ecosystem conditions.
Some areas may require enhancement.</t>
  </si>
  <si>
    <t xml:space="preserve">D</t>
  </si>
  <si>
    <t xml:space="preserve">20 – 40</t>
  </si>
  <si>
    <t xml:space="preserve">Poor ecosystem conditions.
Overall  improvements necessary</t>
  </si>
  <si>
    <t xml:space="preserve">E</t>
  </si>
  <si>
    <t xml:space="preserve">0 – 20</t>
  </si>
  <si>
    <t xml:space="preserve">Very Poor ecosystem conditions.
Considerable improvements required</t>
  </si>
  <si>
    <t xml:space="preserve">Backend Page</t>
  </si>
  <si>
    <t xml:space="preserve">How to measure?</t>
  </si>
  <si>
    <t xml:space="preserve">Indicator Score</t>
  </si>
  <si>
    <t xml:space="preserve">Theme Score</t>
  </si>
  <si>
    <t xml:space="preserve">Final Theme Score</t>
  </si>
  <si>
    <t xml:space="preserve">Runoff to Rainfall
(SCS CN Method)</t>
  </si>
  <si>
    <t xml:space="preserve">Recharge to Area
(Rainfall Infiltration Method)</t>
  </si>
  <si>
    <t xml:space="preserve">NSF Method</t>
  </si>
  <si>
    <t xml:space="preserve">Weighted Arithmetic Index Method</t>
  </si>
  <si>
    <t xml:space="preserve">NDVI Analysis</t>
  </si>
  <si>
    <t xml:space="preserve">Gibbs and Martin's Method</t>
  </si>
  <si>
    <t xml:space="preserve">(Gross Cropped Area/ Net Area Sown)*100</t>
  </si>
  <si>
    <t xml:space="preserve">GIS</t>
  </si>
  <si>
    <t xml:space="preserve">NOTE: Theme Weight Criteria is given  as - Higher importance is given to natural resources as these resources take more time for its rejuvenation which may have been affected by natural or man made factors.</t>
  </si>
  <si>
    <t xml:space="preserve">Table:1-Conversion of Grades to Scores</t>
  </si>
  <si>
    <t xml:space="preserve">Table: 2: Weights ( fixed)</t>
  </si>
  <si>
    <t xml:space="preserve">Table 3 : - Watershed Status as per Score and Grade Classification</t>
  </si>
  <si>
    <t xml:space="preserve">Score</t>
  </si>
  <si>
    <t xml:space="preserve">IMPORTANCE</t>
  </si>
  <si>
    <t xml:space="preserve">WEIGHT</t>
  </si>
  <si>
    <t xml:space="preserve">Excellent</t>
  </si>
  <si>
    <t xml:space="preserve">LOW</t>
  </si>
  <si>
    <t xml:space="preserve">Very Good</t>
  </si>
  <si>
    <t xml:space="preserve">Good </t>
  </si>
  <si>
    <t xml:space="preserve">Poor</t>
  </si>
  <si>
    <t xml:space="preserve">Very Poor</t>
  </si>
  <si>
    <t xml:space="preserve">HIGH</t>
  </si>
  <si>
    <t xml:space="preserve">Tool</t>
  </si>
  <si>
    <t xml:space="preserve">Watershed Scorecard</t>
  </si>
  <si>
    <t xml:space="preserve">Theme</t>
  </si>
  <si>
    <t xml:space="preserve">Indicator</t>
  </si>
  <si>
    <t xml:space="preserve">Table 1: Runoff calcualtions through SCS - CN Method</t>
  </si>
  <si>
    <t xml:space="preserve">Table 2: Statistical Calculations for Runoff/ Rainfall</t>
  </si>
  <si>
    <t xml:space="preserve">Years</t>
  </si>
  <si>
    <t xml:space="preserve">Annual Rainfall (mm)</t>
  </si>
  <si>
    <t xml:space="preserve">Annual Runoff (mm)</t>
  </si>
  <si>
    <t xml:space="preserve">Runoff / Rainfall</t>
  </si>
  <si>
    <t xml:space="preserve">Min</t>
  </si>
  <si>
    <t xml:space="preserve">Q1</t>
  </si>
  <si>
    <t xml:space="preserve">1986</t>
  </si>
  <si>
    <t xml:space="preserve">Median (Q2)</t>
  </si>
  <si>
    <t xml:space="preserve">1987</t>
  </si>
  <si>
    <t xml:space="preserve">Q3</t>
  </si>
  <si>
    <t xml:space="preserve">1988</t>
  </si>
  <si>
    <t xml:space="preserve">Max</t>
  </si>
  <si>
    <t xml:space="preserve">1989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</si>
  <si>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</si>
  <si>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</si>
  <si>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</si>
  <si>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</si>
  <si>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</si>
  <si>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</si>
  <si>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</si>
  <si>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</si>
  <si>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</si>
  <si>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</si>
  <si>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</si>
  <si>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</si>
  <si>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</si>
  <si>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</si>
  <si>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</si>
  <si>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</si>
  <si>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</si>
  <si>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Table 3: Runoff Grading as per statistical classification</t>
  </si>
  <si>
    <t xml:space="preserve">2007</t>
  </si>
  <si>
    <t xml:space="preserve">Quartiles</t>
  </si>
  <si>
    <t xml:space="preserve">2008</t>
  </si>
  <si>
    <t xml:space="preserve">&lt;Q1</t>
  </si>
  <si>
    <t xml:space="preserve">2009</t>
  </si>
  <si>
    <t xml:space="preserve">Q1 - Q2</t>
  </si>
  <si>
    <t xml:space="preserve">2010</t>
  </si>
  <si>
    <t xml:space="preserve">Q2 - Q3</t>
  </si>
  <si>
    <t xml:space="preserve">2011</t>
  </si>
  <si>
    <t xml:space="preserve">&gt;Q3</t>
  </si>
  <si>
    <t xml:space="preserve">2012</t>
  </si>
  <si>
    <t xml:space="preserve">2013</t>
  </si>
  <si>
    <t xml:space="preserve">2014</t>
  </si>
  <si>
    <t xml:space="preserve">Table 4 : Final Runoff Value Value and  Grade</t>
  </si>
  <si>
    <t xml:space="preserve">2015</t>
  </si>
  <si>
    <t xml:space="preserve">Runoff/ rainfall</t>
  </si>
  <si>
    <t xml:space="preserve">Table 1 : (Recharge/ Area) Calculations</t>
  </si>
  <si>
    <t xml:space="preserve">Rock Type</t>
  </si>
  <si>
    <t xml:space="preserve">Rainfall Infiltration Factor</t>
  </si>
  <si>
    <t xml:space="preserve">Area
(hectares)</t>
  </si>
  <si>
    <t xml:space="preserve">Rainfall
(m)</t>
  </si>
  <si>
    <t xml:space="preserve">Recharge
(hectares -meters)</t>
  </si>
  <si>
    <t xml:space="preserve">Recharge/ Area</t>
  </si>
  <si>
    <t xml:space="preserve">Fuchsite quartzite</t>
  </si>
  <si>
    <t xml:space="preserve">Granite</t>
  </si>
  <si>
    <t xml:space="preserve">Table 2 : Final Recharge/ Area Ratio Value and  Grade</t>
  </si>
  <si>
    <t xml:space="preserve">Value</t>
  </si>
  <si>
    <t xml:space="preserve">CDI</t>
  </si>
  <si>
    <t xml:space="preserve">Table 3 : - (Recharge/ Area) Grade Classification</t>
  </si>
  <si>
    <t xml:space="preserve">&gt;50</t>
  </si>
  <si>
    <t xml:space="preserve">30 - 50</t>
  </si>
  <si>
    <t xml:space="preserve">10 – 30</t>
  </si>
  <si>
    <t xml:space="preserve">&lt;10% and &gt; 50%</t>
  </si>
  <si>
    <t xml:space="preserve">Madhya Pradesh</t>
  </si>
  <si>
    <t xml:space="preserve">Tikamgarh</t>
  </si>
  <si>
    <t xml:space="preserve">Ur River</t>
  </si>
  <si>
    <t xml:space="preserve">Surface WQI</t>
  </si>
  <si>
    <t xml:space="preserve">Table1: Overall Surface Water Quality score and grade classification</t>
  </si>
  <si>
    <t xml:space="preserve">WQI</t>
  </si>
  <si>
    <t xml:space="preserve">Class By CPCB</t>
  </si>
  <si>
    <t xml:space="preserve">Quality Classification</t>
  </si>
  <si>
    <t xml:space="preserve">Remarks</t>
  </si>
  <si>
    <t xml:space="preserve">Colour Code</t>
  </si>
  <si>
    <t xml:space="preserve">Overall Surface Water Quality of Ur Watershed</t>
  </si>
  <si>
    <t xml:space="preserve">Medium to Good</t>
  </si>
  <si>
    <t xml:space="preserve">Non – Polluted</t>
  </si>
  <si>
    <t xml:space="preserve">Table 2: Surface Water Quality Index for Madan Sagar</t>
  </si>
  <si>
    <t xml:space="preserve">Point Name</t>
  </si>
  <si>
    <t xml:space="preserve">Pond Name</t>
  </si>
  <si>
    <t xml:space="preserve">Village</t>
  </si>
  <si>
    <t xml:space="preserve">Block</t>
  </si>
  <si>
    <t xml:space="preserve">Latitude</t>
  </si>
  <si>
    <t xml:space="preserve">Longitude</t>
  </si>
  <si>
    <t xml:space="preserve">Point depth
(m)</t>
  </si>
  <si>
    <t xml:space="preserve">Observed Values</t>
  </si>
  <si>
    <t xml:space="preserve">Step - 1 : DO Conversion</t>
  </si>
  <si>
    <t xml:space="preserve">Step -2:  Sub-Index values using equation</t>
  </si>
  <si>
    <t xml:space="preserve">Step - 3: Modified Parameter Weight Criteria by CPCB</t>
  </si>
  <si>
    <t xml:space="preserve">Step 4: Sub - Index WQI index value </t>
  </si>
  <si>
    <t xml:space="preserve">Step - 5: Overall WQI</t>
  </si>
  <si>
    <t xml:space="preserve">Step 6: CPCB Grading and Classification</t>
  </si>
  <si>
    <r>
      <rPr>
        <b val="true"/>
        <sz val="11"/>
        <color rgb="FF000000"/>
        <rFont val="Calibri"/>
        <family val="2"/>
        <charset val="1"/>
      </rPr>
      <t xml:space="preserve">Temperature
(</t>
    </r>
    <r>
      <rPr>
        <b val="true"/>
        <sz val="11"/>
        <color rgb="FF000000"/>
        <rFont val="Symbol"/>
        <family val="1"/>
        <charset val="2"/>
      </rPr>
      <t xml:space="preserve">°</t>
    </r>
    <r>
      <rPr>
        <b val="true"/>
        <sz val="11"/>
        <color rgb="FF000000"/>
        <rFont val="Calibri"/>
        <family val="2"/>
        <charset val="1"/>
      </rPr>
      <t xml:space="preserve">C)</t>
    </r>
  </si>
  <si>
    <t xml:space="preserve">pH</t>
  </si>
  <si>
    <t xml:space="preserve">Fecal Coliform
(MPN/100 ml)</t>
  </si>
  <si>
    <t xml:space="preserve">BOD
(mg/L)</t>
  </si>
  <si>
    <t xml:space="preserve">DO
(mg/L)</t>
  </si>
  <si>
    <t xml:space="preserve">DO Saturation (%)</t>
  </si>
  <si>
    <t xml:space="preserve">Fecal Coliform</t>
  </si>
  <si>
    <t xml:space="preserve">BOD</t>
  </si>
  <si>
    <t xml:space="preserve">DO Saturation</t>
  </si>
  <si>
    <t xml:space="preserve">MS1</t>
  </si>
  <si>
    <t xml:space="preserve">Madan Sagar</t>
  </si>
  <si>
    <t xml:space="preserve">Ahar</t>
  </si>
  <si>
    <t xml:space="preserve">Baldeogarh</t>
  </si>
  <si>
    <t xml:space="preserve">MS2</t>
  </si>
  <si>
    <t xml:space="preserve">MS3</t>
  </si>
  <si>
    <t xml:space="preserve">MS4</t>
  </si>
  <si>
    <t xml:space="preserve">MS5</t>
  </si>
  <si>
    <t xml:space="preserve">Overall WQI of Madan Sagar Pond</t>
  </si>
  <si>
    <t xml:space="preserve">Table 2: Surface Water Quality Index for Gwal Sagar</t>
  </si>
  <si>
    <t xml:space="preserve">GS1</t>
  </si>
  <si>
    <t xml:space="preserve">Gwal Sagar</t>
  </si>
  <si>
    <t xml:space="preserve">Bad</t>
  </si>
  <si>
    <t xml:space="preserve">Polluted</t>
  </si>
  <si>
    <t xml:space="preserve">GS2</t>
  </si>
  <si>
    <t xml:space="preserve">GS3</t>
  </si>
  <si>
    <t xml:space="preserve">GS4</t>
  </si>
  <si>
    <t xml:space="preserve">GS5</t>
  </si>
  <si>
    <t xml:space="preserve">Overall WQI of Gwal Sagar Pond</t>
  </si>
  <si>
    <t xml:space="preserve">Table 3: Surface Water Quality Index for Detla Talab</t>
  </si>
  <si>
    <t xml:space="preserve">D1</t>
  </si>
  <si>
    <t xml:space="preserve">Detla Talab</t>
  </si>
  <si>
    <t xml:space="preserve">Baisa</t>
  </si>
  <si>
    <t xml:space="preserve">D2</t>
  </si>
  <si>
    <t xml:space="preserve">Bad to Very Bad</t>
  </si>
  <si>
    <t xml:space="preserve">D3</t>
  </si>
  <si>
    <t xml:space="preserve">D4</t>
  </si>
  <si>
    <t xml:space="preserve">Good to Excellent</t>
  </si>
  <si>
    <t xml:space="preserve">D5</t>
  </si>
  <si>
    <t xml:space="preserve">Overall WQI of Detla Talab Pond</t>
  </si>
  <si>
    <t xml:space="preserve">Table 4: Surface Water Quality Index for Mamaun Talab</t>
  </si>
  <si>
    <t xml:space="preserve">M1</t>
  </si>
  <si>
    <t xml:space="preserve">Mamaun</t>
  </si>
  <si>
    <t xml:space="preserve">M2</t>
  </si>
  <si>
    <t xml:space="preserve">M3</t>
  </si>
  <si>
    <t xml:space="preserve">M4</t>
  </si>
  <si>
    <t xml:space="preserve">M5</t>
  </si>
  <si>
    <t xml:space="preserve">Overall WQI of Mamaun Pond</t>
  </si>
  <si>
    <t xml:space="preserve">Table 5: Surface Water Quality Index for Rigora Talab</t>
  </si>
  <si>
    <t xml:space="preserve">R1</t>
  </si>
  <si>
    <t xml:space="preserve">Rigora</t>
  </si>
  <si>
    <t xml:space="preserve">R2</t>
  </si>
  <si>
    <t xml:space="preserve">R3</t>
  </si>
  <si>
    <t xml:space="preserve">R4</t>
  </si>
  <si>
    <t xml:space="preserve">R5</t>
  </si>
  <si>
    <t xml:space="preserve">Overall WQI of Rigora Pond</t>
  </si>
  <si>
    <t xml:space="preserve">Detailed Steps for Calculation of Surface Water Quality Index using the NSF Method</t>
  </si>
  <si>
    <t xml:space="preserve">Step -1: Check the corresponding value of solubility with the given temperature conditions of water body</t>
  </si>
  <si>
    <t xml:space="preserve">Step -2:  Check the observed values with the given range for each parameter and apply the coorresponding equation to obtain the sub - index value</t>
  </si>
  <si>
    <t xml:space="preserve">Step 3: Use modified weights by CPCB for further calculations</t>
  </si>
  <si>
    <t xml:space="preserve">Step 4: Calculate sub-index WQI value using formula :
Modified Parameter Weight  * Sub - index value </t>
  </si>
  <si>
    <t xml:space="preserve">Step 5: Calculate overall WQI by adding the sub-index WQI values of each parameter</t>
  </si>
  <si>
    <r>
      <rPr>
        <b val="true"/>
        <sz val="11"/>
        <color rgb="FF000000"/>
        <rFont val="Calibri"/>
        <family val="2"/>
        <charset val="1"/>
      </rPr>
      <t xml:space="preserve">Temp. </t>
    </r>
    <r>
      <rPr>
        <b val="true"/>
        <sz val="11"/>
        <color rgb="FF000000"/>
        <rFont val="Symbol"/>
        <family val="1"/>
        <charset val="2"/>
      </rPr>
      <t xml:space="preserve">°</t>
    </r>
    <r>
      <rPr>
        <b val="true"/>
        <sz val="11"/>
        <color rgb="FF000000"/>
        <rFont val="Calibri"/>
        <family val="2"/>
        <charset val="1"/>
      </rPr>
      <t xml:space="preserve">C</t>
    </r>
  </si>
  <si>
    <t xml:space="preserve">100 % Solubility (mg/L)</t>
  </si>
  <si>
    <t xml:space="preserve">Water Quality parameters</t>
  </si>
  <si>
    <t xml:space="preserve">Range Applicable</t>
  </si>
  <si>
    <t xml:space="preserve">Equation</t>
  </si>
  <si>
    <t xml:space="preserve">Original Weights from NSF WQI</t>
  </si>
  <si>
    <t xml:space="preserve">Modified Weights  by CPCB</t>
  </si>
  <si>
    <t xml:space="preserve">2 – 5 </t>
  </si>
  <si>
    <t xml:space="preserve">IpH = 16.1+7.35 x (pH) </t>
  </si>
  <si>
    <t xml:space="preserve">Dissolved Oxygen 
( % saturation)</t>
  </si>
  <si>
    <t xml:space="preserve">5 –7.3</t>
  </si>
  <si>
    <t xml:space="preserve">IpH = (-142.67)+33.5 x (pH) </t>
  </si>
  <si>
    <t xml:space="preserve">Step  6 : As per the overall WQI score grading criteria is done as per the NSF WQI  criteria for the designated use.</t>
  </si>
  <si>
    <t xml:space="preserve"> 7.3 – 10</t>
  </si>
  <si>
    <t xml:space="preserve">IpH = 316.96 - 29.85 x (pH) </t>
  </si>
  <si>
    <t xml:space="preserve">Class by CPCB</t>
  </si>
  <si>
    <t xml:space="preserve"> 10 –12</t>
  </si>
  <si>
    <t xml:space="preserve">IpH = 96.17 - 8.0 x(pH) </t>
  </si>
  <si>
    <t xml:space="preserve">Biochemical Oxygen Demand</t>
  </si>
  <si>
    <t xml:space="preserve">63 –100</t>
  </si>
  <si>
    <t xml:space="preserve"> &lt;2,&gt;12</t>
  </si>
  <si>
    <t xml:space="preserve">IpH = 0</t>
  </si>
  <si>
    <t xml:space="preserve">Total</t>
  </si>
  <si>
    <t xml:space="preserve">50 – 63</t>
  </si>
  <si>
    <r>
      <rPr>
        <sz val="11"/>
        <color rgb="FF000000"/>
        <rFont val="Calibri"/>
        <family val="2"/>
        <charset val="1"/>
      </rPr>
      <t xml:space="preserve">1-10</t>
    </r>
    <r>
      <rPr>
        <vertAlign val="superscript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</t>
    </r>
  </si>
  <si>
    <t xml:space="preserve">IFC = 97.2-26.6 x log(FC) </t>
  </si>
  <si>
    <t xml:space="preserve">38 – 50</t>
  </si>
  <si>
    <r>
      <rPr>
        <sz val="11"/>
        <color rgb="FF000000"/>
        <rFont val="Calibri"/>
        <family val="2"/>
        <charset val="1"/>
      </rPr>
      <t xml:space="preserve">10</t>
    </r>
    <r>
      <rPr>
        <vertAlign val="superscript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-10</t>
    </r>
    <r>
      <rPr>
        <vertAlign val="superscript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</t>
    </r>
  </si>
  <si>
    <t xml:space="preserve">IFC = 42.33 -7.75 x log(FC) </t>
  </si>
  <si>
    <t xml:space="preserve">38 and less</t>
  </si>
  <si>
    <t xml:space="preserve">D, E</t>
  </si>
  <si>
    <t xml:space="preserve">Heavily Polluted</t>
  </si>
  <si>
    <r>
      <rPr>
        <sz val="11"/>
        <color rgb="FF000000"/>
        <rFont val="Calibri"/>
        <family val="2"/>
        <charset val="1"/>
      </rPr>
      <t xml:space="preserve">&gt; 10</t>
    </r>
    <r>
      <rPr>
        <vertAlign val="superscript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</t>
    </r>
  </si>
  <si>
    <t xml:space="preserve">IFC = 2</t>
  </si>
  <si>
    <t xml:space="preserve">0 – 10 </t>
  </si>
  <si>
    <t xml:space="preserve">IBOD = 96.67-7 x (BOD) </t>
  </si>
  <si>
    <t xml:space="preserve">10 – 30 </t>
  </si>
  <si>
    <t xml:space="preserve">IBOD = 38.9-1.23 x (BOD) </t>
  </si>
  <si>
    <t xml:space="preserve">&gt;30</t>
  </si>
  <si>
    <t xml:space="preserve">IBOD = 2</t>
  </si>
  <si>
    <t xml:space="preserve">Dissolved Oxygen (percent saturation) </t>
  </si>
  <si>
    <t xml:space="preserve">0 – 40% saturation </t>
  </si>
  <si>
    <t xml:space="preserve">IDO = 0.18+0.66 x (% Saturation DO) </t>
  </si>
  <si>
    <t xml:space="preserve">40 –100% saturation </t>
  </si>
  <si>
    <t xml:space="preserve">IDO = (-13.55)+1.17 x (% Saturation DO)</t>
  </si>
  <si>
    <t xml:space="preserve">100 – 140% saturation</t>
  </si>
  <si>
    <t xml:space="preserve">IDO = 163.34 - 0.62 x (% Saturation DO)</t>
  </si>
  <si>
    <t xml:space="preserve">GWQI</t>
  </si>
  <si>
    <t xml:space="preserve">Note: To Be incorporated from the tool developed by Nihar</t>
  </si>
  <si>
    <t xml:space="preserve">Table1: Overall Groudnwater Quality score and grade classification</t>
  </si>
  <si>
    <t xml:space="preserve">Grades</t>
  </si>
  <si>
    <t xml:space="preserve">Class Classification</t>
  </si>
  <si>
    <t xml:space="preserve">Overall Groundwater Quality of IWMP 14</t>
  </si>
  <si>
    <t xml:space="preserve">Fair</t>
  </si>
  <si>
    <t xml:space="preserve">Acceptable</t>
  </si>
  <si>
    <t xml:space="preserve">Table 2: Groundwater Quality Classification based on WQI value</t>
  </si>
  <si>
    <t xml:space="preserve">Class</t>
  </si>
  <si>
    <t xml:space="preserve">Water Quality Status</t>
  </si>
  <si>
    <t xml:space="preserve">&lt;50</t>
  </si>
  <si>
    <t xml:space="preserve">Pristine Quality</t>
  </si>
  <si>
    <t xml:space="preserve">51-100</t>
  </si>
  <si>
    <t xml:space="preserve">Good</t>
  </si>
  <si>
    <t xml:space="preserve">101-150</t>
  </si>
  <si>
    <t xml:space="preserve">151-200</t>
  </si>
  <si>
    <t xml:space="preserve">Need Treatment</t>
  </si>
  <si>
    <t xml:space="preserve">201-250</t>
  </si>
  <si>
    <t xml:space="preserve">&gt;250</t>
  </si>
  <si>
    <t xml:space="preserve">Unfit</t>
  </si>
  <si>
    <t xml:space="preserve">F</t>
  </si>
  <si>
    <t xml:space="preserve">Unsuitable for drinking</t>
  </si>
  <si>
    <t xml:space="preserve">% Forest Cover</t>
  </si>
  <si>
    <t xml:space="preserve">Table 1 : NDVI Reclassified Image</t>
  </si>
  <si>
    <t xml:space="preserve">VALUE</t>
  </si>
  <si>
    <t xml:space="preserve">COUNT</t>
  </si>
  <si>
    <t xml:space="preserve">Area (m2)</t>
  </si>
  <si>
    <t xml:space="preserve">Area ( hectares)</t>
  </si>
  <si>
    <t xml:space="preserve">Table 2: NDVI Re-Classification for forests</t>
  </si>
  <si>
    <t xml:space="preserve">NDVI Range</t>
  </si>
  <si>
    <t xml:space="preserve">Forest Class</t>
  </si>
  <si>
    <t xml:space="preserve">0.22 - 0.26</t>
  </si>
  <si>
    <t xml:space="preserve">Land with or withour Scrub</t>
  </si>
  <si>
    <t xml:space="preserve">0.25 - 0.36</t>
  </si>
  <si>
    <t xml:space="preserve">Scrub Forests</t>
  </si>
  <si>
    <t xml:space="preserve">0.36 - 0.42</t>
  </si>
  <si>
    <t xml:space="preserve">Dense Forests</t>
  </si>
  <si>
    <t xml:space="preserve">Table 3 : Final % Forest Cover Grade</t>
  </si>
  <si>
    <t xml:space="preserve">Percentage</t>
  </si>
  <si>
    <t xml:space="preserve">Table 4: Forest Cover Grade Classification</t>
  </si>
  <si>
    <t xml:space="preserve">Forest Range</t>
  </si>
  <si>
    <t xml:space="preserve">Status</t>
  </si>
  <si>
    <t xml:space="preserve">&gt;30%</t>
  </si>
  <si>
    <t xml:space="preserve">15%- 30%</t>
  </si>
  <si>
    <t xml:space="preserve">5% - 15%</t>
  </si>
  <si>
    <t xml:space="preserve">&lt;5%</t>
  </si>
  <si>
    <t xml:space="preserve">Table 1 : CDI Calculations using the crops grown in area</t>
  </si>
  <si>
    <t xml:space="preserve">Crops</t>
  </si>
  <si>
    <r>
      <rPr>
        <b val="true"/>
        <sz val="11"/>
        <color rgb="FF000000"/>
        <rFont val="Calibri"/>
        <family val="2"/>
        <charset val="1"/>
      </rPr>
      <t xml:space="preserve">Area</t>
    </r>
    <r>
      <rPr>
        <b val="true"/>
        <vertAlign val="superscript"/>
        <sz val="11"/>
        <color rgb="FF000000"/>
        <rFont val="Calibri"/>
        <family val="2"/>
        <charset val="1"/>
      </rPr>
      <t xml:space="preserve">2
</t>
    </r>
    <r>
      <rPr>
        <b val="true"/>
        <sz val="11"/>
        <color rgb="FF000000"/>
        <rFont val="Calibri"/>
        <family val="2"/>
        <charset val="1"/>
      </rPr>
      <t xml:space="preserve">(hectares</t>
    </r>
    <r>
      <rPr>
        <b val="true"/>
        <vertAlign val="superscript"/>
        <sz val="11"/>
        <color rgb="FF000000"/>
        <rFont val="Calibri"/>
        <family val="2"/>
        <charset val="1"/>
      </rPr>
      <t xml:space="preserve">2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</si>
  <si>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Chikpea</t>
  </si>
  <si>
    <t xml:space="preserve">Cowpea</t>
  </si>
  <si>
    <t xml:space="preserve">Cucumber</t>
  </si>
  <si>
    <t xml:space="preserve">Gram</t>
  </si>
  <si>
    <t xml:space="preserve">Kulthi</t>
  </si>
  <si>
    <t xml:space="preserve">Maize</t>
  </si>
  <si>
    <t xml:space="preserve">Paddy</t>
  </si>
  <si>
    <t xml:space="preserve">Peas</t>
  </si>
  <si>
    <t xml:space="preserve">Ramtil</t>
  </si>
  <si>
    <t xml:space="preserve">Sunflower</t>
  </si>
  <si>
    <t xml:space="preserve">Urad</t>
  </si>
  <si>
    <t xml:space="preserve">Table 2 : Final CDI Value and  Grade</t>
  </si>
  <si>
    <t xml:space="preserve">Table 3: Grade Classification for  Crop Diversification index (CDI)  as per Gibbs and Martin’s Method</t>
  </si>
  <si>
    <t xml:space="preserve">Level of Diversification</t>
  </si>
  <si>
    <t xml:space="preserve">Our Grades</t>
  </si>
  <si>
    <t xml:space="preserve">Category</t>
  </si>
  <si>
    <t xml:space="preserve">0.80-0.88</t>
  </si>
  <si>
    <t xml:space="preserve">High</t>
  </si>
  <si>
    <t xml:space="preserve">0.60-0.80</t>
  </si>
  <si>
    <t xml:space="preserve">Medium</t>
  </si>
  <si>
    <t xml:space="preserve">0.40-0.60</t>
  </si>
  <si>
    <t xml:space="preserve">Low</t>
  </si>
  <si>
    <t xml:space="preserve">&lt;0.40</t>
  </si>
  <si>
    <t xml:space="preserve">Very Low</t>
  </si>
  <si>
    <t xml:space="preserve">Src: Dutta, S.(2012).A spatio-temporal analysis of crop diversification in Hugli district, West Bengal. Geo-Analyst, 2(1).</t>
  </si>
  <si>
    <t xml:space="preserve">Agricultural Condition</t>
  </si>
  <si>
    <t xml:space="preserve">Table 1: CI Calculations</t>
  </si>
  <si>
    <t xml:space="preserve">Classes</t>
  </si>
  <si>
    <t xml:space="preserve">Double cropped</t>
  </si>
  <si>
    <t xml:space="preserve">Kharif</t>
  </si>
  <si>
    <t xml:space="preserve">Rabi</t>
  </si>
  <si>
    <t xml:space="preserve">Net Area Sown</t>
  </si>
  <si>
    <t xml:space="preserve">Gross Cropped Area</t>
  </si>
  <si>
    <t xml:space="preserve">Area( km2)</t>
  </si>
  <si>
    <t xml:space="preserve">Note: Since Rabi Crop area has not been given in LULC map, so  we have assumed the area equal to the double cropped area)
Recommendation for future work : We need to have rabi and kharif cropping pattern separately  and total agricultural area calculated if possibe.</t>
  </si>
  <si>
    <t xml:space="preserve">Table 2 : Final CI Value and  Grade</t>
  </si>
  <si>
    <t xml:space="preserve">Table 3: CI grade Classification
</t>
  </si>
  <si>
    <t xml:space="preserve"> Cropping Intensity</t>
  </si>
  <si>
    <t xml:space="preserve">&gt;140</t>
  </si>
  <si>
    <t xml:space="preserve">130-140</t>
  </si>
  <si>
    <t xml:space="preserve">120-130</t>
  </si>
  <si>
    <t xml:space="preserve">&lt;120</t>
  </si>
  <si>
    <t xml:space="preserve">Src: Das, B.,&amp;Mili,N.(2012).Pattern of crop diversification and disparities in agri-culture: A case study of Dibrugarh district, Assam(India). Journal of Humanities and Social Science, 6(2), 37–42.</t>
  </si>
  <si>
    <t xml:space="preserve">Soil Condition</t>
  </si>
  <si>
    <t xml:space="preserve">Table: Soil Depth Calculations</t>
  </si>
  <si>
    <t xml:space="preserve">DEPTH (cm)</t>
  </si>
  <si>
    <t xml:space="preserve">Area (km2)</t>
  </si>
  <si>
    <t xml:space="preserve">Note: We consider the maximum area coverage of a parituclar soil depth and grade as per that</t>
  </si>
  <si>
    <t xml:space="preserve">Table: Major Soil Depth and grade obtained</t>
  </si>
  <si>
    <t xml:space="preserve">Major Soil Depth</t>
  </si>
  <si>
    <t xml:space="preserve">Series</t>
  </si>
  <si>
    <t xml:space="preserve">Grade Obtained</t>
  </si>
  <si>
    <t xml:space="preserve">35 cm</t>
  </si>
  <si>
    <t xml:space="preserve">Shallow</t>
  </si>
  <si>
    <t xml:space="preserve">Table: Soil Depth Grade Classification</t>
  </si>
  <si>
    <t xml:space="preserve">Soil Depth (cm)</t>
  </si>
  <si>
    <t xml:space="preserve">&gt;150</t>
  </si>
  <si>
    <t xml:space="preserve">Very Deep</t>
  </si>
  <si>
    <t xml:space="preserve">100 – 150</t>
  </si>
  <si>
    <t xml:space="preserve">Deep</t>
  </si>
  <si>
    <t xml:space="preserve">75 – 100</t>
  </si>
  <si>
    <t xml:space="preserve">Moderately Deep</t>
  </si>
  <si>
    <t xml:space="preserve">50 – 75</t>
  </si>
  <si>
    <t xml:space="preserve">Moderately Shallow</t>
  </si>
  <si>
    <t xml:space="preserve">25 – 50</t>
  </si>
  <si>
    <t xml:space="preserve">10 –25</t>
  </si>
  <si>
    <t xml:space="preserve">Very Shallow</t>
  </si>
  <si>
    <t xml:space="preserve">&lt;10</t>
  </si>
  <si>
    <t xml:space="preserve">Extremely Shallow</t>
  </si>
  <si>
    <t xml:space="preserve">Src: National Bureau of Soil Survey and Land Utilization Planning (Sehgal, 1992)</t>
  </si>
  <si>
    <t xml:space="preserve">Table 1: Soil Irrigability Calculations</t>
  </si>
  <si>
    <t xml:space="preserve">AREA ( km2)</t>
  </si>
  <si>
    <t xml:space="preserve">% of total Geographical area</t>
  </si>
  <si>
    <t xml:space="preserve">Note: We consider the maximum area coverage of a parituclar soil Irrigability classification and grade as per that</t>
  </si>
  <si>
    <t xml:space="preserve">Table 2: Soil Irrigability grade obtained</t>
  </si>
  <si>
    <t xml:space="preserve">Major Soil Irrigability Series</t>
  </si>
  <si>
    <t xml:space="preserve">Very severe soil limitations for sustained use under irrigation</t>
  </si>
  <si>
    <t xml:space="preserve">IV</t>
  </si>
  <si>
    <t xml:space="preserve">Table: Soil Irrigability Classes and Grade Classification</t>
  </si>
  <si>
    <t xml:space="preserve">None or slight soil limitations for sustained use under irrigation</t>
  </si>
  <si>
    <t xml:space="preserve">I</t>
  </si>
  <si>
    <t xml:space="preserve">Moderate soil limitations for sustained use under irrigation</t>
  </si>
  <si>
    <t xml:space="preserve">II</t>
  </si>
  <si>
    <t xml:space="preserve">Severe soil limitations for sustained use under irrigation</t>
  </si>
  <si>
    <t xml:space="preserve">III</t>
  </si>
  <si>
    <t xml:space="preserve">Very severe soil limitations for
sustained use under irrigation</t>
  </si>
  <si>
    <t xml:space="preserve">Not suited for irrigation or non-irrigable soil class</t>
  </si>
  <si>
    <t xml:space="preserve">V</t>
  </si>
  <si>
    <t xml:space="preserve">Water bodies and built up</t>
  </si>
  <si>
    <t xml:space="preserve">Misc</t>
  </si>
  <si>
    <t xml:space="preserve">Table 1 : Land Capability Calculations</t>
  </si>
  <si>
    <t xml:space="preserve">class</t>
  </si>
  <si>
    <t xml:space="preserve">Class II</t>
  </si>
  <si>
    <t xml:space="preserve">Class IV</t>
  </si>
  <si>
    <t xml:space="preserve">Class VI</t>
  </si>
  <si>
    <t xml:space="preserve">Class VII</t>
  </si>
  <si>
    <t xml:space="preserve">Class VIII</t>
  </si>
  <si>
    <t xml:space="preserve">Note: We consider the maximum area coverage of a particular soil Irrigability classification and grade as per that</t>
  </si>
  <si>
    <t xml:space="preserve">Table 2 : Land Capability grade obtained</t>
  </si>
  <si>
    <t xml:space="preserve">Major Land Capability Series</t>
  </si>
  <si>
    <t xml:space="preserve">Soils have very severe limitations that restrict the choice of plants or that require very careful management, or both</t>
  </si>
  <si>
    <t xml:space="preserve">Table 3 : Land Capability Classes and Grade Classification</t>
  </si>
  <si>
    <t xml:space="preserve">Soils have slight limitations that reduce their use.</t>
  </si>
  <si>
    <t xml:space="preserve">Soils have moderate limitations that reduce the choice of plants or that require moderate conservation practices.</t>
  </si>
  <si>
    <t xml:space="preserve">Soils have severe limitations that reduce the choice of plants or that require special conservation practices, or both.</t>
  </si>
  <si>
    <t xml:space="preserve">Soils have little or no erosion hazard but have other limitations impractical to remove that limit their use largely to pasture, range, woodland, or wildlife food and cover.</t>
  </si>
  <si>
    <t xml:space="preserve">Soils have severe limitations that make them generally
unsuitable for cultivation and limit their use largely to pasture, rangeland, forestland, or wildlife habitat</t>
  </si>
  <si>
    <t xml:space="preserve">Soils have very severe limitations that make them unsuitable for cultivation and that restrict their use mainly to grazing, forestland, or wildlife habitat.</t>
  </si>
  <si>
    <t xml:space="preserve">Soils and landforms have limitations that preclude their use for commercial plant production and restrict their use to recreational purposes, wildlife habitat, or water supply or aesthetic purposes</t>
  </si>
  <si>
    <t xml:space="preserve">Src: United States Department of Agriculture (USDA): Klingebiel &amp; Montgomery, 1961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</si>
</sst>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MM/YY"/>
    <numFmt numFmtId="167" formatCode="DD/MMM"/>
    <numFmt numFmtId="168" formatCode="0"/>
    <numFmt numFmtId="169" formatCode="0%"/>
    <numFmt numFmtId="170" formatCode="0.000"/>
    <numFmt numFmtId="171" formatCode="@"/>
    <numFmt numFmtId="172" formatCode="0.0000"/>
    <numFmt numFmtId="173" formatCode="0.0000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Times New Roman"/>
      <family val="0"/>
    </font>
    <font>
      <b val="true"/>
      <sz val="11"/>
      <color rgb="FF0D0D0D"/>
      <name val="Calibri"/>
      <family val="2"/>
      <charset val="1"/>
    </font>
    <font>
      <b val="true"/>
      <sz val="11"/>
      <color rgb="FF0000FF"/>
      <name val="Calibri"/>
      <family val="2"/>
      <charset val="1"/>
    </font>
    <font>
      <b val="true"/>
      <sz val="11"/>
      <color rgb="FF009900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b val="true"/>
      <sz val="11"/>
      <color rgb="FFFF33CC"/>
      <name val="Calibri"/>
      <family val="2"/>
      <charset val="1"/>
    </font>
    <font>
      <b val="true"/>
      <sz val="11"/>
      <color rgb="FF000000"/>
      <name val="Symbol"/>
      <family val="1"/>
      <charset val="2"/>
    </font>
    <font>
      <sz val="11"/>
      <color rgb="FF0D0D0D"/>
      <name val="Calibri"/>
      <family val="2"/>
      <charset val="1"/>
    </font>
    <font>
      <sz val="11"/>
      <color rgb="FF000000"/>
      <name val="Times New Roman"/>
      <family val="1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Times New Roman"/>
      <family val="1"/>
      <charset val="1"/>
    </font>
    <font>
      <vertAlign val="superscript"/>
      <sz val="11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i val="true"/>
      <sz val="11"/>
      <color rgb="FF0070C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E7E6E6"/>
        <bgColor rgb="FFE2F0D9"/>
      </patternFill>
    </fill>
    <fill>
      <patternFill patternType="solid">
        <fgColor rgb="FF4472C4"/>
        <bgColor rgb="FF666699"/>
      </patternFill>
    </fill>
    <fill>
      <patternFill patternType="solid">
        <fgColor rgb="FF5B9BD5"/>
        <bgColor rgb="FF4472C4"/>
      </patternFill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FF0000"/>
      </patternFill>
    </fill>
    <fill>
      <patternFill patternType="solid">
        <fgColor rgb="FFE2F0D9"/>
        <bgColor rgb="FFE7E6E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33CC"/>
      <rgbColor rgb="FF00FFFF"/>
      <rgbColor rgb="FFC00000"/>
      <rgbColor rgb="FF0099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70AD47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362160</xdr:colOff>
      <xdr:row>17</xdr:row>
      <xdr:rowOff>133200</xdr:rowOff>
    </xdr:from>
    <xdr:to>
      <xdr:col>9</xdr:col>
      <xdr:colOff>446760</xdr:colOff>
      <xdr:row>29</xdr:row>
      <xdr:rowOff>170640</xdr:rowOff>
    </xdr:to>
    <xdr:sp>
      <xdr:nvSpPr>
        <xdr:cNvPr id="0" name="CustomShape 1"/>
        <xdr:cNvSpPr/>
      </xdr:nvSpPr>
      <xdr:spPr>
        <a:xfrm>
          <a:off x="7788240" y="3295440"/>
          <a:ext cx="5484240" cy="214056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IN" sz="1100" spc="-1" strike="noStrike">
              <a:latin typeface="Times New Roman"/>
            </a:rPr>
            <a:t>This chart isn't available in your version of Excel.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16.29"/>
    <col collapsed="false" customWidth="true" hidden="false" outlineLevel="0" max="4" min="3" style="0" width="39.28"/>
    <col collapsed="false" customWidth="true" hidden="false" outlineLevel="0" max="5" min="5" style="0" width="16.14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2" t="s">
        <v>1</v>
      </c>
      <c r="B2" s="3" t="s">
        <v>2</v>
      </c>
    </row>
    <row r="3" customFormat="false" ht="15" hidden="false" customHeight="false" outlineLevel="0" collapsed="false">
      <c r="A3" s="2" t="s">
        <v>3</v>
      </c>
      <c r="B3" s="3" t="s">
        <v>4</v>
      </c>
    </row>
    <row r="4" customFormat="false" ht="15" hidden="false" customHeight="false" outlineLevel="0" collapsed="false">
      <c r="A4" s="2" t="s">
        <v>5</v>
      </c>
      <c r="B4" s="3" t="s">
        <v>6</v>
      </c>
    </row>
    <row r="5" customFormat="false" ht="15" hidden="false" customHeight="false" outlineLevel="0" collapsed="false">
      <c r="A5" s="2" t="s">
        <v>7</v>
      </c>
      <c r="B5" s="3" t="n">
        <v>2015</v>
      </c>
    </row>
    <row r="7" customFormat="false" ht="15.75" hidden="false" customHeight="false" outlineLevel="0" collapsed="false"/>
    <row r="8" customFormat="false" ht="39.95" hidden="false" customHeight="true" outlineLevel="0" collapsed="false">
      <c r="A8" s="4" t="s">
        <v>8</v>
      </c>
      <c r="B8" s="5" t="s">
        <v>9</v>
      </c>
      <c r="C8" s="4" t="s">
        <v>10</v>
      </c>
      <c r="D8" s="6" t="s">
        <v>11</v>
      </c>
    </row>
    <row r="9" customFormat="false" ht="39.95" hidden="false" customHeight="true" outlineLevel="0" collapsed="false">
      <c r="A9" s="7" t="s">
        <v>12</v>
      </c>
      <c r="B9" s="8" t="n">
        <v>3</v>
      </c>
      <c r="C9" s="9" t="s">
        <v>13</v>
      </c>
      <c r="D9" s="10" t="str">
        <f aca="false">'WS Tool_Backend'!E9</f>
        <v>D</v>
      </c>
    </row>
    <row r="10" customFormat="false" ht="39.95" hidden="false" customHeight="true" outlineLevel="0" collapsed="false">
      <c r="A10" s="7"/>
      <c r="B10" s="8"/>
      <c r="C10" s="11" t="s">
        <v>14</v>
      </c>
      <c r="D10" s="12" t="str">
        <f aca="false">'WS Tool_Backend'!E10</f>
        <v>C</v>
      </c>
    </row>
    <row r="11" customFormat="false" ht="39.95" hidden="false" customHeight="true" outlineLevel="0" collapsed="false">
      <c r="A11" s="13" t="s">
        <v>15</v>
      </c>
      <c r="B11" s="8" t="n">
        <v>2</v>
      </c>
      <c r="C11" s="9" t="s">
        <v>16</v>
      </c>
      <c r="D11" s="10" t="str">
        <f aca="false">'WS Tool_Backend'!E11</f>
        <v>B</v>
      </c>
    </row>
    <row r="12" customFormat="false" ht="39.95" hidden="false" customHeight="true" outlineLevel="0" collapsed="false">
      <c r="A12" s="13"/>
      <c r="B12" s="8"/>
      <c r="C12" s="11" t="s">
        <v>17</v>
      </c>
      <c r="D12" s="12" t="str">
        <f aca="false">'WS Tool_Backend'!E12</f>
        <v>C</v>
      </c>
    </row>
    <row r="13" customFormat="false" ht="39.95" hidden="false" customHeight="true" outlineLevel="0" collapsed="false">
      <c r="A13" s="14" t="s">
        <v>18</v>
      </c>
      <c r="B13" s="8" t="n">
        <v>5</v>
      </c>
      <c r="C13" s="15" t="s">
        <v>19</v>
      </c>
      <c r="D13" s="6" t="str">
        <f aca="false">'WS Tool_Backend'!E13</f>
        <v>A</v>
      </c>
    </row>
    <row r="14" customFormat="false" ht="39.95" hidden="false" customHeight="true" outlineLevel="0" collapsed="false">
      <c r="A14" s="16" t="s">
        <v>20</v>
      </c>
      <c r="B14" s="8" t="n">
        <v>1</v>
      </c>
      <c r="C14" s="9" t="s">
        <v>21</v>
      </c>
      <c r="D14" s="10" t="str">
        <f aca="false">'WS Tool_Backend'!E14</f>
        <v>D</v>
      </c>
    </row>
    <row r="15" customFormat="false" ht="39.95" hidden="false" customHeight="true" outlineLevel="0" collapsed="false">
      <c r="A15" s="16"/>
      <c r="B15" s="8"/>
      <c r="C15" s="11" t="s">
        <v>22</v>
      </c>
      <c r="D15" s="12" t="str">
        <f aca="false">'WS Tool_Backend'!E15</f>
        <v>D</v>
      </c>
    </row>
    <row r="16" customFormat="false" ht="39.95" hidden="false" customHeight="true" outlineLevel="0" collapsed="false">
      <c r="A16" s="17" t="s">
        <v>23</v>
      </c>
      <c r="B16" s="8" t="n">
        <v>4</v>
      </c>
      <c r="C16" s="9" t="s">
        <v>24</v>
      </c>
      <c r="D16" s="10" t="str">
        <f aca="false">'WS Tool_Backend'!E16</f>
        <v>D</v>
      </c>
    </row>
    <row r="17" customFormat="false" ht="39.95" hidden="false" customHeight="true" outlineLevel="0" collapsed="false">
      <c r="A17" s="17"/>
      <c r="B17" s="8"/>
      <c r="C17" s="18" t="s">
        <v>25</v>
      </c>
      <c r="D17" s="19" t="str">
        <f aca="false">'WS Tool_Backend'!E17</f>
        <v>D</v>
      </c>
    </row>
    <row r="18" customFormat="false" ht="39.95" hidden="false" customHeight="true" outlineLevel="0" collapsed="false">
      <c r="A18" s="17"/>
      <c r="B18" s="8"/>
      <c r="C18" s="11" t="s">
        <v>26</v>
      </c>
      <c r="D18" s="12" t="str">
        <f aca="false">'WS Tool_Backend'!E18</f>
        <v>C</v>
      </c>
    </row>
    <row r="19" customFormat="false" ht="15" hidden="false" customHeight="false" outlineLevel="0" collapsed="false">
      <c r="A19" s="20"/>
      <c r="B19" s="21"/>
      <c r="C19" s="21"/>
      <c r="D19" s="21"/>
    </row>
    <row r="20" customFormat="false" ht="24.75" hidden="false" customHeight="true" outlineLevel="0" collapsed="false">
      <c r="A20" s="22" t="s">
        <v>27</v>
      </c>
      <c r="B20" s="22"/>
      <c r="C20" s="22"/>
      <c r="D20" s="23" t="n">
        <f aca="false">'WS Tool_Backend'!H19</f>
        <v>67.7777777777778</v>
      </c>
    </row>
    <row r="21" customFormat="false" ht="24" hidden="false" customHeight="true" outlineLevel="0" collapsed="false">
      <c r="A21" s="22" t="s">
        <v>28</v>
      </c>
      <c r="B21" s="22"/>
      <c r="C21" s="22"/>
      <c r="D21" s="22" t="s">
        <v>29</v>
      </c>
    </row>
    <row r="22" customFormat="false" ht="30" hidden="false" customHeight="false" outlineLevel="0" collapsed="false">
      <c r="A22" s="22" t="s">
        <v>30</v>
      </c>
      <c r="B22" s="22"/>
      <c r="C22" s="22"/>
      <c r="D22" s="24" t="s">
        <v>31</v>
      </c>
    </row>
    <row r="25" customFormat="false" ht="15" hidden="false" customHeight="false" outlineLevel="0" collapsed="false">
      <c r="A25" s="25" t="s">
        <v>32</v>
      </c>
      <c r="B25" s="25"/>
      <c r="C25" s="25"/>
      <c r="D25" s="26"/>
      <c r="E25" s="26"/>
    </row>
    <row r="26" customFormat="false" ht="15" hidden="false" customHeight="false" outlineLevel="0" collapsed="false">
      <c r="A26" s="22" t="s">
        <v>33</v>
      </c>
      <c r="B26" s="22" t="s">
        <v>34</v>
      </c>
      <c r="C26" s="22" t="s">
        <v>35</v>
      </c>
    </row>
    <row r="27" customFormat="false" ht="28.5" hidden="false" customHeight="true" outlineLevel="0" collapsed="false">
      <c r="A27" s="18" t="s">
        <v>36</v>
      </c>
      <c r="B27" s="18" t="s">
        <v>37</v>
      </c>
      <c r="C27" s="18" t="s">
        <v>38</v>
      </c>
    </row>
    <row r="28" customFormat="false" ht="30" hidden="false" customHeight="false" outlineLevel="0" collapsed="false">
      <c r="A28" s="18" t="s">
        <v>29</v>
      </c>
      <c r="B28" s="18" t="s">
        <v>39</v>
      </c>
      <c r="C28" s="27" t="s">
        <v>31</v>
      </c>
    </row>
    <row r="29" customFormat="false" ht="30" hidden="false" customHeight="false" outlineLevel="0" collapsed="false">
      <c r="A29" s="18" t="s">
        <v>40</v>
      </c>
      <c r="B29" s="28" t="s">
        <v>41</v>
      </c>
      <c r="C29" s="27" t="s">
        <v>42</v>
      </c>
    </row>
    <row r="30" customFormat="false" ht="30" hidden="false" customHeight="false" outlineLevel="0" collapsed="false">
      <c r="A30" s="18" t="s">
        <v>43</v>
      </c>
      <c r="B30" s="29" t="s">
        <v>44</v>
      </c>
      <c r="C30" s="27" t="s">
        <v>45</v>
      </c>
    </row>
    <row r="31" customFormat="false" ht="30" hidden="false" customHeight="false" outlineLevel="0" collapsed="false">
      <c r="A31" s="18" t="s">
        <v>46</v>
      </c>
      <c r="B31" s="18" t="s">
        <v>47</v>
      </c>
      <c r="C31" s="27" t="s">
        <v>48</v>
      </c>
    </row>
  </sheetData>
  <mergeCells count="14">
    <mergeCell ref="A1:B1"/>
    <mergeCell ref="A9:A10"/>
    <mergeCell ref="B9:B10"/>
    <mergeCell ref="A11:A12"/>
    <mergeCell ref="B11:B12"/>
    <mergeCell ref="A14:A15"/>
    <mergeCell ref="B14:B15"/>
    <mergeCell ref="A16:A18"/>
    <mergeCell ref="B16:B18"/>
    <mergeCell ref="A20:C20"/>
    <mergeCell ref="A21:C21"/>
    <mergeCell ref="A22:C22"/>
    <mergeCell ref="A25:C25"/>
    <mergeCell ref="D25:E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0.71"/>
    <col collapsed="false" customWidth="true" hidden="false" outlineLevel="0" max="3" min="3" style="0" width="15.29"/>
    <col collapsed="false" customWidth="true" hidden="false" outlineLevel="0" max="4" min="4" style="0" width="8.67"/>
    <col collapsed="false" customWidth="true" hidden="false" outlineLevel="0" max="5" min="5" style="0" width="16"/>
    <col collapsed="false" customWidth="true" hidden="false" outlineLevel="0" max="6" min="6" style="0" width="8"/>
    <col collapsed="false" customWidth="true" hidden="false" outlineLevel="0" max="7" min="7" style="0" width="17.71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30" t="s">
        <v>49</v>
      </c>
      <c r="B1" s="30"/>
    </row>
    <row r="2" customFormat="false" ht="15" hidden="false" customHeight="false" outlineLevel="0" collapsed="false">
      <c r="A2" s="2" t="s">
        <v>1</v>
      </c>
      <c r="B2" s="3" t="s">
        <v>2</v>
      </c>
    </row>
    <row r="3" customFormat="false" ht="15" hidden="false" customHeight="false" outlineLevel="0" collapsed="false">
      <c r="A3" s="2" t="s">
        <v>3</v>
      </c>
      <c r="B3" s="3" t="s">
        <v>4</v>
      </c>
    </row>
    <row r="4" customFormat="false" ht="15" hidden="false" customHeight="false" outlineLevel="0" collapsed="false">
      <c r="A4" s="2" t="s">
        <v>5</v>
      </c>
      <c r="B4" s="3" t="s">
        <v>6</v>
      </c>
    </row>
    <row r="5" customFormat="false" ht="15" hidden="false" customHeight="false" outlineLevel="0" collapsed="false">
      <c r="A5" s="2" t="s">
        <v>7</v>
      </c>
      <c r="B5" s="3" t="n">
        <v>2015</v>
      </c>
    </row>
    <row r="7" customFormat="false" ht="15" hidden="false" customHeight="false" outlineLevel="0" collapsed="false">
      <c r="A7" s="2" t="s">
        <v>76</v>
      </c>
      <c r="B7" s="3" t="s">
        <v>77</v>
      </c>
    </row>
    <row r="8" customFormat="false" ht="15" hidden="false" customHeight="false" outlineLevel="0" collapsed="false">
      <c r="A8" s="2" t="s">
        <v>78</v>
      </c>
      <c r="B8" s="3" t="s">
        <v>375</v>
      </c>
    </row>
    <row r="9" customFormat="false" ht="15" hidden="false" customHeight="false" outlineLevel="0" collapsed="false">
      <c r="A9" s="2" t="s">
        <v>79</v>
      </c>
      <c r="B9" s="3" t="s">
        <v>24</v>
      </c>
    </row>
    <row r="12" customFormat="false" ht="15" hidden="false" customHeight="false" outlineLevel="0" collapsed="false">
      <c r="A12" s="138" t="s">
        <v>376</v>
      </c>
      <c r="B12" s="138"/>
    </row>
    <row r="13" customFormat="false" ht="15" hidden="false" customHeight="false" outlineLevel="0" collapsed="false">
      <c r="A13" s="143" t="s">
        <v>377</v>
      </c>
      <c r="B13" s="22" t="s">
        <v>378</v>
      </c>
    </row>
    <row r="14" customFormat="false" ht="15" hidden="false" customHeight="false" outlineLevel="0" collapsed="false">
      <c r="A14" s="18" t="n">
        <v>35</v>
      </c>
      <c r="B14" s="144" t="n">
        <v>24.79392</v>
      </c>
    </row>
    <row r="15" customFormat="false" ht="15" hidden="false" customHeight="false" outlineLevel="0" collapsed="false">
      <c r="A15" s="18" t="n">
        <v>43</v>
      </c>
      <c r="B15" s="65" t="n">
        <v>20.28823</v>
      </c>
    </row>
    <row r="16" customFormat="false" ht="15" hidden="false" customHeight="false" outlineLevel="0" collapsed="false">
      <c r="A16" s="18" t="n">
        <v>50</v>
      </c>
      <c r="B16" s="65" t="n">
        <v>2.75829</v>
      </c>
    </row>
    <row r="17" customFormat="false" ht="15" hidden="false" customHeight="false" outlineLevel="0" collapsed="false">
      <c r="A17" s="18" t="n">
        <v>56</v>
      </c>
      <c r="B17" s="65" t="n">
        <v>5.02696</v>
      </c>
    </row>
    <row r="18" customFormat="false" ht="15" hidden="false" customHeight="false" outlineLevel="0" collapsed="false">
      <c r="A18" s="18" t="n">
        <v>60</v>
      </c>
      <c r="B18" s="65" t="n">
        <v>2.96808</v>
      </c>
    </row>
    <row r="19" customFormat="false" ht="15" hidden="false" customHeight="false" outlineLevel="0" collapsed="false">
      <c r="A19" s="18" t="n">
        <v>75</v>
      </c>
      <c r="B19" s="65" t="n">
        <v>10.8692</v>
      </c>
    </row>
    <row r="20" customFormat="false" ht="15" hidden="false" customHeight="false" outlineLevel="0" collapsed="false">
      <c r="A20" s="130"/>
      <c r="B20" s="131" t="n">
        <f aca="false">SUM(B14:B19)</f>
        <v>66.70468</v>
      </c>
    </row>
    <row r="21" customFormat="false" ht="48" hidden="false" customHeight="true" outlineLevel="0" collapsed="false">
      <c r="A21" s="145" t="s">
        <v>379</v>
      </c>
      <c r="B21" s="145"/>
    </row>
    <row r="23" customFormat="false" ht="15" hidden="false" customHeight="false" outlineLevel="0" collapsed="false">
      <c r="A23" s="59" t="s">
        <v>380</v>
      </c>
      <c r="B23" s="59"/>
      <c r="C23" s="59"/>
    </row>
    <row r="24" customFormat="false" ht="15" hidden="false" customHeight="false" outlineLevel="0" collapsed="false">
      <c r="A24" s="60" t="s">
        <v>381</v>
      </c>
      <c r="B24" s="60" t="s">
        <v>382</v>
      </c>
      <c r="C24" s="60" t="s">
        <v>383</v>
      </c>
    </row>
    <row r="25" customFormat="false" ht="15" hidden="false" customHeight="false" outlineLevel="0" collapsed="false">
      <c r="A25" s="127" t="s">
        <v>384</v>
      </c>
      <c r="B25" s="127" t="s">
        <v>385</v>
      </c>
      <c r="C25" s="127" t="s">
        <v>43</v>
      </c>
    </row>
    <row r="28" customFormat="false" ht="17.25" hidden="false" customHeight="true" outlineLevel="0" collapsed="false">
      <c r="A28" s="141" t="s">
        <v>386</v>
      </c>
      <c r="B28" s="141"/>
      <c r="C28" s="141"/>
    </row>
    <row r="29" customFormat="false" ht="30" hidden="false" customHeight="false" outlineLevel="0" collapsed="false">
      <c r="A29" s="24" t="s">
        <v>387</v>
      </c>
      <c r="B29" s="22" t="s">
        <v>382</v>
      </c>
      <c r="C29" s="22" t="s">
        <v>346</v>
      </c>
    </row>
    <row r="30" customFormat="false" ht="15" hidden="false" customHeight="false" outlineLevel="0" collapsed="false">
      <c r="A30" s="18" t="s">
        <v>388</v>
      </c>
      <c r="B30" s="18" t="s">
        <v>389</v>
      </c>
      <c r="C30" s="18" t="s">
        <v>36</v>
      </c>
    </row>
    <row r="31" customFormat="false" ht="15" hidden="false" customHeight="false" outlineLevel="0" collapsed="false">
      <c r="A31" s="18" t="s">
        <v>390</v>
      </c>
      <c r="B31" s="58" t="s">
        <v>391</v>
      </c>
      <c r="C31" s="18" t="s">
        <v>29</v>
      </c>
    </row>
    <row r="32" customFormat="false" ht="15" hidden="false" customHeight="false" outlineLevel="0" collapsed="false">
      <c r="A32" s="18" t="s">
        <v>392</v>
      </c>
      <c r="B32" s="58" t="s">
        <v>393</v>
      </c>
      <c r="C32" s="18"/>
    </row>
    <row r="33" customFormat="false" ht="15" hidden="false" customHeight="false" outlineLevel="0" collapsed="false">
      <c r="A33" s="18" t="s">
        <v>394</v>
      </c>
      <c r="B33" s="58" t="s">
        <v>395</v>
      </c>
      <c r="C33" s="18" t="s">
        <v>40</v>
      </c>
    </row>
    <row r="34" customFormat="false" ht="15" hidden="false" customHeight="false" outlineLevel="0" collapsed="false">
      <c r="A34" s="18" t="s">
        <v>396</v>
      </c>
      <c r="B34" s="58" t="s">
        <v>385</v>
      </c>
      <c r="C34" s="18" t="s">
        <v>43</v>
      </c>
    </row>
    <row r="35" customFormat="false" ht="15" hidden="false" customHeight="false" outlineLevel="0" collapsed="false">
      <c r="A35" s="18" t="s">
        <v>397</v>
      </c>
      <c r="B35" s="58" t="s">
        <v>398</v>
      </c>
      <c r="C35" s="18"/>
    </row>
    <row r="36" customFormat="false" ht="15" hidden="false" customHeight="false" outlineLevel="0" collapsed="false">
      <c r="A36" s="18" t="s">
        <v>399</v>
      </c>
      <c r="B36" s="58" t="s">
        <v>400</v>
      </c>
      <c r="C36" s="18" t="s">
        <v>46</v>
      </c>
    </row>
    <row r="37" customFormat="false" ht="30.75" hidden="false" customHeight="true" outlineLevel="0" collapsed="false">
      <c r="A37" s="142" t="s">
        <v>401</v>
      </c>
      <c r="B37" s="142"/>
      <c r="C37" s="142"/>
    </row>
  </sheetData>
  <mergeCells count="8">
    <mergeCell ref="A1:B1"/>
    <mergeCell ref="A12:B12"/>
    <mergeCell ref="A21:B21"/>
    <mergeCell ref="A23:C23"/>
    <mergeCell ref="A28:C28"/>
    <mergeCell ref="C31:C32"/>
    <mergeCell ref="C34:C35"/>
    <mergeCell ref="A37:C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24.29"/>
    <col collapsed="false" customWidth="true" hidden="false" outlineLevel="0" max="3" min="3" style="0" width="29.71"/>
    <col collapsed="false" customWidth="true" hidden="false" outlineLevel="0" max="5" min="4" style="0" width="8.67"/>
    <col collapsed="false" customWidth="true" hidden="false" outlineLevel="0" max="6" min="6" style="0" width="36.42"/>
    <col collapsed="false" customWidth="true" hidden="false" outlineLevel="0" max="7" min="7" style="0" width="8.67"/>
    <col collapsed="false" customWidth="true" hidden="false" outlineLevel="0" max="8" min="8" style="0" width="16.29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30" t="s">
        <v>49</v>
      </c>
      <c r="B1" s="30"/>
    </row>
    <row r="2" customFormat="false" ht="15" hidden="false" customHeight="false" outlineLevel="0" collapsed="false">
      <c r="A2" s="2" t="s">
        <v>1</v>
      </c>
      <c r="B2" s="3" t="s">
        <v>2</v>
      </c>
    </row>
    <row r="3" customFormat="false" ht="15" hidden="false" customHeight="false" outlineLevel="0" collapsed="false">
      <c r="A3" s="2" t="s">
        <v>3</v>
      </c>
      <c r="B3" s="3" t="s">
        <v>4</v>
      </c>
    </row>
    <row r="4" customFormat="false" ht="15" hidden="false" customHeight="false" outlineLevel="0" collapsed="false">
      <c r="A4" s="2" t="s">
        <v>5</v>
      </c>
      <c r="B4" s="3" t="s">
        <v>6</v>
      </c>
    </row>
    <row r="5" customFormat="false" ht="15" hidden="false" customHeight="false" outlineLevel="0" collapsed="false">
      <c r="A5" s="2" t="s">
        <v>7</v>
      </c>
      <c r="B5" s="3" t="n">
        <v>2015</v>
      </c>
    </row>
    <row r="7" customFormat="false" ht="15" hidden="false" customHeight="false" outlineLevel="0" collapsed="false">
      <c r="A7" s="2" t="s">
        <v>76</v>
      </c>
      <c r="B7" s="3" t="s">
        <v>77</v>
      </c>
    </row>
    <row r="8" customFormat="false" ht="15" hidden="false" customHeight="false" outlineLevel="0" collapsed="false">
      <c r="A8" s="2" t="s">
        <v>78</v>
      </c>
      <c r="B8" s="3" t="s">
        <v>375</v>
      </c>
    </row>
    <row r="9" customFormat="false" ht="15" hidden="false" customHeight="false" outlineLevel="0" collapsed="false">
      <c r="A9" s="2" t="s">
        <v>79</v>
      </c>
      <c r="B9" s="3" t="s">
        <v>25</v>
      </c>
    </row>
    <row r="12" customFormat="false" ht="15" hidden="false" customHeight="false" outlineLevel="0" collapsed="false">
      <c r="A12" s="138" t="s">
        <v>402</v>
      </c>
      <c r="B12" s="138"/>
      <c r="C12" s="138"/>
    </row>
    <row r="13" customFormat="false" ht="15" hidden="false" customHeight="false" outlineLevel="0" collapsed="false">
      <c r="A13" s="22" t="s">
        <v>382</v>
      </c>
      <c r="B13" s="146" t="s">
        <v>403</v>
      </c>
      <c r="C13" s="22" t="s">
        <v>404</v>
      </c>
    </row>
    <row r="14" customFormat="false" ht="15" hidden="false" customHeight="false" outlineLevel="0" collapsed="false">
      <c r="A14" s="18" t="s">
        <v>36</v>
      </c>
      <c r="B14" s="65" t="n">
        <v>1.92204</v>
      </c>
      <c r="C14" s="64" t="n">
        <f aca="false">B14/$B$19</f>
        <v>0.0288141701601747</v>
      </c>
    </row>
    <row r="15" customFormat="false" ht="15" hidden="false" customHeight="false" outlineLevel="0" collapsed="false">
      <c r="A15" s="18" t="s">
        <v>29</v>
      </c>
      <c r="B15" s="65" t="n">
        <v>10.8692</v>
      </c>
      <c r="C15" s="64" t="n">
        <f aca="false">B15/$B$19</f>
        <v>0.162945088710417</v>
      </c>
    </row>
    <row r="16" customFormat="false" ht="15" hidden="false" customHeight="false" outlineLevel="0" collapsed="false">
      <c r="A16" s="18" t="s">
        <v>40</v>
      </c>
      <c r="B16" s="65" t="n">
        <v>0</v>
      </c>
      <c r="C16" s="64" t="n">
        <f aca="false">B16/$B$19</f>
        <v>0</v>
      </c>
    </row>
    <row r="17" customFormat="false" ht="15" hidden="false" customHeight="false" outlineLevel="0" collapsed="false">
      <c r="A17" s="69" t="s">
        <v>43</v>
      </c>
      <c r="B17" s="147" t="n">
        <v>30.51187</v>
      </c>
      <c r="C17" s="148" t="n">
        <f aca="false">B17/$B$19</f>
        <v>0.457417230695058</v>
      </c>
    </row>
    <row r="18" customFormat="false" ht="15" hidden="false" customHeight="false" outlineLevel="0" collapsed="false">
      <c r="A18" s="18" t="s">
        <v>46</v>
      </c>
      <c r="B18" s="65" t="n">
        <v>23.40157</v>
      </c>
      <c r="C18" s="64" t="n">
        <f aca="false">B18/$B$19</f>
        <v>0.35082351043435</v>
      </c>
    </row>
    <row r="19" customFormat="false" ht="15" hidden="false" customHeight="false" outlineLevel="0" collapsed="false">
      <c r="A19" s="130"/>
      <c r="B19" s="131" t="n">
        <f aca="false">SUM(B14:B18)</f>
        <v>66.70468</v>
      </c>
      <c r="C19" s="130"/>
    </row>
    <row r="20" customFormat="false" ht="34.5" hidden="false" customHeight="true" outlineLevel="0" collapsed="false">
      <c r="A20" s="149" t="s">
        <v>405</v>
      </c>
      <c r="B20" s="149"/>
      <c r="C20" s="149"/>
    </row>
    <row r="21" customFormat="false" ht="15" hidden="false" customHeight="false" outlineLevel="0" collapsed="false">
      <c r="A21" s="150"/>
      <c r="B21" s="151"/>
      <c r="C21" s="151"/>
    </row>
    <row r="23" customFormat="false" ht="15" hidden="false" customHeight="false" outlineLevel="0" collapsed="false">
      <c r="A23" s="59" t="s">
        <v>406</v>
      </c>
      <c r="B23" s="59"/>
      <c r="C23" s="59"/>
    </row>
    <row r="24" customFormat="false" ht="15" hidden="false" customHeight="false" outlineLevel="0" collapsed="false">
      <c r="A24" s="60" t="s">
        <v>407</v>
      </c>
      <c r="B24" s="60" t="s">
        <v>291</v>
      </c>
      <c r="C24" s="60" t="s">
        <v>346</v>
      </c>
    </row>
    <row r="25" customFormat="false" ht="45" hidden="false" customHeight="false" outlineLevel="0" collapsed="false">
      <c r="A25" s="152" t="s">
        <v>408</v>
      </c>
      <c r="B25" s="127" t="s">
        <v>409</v>
      </c>
      <c r="C25" s="127" t="s">
        <v>43</v>
      </c>
    </row>
    <row r="28" customFormat="false" ht="24" hidden="false" customHeight="true" outlineLevel="0" collapsed="false">
      <c r="A28" s="153" t="s">
        <v>410</v>
      </c>
      <c r="B28" s="153"/>
      <c r="C28" s="153"/>
    </row>
    <row r="29" customFormat="false" ht="15" hidden="false" customHeight="false" outlineLevel="0" collapsed="false">
      <c r="A29" s="24" t="s">
        <v>382</v>
      </c>
      <c r="B29" s="22" t="s">
        <v>359</v>
      </c>
      <c r="C29" s="22" t="s">
        <v>346</v>
      </c>
    </row>
    <row r="30" customFormat="false" ht="45" hidden="false" customHeight="false" outlineLevel="0" collapsed="false">
      <c r="A30" s="27" t="s">
        <v>411</v>
      </c>
      <c r="B30" s="18" t="s">
        <v>412</v>
      </c>
      <c r="C30" s="18" t="s">
        <v>36</v>
      </c>
    </row>
    <row r="31" customFormat="false" ht="30" hidden="false" customHeight="false" outlineLevel="0" collapsed="false">
      <c r="A31" s="27" t="s">
        <v>413</v>
      </c>
      <c r="B31" s="18" t="s">
        <v>414</v>
      </c>
      <c r="C31" s="18" t="s">
        <v>29</v>
      </c>
    </row>
    <row r="32" customFormat="false" ht="30" hidden="false" customHeight="false" outlineLevel="0" collapsed="false">
      <c r="A32" s="27" t="s">
        <v>415</v>
      </c>
      <c r="B32" s="18" t="s">
        <v>416</v>
      </c>
      <c r="C32" s="18" t="s">
        <v>40</v>
      </c>
    </row>
    <row r="33" customFormat="false" ht="45" hidden="false" customHeight="false" outlineLevel="0" collapsed="false">
      <c r="A33" s="27" t="s">
        <v>417</v>
      </c>
      <c r="B33" s="18" t="s">
        <v>409</v>
      </c>
      <c r="C33" s="18" t="s">
        <v>43</v>
      </c>
    </row>
    <row r="34" customFormat="false" ht="30" hidden="false" customHeight="false" outlineLevel="0" collapsed="false">
      <c r="A34" s="27" t="s">
        <v>418</v>
      </c>
      <c r="B34" s="18" t="s">
        <v>419</v>
      </c>
      <c r="C34" s="18" t="s">
        <v>46</v>
      </c>
    </row>
    <row r="35" customFormat="false" ht="15" hidden="false" customHeight="false" outlineLevel="0" collapsed="false">
      <c r="A35" s="18" t="s">
        <v>420</v>
      </c>
      <c r="B35" s="18" t="s">
        <v>421</v>
      </c>
      <c r="C35" s="18"/>
    </row>
    <row r="36" customFormat="false" ht="23.25" hidden="false" customHeight="true" outlineLevel="0" collapsed="false">
      <c r="A36" s="142" t="s">
        <v>401</v>
      </c>
      <c r="B36" s="142"/>
      <c r="C36" s="142"/>
    </row>
  </sheetData>
  <mergeCells count="6">
    <mergeCell ref="A1:B1"/>
    <mergeCell ref="A12:C12"/>
    <mergeCell ref="A20:C20"/>
    <mergeCell ref="A23:C23"/>
    <mergeCell ref="A28:C28"/>
    <mergeCell ref="A36:C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6" activeCellId="0" sqref="A26"/>
    </sheetView>
  </sheetViews>
  <sheetFormatPr defaultRowHeight="15" zeroHeight="false" outlineLevelRow="0" outlineLevelCol="0"/>
  <cols>
    <col collapsed="false" customWidth="true" hidden="false" outlineLevel="0" max="1" min="1" style="0" width="27.13"/>
    <col collapsed="false" customWidth="true" hidden="false" outlineLevel="0" max="2" min="2" style="0" width="34.86"/>
    <col collapsed="false" customWidth="true" hidden="false" outlineLevel="0" max="3" min="3" style="0" width="26.42"/>
    <col collapsed="false" customWidth="true" hidden="false" outlineLevel="0" max="6" min="4" style="0" width="8.67"/>
    <col collapsed="false" customWidth="true" hidden="false" outlineLevel="0" max="7" min="7" style="0" width="49.71"/>
    <col collapsed="false" customWidth="true" hidden="false" outlineLevel="0" max="8" min="8" style="0" width="8.67"/>
    <col collapsed="false" customWidth="true" hidden="false" outlineLevel="0" max="9" min="9" style="0" width="10.99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30" t="s">
        <v>49</v>
      </c>
      <c r="B1" s="30"/>
    </row>
    <row r="2" customFormat="false" ht="15" hidden="false" customHeight="false" outlineLevel="0" collapsed="false">
      <c r="A2" s="2" t="s">
        <v>1</v>
      </c>
      <c r="B2" s="3" t="s">
        <v>2</v>
      </c>
    </row>
    <row r="3" customFormat="false" ht="15" hidden="false" customHeight="false" outlineLevel="0" collapsed="false">
      <c r="A3" s="2" t="s">
        <v>3</v>
      </c>
      <c r="B3" s="3" t="s">
        <v>4</v>
      </c>
    </row>
    <row r="4" customFormat="false" ht="15" hidden="false" customHeight="false" outlineLevel="0" collapsed="false">
      <c r="A4" s="2" t="s">
        <v>5</v>
      </c>
      <c r="B4" s="3" t="s">
        <v>6</v>
      </c>
    </row>
    <row r="5" customFormat="false" ht="15" hidden="false" customHeight="false" outlineLevel="0" collapsed="false">
      <c r="A5" s="2" t="s">
        <v>7</v>
      </c>
      <c r="B5" s="3" t="n">
        <v>2015</v>
      </c>
    </row>
    <row r="7" customFormat="false" ht="15" hidden="false" customHeight="false" outlineLevel="0" collapsed="false">
      <c r="A7" s="2" t="s">
        <v>76</v>
      </c>
      <c r="B7" s="3" t="s">
        <v>77</v>
      </c>
    </row>
    <row r="8" customFormat="false" ht="15" hidden="false" customHeight="false" outlineLevel="0" collapsed="false">
      <c r="A8" s="2" t="s">
        <v>78</v>
      </c>
      <c r="B8" s="3" t="s">
        <v>375</v>
      </c>
    </row>
    <row r="9" customFormat="false" ht="15" hidden="false" customHeight="false" outlineLevel="0" collapsed="false">
      <c r="A9" s="2" t="s">
        <v>79</v>
      </c>
      <c r="B9" s="3" t="s">
        <v>26</v>
      </c>
    </row>
    <row r="13" customFormat="false" ht="15" hidden="false" customHeight="false" outlineLevel="0" collapsed="false">
      <c r="A13" s="51" t="s">
        <v>422</v>
      </c>
      <c r="B13" s="51"/>
      <c r="C13" s="51"/>
    </row>
    <row r="14" customFormat="false" ht="15" hidden="false" customHeight="false" outlineLevel="0" collapsed="false">
      <c r="A14" s="143" t="s">
        <v>423</v>
      </c>
      <c r="B14" s="146" t="s">
        <v>403</v>
      </c>
      <c r="C14" s="154" t="s">
        <v>404</v>
      </c>
    </row>
    <row r="15" customFormat="false" ht="15" hidden="false" customHeight="false" outlineLevel="0" collapsed="false">
      <c r="A15" s="18" t="s">
        <v>424</v>
      </c>
      <c r="B15" s="155" t="n">
        <v>17.81821</v>
      </c>
      <c r="C15" s="64" t="n">
        <f aca="false">B15/$B$20</f>
        <v>0.267120797653059</v>
      </c>
    </row>
    <row r="16" customFormat="false" ht="15" hidden="false" customHeight="false" outlineLevel="0" collapsed="false">
      <c r="A16" s="156" t="s">
        <v>425</v>
      </c>
      <c r="B16" s="157" t="n">
        <v>22.72662</v>
      </c>
      <c r="C16" s="148" t="n">
        <f aca="false">B16/$B$20</f>
        <v>0.340704978915276</v>
      </c>
    </row>
    <row r="17" customFormat="false" ht="15" hidden="false" customHeight="false" outlineLevel="0" collapsed="false">
      <c r="A17" s="18" t="s">
        <v>426</v>
      </c>
      <c r="B17" s="155" t="n">
        <v>2.0673</v>
      </c>
      <c r="C17" s="64" t="n">
        <f aca="false">B17/$B$20</f>
        <v>0.0309918238132881</v>
      </c>
    </row>
    <row r="18" customFormat="false" ht="15" hidden="false" customHeight="false" outlineLevel="0" collapsed="false">
      <c r="A18" s="18" t="s">
        <v>427</v>
      </c>
      <c r="B18" s="155" t="n">
        <v>3.80433</v>
      </c>
      <c r="C18" s="64" t="n">
        <f aca="false">B18/$B$20</f>
        <v>0.0570324215583642</v>
      </c>
    </row>
    <row r="19" customFormat="false" ht="15" hidden="false" customHeight="false" outlineLevel="0" collapsed="false">
      <c r="A19" s="18" t="s">
        <v>428</v>
      </c>
      <c r="B19" s="155" t="n">
        <v>20.28823</v>
      </c>
      <c r="C19" s="64" t="n">
        <f aca="false">B19/$B$20</f>
        <v>0.304149978060013</v>
      </c>
    </row>
    <row r="20" customFormat="false" ht="15" hidden="false" customHeight="false" outlineLevel="0" collapsed="false">
      <c r="A20" s="130"/>
      <c r="B20" s="158" t="n">
        <f aca="false">SUM(B15:B19)</f>
        <v>66.70469</v>
      </c>
      <c r="C20" s="130"/>
    </row>
    <row r="21" customFormat="false" ht="33" hidden="false" customHeight="true" outlineLevel="0" collapsed="false">
      <c r="A21" s="149" t="s">
        <v>429</v>
      </c>
      <c r="B21" s="149"/>
      <c r="C21" s="149"/>
    </row>
    <row r="22" customFormat="false" ht="15" hidden="false" customHeight="false" outlineLevel="0" collapsed="false">
      <c r="A22" s="150"/>
      <c r="B22" s="150"/>
      <c r="C22" s="150"/>
    </row>
    <row r="23" customFormat="false" ht="15" hidden="false" customHeight="false" outlineLevel="0" collapsed="false">
      <c r="A23" s="134"/>
      <c r="B23" s="159"/>
      <c r="C23" s="134"/>
    </row>
    <row r="24" customFormat="false" ht="15" hidden="false" customHeight="false" outlineLevel="0" collapsed="false">
      <c r="A24" s="59" t="s">
        <v>430</v>
      </c>
      <c r="B24" s="59"/>
      <c r="C24" s="59"/>
    </row>
    <row r="25" customFormat="false" ht="15" hidden="false" customHeight="false" outlineLevel="0" collapsed="false">
      <c r="A25" s="60" t="s">
        <v>431</v>
      </c>
      <c r="B25" s="60" t="s">
        <v>291</v>
      </c>
      <c r="C25" s="60" t="s">
        <v>346</v>
      </c>
    </row>
    <row r="26" customFormat="false" ht="75" hidden="false" customHeight="false" outlineLevel="0" collapsed="false">
      <c r="A26" s="152" t="s">
        <v>432</v>
      </c>
      <c r="B26" s="127" t="s">
        <v>409</v>
      </c>
      <c r="C26" s="127" t="s">
        <v>40</v>
      </c>
    </row>
    <row r="27" customFormat="false" ht="15" hidden="false" customHeight="false" outlineLevel="0" collapsed="false">
      <c r="A27" s="134"/>
      <c r="B27" s="159"/>
      <c r="C27" s="134"/>
    </row>
    <row r="28" customFormat="false" ht="15" hidden="false" customHeight="false" outlineLevel="0" collapsed="false">
      <c r="B28" s="160"/>
    </row>
    <row r="29" customFormat="false" ht="25.5" hidden="false" customHeight="true" outlineLevel="0" collapsed="false">
      <c r="A29" s="153" t="s">
        <v>433</v>
      </c>
      <c r="B29" s="153"/>
      <c r="C29" s="153"/>
    </row>
    <row r="30" customFormat="false" ht="15" hidden="false" customHeight="false" outlineLevel="0" collapsed="false">
      <c r="A30" s="22" t="s">
        <v>382</v>
      </c>
      <c r="B30" s="24" t="s">
        <v>359</v>
      </c>
      <c r="C30" s="22" t="s">
        <v>346</v>
      </c>
    </row>
    <row r="31" customFormat="false" ht="30" hidden="false" customHeight="false" outlineLevel="0" collapsed="false">
      <c r="A31" s="161" t="s">
        <v>434</v>
      </c>
      <c r="B31" s="18" t="n">
        <v>1</v>
      </c>
      <c r="C31" s="18" t="s">
        <v>36</v>
      </c>
    </row>
    <row r="32" customFormat="false" ht="75" hidden="false" customHeight="false" outlineLevel="0" collapsed="false">
      <c r="A32" s="161" t="s">
        <v>435</v>
      </c>
      <c r="B32" s="18" t="n">
        <v>2</v>
      </c>
      <c r="C32" s="18" t="s">
        <v>29</v>
      </c>
    </row>
    <row r="33" customFormat="false" ht="75" hidden="false" customHeight="false" outlineLevel="0" collapsed="false">
      <c r="A33" s="161" t="s">
        <v>436</v>
      </c>
      <c r="B33" s="18" t="n">
        <v>3</v>
      </c>
      <c r="C33" s="18"/>
    </row>
    <row r="34" customFormat="false" ht="75" hidden="false" customHeight="false" outlineLevel="0" collapsed="false">
      <c r="A34" s="161" t="s">
        <v>432</v>
      </c>
      <c r="B34" s="162" t="n">
        <v>4</v>
      </c>
      <c r="C34" s="18" t="s">
        <v>40</v>
      </c>
    </row>
    <row r="35" customFormat="false" ht="105" hidden="false" customHeight="false" outlineLevel="0" collapsed="false">
      <c r="A35" s="161" t="s">
        <v>437</v>
      </c>
      <c r="B35" s="18" t="n">
        <v>5</v>
      </c>
      <c r="C35" s="18"/>
    </row>
    <row r="36" customFormat="false" ht="105" hidden="false" customHeight="false" outlineLevel="0" collapsed="false">
      <c r="A36" s="161" t="s">
        <v>438</v>
      </c>
      <c r="B36" s="18" t="n">
        <v>6</v>
      </c>
      <c r="C36" s="18" t="s">
        <v>43</v>
      </c>
    </row>
    <row r="37" customFormat="false" ht="105" hidden="false" customHeight="false" outlineLevel="0" collapsed="false">
      <c r="A37" s="161" t="s">
        <v>439</v>
      </c>
      <c r="B37" s="18" t="n">
        <v>7</v>
      </c>
      <c r="C37" s="18"/>
    </row>
    <row r="38" customFormat="false" ht="120" hidden="false" customHeight="false" outlineLevel="0" collapsed="false">
      <c r="A38" s="161" t="s">
        <v>440</v>
      </c>
      <c r="B38" s="18" t="n">
        <v>8</v>
      </c>
      <c r="C38" s="18" t="s">
        <v>46</v>
      </c>
    </row>
    <row r="39" customFormat="false" ht="15" hidden="false" customHeight="false" outlineLevel="0" collapsed="false">
      <c r="A39" s="163" t="s">
        <v>441</v>
      </c>
      <c r="B39" s="163"/>
      <c r="C39" s="163"/>
    </row>
  </sheetData>
  <mergeCells count="9">
    <mergeCell ref="A1:B1"/>
    <mergeCell ref="A13:C13"/>
    <mergeCell ref="A21:C21"/>
    <mergeCell ref="A24:C24"/>
    <mergeCell ref="A29:C29"/>
    <mergeCell ref="C32:C33"/>
    <mergeCell ref="C34:C35"/>
    <mergeCell ref="C36:C37"/>
    <mergeCell ref="A39:C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13.86"/>
    <col collapsed="false" customWidth="true" hidden="false" outlineLevel="0" max="4" min="3" style="0" width="39.28"/>
    <col collapsed="false" customWidth="true" hidden="false" outlineLevel="0" max="5" min="5" style="0" width="19.3"/>
    <col collapsed="false" customWidth="true" hidden="false" outlineLevel="0" max="6" min="6" style="0" width="17"/>
    <col collapsed="false" customWidth="true" hidden="false" outlineLevel="0" max="7" min="7" style="0" width="17.41"/>
    <col collapsed="false" customWidth="true" hidden="false" outlineLevel="0" max="8" min="8" style="0" width="23.15"/>
    <col collapsed="false" customWidth="true" hidden="false" outlineLevel="0" max="9" min="9" style="0" width="16.57"/>
    <col collapsed="false" customWidth="true" hidden="false" outlineLevel="0" max="10" min="10" style="0" width="42.29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30" t="s">
        <v>49</v>
      </c>
      <c r="B1" s="30"/>
    </row>
    <row r="2" customFormat="false" ht="15" hidden="false" customHeight="false" outlineLevel="0" collapsed="false">
      <c r="A2" s="2" t="s">
        <v>1</v>
      </c>
      <c r="B2" s="3" t="s">
        <v>2</v>
      </c>
    </row>
    <row r="3" customFormat="false" ht="15" hidden="false" customHeight="false" outlineLevel="0" collapsed="false">
      <c r="A3" s="2" t="s">
        <v>3</v>
      </c>
      <c r="B3" s="3" t="s">
        <v>4</v>
      </c>
    </row>
    <row r="4" customFormat="false" ht="15" hidden="false" customHeight="false" outlineLevel="0" collapsed="false">
      <c r="A4" s="2" t="s">
        <v>5</v>
      </c>
      <c r="B4" s="3" t="s">
        <v>6</v>
      </c>
    </row>
    <row r="5" customFormat="false" ht="15" hidden="false" customHeight="false" outlineLevel="0" collapsed="false">
      <c r="A5" s="2" t="s">
        <v>7</v>
      </c>
      <c r="B5" s="3" t="n">
        <v>2015</v>
      </c>
    </row>
    <row r="7" customFormat="false" ht="15.75" hidden="false" customHeight="false" outlineLevel="0" collapsed="false"/>
    <row r="8" customFormat="false" ht="15.75" hidden="false" customHeight="false" outlineLevel="0" collapsed="false">
      <c r="A8" s="4" t="s">
        <v>8</v>
      </c>
      <c r="B8" s="31" t="s">
        <v>9</v>
      </c>
      <c r="C8" s="31" t="s">
        <v>10</v>
      </c>
      <c r="D8" s="31" t="s">
        <v>50</v>
      </c>
      <c r="E8" s="31" t="s">
        <v>11</v>
      </c>
      <c r="F8" s="31" t="s">
        <v>51</v>
      </c>
      <c r="G8" s="31" t="s">
        <v>52</v>
      </c>
      <c r="H8" s="6" t="s">
        <v>53</v>
      </c>
    </row>
    <row r="9" customFormat="false" ht="30" hidden="false" customHeight="true" outlineLevel="0" collapsed="false">
      <c r="A9" s="32" t="s">
        <v>12</v>
      </c>
      <c r="B9" s="8" t="n">
        <v>3</v>
      </c>
      <c r="C9" s="9" t="s">
        <v>13</v>
      </c>
      <c r="D9" s="33" t="s">
        <v>54</v>
      </c>
      <c r="E9" s="9" t="str">
        <f aca="false">'Runoff Losses'!I44</f>
        <v>D</v>
      </c>
      <c r="F9" s="9" t="n">
        <v>2</v>
      </c>
      <c r="G9" s="8" t="n">
        <f aca="false">AVERAGE(F9:F10)</f>
        <v>2.5</v>
      </c>
      <c r="H9" s="34" t="n">
        <f aca="false">G9*B9</f>
        <v>7.5</v>
      </c>
    </row>
    <row r="10" customFormat="false" ht="30" hidden="false" customHeight="true" outlineLevel="0" collapsed="false">
      <c r="A10" s="32"/>
      <c r="B10" s="8"/>
      <c r="C10" s="11" t="s">
        <v>14</v>
      </c>
      <c r="D10" s="35" t="s">
        <v>55</v>
      </c>
      <c r="E10" s="36" t="str">
        <f aca="false">'Groundwater Recharge'!C20</f>
        <v>C</v>
      </c>
      <c r="F10" s="11" t="n">
        <v>3</v>
      </c>
      <c r="G10" s="8"/>
      <c r="H10" s="34"/>
    </row>
    <row r="11" customFormat="false" ht="30" hidden="false" customHeight="true" outlineLevel="0" collapsed="false">
      <c r="A11" s="32" t="s">
        <v>15</v>
      </c>
      <c r="B11" s="8" t="n">
        <v>2</v>
      </c>
      <c r="C11" s="9" t="s">
        <v>16</v>
      </c>
      <c r="D11" s="9" t="s">
        <v>56</v>
      </c>
      <c r="E11" s="9" t="str">
        <f aca="false">'Surface WQI'!E13</f>
        <v>B</v>
      </c>
      <c r="F11" s="9" t="n">
        <v>4</v>
      </c>
      <c r="G11" s="8" t="n">
        <f aca="false">AVERAGE(F11:F12)</f>
        <v>3.5</v>
      </c>
      <c r="H11" s="34" t="n">
        <f aca="false">G11*B11</f>
        <v>7</v>
      </c>
    </row>
    <row r="12" customFormat="false" ht="30" hidden="false" customHeight="true" outlineLevel="0" collapsed="false">
      <c r="A12" s="32"/>
      <c r="B12" s="8"/>
      <c r="C12" s="11" t="s">
        <v>17</v>
      </c>
      <c r="D12" s="11" t="s">
        <v>57</v>
      </c>
      <c r="E12" s="11" t="str">
        <f aca="false">GWQI!E16</f>
        <v>C</v>
      </c>
      <c r="F12" s="11" t="n">
        <v>3</v>
      </c>
      <c r="G12" s="8"/>
      <c r="H12" s="34"/>
    </row>
    <row r="13" customFormat="false" ht="30" hidden="false" customHeight="true" outlineLevel="0" collapsed="false">
      <c r="A13" s="32" t="s">
        <v>18</v>
      </c>
      <c r="B13" s="8" t="n">
        <v>5</v>
      </c>
      <c r="C13" s="15" t="s">
        <v>19</v>
      </c>
      <c r="D13" s="8" t="s">
        <v>58</v>
      </c>
      <c r="E13" s="8" t="str">
        <f aca="false">'Forest Cover'!D31</f>
        <v>A</v>
      </c>
      <c r="F13" s="8" t="n">
        <v>5</v>
      </c>
      <c r="G13" s="8" t="n">
        <f aca="false">AVERAGE(F13)</f>
        <v>5</v>
      </c>
      <c r="H13" s="34" t="n">
        <f aca="false">G13*B13</f>
        <v>25</v>
      </c>
    </row>
    <row r="14" customFormat="false" ht="30" hidden="false" customHeight="true" outlineLevel="0" collapsed="false">
      <c r="A14" s="32" t="s">
        <v>20</v>
      </c>
      <c r="B14" s="8" t="n">
        <v>1</v>
      </c>
      <c r="C14" s="9" t="s">
        <v>21</v>
      </c>
      <c r="D14" s="9" t="s">
        <v>59</v>
      </c>
      <c r="E14" s="9" t="str">
        <f aca="false">CDI!C30</f>
        <v>D</v>
      </c>
      <c r="F14" s="9" t="n">
        <v>2</v>
      </c>
      <c r="G14" s="8" t="n">
        <f aca="false">AVERAGE(F14:F15)</f>
        <v>2</v>
      </c>
      <c r="H14" s="34" t="n">
        <f aca="false">G14*B14</f>
        <v>2</v>
      </c>
    </row>
    <row r="15" customFormat="false" ht="30" hidden="false" customHeight="true" outlineLevel="0" collapsed="false">
      <c r="A15" s="32"/>
      <c r="B15" s="8"/>
      <c r="C15" s="11" t="s">
        <v>22</v>
      </c>
      <c r="D15" s="11" t="s">
        <v>60</v>
      </c>
      <c r="E15" s="37" t="str">
        <f aca="false">CI!C20</f>
        <v>D</v>
      </c>
      <c r="F15" s="11" t="n">
        <v>2</v>
      </c>
      <c r="G15" s="8"/>
      <c r="H15" s="34"/>
    </row>
    <row r="16" customFormat="false" ht="30" hidden="false" customHeight="true" outlineLevel="0" collapsed="false">
      <c r="A16" s="38" t="s">
        <v>23</v>
      </c>
      <c r="B16" s="8" t="n">
        <v>4</v>
      </c>
      <c r="C16" s="9" t="s">
        <v>24</v>
      </c>
      <c r="D16" s="9" t="s">
        <v>61</v>
      </c>
      <c r="E16" s="9" t="str">
        <f aca="false">'Soil Depth'!C25</f>
        <v>D</v>
      </c>
      <c r="F16" s="9" t="n">
        <v>2</v>
      </c>
      <c r="G16" s="39" t="n">
        <f aca="false">AVERAGE(F16:F18)</f>
        <v>2.33333333333333</v>
      </c>
      <c r="H16" s="34" t="n">
        <f aca="false">G16*B16</f>
        <v>9.33333333333333</v>
      </c>
    </row>
    <row r="17" customFormat="false" ht="30" hidden="false" customHeight="true" outlineLevel="0" collapsed="false">
      <c r="A17" s="38"/>
      <c r="B17" s="8"/>
      <c r="C17" s="18" t="s">
        <v>25</v>
      </c>
      <c r="D17" s="18" t="s">
        <v>61</v>
      </c>
      <c r="E17" s="18" t="str">
        <f aca="false">'Soil Irrigability'!C25</f>
        <v>D</v>
      </c>
      <c r="F17" s="18" t="n">
        <v>2</v>
      </c>
      <c r="G17" s="39"/>
      <c r="H17" s="34"/>
    </row>
    <row r="18" customFormat="false" ht="30" hidden="false" customHeight="true" outlineLevel="0" collapsed="false">
      <c r="A18" s="38"/>
      <c r="B18" s="8"/>
      <c r="C18" s="18" t="s">
        <v>26</v>
      </c>
      <c r="D18" s="18" t="s">
        <v>61</v>
      </c>
      <c r="E18" s="18" t="str">
        <f aca="false">'Land Capability'!C26</f>
        <v>C</v>
      </c>
      <c r="F18" s="18" t="n">
        <v>3</v>
      </c>
      <c r="G18" s="39"/>
      <c r="H18" s="34"/>
    </row>
    <row r="19" customFormat="false" ht="30" hidden="false" customHeight="true" outlineLevel="0" collapsed="false">
      <c r="A19" s="40"/>
      <c r="B19" s="41" t="n">
        <f aca="false">SUM(B9:B18)</f>
        <v>15</v>
      </c>
      <c r="C19" s="42"/>
      <c r="D19" s="42"/>
      <c r="E19" s="41"/>
      <c r="F19" s="41"/>
      <c r="G19" s="41"/>
      <c r="H19" s="43" t="n">
        <f aca="false">(SUM(H9:H18)/B19)*20</f>
        <v>67.7777777777778</v>
      </c>
    </row>
    <row r="20" customFormat="false" ht="30" hidden="false" customHeight="true" outlineLevel="0" collapsed="false">
      <c r="A20" s="44"/>
      <c r="B20" s="20"/>
      <c r="C20" s="20"/>
      <c r="D20" s="45"/>
      <c r="E20" s="45"/>
      <c r="F20" s="45"/>
      <c r="G20" s="45"/>
      <c r="H20" s="45"/>
    </row>
    <row r="21" s="48" customFormat="true" ht="15" hidden="false" customHeight="false" outlineLevel="0" collapsed="false">
      <c r="A21" s="46" t="s">
        <v>62</v>
      </c>
      <c r="B21" s="46"/>
      <c r="C21" s="46"/>
      <c r="D21" s="46"/>
      <c r="E21" s="46"/>
      <c r="F21" s="46"/>
      <c r="G21" s="46"/>
      <c r="H21" s="46"/>
      <c r="I21" s="47"/>
    </row>
    <row r="23" customFormat="false" ht="15" hidden="false" customHeight="false" outlineLevel="0" collapsed="false">
      <c r="A23" s="2" t="s">
        <v>63</v>
      </c>
      <c r="B23" s="2"/>
      <c r="C23" s="2"/>
      <c r="E23" s="2" t="s">
        <v>64</v>
      </c>
      <c r="F23" s="2"/>
      <c r="H23" s="25" t="s">
        <v>65</v>
      </c>
      <c r="I23" s="25"/>
      <c r="J23" s="25"/>
    </row>
    <row r="24" customFormat="false" ht="15" hidden="false" customHeight="false" outlineLevel="0" collapsed="false">
      <c r="A24" s="22" t="s">
        <v>33</v>
      </c>
      <c r="B24" s="22" t="s">
        <v>66</v>
      </c>
      <c r="C24" s="22" t="s">
        <v>35</v>
      </c>
      <c r="E24" s="22" t="s">
        <v>67</v>
      </c>
      <c r="F24" s="22" t="s">
        <v>68</v>
      </c>
      <c r="H24" s="49" t="s">
        <v>33</v>
      </c>
      <c r="I24" s="49" t="s">
        <v>34</v>
      </c>
      <c r="J24" s="49" t="s">
        <v>35</v>
      </c>
    </row>
    <row r="25" s="50" customFormat="true" ht="30" hidden="false" customHeight="true" outlineLevel="0" collapsed="false">
      <c r="A25" s="18" t="s">
        <v>36</v>
      </c>
      <c r="B25" s="18" t="n">
        <v>5</v>
      </c>
      <c r="C25" s="18" t="s">
        <v>69</v>
      </c>
      <c r="E25" s="18" t="s">
        <v>70</v>
      </c>
      <c r="F25" s="18" t="n">
        <v>1</v>
      </c>
      <c r="H25" s="18" t="s">
        <v>36</v>
      </c>
      <c r="I25" s="18" t="s">
        <v>37</v>
      </c>
      <c r="J25" s="27" t="s">
        <v>38</v>
      </c>
    </row>
    <row r="26" s="50" customFormat="true" ht="30" hidden="false" customHeight="true" outlineLevel="0" collapsed="false">
      <c r="A26" s="18" t="s">
        <v>29</v>
      </c>
      <c r="B26" s="18" t="n">
        <v>4</v>
      </c>
      <c r="C26" s="18" t="s">
        <v>71</v>
      </c>
      <c r="E26" s="18"/>
      <c r="F26" s="18" t="n">
        <v>2</v>
      </c>
      <c r="H26" s="18" t="s">
        <v>29</v>
      </c>
      <c r="I26" s="18" t="s">
        <v>39</v>
      </c>
      <c r="J26" s="27" t="s">
        <v>31</v>
      </c>
    </row>
    <row r="27" s="50" customFormat="true" ht="30" hidden="false" customHeight="true" outlineLevel="0" collapsed="false">
      <c r="A27" s="18" t="s">
        <v>40</v>
      </c>
      <c r="B27" s="18" t="n">
        <v>3</v>
      </c>
      <c r="C27" s="18" t="s">
        <v>72</v>
      </c>
      <c r="E27" s="18"/>
      <c r="F27" s="18" t="n">
        <v>3</v>
      </c>
      <c r="H27" s="18" t="s">
        <v>40</v>
      </c>
      <c r="I27" s="28" t="s">
        <v>41</v>
      </c>
      <c r="J27" s="27" t="s">
        <v>42</v>
      </c>
    </row>
    <row r="28" s="50" customFormat="true" ht="30" hidden="false" customHeight="true" outlineLevel="0" collapsed="false">
      <c r="A28" s="18" t="s">
        <v>43</v>
      </c>
      <c r="B28" s="18" t="n">
        <v>2</v>
      </c>
      <c r="C28" s="18" t="s">
        <v>73</v>
      </c>
      <c r="E28" s="18"/>
      <c r="F28" s="18" t="n">
        <v>4</v>
      </c>
      <c r="H28" s="18" t="s">
        <v>43</v>
      </c>
      <c r="I28" s="29" t="s">
        <v>44</v>
      </c>
      <c r="J28" s="27" t="s">
        <v>45</v>
      </c>
    </row>
    <row r="29" s="50" customFormat="true" ht="30" hidden="false" customHeight="true" outlineLevel="0" collapsed="false">
      <c r="A29" s="18" t="s">
        <v>46</v>
      </c>
      <c r="B29" s="18" t="n">
        <v>1</v>
      </c>
      <c r="C29" s="18" t="s">
        <v>74</v>
      </c>
      <c r="E29" s="18" t="s">
        <v>75</v>
      </c>
      <c r="F29" s="18" t="n">
        <v>5</v>
      </c>
      <c r="H29" s="18" t="s">
        <v>46</v>
      </c>
      <c r="I29" s="18" t="s">
        <v>47</v>
      </c>
      <c r="J29" s="27" t="s">
        <v>48</v>
      </c>
    </row>
  </sheetData>
  <mergeCells count="21">
    <mergeCell ref="A1:B1"/>
    <mergeCell ref="A9:A10"/>
    <mergeCell ref="B9:B10"/>
    <mergeCell ref="G9:G10"/>
    <mergeCell ref="H9:H10"/>
    <mergeCell ref="A11:A12"/>
    <mergeCell ref="B11:B12"/>
    <mergeCell ref="G11:G12"/>
    <mergeCell ref="H11:H12"/>
    <mergeCell ref="A14:A15"/>
    <mergeCell ref="B14:B15"/>
    <mergeCell ref="G14:G15"/>
    <mergeCell ref="H14:H15"/>
    <mergeCell ref="A16:A18"/>
    <mergeCell ref="B16:B18"/>
    <mergeCell ref="G16:G18"/>
    <mergeCell ref="H16:H18"/>
    <mergeCell ref="A21:H21"/>
    <mergeCell ref="A23:C23"/>
    <mergeCell ref="E23:F23"/>
    <mergeCell ref="H23:J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13" activeCellId="0" sqref="E13"/>
    </sheetView>
  </sheetViews>
  <sheetFormatPr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28.86"/>
    <col collapsed="false" customWidth="true" hidden="false" outlineLevel="0" max="4" min="3" style="0" width="23.42"/>
    <col collapsed="false" customWidth="true" hidden="false" outlineLevel="0" max="5" min="5" style="0" width="16.41"/>
    <col collapsed="false" customWidth="true" hidden="false" outlineLevel="0" max="6" min="6" style="0" width="8.67"/>
    <col collapsed="false" customWidth="true" hidden="false" outlineLevel="0" max="7" min="7" style="0" width="24.57"/>
    <col collapsed="false" customWidth="true" hidden="false" outlineLevel="0" max="8" min="8" style="0" width="25.29"/>
    <col collapsed="false" customWidth="true" hidden="false" outlineLevel="0" max="9" min="9" style="0" width="18"/>
    <col collapsed="false" customWidth="true" hidden="false" outlineLevel="0" max="16" min="10" style="0" width="8.67"/>
    <col collapsed="false" customWidth="true" hidden="false" outlineLevel="0" max="17" min="17" style="0" width="18"/>
    <col collapsed="false" customWidth="true" hidden="false" outlineLevel="0" max="1025" min="18" style="0" width="8.67"/>
  </cols>
  <sheetData>
    <row r="1" customFormat="false" ht="15" hidden="false" customHeight="false" outlineLevel="0" collapsed="false">
      <c r="A1" s="30" t="s">
        <v>49</v>
      </c>
      <c r="B1" s="30"/>
    </row>
    <row r="2" customFormat="false" ht="15" hidden="false" customHeight="false" outlineLevel="0" collapsed="false">
      <c r="A2" s="2" t="s">
        <v>1</v>
      </c>
      <c r="B2" s="3" t="s">
        <v>2</v>
      </c>
    </row>
    <row r="3" customFormat="false" ht="15" hidden="false" customHeight="false" outlineLevel="0" collapsed="false">
      <c r="A3" s="2" t="s">
        <v>3</v>
      </c>
      <c r="B3" s="3" t="s">
        <v>4</v>
      </c>
    </row>
    <row r="4" customFormat="false" ht="15" hidden="false" customHeight="false" outlineLevel="0" collapsed="false">
      <c r="A4" s="2" t="s">
        <v>5</v>
      </c>
      <c r="B4" s="3" t="s">
        <v>6</v>
      </c>
    </row>
    <row r="5" customFormat="false" ht="15" hidden="false" customHeight="false" outlineLevel="0" collapsed="false">
      <c r="A5" s="2" t="s">
        <v>7</v>
      </c>
      <c r="B5" s="3" t="n">
        <v>2015</v>
      </c>
    </row>
    <row r="7" customFormat="false" ht="15" hidden="false" customHeight="false" outlineLevel="0" collapsed="false">
      <c r="A7" s="2" t="s">
        <v>76</v>
      </c>
      <c r="B7" s="3" t="s">
        <v>77</v>
      </c>
    </row>
    <row r="8" customFormat="false" ht="15" hidden="false" customHeight="false" outlineLevel="0" collapsed="false">
      <c r="A8" s="2" t="s">
        <v>78</v>
      </c>
      <c r="B8" s="3" t="s">
        <v>12</v>
      </c>
    </row>
    <row r="9" customFormat="false" ht="15" hidden="false" customHeight="false" outlineLevel="0" collapsed="false">
      <c r="A9" s="2" t="s">
        <v>79</v>
      </c>
      <c r="B9" s="3" t="s">
        <v>13</v>
      </c>
    </row>
    <row r="10" customFormat="false" ht="15" hidden="false" customHeight="false" outlineLevel="0" collapsed="false">
      <c r="A10" s="48"/>
      <c r="B10" s="48"/>
    </row>
    <row r="11" customFormat="false" ht="15" hidden="false" customHeight="false" outlineLevel="0" collapsed="false">
      <c r="A11" s="51" t="s">
        <v>80</v>
      </c>
      <c r="B11" s="51"/>
      <c r="C11" s="51"/>
      <c r="D11" s="51"/>
      <c r="G11" s="51" t="s">
        <v>81</v>
      </c>
      <c r="H11" s="51"/>
    </row>
    <row r="12" customFormat="false" ht="15" hidden="false" customHeight="false" outlineLevel="0" collapsed="false">
      <c r="A12" s="2" t="s">
        <v>82</v>
      </c>
      <c r="B12" s="2" t="s">
        <v>83</v>
      </c>
      <c r="C12" s="2" t="s">
        <v>84</v>
      </c>
      <c r="D12" s="2" t="s">
        <v>85</v>
      </c>
      <c r="G12" s="52" t="s">
        <v>86</v>
      </c>
      <c r="H12" s="53" t="n">
        <f aca="false">QUARTILE(D13:D43,0)</f>
        <v>0.0209177780111309</v>
      </c>
    </row>
    <row r="13" customFormat="false" ht="13.8" hidden="false" customHeight="false" outlineLevel="0" collapsed="false">
      <c r="A13" s="18" t="n">
        <v>1985</v>
      </c>
      <c r="B13" s="18" t="n">
        <v>1071.1</v>
      </c>
      <c r="C13" s="18" t="n">
        <v>77.06</v>
      </c>
      <c r="D13" s="54" t="n">
        <f aca="false">C13/B13</f>
        <v>0.0719447297171133</v>
      </c>
      <c r="G13" s="52" t="s">
        <v>87</v>
      </c>
      <c r="H13" s="53" t="n">
        <f aca="false">QUARTILE(D13:D43,1)</f>
        <v>0.0597132473559434</v>
      </c>
      <c r="I13" s="55"/>
    </row>
    <row r="14" customFormat="false" ht="13.8" hidden="false" customHeight="false" outlineLevel="0" collapsed="false">
      <c r="A14" s="18" t="s">
        <v>88</v>
      </c>
      <c r="B14" s="18" t="n">
        <v>1382</v>
      </c>
      <c r="C14" s="18" t="n">
        <v>233.09</v>
      </c>
      <c r="D14" s="54" t="n">
        <f aca="false">C14/B14</f>
        <v>0.168661360347323</v>
      </c>
      <c r="G14" s="52" t="s">
        <v>89</v>
      </c>
      <c r="H14" s="53" t="n">
        <f aca="false">QUARTILE(D13:D43,2)</f>
        <v>0.112736642827093</v>
      </c>
    </row>
    <row r="15" customFormat="false" ht="13.8" hidden="false" customHeight="false" outlineLevel="0" collapsed="false">
      <c r="A15" s="18" t="s">
        <v>90</v>
      </c>
      <c r="B15" s="18" t="n">
        <v>1273.3</v>
      </c>
      <c r="C15" s="18" t="n">
        <v>124.87</v>
      </c>
      <c r="D15" s="54" t="n">
        <f aca="false">C15/B15</f>
        <v>0.0980680122516297</v>
      </c>
      <c r="G15" s="52" t="s">
        <v>91</v>
      </c>
      <c r="H15" s="53" t="n">
        <f aca="false">QUARTILE(D13:D43,3)</f>
        <v>0.147081489014037</v>
      </c>
    </row>
    <row r="16" customFormat="false" ht="13.8" hidden="false" customHeight="false" outlineLevel="0" collapsed="false">
      <c r="A16" s="18" t="s">
        <v>92</v>
      </c>
      <c r="B16" s="18" t="n">
        <v>989.6</v>
      </c>
      <c r="C16" s="18" t="n">
        <v>60.01</v>
      </c>
      <c r="D16" s="54" t="n">
        <f aca="false">C16/B16</f>
        <v>0.0606406628940986</v>
      </c>
      <c r="G16" s="52" t="s">
        <v>93</v>
      </c>
      <c r="H16" s="53" t="n">
        <f aca="false">QUARTILE(D13:D43,4)</f>
        <v>0.280508514331285</v>
      </c>
    </row>
    <row r="17" customFormat="false" ht="13.8" hidden="false" customHeight="false" outlineLevel="0" collapsed="false">
      <c r="A17" s="18" t="s">
        <v>94</v>
      </c>
      <c r="B17" s="18" t="n">
        <v>952.3</v>
      </c>
      <c r="C17" s="18" t="n">
        <v>19.92</v>
      </c>
      <c r="D17" s="54" t="n">
        <f aca="false">C17/B17</f>
        <v>0.0209177780111309</v>
      </c>
    </row>
    <row r="18" customFormat="false" ht="13.8" hidden="false" customHeight="false" outlineLevel="0" collapsed="false">
      <c r="A18" s="18" t="s">
        <v>95</v>
      </c>
      <c r="B18" s="18" t="n">
        <v>2019.4</v>
      </c>
      <c r="C18" s="18" t="n">
        <v>257.57</v>
      </c>
      <c r="D18" s="54" t="n">
        <f aca="false">C18/B18</f>
        <v>0.127547786471229</v>
      </c>
    </row>
    <row r="19" customFormat="false" ht="13.8" hidden="false" customHeight="false" outlineLevel="0" collapsed="false">
      <c r="A19" s="18" t="s">
        <v>96</v>
      </c>
      <c r="B19" s="18" t="n">
        <v>1044</v>
      </c>
      <c r="C19" s="18" t="n">
        <v>53.55</v>
      </c>
      <c r="D19" s="54" t="n">
        <f aca="false">C19/B19</f>
        <v>0.0512931034482759</v>
      </c>
    </row>
    <row r="20" customFormat="false" ht="13.8" hidden="false" customHeight="false" outlineLevel="0" collapsed="false">
      <c r="A20" s="18" t="s">
        <v>97</v>
      </c>
      <c r="B20" s="18" t="n">
        <v>1445.1</v>
      </c>
      <c r="C20" s="18" t="n">
        <v>285.04</v>
      </c>
      <c r="D20" s="54" t="n">
        <f aca="false">C20/B20</f>
        <v>0.197245865338039</v>
      </c>
    </row>
    <row r="21" customFormat="false" ht="13.8" hidden="false" customHeight="false" outlineLevel="0" collapsed="false">
      <c r="A21" s="18" t="s">
        <v>98</v>
      </c>
      <c r="B21" s="18" t="n">
        <v>1053.2</v>
      </c>
      <c r="C21" s="18" t="n">
        <v>40.5</v>
      </c>
      <c r="D21" s="54" t="n">
        <f aca="false">C21/B21</f>
        <v>0.0384542347132548</v>
      </c>
    </row>
    <row r="22" customFormat="false" ht="13.8" hidden="false" customHeight="false" outlineLevel="0" collapsed="false">
      <c r="A22" s="18" t="s">
        <v>99</v>
      </c>
      <c r="B22" s="18" t="n">
        <v>1499.7</v>
      </c>
      <c r="C22" s="18" t="n">
        <v>287.91</v>
      </c>
      <c r="D22" s="54" t="n">
        <f aca="false">C22/B22</f>
        <v>0.191978395679136</v>
      </c>
    </row>
    <row r="23" customFormat="false" ht="13.8" hidden="false" customHeight="false" outlineLevel="0" collapsed="false">
      <c r="A23" s="18" t="s">
        <v>100</v>
      </c>
      <c r="B23" s="18" t="n">
        <v>1465</v>
      </c>
      <c r="C23" s="18" t="n">
        <v>219.06</v>
      </c>
      <c r="D23" s="54" t="n">
        <f aca="false">C23/B23</f>
        <v>0.149529010238908</v>
      </c>
    </row>
    <row r="24" customFormat="false" ht="13.8" hidden="false" customHeight="false" outlineLevel="0" collapsed="false">
      <c r="A24" s="18" t="s">
        <v>101</v>
      </c>
      <c r="B24" s="18" t="n">
        <v>968.4</v>
      </c>
      <c r="C24" s="18" t="n">
        <v>35.4</v>
      </c>
      <c r="D24" s="54" t="n">
        <f aca="false">C24/B24</f>
        <v>0.0365551425030979</v>
      </c>
    </row>
    <row r="25" customFormat="false" ht="13.8" hidden="false" customHeight="false" outlineLevel="0" collapsed="false">
      <c r="A25" s="18" t="s">
        <v>102</v>
      </c>
      <c r="B25" s="18" t="n">
        <v>1364.2</v>
      </c>
      <c r="C25" s="18" t="n">
        <v>178.75</v>
      </c>
      <c r="D25" s="54" t="n">
        <f aca="false">C25/B25</f>
        <v>0.131029174607829</v>
      </c>
    </row>
    <row r="26" customFormat="false" ht="13.8" hidden="false" customHeight="false" outlineLevel="0" collapsed="false">
      <c r="A26" s="18" t="s">
        <v>103</v>
      </c>
      <c r="B26" s="18" t="n">
        <v>1154.7</v>
      </c>
      <c r="C26" s="18" t="n">
        <v>67.88</v>
      </c>
      <c r="D26" s="54" t="n">
        <f aca="false">C26/B26</f>
        <v>0.0587858318177882</v>
      </c>
    </row>
    <row r="27" customFormat="false" ht="13.8" hidden="false" customHeight="false" outlineLevel="0" collapsed="false">
      <c r="A27" s="18" t="s">
        <v>104</v>
      </c>
      <c r="B27" s="18" t="n">
        <v>1366</v>
      </c>
      <c r="C27" s="18" t="n">
        <v>197.57</v>
      </c>
      <c r="D27" s="54" t="n">
        <f aca="false">C27/B27</f>
        <v>0.144633967789165</v>
      </c>
    </row>
    <row r="28" customFormat="false" ht="13.8" hidden="false" customHeight="false" outlineLevel="0" collapsed="false">
      <c r="A28" s="18" t="s">
        <v>105</v>
      </c>
      <c r="B28" s="18" t="n">
        <v>797.3</v>
      </c>
      <c r="C28" s="18" t="n">
        <v>38.05</v>
      </c>
      <c r="D28" s="54" t="n">
        <f aca="false">C28/B28</f>
        <v>0.0477235670387558</v>
      </c>
    </row>
    <row r="29" customFormat="false" ht="13.8" hidden="false" customHeight="false" outlineLevel="0" collapsed="false">
      <c r="A29" s="18" t="s">
        <v>106</v>
      </c>
      <c r="B29" s="18" t="n">
        <v>2131.7</v>
      </c>
      <c r="C29" s="18" t="n">
        <v>597.96</v>
      </c>
      <c r="D29" s="54" t="n">
        <f aca="false">C29/B29</f>
        <v>0.280508514331285</v>
      </c>
    </row>
    <row r="30" customFormat="false" ht="13.8" hidden="false" customHeight="false" outlineLevel="0" collapsed="false">
      <c r="A30" s="18" t="s">
        <v>107</v>
      </c>
      <c r="B30" s="18" t="n">
        <v>886.2</v>
      </c>
      <c r="C30" s="18" t="n">
        <v>36.16</v>
      </c>
      <c r="D30" s="54" t="n">
        <f aca="false">C30/B30</f>
        <v>0.0408034303768901</v>
      </c>
    </row>
    <row r="31" customFormat="false" ht="13.8" hidden="false" customHeight="false" outlineLevel="0" collapsed="false">
      <c r="A31" s="18" t="s">
        <v>108</v>
      </c>
      <c r="B31" s="18" t="n">
        <v>1308.5</v>
      </c>
      <c r="C31" s="18" t="n">
        <v>128.75</v>
      </c>
      <c r="D31" s="54" t="n">
        <f aca="false">C31/B31</f>
        <v>0.0983951089033244</v>
      </c>
    </row>
    <row r="32" customFormat="false" ht="13.8" hidden="false" customHeight="false" outlineLevel="0" collapsed="false">
      <c r="A32" s="18" t="s">
        <v>109</v>
      </c>
      <c r="B32" s="18" t="n">
        <v>1209.2</v>
      </c>
      <c r="C32" s="18" t="n">
        <v>135.03</v>
      </c>
      <c r="D32" s="54" t="n">
        <f aca="false">C32/B32</f>
        <v>0.111668871981475</v>
      </c>
    </row>
    <row r="33" customFormat="false" ht="13.8" hidden="false" customHeight="false" outlineLevel="0" collapsed="false">
      <c r="A33" s="18" t="s">
        <v>110</v>
      </c>
      <c r="B33" s="18" t="n">
        <v>1417.9</v>
      </c>
      <c r="C33" s="18" t="n">
        <v>183.97</v>
      </c>
      <c r="D33" s="54" t="n">
        <f aca="false">C33/B33</f>
        <v>0.129748219197405</v>
      </c>
    </row>
    <row r="34" customFormat="false" ht="13.8" hidden="false" customHeight="false" outlineLevel="0" collapsed="false">
      <c r="A34" s="18" t="s">
        <v>111</v>
      </c>
      <c r="B34" s="18" t="n">
        <v>2130.7</v>
      </c>
      <c r="C34" s="18" t="n">
        <v>423.26</v>
      </c>
      <c r="D34" s="54" t="n">
        <f aca="false">C34/B34</f>
        <v>0.198648331534238</v>
      </c>
      <c r="G34" s="2" t="s">
        <v>112</v>
      </c>
      <c r="H34" s="2"/>
      <c r="I34" s="56"/>
    </row>
    <row r="35" customFormat="false" ht="13.8" hidden="false" customHeight="false" outlineLevel="0" collapsed="false">
      <c r="A35" s="18" t="s">
        <v>113</v>
      </c>
      <c r="B35" s="18" t="n">
        <v>1428.4</v>
      </c>
      <c r="C35" s="18" t="n">
        <v>189.89</v>
      </c>
      <c r="D35" s="54" t="n">
        <f aca="false">C35/B35</f>
        <v>0.132938952674321</v>
      </c>
      <c r="G35" s="2" t="s">
        <v>114</v>
      </c>
      <c r="H35" s="2" t="s">
        <v>33</v>
      </c>
      <c r="I35" s="57"/>
    </row>
    <row r="36" customFormat="false" ht="13.8" hidden="false" customHeight="false" outlineLevel="0" collapsed="false">
      <c r="A36" s="18" t="s">
        <v>115</v>
      </c>
      <c r="B36" s="18" t="n">
        <v>903.8</v>
      </c>
      <c r="C36" s="18" t="n">
        <v>47.93</v>
      </c>
      <c r="D36" s="54" t="n">
        <f aca="false">C36/B36</f>
        <v>0.053031644169064</v>
      </c>
      <c r="G36" s="58" t="s">
        <v>116</v>
      </c>
      <c r="H36" s="58" t="s">
        <v>36</v>
      </c>
      <c r="I36" s="57"/>
    </row>
    <row r="37" customFormat="false" ht="13.8" hidden="false" customHeight="false" outlineLevel="0" collapsed="false">
      <c r="A37" s="18" t="s">
        <v>117</v>
      </c>
      <c r="B37" s="18" t="n">
        <v>950.8</v>
      </c>
      <c r="C37" s="18" t="n">
        <v>107.19</v>
      </c>
      <c r="D37" s="54" t="n">
        <f aca="false">C37/B37</f>
        <v>0.112736642827093</v>
      </c>
      <c r="G37" s="58" t="s">
        <v>118</v>
      </c>
      <c r="H37" s="58" t="s">
        <v>29</v>
      </c>
      <c r="I37" s="57"/>
    </row>
    <row r="38" customFormat="false" ht="13.8" hidden="false" customHeight="false" outlineLevel="0" collapsed="false">
      <c r="A38" s="18" t="s">
        <v>119</v>
      </c>
      <c r="B38" s="18" t="n">
        <v>1587.8</v>
      </c>
      <c r="C38" s="18" t="n">
        <v>203.62</v>
      </c>
      <c r="D38" s="54" t="n">
        <f aca="false">C38/B38</f>
        <v>0.128240332535584</v>
      </c>
      <c r="G38" s="58" t="s">
        <v>120</v>
      </c>
      <c r="H38" s="58" t="s">
        <v>40</v>
      </c>
      <c r="I38" s="57"/>
    </row>
    <row r="39" customFormat="false" ht="13.8" hidden="false" customHeight="false" outlineLevel="0" collapsed="false">
      <c r="A39" s="18" t="s">
        <v>121</v>
      </c>
      <c r="B39" s="18" t="n">
        <v>1267.3</v>
      </c>
      <c r="C39" s="18" t="n">
        <v>88.73</v>
      </c>
      <c r="D39" s="54" t="n">
        <f aca="false">C39/B39</f>
        <v>0.0700149925037481</v>
      </c>
      <c r="G39" s="58" t="s">
        <v>122</v>
      </c>
      <c r="H39" s="58" t="s">
        <v>43</v>
      </c>
      <c r="I39" s="57"/>
    </row>
    <row r="40" customFormat="false" ht="13.8" hidden="false" customHeight="false" outlineLevel="0" collapsed="false">
      <c r="A40" s="18" t="s">
        <v>123</v>
      </c>
      <c r="B40" s="18" t="n">
        <v>1526.4</v>
      </c>
      <c r="C40" s="18" t="n">
        <v>175.9</v>
      </c>
      <c r="D40" s="54" t="n">
        <f aca="false">C40/B40</f>
        <v>0.115238469601677</v>
      </c>
    </row>
    <row r="41" customFormat="false" ht="13.8" hidden="false" customHeight="false" outlineLevel="0" collapsed="false">
      <c r="A41" s="18" t="s">
        <v>124</v>
      </c>
      <c r="B41" s="18" t="n">
        <v>1364.6</v>
      </c>
      <c r="C41" s="18" t="n">
        <v>128.91</v>
      </c>
      <c r="D41" s="54" t="n">
        <f aca="false">C41/B41</f>
        <v>0.0944672431481752</v>
      </c>
    </row>
    <row r="42" customFormat="false" ht="13.8" hidden="false" customHeight="false" outlineLevel="0" collapsed="false">
      <c r="A42" s="18" t="s">
        <v>125</v>
      </c>
      <c r="B42" s="18" t="n">
        <v>1181.4</v>
      </c>
      <c r="C42" s="18" t="n">
        <v>245.07</v>
      </c>
      <c r="D42" s="54" t="n">
        <f aca="false">C42/B42</f>
        <v>0.20744032503809</v>
      </c>
      <c r="G42" s="59" t="s">
        <v>126</v>
      </c>
      <c r="H42" s="59"/>
      <c r="I42" s="59"/>
    </row>
    <row r="43" customFormat="false" ht="13.8" hidden="false" customHeight="false" outlineLevel="0" collapsed="false">
      <c r="A43" s="18" t="s">
        <v>127</v>
      </c>
      <c r="B43" s="18" t="n">
        <v>1145.5</v>
      </c>
      <c r="C43" s="18" t="n">
        <v>175.67</v>
      </c>
      <c r="D43" s="54" t="n">
        <f aca="false">C43/B43</f>
        <v>0.153356612832824</v>
      </c>
      <c r="G43" s="60" t="s">
        <v>7</v>
      </c>
      <c r="H43" s="60" t="s">
        <v>128</v>
      </c>
      <c r="I43" s="60" t="s">
        <v>33</v>
      </c>
    </row>
    <row r="44" customFormat="false" ht="15" hidden="false" customHeight="false" outlineLevel="0" collapsed="false">
      <c r="G44" s="60" t="n">
        <v>2015</v>
      </c>
      <c r="H44" s="61" t="n">
        <v>0.15</v>
      </c>
      <c r="I44" s="60" t="s">
        <v>43</v>
      </c>
    </row>
    <row r="45" customFormat="false" ht="24.75" hidden="false" customHeight="true" outlineLevel="0" collapsed="false">
      <c r="A45" s="62"/>
      <c r="B45" s="62"/>
      <c r="C45" s="62"/>
      <c r="D45" s="62"/>
    </row>
  </sheetData>
  <mergeCells count="6">
    <mergeCell ref="A1:B1"/>
    <mergeCell ref="A11:D11"/>
    <mergeCell ref="G11:H11"/>
    <mergeCell ref="G34:H34"/>
    <mergeCell ref="G42:I42"/>
    <mergeCell ref="A45:D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23.71"/>
    <col collapsed="false" customWidth="true" hidden="false" outlineLevel="0" max="3" min="3" style="0" width="16.14"/>
    <col collapsed="false" customWidth="true" hidden="false" outlineLevel="0" max="4" min="4" style="0" width="16.41"/>
    <col collapsed="false" customWidth="true" hidden="false" outlineLevel="0" max="5" min="5" style="0" width="12.71"/>
    <col collapsed="false" customWidth="true" hidden="false" outlineLevel="0" max="8" min="6" style="0" width="18.58"/>
    <col collapsed="false" customWidth="true" hidden="false" outlineLevel="0" max="9" min="9" style="0" width="8.67"/>
    <col collapsed="false" customWidth="true" hidden="false" outlineLevel="0" max="12" min="10" style="0" width="15.71"/>
    <col collapsed="false" customWidth="true" hidden="false" outlineLevel="0" max="1025" min="13" style="0" width="8.67"/>
  </cols>
  <sheetData>
    <row r="1" customFormat="false" ht="15" hidden="false" customHeight="false" outlineLevel="0" collapsed="false">
      <c r="A1" s="30" t="s">
        <v>49</v>
      </c>
      <c r="B1" s="30"/>
    </row>
    <row r="2" customFormat="false" ht="15" hidden="false" customHeight="false" outlineLevel="0" collapsed="false">
      <c r="A2" s="2" t="s">
        <v>1</v>
      </c>
      <c r="B2" s="3" t="s">
        <v>2</v>
      </c>
    </row>
    <row r="3" customFormat="false" ht="15" hidden="false" customHeight="false" outlineLevel="0" collapsed="false">
      <c r="A3" s="2" t="s">
        <v>3</v>
      </c>
      <c r="B3" s="3" t="s">
        <v>4</v>
      </c>
    </row>
    <row r="4" customFormat="false" ht="15" hidden="false" customHeight="false" outlineLevel="0" collapsed="false">
      <c r="A4" s="2" t="s">
        <v>5</v>
      </c>
      <c r="B4" s="3" t="s">
        <v>6</v>
      </c>
    </row>
    <row r="5" customFormat="false" ht="15" hidden="false" customHeight="false" outlineLevel="0" collapsed="false">
      <c r="A5" s="2" t="s">
        <v>7</v>
      </c>
      <c r="B5" s="3" t="n">
        <v>2015</v>
      </c>
    </row>
    <row r="7" customFormat="false" ht="15" hidden="false" customHeight="false" outlineLevel="0" collapsed="false">
      <c r="A7" s="2" t="s">
        <v>76</v>
      </c>
      <c r="B7" s="3" t="s">
        <v>77</v>
      </c>
    </row>
    <row r="8" customFormat="false" ht="15" hidden="false" customHeight="false" outlineLevel="0" collapsed="false">
      <c r="A8" s="2" t="s">
        <v>78</v>
      </c>
      <c r="B8" s="3" t="s">
        <v>12</v>
      </c>
    </row>
    <row r="9" customFormat="false" ht="30" hidden="false" customHeight="false" outlineLevel="0" collapsed="false">
      <c r="A9" s="2" t="s">
        <v>79</v>
      </c>
      <c r="B9" s="63" t="s">
        <v>14</v>
      </c>
    </row>
    <row r="10" customFormat="false" ht="15" hidden="false" customHeight="false" outlineLevel="0" collapsed="false">
      <c r="A10" s="48"/>
      <c r="B10" s="48"/>
    </row>
    <row r="11" customFormat="false" ht="15" hidden="false" customHeight="false" outlineLevel="0" collapsed="false">
      <c r="A11" s="51" t="s">
        <v>129</v>
      </c>
      <c r="B11" s="51"/>
      <c r="C11" s="51"/>
      <c r="D11" s="51"/>
      <c r="E11" s="51"/>
      <c r="F11" s="51"/>
      <c r="G11" s="51"/>
      <c r="H11" s="51"/>
    </row>
    <row r="12" customFormat="false" ht="45" hidden="false" customHeight="false" outlineLevel="0" collapsed="false">
      <c r="A12" s="22" t="s">
        <v>7</v>
      </c>
      <c r="B12" s="22" t="s">
        <v>130</v>
      </c>
      <c r="C12" s="24" t="s">
        <v>131</v>
      </c>
      <c r="D12" s="24" t="s">
        <v>132</v>
      </c>
      <c r="E12" s="24" t="s">
        <v>133</v>
      </c>
      <c r="F12" s="24" t="s">
        <v>134</v>
      </c>
      <c r="G12" s="24" t="s">
        <v>135</v>
      </c>
      <c r="H12" s="24" t="s">
        <v>33</v>
      </c>
    </row>
    <row r="13" customFormat="false" ht="15" hidden="false" customHeight="false" outlineLevel="0" collapsed="false">
      <c r="A13" s="18" t="n">
        <v>2015</v>
      </c>
      <c r="B13" s="18" t="s">
        <v>136</v>
      </c>
      <c r="C13" s="18" t="n">
        <v>0.06</v>
      </c>
      <c r="D13" s="54" t="n">
        <v>464.82</v>
      </c>
      <c r="E13" s="18" t="n">
        <v>1.15</v>
      </c>
      <c r="F13" s="18" t="n">
        <f aca="false">C13*D13*E13</f>
        <v>32.07258</v>
      </c>
      <c r="G13" s="64" t="n">
        <f aca="false">F15/D15</f>
        <v>0.117689454567794</v>
      </c>
      <c r="H13" s="65" t="s">
        <v>40</v>
      </c>
    </row>
    <row r="14" customFormat="false" ht="15" hidden="false" customHeight="false" outlineLevel="0" collapsed="false">
      <c r="A14" s="58"/>
      <c r="B14" s="58" t="s">
        <v>137</v>
      </c>
      <c r="C14" s="58" t="n">
        <v>0.11</v>
      </c>
      <c r="D14" s="66" t="n">
        <v>6208.97</v>
      </c>
      <c r="E14" s="18" t="n">
        <v>1.15</v>
      </c>
      <c r="F14" s="18" t="n">
        <f aca="false">C14*D14*E14</f>
        <v>785.434705</v>
      </c>
      <c r="G14" s="64"/>
      <c r="H14" s="65"/>
    </row>
    <row r="15" customFormat="false" ht="15" hidden="false" customHeight="false" outlineLevel="0" collapsed="false">
      <c r="A15" s="67"/>
      <c r="B15" s="67"/>
      <c r="C15" s="67"/>
      <c r="D15" s="68" t="n">
        <f aca="false">SUM(D13:D14)</f>
        <v>6673.79</v>
      </c>
      <c r="E15" s="67"/>
      <c r="F15" s="69" t="n">
        <f aca="false">SUM(F14:F14)</f>
        <v>785.434705</v>
      </c>
      <c r="G15" s="64"/>
      <c r="H15" s="65"/>
    </row>
    <row r="18" customFormat="false" ht="15" hidden="false" customHeight="false" outlineLevel="0" collapsed="false">
      <c r="A18" s="59" t="s">
        <v>138</v>
      </c>
      <c r="B18" s="59"/>
      <c r="C18" s="59"/>
    </row>
    <row r="19" customFormat="false" ht="15" hidden="false" customHeight="false" outlineLevel="0" collapsed="false">
      <c r="A19" s="60"/>
      <c r="B19" s="60" t="s">
        <v>139</v>
      </c>
      <c r="C19" s="60" t="s">
        <v>33</v>
      </c>
    </row>
    <row r="20" customFormat="false" ht="15" hidden="false" customHeight="false" outlineLevel="0" collapsed="false">
      <c r="A20" s="60" t="s">
        <v>140</v>
      </c>
      <c r="B20" s="70" t="n">
        <f aca="false">G13</f>
        <v>0.117689454567794</v>
      </c>
      <c r="C20" s="60" t="s">
        <v>40</v>
      </c>
    </row>
    <row r="23" customFormat="false" ht="15" hidden="false" customHeight="false" outlineLevel="0" collapsed="false">
      <c r="A23" s="25" t="s">
        <v>141</v>
      </c>
      <c r="B23" s="25"/>
      <c r="C23" s="25"/>
    </row>
    <row r="24" customFormat="false" ht="15" hidden="false" customHeight="false" outlineLevel="0" collapsed="false">
      <c r="A24" s="22" t="s">
        <v>33</v>
      </c>
      <c r="B24" s="22" t="s">
        <v>34</v>
      </c>
      <c r="C24" s="22" t="s">
        <v>35</v>
      </c>
    </row>
    <row r="25" customFormat="false" ht="15" hidden="false" customHeight="false" outlineLevel="0" collapsed="false">
      <c r="A25" s="18" t="s">
        <v>36</v>
      </c>
      <c r="B25" s="71" t="s">
        <v>142</v>
      </c>
      <c r="C25" s="18" t="s">
        <v>69</v>
      </c>
    </row>
    <row r="26" customFormat="false" ht="15" hidden="false" customHeight="false" outlineLevel="0" collapsed="false">
      <c r="A26" s="18" t="s">
        <v>29</v>
      </c>
      <c r="B26" s="28" t="s">
        <v>143</v>
      </c>
      <c r="C26" s="18" t="s">
        <v>71</v>
      </c>
    </row>
    <row r="27" customFormat="false" ht="15" hidden="false" customHeight="false" outlineLevel="0" collapsed="false">
      <c r="A27" s="18" t="s">
        <v>40</v>
      </c>
      <c r="B27" s="18" t="s">
        <v>144</v>
      </c>
      <c r="C27" s="18" t="s">
        <v>72</v>
      </c>
    </row>
    <row r="28" customFormat="false" ht="15" hidden="false" customHeight="false" outlineLevel="0" collapsed="false">
      <c r="A28" s="18" t="s">
        <v>43</v>
      </c>
      <c r="B28" s="18" t="s">
        <v>145</v>
      </c>
      <c r="C28" s="18" t="s">
        <v>73</v>
      </c>
    </row>
  </sheetData>
  <mergeCells count="6">
    <mergeCell ref="A1:B1"/>
    <mergeCell ref="A11:H11"/>
    <mergeCell ref="G13:G15"/>
    <mergeCell ref="H13:H15"/>
    <mergeCell ref="A18:C18"/>
    <mergeCell ref="A23:C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21.86"/>
    <col collapsed="false" customWidth="true" hidden="false" outlineLevel="0" max="5" min="3" style="0" width="12.86"/>
    <col collapsed="false" customWidth="true" hidden="false" outlineLevel="0" max="6" min="6" style="0" width="18.58"/>
    <col collapsed="false" customWidth="true" hidden="false" outlineLevel="0" max="7" min="7" style="0" width="16.57"/>
    <col collapsed="false" customWidth="true" hidden="false" outlineLevel="0" max="11" min="8" style="0" width="15.15"/>
    <col collapsed="false" customWidth="true" hidden="false" outlineLevel="0" max="12" min="12" style="0" width="18.42"/>
    <col collapsed="false" customWidth="true" hidden="false" outlineLevel="0" max="13" min="13" style="0" width="22.57"/>
    <col collapsed="false" customWidth="true" hidden="false" outlineLevel="0" max="16" min="14" style="0" width="20.71"/>
    <col collapsed="false" customWidth="true" hidden="false" outlineLevel="0" max="17" min="17" style="0" width="35.85"/>
    <col collapsed="false" customWidth="true" hidden="false" outlineLevel="0" max="22" min="18" style="0" width="20.71"/>
    <col collapsed="false" customWidth="true" hidden="false" outlineLevel="0" max="23" min="23" style="0" width="20.57"/>
    <col collapsed="false" customWidth="true" hidden="false" outlineLevel="0" max="24" min="24" style="0" width="23.57"/>
    <col collapsed="false" customWidth="true" hidden="false" outlineLevel="0" max="31" min="25" style="0" width="20.71"/>
    <col collapsed="false" customWidth="true" hidden="false" outlineLevel="0" max="1025" min="32" style="0" width="8.67"/>
  </cols>
  <sheetData>
    <row r="1" customFormat="false" ht="15" hidden="false" customHeight="false" outlineLevel="0" collapsed="false">
      <c r="A1" s="30" t="s">
        <v>49</v>
      </c>
      <c r="B1" s="30"/>
    </row>
    <row r="2" customFormat="false" ht="15" hidden="false" customHeight="false" outlineLevel="0" collapsed="false">
      <c r="A2" s="2" t="s">
        <v>1</v>
      </c>
      <c r="B2" s="3" t="s">
        <v>146</v>
      </c>
    </row>
    <row r="3" customFormat="false" ht="15" hidden="false" customHeight="false" outlineLevel="0" collapsed="false">
      <c r="A3" s="2" t="s">
        <v>3</v>
      </c>
      <c r="B3" s="3" t="s">
        <v>147</v>
      </c>
    </row>
    <row r="4" customFormat="false" ht="15" hidden="false" customHeight="false" outlineLevel="0" collapsed="false">
      <c r="A4" s="2" t="s">
        <v>5</v>
      </c>
      <c r="B4" s="3" t="s">
        <v>148</v>
      </c>
    </row>
    <row r="5" customFormat="false" ht="15" hidden="false" customHeight="false" outlineLevel="0" collapsed="false">
      <c r="A5" s="2" t="s">
        <v>7</v>
      </c>
      <c r="B5" s="3" t="n">
        <v>2015</v>
      </c>
    </row>
    <row r="7" customFormat="false" ht="15" hidden="false" customHeight="false" outlineLevel="0" collapsed="false">
      <c r="A7" s="2" t="s">
        <v>76</v>
      </c>
      <c r="B7" s="3" t="s">
        <v>77</v>
      </c>
    </row>
    <row r="8" customFormat="false" ht="15" hidden="false" customHeight="false" outlineLevel="0" collapsed="false">
      <c r="A8" s="2" t="s">
        <v>78</v>
      </c>
      <c r="B8" s="3" t="s">
        <v>15</v>
      </c>
    </row>
    <row r="9" customFormat="false" ht="15" hidden="false" customHeight="false" outlineLevel="0" collapsed="false">
      <c r="A9" s="2" t="s">
        <v>79</v>
      </c>
      <c r="B9" s="3" t="s">
        <v>149</v>
      </c>
    </row>
    <row r="11" customFormat="false" ht="15" hidden="false" customHeight="false" outlineLevel="0" collapsed="false">
      <c r="A11" s="51" t="s">
        <v>150</v>
      </c>
      <c r="B11" s="51"/>
      <c r="C11" s="51"/>
      <c r="D11" s="51"/>
      <c r="E11" s="51"/>
      <c r="F11" s="51"/>
      <c r="G11" s="51"/>
      <c r="H11" s="51"/>
    </row>
    <row r="12" customFormat="false" ht="30" hidden="false" customHeight="false" outlineLevel="0" collapsed="false">
      <c r="A12" s="58"/>
      <c r="B12" s="58"/>
      <c r="C12" s="58"/>
      <c r="D12" s="2" t="s">
        <v>151</v>
      </c>
      <c r="E12" s="72" t="s">
        <v>152</v>
      </c>
      <c r="F12" s="72" t="s">
        <v>153</v>
      </c>
      <c r="G12" s="22" t="s">
        <v>154</v>
      </c>
      <c r="H12" s="22" t="s">
        <v>155</v>
      </c>
    </row>
    <row r="13" customFormat="false" ht="15" hidden="false" customHeight="false" outlineLevel="0" collapsed="false">
      <c r="A13" s="2" t="s">
        <v>156</v>
      </c>
      <c r="B13" s="2"/>
      <c r="C13" s="2"/>
      <c r="D13" s="73" t="n">
        <f aca="false">AVERAGE(Z23,Z33,Z43,Z53,Z63)</f>
        <v>53.9508585012082</v>
      </c>
      <c r="E13" s="74" t="s">
        <v>29</v>
      </c>
      <c r="F13" s="74" t="s">
        <v>157</v>
      </c>
      <c r="G13" s="75" t="s">
        <v>158</v>
      </c>
      <c r="H13" s="76"/>
    </row>
    <row r="15" customFormat="false" ht="15" hidden="false" customHeight="false" outlineLevel="0" collapsed="false">
      <c r="A15" s="51" t="s">
        <v>159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</row>
    <row r="16" customFormat="false" ht="15" hidden="false" customHeight="true" outlineLevel="0" collapsed="false">
      <c r="A16" s="22" t="s">
        <v>160</v>
      </c>
      <c r="B16" s="22" t="s">
        <v>161</v>
      </c>
      <c r="C16" s="22" t="s">
        <v>162</v>
      </c>
      <c r="D16" s="22" t="s">
        <v>163</v>
      </c>
      <c r="E16" s="22" t="s">
        <v>164</v>
      </c>
      <c r="F16" s="22" t="s">
        <v>165</v>
      </c>
      <c r="G16" s="24" t="s">
        <v>166</v>
      </c>
      <c r="H16" s="2" t="s">
        <v>167</v>
      </c>
      <c r="I16" s="2"/>
      <c r="J16" s="2"/>
      <c r="K16" s="2"/>
      <c r="L16" s="2"/>
      <c r="M16" s="77" t="s">
        <v>168</v>
      </c>
      <c r="N16" s="78" t="s">
        <v>169</v>
      </c>
      <c r="O16" s="78"/>
      <c r="P16" s="78"/>
      <c r="Q16" s="78"/>
      <c r="R16" s="74" t="s">
        <v>170</v>
      </c>
      <c r="S16" s="74"/>
      <c r="T16" s="74"/>
      <c r="U16" s="74"/>
      <c r="V16" s="79" t="s">
        <v>171</v>
      </c>
      <c r="W16" s="79"/>
      <c r="X16" s="79"/>
      <c r="Y16" s="79"/>
      <c r="Z16" s="72" t="s">
        <v>172</v>
      </c>
      <c r="AA16" s="2" t="s">
        <v>173</v>
      </c>
      <c r="AB16" s="2"/>
      <c r="AC16" s="2"/>
      <c r="AD16" s="2"/>
    </row>
    <row r="17" customFormat="false" ht="30" hidden="false" customHeight="false" outlineLevel="0" collapsed="false">
      <c r="A17" s="22"/>
      <c r="B17" s="22"/>
      <c r="C17" s="22"/>
      <c r="D17" s="22"/>
      <c r="E17" s="22"/>
      <c r="F17" s="22"/>
      <c r="G17" s="22"/>
      <c r="H17" s="24" t="s">
        <v>174</v>
      </c>
      <c r="I17" s="22" t="s">
        <v>175</v>
      </c>
      <c r="J17" s="24" t="s">
        <v>176</v>
      </c>
      <c r="K17" s="24" t="s">
        <v>177</v>
      </c>
      <c r="L17" s="24" t="s">
        <v>178</v>
      </c>
      <c r="M17" s="80" t="s">
        <v>179</v>
      </c>
      <c r="N17" s="81" t="s">
        <v>175</v>
      </c>
      <c r="O17" s="81" t="s">
        <v>180</v>
      </c>
      <c r="P17" s="81" t="s">
        <v>181</v>
      </c>
      <c r="Q17" s="81" t="s">
        <v>182</v>
      </c>
      <c r="R17" s="82" t="s">
        <v>175</v>
      </c>
      <c r="S17" s="82" t="s">
        <v>180</v>
      </c>
      <c r="T17" s="82" t="s">
        <v>181</v>
      </c>
      <c r="U17" s="82" t="s">
        <v>182</v>
      </c>
      <c r="V17" s="83" t="s">
        <v>175</v>
      </c>
      <c r="W17" s="83" t="s">
        <v>180</v>
      </c>
      <c r="X17" s="83" t="s">
        <v>181</v>
      </c>
      <c r="Y17" s="83" t="s">
        <v>182</v>
      </c>
      <c r="Z17" s="72"/>
      <c r="AA17" s="72" t="s">
        <v>152</v>
      </c>
      <c r="AB17" s="72" t="s">
        <v>153</v>
      </c>
      <c r="AC17" s="22" t="s">
        <v>154</v>
      </c>
      <c r="AD17" s="22" t="s">
        <v>155</v>
      </c>
    </row>
    <row r="18" customFormat="false" ht="15" hidden="false" customHeight="false" outlineLevel="0" collapsed="false">
      <c r="A18" s="18" t="s">
        <v>183</v>
      </c>
      <c r="B18" s="18" t="s">
        <v>184</v>
      </c>
      <c r="C18" s="18" t="s">
        <v>185</v>
      </c>
      <c r="D18" s="18" t="s">
        <v>186</v>
      </c>
      <c r="E18" s="18" t="n">
        <v>24.7422</v>
      </c>
      <c r="F18" s="18" t="n">
        <v>79.00627</v>
      </c>
      <c r="G18" s="18" t="n">
        <v>0</v>
      </c>
      <c r="H18" s="84" t="n">
        <v>25.56</v>
      </c>
      <c r="I18" s="18" t="n">
        <v>8.49</v>
      </c>
      <c r="J18" s="18" t="n">
        <v>900</v>
      </c>
      <c r="K18" s="18" t="n">
        <v>4.2</v>
      </c>
      <c r="L18" s="18" t="n">
        <v>7.2</v>
      </c>
      <c r="M18" s="85" t="n">
        <f aca="false">(L18/8.2)*100</f>
        <v>87.8048780487805</v>
      </c>
      <c r="N18" s="86" t="n">
        <f aca="false">316.96 - (29.85 *I18)</f>
        <v>63.5335</v>
      </c>
      <c r="O18" s="86" t="n">
        <f aca="false">97.2-(26.6 * LOG(J18))</f>
        <v>18.617149248914</v>
      </c>
      <c r="P18" s="86" t="n">
        <f aca="false">96.67 - (7*K18)</f>
        <v>67.27</v>
      </c>
      <c r="Q18" s="86" t="n">
        <f aca="false">(-13.55)+(1.17 *M18)</f>
        <v>89.1817073170732</v>
      </c>
      <c r="R18" s="75" t="n">
        <v>0.22</v>
      </c>
      <c r="S18" s="75" t="n">
        <v>0.28</v>
      </c>
      <c r="T18" s="75" t="n">
        <v>0.19</v>
      </c>
      <c r="U18" s="75" t="n">
        <v>0.31</v>
      </c>
      <c r="V18" s="87" t="n">
        <f aca="false">N18*$R$18</f>
        <v>13.97737</v>
      </c>
      <c r="W18" s="87" t="n">
        <f aca="false">O18*$S$18</f>
        <v>5.21280178969591</v>
      </c>
      <c r="X18" s="87" t="n">
        <f aca="false">P18*$T$18</f>
        <v>12.7813</v>
      </c>
      <c r="Y18" s="87" t="n">
        <f aca="false">Q18*$U$18</f>
        <v>27.6463292682927</v>
      </c>
      <c r="Z18" s="88" t="n">
        <f aca="false">SUM(V18+W18+X18+Y18)</f>
        <v>59.6178010579886</v>
      </c>
      <c r="AA18" s="89" t="s">
        <v>29</v>
      </c>
      <c r="AB18" s="90" t="s">
        <v>157</v>
      </c>
      <c r="AC18" s="18" t="s">
        <v>158</v>
      </c>
      <c r="AD18" s="91"/>
    </row>
    <row r="19" customFormat="false" ht="15" hidden="false" customHeight="false" outlineLevel="0" collapsed="false">
      <c r="A19" s="18" t="s">
        <v>187</v>
      </c>
      <c r="B19" s="18" t="s">
        <v>184</v>
      </c>
      <c r="C19" s="18" t="s">
        <v>185</v>
      </c>
      <c r="D19" s="18" t="s">
        <v>186</v>
      </c>
      <c r="E19" s="18" t="n">
        <v>24.74196</v>
      </c>
      <c r="F19" s="18" t="n">
        <v>79.0048</v>
      </c>
      <c r="G19" s="18" t="n">
        <v>0</v>
      </c>
      <c r="H19" s="84" t="n">
        <v>25.66</v>
      </c>
      <c r="I19" s="18" t="n">
        <v>8.76</v>
      </c>
      <c r="J19" s="18" t="n">
        <v>940</v>
      </c>
      <c r="K19" s="18" t="n">
        <v>4.3</v>
      </c>
      <c r="L19" s="18" t="n">
        <v>9.14</v>
      </c>
      <c r="M19" s="85" t="n">
        <f aca="false">(L19/8.2)*100</f>
        <v>111.463414634146</v>
      </c>
      <c r="N19" s="86" t="n">
        <f aca="false">316.96 - (29.85 *I19)</f>
        <v>55.474</v>
      </c>
      <c r="O19" s="86" t="n">
        <f aca="false">97.2-(26.6 * LOG(J19))</f>
        <v>18.114799094248</v>
      </c>
      <c r="P19" s="86" t="n">
        <f aca="false">96.67 - (7*K19)</f>
        <v>66.57</v>
      </c>
      <c r="Q19" s="86" t="n">
        <f aca="false">163.34 - (0.62 *M19)</f>
        <v>94.2326829268293</v>
      </c>
      <c r="R19" s="75"/>
      <c r="S19" s="75"/>
      <c r="T19" s="75"/>
      <c r="U19" s="75"/>
      <c r="V19" s="87" t="n">
        <f aca="false">N19*$R$18</f>
        <v>12.20428</v>
      </c>
      <c r="W19" s="87" t="n">
        <f aca="false">O19*$S$18</f>
        <v>5.07214374638945</v>
      </c>
      <c r="X19" s="87" t="n">
        <f aca="false">P19*$T$18</f>
        <v>12.6483</v>
      </c>
      <c r="Y19" s="87" t="n">
        <f aca="false">Q19*$U$18</f>
        <v>29.2121317073171</v>
      </c>
      <c r="Z19" s="88" t="n">
        <f aca="false">SUM(V19+W19+X19+Y19)</f>
        <v>59.1368554537065</v>
      </c>
      <c r="AA19" s="89" t="s">
        <v>29</v>
      </c>
      <c r="AB19" s="90" t="s">
        <v>157</v>
      </c>
      <c r="AC19" s="18" t="s">
        <v>158</v>
      </c>
      <c r="AD19" s="91"/>
    </row>
    <row r="20" customFormat="false" ht="15" hidden="false" customHeight="false" outlineLevel="0" collapsed="false">
      <c r="A20" s="18" t="s">
        <v>188</v>
      </c>
      <c r="B20" s="18" t="s">
        <v>184</v>
      </c>
      <c r="C20" s="18" t="s">
        <v>185</v>
      </c>
      <c r="D20" s="18" t="s">
        <v>186</v>
      </c>
      <c r="E20" s="18" t="n">
        <v>24.74112</v>
      </c>
      <c r="F20" s="18" t="n">
        <v>79.00242</v>
      </c>
      <c r="G20" s="18" t="n">
        <v>0</v>
      </c>
      <c r="H20" s="84" t="n">
        <v>25.63</v>
      </c>
      <c r="I20" s="18" t="n">
        <v>8.88</v>
      </c>
      <c r="J20" s="18" t="n">
        <v>950</v>
      </c>
      <c r="K20" s="18" t="n">
        <v>4.4</v>
      </c>
      <c r="L20" s="18" t="n">
        <v>9.97</v>
      </c>
      <c r="M20" s="85" t="n">
        <f aca="false">(L20/8.2)*100</f>
        <v>121.585365853659</v>
      </c>
      <c r="N20" s="86" t="n">
        <f aca="false">316.96 - (29.85 *I20)</f>
        <v>51.8919999999999</v>
      </c>
      <c r="O20" s="86" t="n">
        <f aca="false">97.2-(26.6 * LOG(J20))</f>
        <v>17.9925520993167</v>
      </c>
      <c r="P20" s="86" t="n">
        <f aca="false">96.67 - (7*K20)</f>
        <v>65.87</v>
      </c>
      <c r="Q20" s="86" t="n">
        <f aca="false">163.34 - (0.62 *M20)</f>
        <v>87.9570731707317</v>
      </c>
      <c r="R20" s="75"/>
      <c r="S20" s="75"/>
      <c r="T20" s="75"/>
      <c r="U20" s="75"/>
      <c r="V20" s="87" t="n">
        <f aca="false">N20*$R$18</f>
        <v>11.41624</v>
      </c>
      <c r="W20" s="87" t="n">
        <f aca="false">O20*$S$18</f>
        <v>5.03791458780866</v>
      </c>
      <c r="X20" s="87" t="n">
        <f aca="false">P20*$T$18</f>
        <v>12.5153</v>
      </c>
      <c r="Y20" s="87" t="n">
        <f aca="false">Q20*$U$18</f>
        <v>27.2666926829268</v>
      </c>
      <c r="Z20" s="88" t="n">
        <f aca="false">SUM(V20+W20+X20+Y20)</f>
        <v>56.2361472707355</v>
      </c>
      <c r="AA20" s="89" t="s">
        <v>29</v>
      </c>
      <c r="AB20" s="90" t="s">
        <v>157</v>
      </c>
      <c r="AC20" s="18" t="s">
        <v>158</v>
      </c>
      <c r="AD20" s="91"/>
    </row>
    <row r="21" customFormat="false" ht="15" hidden="false" customHeight="false" outlineLevel="0" collapsed="false">
      <c r="A21" s="18" t="s">
        <v>189</v>
      </c>
      <c r="B21" s="18" t="s">
        <v>184</v>
      </c>
      <c r="C21" s="18" t="s">
        <v>185</v>
      </c>
      <c r="D21" s="18" t="s">
        <v>186</v>
      </c>
      <c r="E21" s="18" t="n">
        <v>24.74083</v>
      </c>
      <c r="F21" s="18" t="n">
        <v>79.00139</v>
      </c>
      <c r="G21" s="18" t="n">
        <v>0</v>
      </c>
      <c r="H21" s="84" t="n">
        <v>25.732</v>
      </c>
      <c r="I21" s="18" t="n">
        <v>8.95</v>
      </c>
      <c r="J21" s="18" t="n">
        <v>975</v>
      </c>
      <c r="K21" s="18" t="n">
        <v>4.6</v>
      </c>
      <c r="L21" s="18" t="n">
        <v>10.38</v>
      </c>
      <c r="M21" s="85" t="n">
        <f aca="false">(L21/8.2)*100</f>
        <v>126.585365853659</v>
      </c>
      <c r="N21" s="86" t="n">
        <f aca="false">316.96 - (29.85 *I21)</f>
        <v>49.8025</v>
      </c>
      <c r="O21" s="86" t="n">
        <f aca="false">97.2-(26.6 * LOG(J21))</f>
        <v>17.6924772224189</v>
      </c>
      <c r="P21" s="86" t="n">
        <f aca="false">96.67 - (7*K21)</f>
        <v>64.47</v>
      </c>
      <c r="Q21" s="86" t="n">
        <f aca="false">163.34 - (0.62 *M21)</f>
        <v>84.8570731707317</v>
      </c>
      <c r="R21" s="75"/>
      <c r="S21" s="75"/>
      <c r="T21" s="75"/>
      <c r="U21" s="75"/>
      <c r="V21" s="87" t="n">
        <f aca="false">N21*$R$18</f>
        <v>10.95655</v>
      </c>
      <c r="W21" s="87" t="n">
        <f aca="false">O21*$S$18</f>
        <v>4.9538936222773</v>
      </c>
      <c r="X21" s="87" t="n">
        <f aca="false">P21*$T$18</f>
        <v>12.2493</v>
      </c>
      <c r="Y21" s="87" t="n">
        <f aca="false">Q21*$U$18</f>
        <v>26.3056926829268</v>
      </c>
      <c r="Z21" s="88" t="n">
        <f aca="false">SUM(V21+W21+X21+Y21)</f>
        <v>54.4654363052041</v>
      </c>
      <c r="AA21" s="89" t="s">
        <v>29</v>
      </c>
      <c r="AB21" s="90" t="s">
        <v>157</v>
      </c>
      <c r="AC21" s="18" t="s">
        <v>158</v>
      </c>
      <c r="AD21" s="91"/>
    </row>
    <row r="22" customFormat="false" ht="15" hidden="false" customHeight="false" outlineLevel="0" collapsed="false">
      <c r="A22" s="18" t="s">
        <v>190</v>
      </c>
      <c r="B22" s="18" t="s">
        <v>184</v>
      </c>
      <c r="C22" s="18" t="s">
        <v>185</v>
      </c>
      <c r="D22" s="18" t="s">
        <v>186</v>
      </c>
      <c r="E22" s="18" t="n">
        <v>24.74077</v>
      </c>
      <c r="F22" s="18" t="n">
        <v>79.00447</v>
      </c>
      <c r="G22" s="18" t="n">
        <v>0</v>
      </c>
      <c r="H22" s="84" t="n">
        <v>25.79</v>
      </c>
      <c r="I22" s="18" t="n">
        <v>8.81</v>
      </c>
      <c r="J22" s="18" t="n">
        <v>960</v>
      </c>
      <c r="K22" s="18" t="n">
        <v>4.5</v>
      </c>
      <c r="L22" s="18" t="n">
        <v>9.25</v>
      </c>
      <c r="M22" s="85" t="n">
        <f aca="false">(L22/8.2)*100</f>
        <v>112.804878048781</v>
      </c>
      <c r="N22" s="86" t="n">
        <f aca="false">316.96 - (29.85 *I22)</f>
        <v>53.9814999999999</v>
      </c>
      <c r="O22" s="86" t="n">
        <f aca="false">97.2-(26.6 * LOG(J22))</f>
        <v>17.8715852011475</v>
      </c>
      <c r="P22" s="86" t="n">
        <f aca="false">96.67 - (7*K22)</f>
        <v>65.17</v>
      </c>
      <c r="Q22" s="86" t="n">
        <f aca="false">163.34 - (0.62 *M22)</f>
        <v>93.4009756097561</v>
      </c>
      <c r="R22" s="75"/>
      <c r="S22" s="75"/>
      <c r="T22" s="75"/>
      <c r="U22" s="75"/>
      <c r="V22" s="87" t="n">
        <f aca="false">N22*$R$18</f>
        <v>11.87593</v>
      </c>
      <c r="W22" s="87" t="n">
        <f aca="false">O22*$S$18</f>
        <v>5.0040438563213</v>
      </c>
      <c r="X22" s="87" t="n">
        <f aca="false">P22*$T$18</f>
        <v>12.3823</v>
      </c>
      <c r="Y22" s="87" t="n">
        <f aca="false">Q22*$U$18</f>
        <v>28.9543024390244</v>
      </c>
      <c r="Z22" s="88" t="n">
        <f aca="false">SUM(V22+W22+X22+Y22)</f>
        <v>58.2165762953457</v>
      </c>
      <c r="AA22" s="89" t="s">
        <v>29</v>
      </c>
      <c r="AB22" s="90" t="s">
        <v>157</v>
      </c>
      <c r="AC22" s="18" t="s">
        <v>158</v>
      </c>
      <c r="AD22" s="91"/>
    </row>
    <row r="23" customFormat="false" ht="15" hidden="false" customHeight="false" outlineLevel="0" collapsed="false">
      <c r="A23" s="92" t="s">
        <v>191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3" t="n">
        <f aca="false">AVERAGE(Z18:Z22)</f>
        <v>57.5345632765961</v>
      </c>
      <c r="AA23" s="89" t="s">
        <v>29</v>
      </c>
      <c r="AB23" s="90" t="s">
        <v>157</v>
      </c>
      <c r="AC23" s="18" t="s">
        <v>158</v>
      </c>
      <c r="AD23" s="91"/>
    </row>
    <row r="25" customFormat="false" ht="15" hidden="false" customHeight="false" outlineLevel="0" collapsed="false">
      <c r="A25" s="51" t="s">
        <v>192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</row>
    <row r="26" customFormat="false" ht="15" hidden="false" customHeight="true" outlineLevel="0" collapsed="false">
      <c r="A26" s="22" t="s">
        <v>160</v>
      </c>
      <c r="B26" s="22" t="s">
        <v>161</v>
      </c>
      <c r="C26" s="22" t="s">
        <v>162</v>
      </c>
      <c r="D26" s="22" t="s">
        <v>163</v>
      </c>
      <c r="E26" s="22" t="s">
        <v>164</v>
      </c>
      <c r="F26" s="22" t="s">
        <v>165</v>
      </c>
      <c r="G26" s="24" t="s">
        <v>166</v>
      </c>
      <c r="H26" s="2" t="s">
        <v>167</v>
      </c>
      <c r="I26" s="2"/>
      <c r="J26" s="2"/>
      <c r="K26" s="2"/>
      <c r="L26" s="2"/>
      <c r="M26" s="77" t="s">
        <v>168</v>
      </c>
      <c r="N26" s="78" t="s">
        <v>169</v>
      </c>
      <c r="O26" s="78"/>
      <c r="P26" s="78"/>
      <c r="Q26" s="78"/>
      <c r="R26" s="74" t="s">
        <v>170</v>
      </c>
      <c r="S26" s="74"/>
      <c r="T26" s="74"/>
      <c r="U26" s="74"/>
      <c r="V26" s="79" t="s">
        <v>171</v>
      </c>
      <c r="W26" s="79"/>
      <c r="X26" s="79"/>
      <c r="Y26" s="79"/>
      <c r="Z26" s="72" t="s">
        <v>172</v>
      </c>
      <c r="AA26" s="2" t="s">
        <v>173</v>
      </c>
      <c r="AB26" s="2"/>
      <c r="AC26" s="2"/>
      <c r="AD26" s="2"/>
    </row>
    <row r="27" customFormat="false" ht="30" hidden="false" customHeight="false" outlineLevel="0" collapsed="false">
      <c r="A27" s="22"/>
      <c r="B27" s="22"/>
      <c r="C27" s="22"/>
      <c r="D27" s="22"/>
      <c r="E27" s="22"/>
      <c r="F27" s="22"/>
      <c r="G27" s="22"/>
      <c r="H27" s="24" t="s">
        <v>174</v>
      </c>
      <c r="I27" s="22" t="s">
        <v>175</v>
      </c>
      <c r="J27" s="24" t="s">
        <v>176</v>
      </c>
      <c r="K27" s="24" t="s">
        <v>177</v>
      </c>
      <c r="L27" s="24" t="s">
        <v>178</v>
      </c>
      <c r="M27" s="80" t="s">
        <v>179</v>
      </c>
      <c r="N27" s="81" t="s">
        <v>175</v>
      </c>
      <c r="O27" s="81" t="s">
        <v>180</v>
      </c>
      <c r="P27" s="81" t="s">
        <v>181</v>
      </c>
      <c r="Q27" s="81" t="s">
        <v>182</v>
      </c>
      <c r="R27" s="82" t="s">
        <v>175</v>
      </c>
      <c r="S27" s="82" t="s">
        <v>180</v>
      </c>
      <c r="T27" s="82" t="s">
        <v>181</v>
      </c>
      <c r="U27" s="82" t="s">
        <v>182</v>
      </c>
      <c r="V27" s="83" t="s">
        <v>175</v>
      </c>
      <c r="W27" s="83" t="s">
        <v>180</v>
      </c>
      <c r="X27" s="83" t="s">
        <v>181</v>
      </c>
      <c r="Y27" s="83" t="s">
        <v>182</v>
      </c>
      <c r="Z27" s="72"/>
      <c r="AA27" s="72" t="s">
        <v>152</v>
      </c>
      <c r="AB27" s="72" t="s">
        <v>153</v>
      </c>
      <c r="AC27" s="22" t="s">
        <v>154</v>
      </c>
      <c r="AD27" s="22" t="s">
        <v>155</v>
      </c>
    </row>
    <row r="28" customFormat="false" ht="15" hidden="false" customHeight="false" outlineLevel="0" collapsed="false">
      <c r="A28" s="18" t="s">
        <v>193</v>
      </c>
      <c r="B28" s="18" t="s">
        <v>194</v>
      </c>
      <c r="C28" s="18" t="s">
        <v>186</v>
      </c>
      <c r="D28" s="18" t="s">
        <v>186</v>
      </c>
      <c r="E28" s="18" t="n">
        <v>24.752</v>
      </c>
      <c r="F28" s="18" t="n">
        <v>79.06552</v>
      </c>
      <c r="G28" s="18" t="n">
        <v>0</v>
      </c>
      <c r="H28" s="84" t="n">
        <v>26.02</v>
      </c>
      <c r="I28" s="18" t="n">
        <v>9.07</v>
      </c>
      <c r="J28" s="18" t="n">
        <v>700</v>
      </c>
      <c r="K28" s="18" t="n">
        <v>5</v>
      </c>
      <c r="L28" s="18" t="n">
        <v>13</v>
      </c>
      <c r="M28" s="66" t="n">
        <f aca="false">(L28/8.2)*100</f>
        <v>158.536585365854</v>
      </c>
      <c r="N28" s="86" t="n">
        <f aca="false">316.96 - (29.85 *I28)</f>
        <v>46.2205</v>
      </c>
      <c r="O28" s="86" t="n">
        <f aca="false">97.2-(26.6 * LOG(J28))</f>
        <v>21.5203921356208</v>
      </c>
      <c r="P28" s="86" t="n">
        <f aca="false">96.67 - (7*K28)</f>
        <v>61.67</v>
      </c>
      <c r="Q28" s="86" t="n">
        <f aca="false">163.34 - (0.62 *M28)</f>
        <v>65.0473170731708</v>
      </c>
      <c r="R28" s="75" t="n">
        <v>0.22</v>
      </c>
      <c r="S28" s="75" t="n">
        <v>0.28</v>
      </c>
      <c r="T28" s="75" t="n">
        <v>0.19</v>
      </c>
      <c r="U28" s="75" t="n">
        <v>0.31</v>
      </c>
      <c r="V28" s="94" t="n">
        <f aca="false">N28*$R$28</f>
        <v>10.16851</v>
      </c>
      <c r="W28" s="94" t="n">
        <f aca="false">O28*$S$28</f>
        <v>6.02570979797382</v>
      </c>
      <c r="X28" s="94" t="n">
        <f aca="false">P28*$T$28</f>
        <v>11.7173</v>
      </c>
      <c r="Y28" s="94" t="n">
        <f aca="false">Q28*$U$28</f>
        <v>20.1646682926829</v>
      </c>
      <c r="Z28" s="95" t="n">
        <f aca="false">SUM(V28+W28+X28+Y28)</f>
        <v>48.0761880906567</v>
      </c>
      <c r="AA28" s="58" t="s">
        <v>40</v>
      </c>
      <c r="AB28" s="96" t="s">
        <v>195</v>
      </c>
      <c r="AC28" s="96" t="s">
        <v>196</v>
      </c>
      <c r="AD28" s="97"/>
    </row>
    <row r="29" customFormat="false" ht="15" hidden="false" customHeight="false" outlineLevel="0" collapsed="false">
      <c r="A29" s="18" t="s">
        <v>197</v>
      </c>
      <c r="B29" s="18" t="s">
        <v>194</v>
      </c>
      <c r="C29" s="18" t="s">
        <v>186</v>
      </c>
      <c r="D29" s="18" t="s">
        <v>186</v>
      </c>
      <c r="E29" s="18" t="n">
        <v>24.75117</v>
      </c>
      <c r="F29" s="18" t="n">
        <v>79.06463</v>
      </c>
      <c r="G29" s="18" t="n">
        <v>0</v>
      </c>
      <c r="H29" s="84" t="n">
        <v>25.98</v>
      </c>
      <c r="I29" s="18" t="n">
        <v>9.11</v>
      </c>
      <c r="J29" s="18" t="n">
        <v>720</v>
      </c>
      <c r="K29" s="18" t="n">
        <v>5.1</v>
      </c>
      <c r="L29" s="18" t="n">
        <v>13.79</v>
      </c>
      <c r="M29" s="66" t="n">
        <f aca="false">(L29/8.2)*100</f>
        <v>168.170731707317</v>
      </c>
      <c r="N29" s="86" t="n">
        <f aca="false">316.96 - (29.85 *I29)</f>
        <v>45.0265</v>
      </c>
      <c r="O29" s="86" t="n">
        <f aca="false">97.2-(26.6 * LOG(J29))</f>
        <v>21.1949555949283</v>
      </c>
      <c r="P29" s="86" t="n">
        <f aca="false">96.67 - (7*K29)</f>
        <v>60.97</v>
      </c>
      <c r="Q29" s="86" t="n">
        <f aca="false">163.34 - (0.62 *M29)</f>
        <v>59.0741463414634</v>
      </c>
      <c r="R29" s="75"/>
      <c r="S29" s="75"/>
      <c r="T29" s="75"/>
      <c r="U29" s="75"/>
      <c r="V29" s="94" t="n">
        <f aca="false">N29*$R$28</f>
        <v>9.90583</v>
      </c>
      <c r="W29" s="94" t="n">
        <f aca="false">O29*$S$28</f>
        <v>5.93458756657992</v>
      </c>
      <c r="X29" s="94" t="n">
        <f aca="false">P29*$T$28</f>
        <v>11.5843</v>
      </c>
      <c r="Y29" s="94" t="n">
        <f aca="false">Q29*$U$28</f>
        <v>18.3129853658537</v>
      </c>
      <c r="Z29" s="95" t="n">
        <f aca="false">SUM(V29+W29+X29+Y29)</f>
        <v>45.7377029324336</v>
      </c>
      <c r="AA29" s="58" t="s">
        <v>40</v>
      </c>
      <c r="AB29" s="96" t="s">
        <v>195</v>
      </c>
      <c r="AC29" s="96" t="s">
        <v>196</v>
      </c>
      <c r="AD29" s="97"/>
    </row>
    <row r="30" customFormat="false" ht="15" hidden="false" customHeight="false" outlineLevel="0" collapsed="false">
      <c r="A30" s="18" t="s">
        <v>198</v>
      </c>
      <c r="B30" s="18" t="s">
        <v>194</v>
      </c>
      <c r="C30" s="18" t="s">
        <v>186</v>
      </c>
      <c r="D30" s="18" t="s">
        <v>186</v>
      </c>
      <c r="E30" s="18" t="n">
        <v>24.74934</v>
      </c>
      <c r="F30" s="18" t="n">
        <v>79.0629</v>
      </c>
      <c r="G30" s="18" t="n">
        <v>0</v>
      </c>
      <c r="H30" s="84" t="n">
        <v>25.28</v>
      </c>
      <c r="I30" s="18" t="n">
        <v>8.92</v>
      </c>
      <c r="J30" s="18" t="n">
        <v>650</v>
      </c>
      <c r="K30" s="18" t="n">
        <v>4.9</v>
      </c>
      <c r="L30" s="18" t="n">
        <v>11.69</v>
      </c>
      <c r="M30" s="66" t="n">
        <f aca="false">(L30/8.4)*100</f>
        <v>139.166666666667</v>
      </c>
      <c r="N30" s="86" t="n">
        <f aca="false">316.96 - (29.85 *I30)</f>
        <v>50.698</v>
      </c>
      <c r="O30" s="86" t="n">
        <f aca="false">97.2-(26.6 * LOG(J30))</f>
        <v>22.3765047133001</v>
      </c>
      <c r="P30" s="86" t="n">
        <f aca="false">96.67 - (7*K30)</f>
        <v>62.37</v>
      </c>
      <c r="Q30" s="86" t="n">
        <f aca="false">163.34 - (0.62 *M30)</f>
        <v>77.0566666666667</v>
      </c>
      <c r="R30" s="75"/>
      <c r="S30" s="75"/>
      <c r="T30" s="75"/>
      <c r="U30" s="75"/>
      <c r="V30" s="94" t="n">
        <f aca="false">N30*$R$28</f>
        <v>11.15356</v>
      </c>
      <c r="W30" s="94" t="n">
        <f aca="false">O30*$S$28</f>
        <v>6.26542131972402</v>
      </c>
      <c r="X30" s="94" t="n">
        <f aca="false">P30*$T$28</f>
        <v>11.8503</v>
      </c>
      <c r="Y30" s="94" t="n">
        <f aca="false">Q30*$U$28</f>
        <v>23.8875666666667</v>
      </c>
      <c r="Z30" s="95" t="n">
        <f aca="false">SUM(V30+W30+X30+Y30)</f>
        <v>53.1568479863907</v>
      </c>
      <c r="AA30" s="58" t="s">
        <v>29</v>
      </c>
      <c r="AB30" s="96" t="s">
        <v>157</v>
      </c>
      <c r="AC30" s="96" t="s">
        <v>158</v>
      </c>
      <c r="AD30" s="98"/>
    </row>
    <row r="31" customFormat="false" ht="15" hidden="false" customHeight="false" outlineLevel="0" collapsed="false">
      <c r="A31" s="18" t="s">
        <v>199</v>
      </c>
      <c r="B31" s="18" t="s">
        <v>194</v>
      </c>
      <c r="C31" s="18" t="s">
        <v>186</v>
      </c>
      <c r="D31" s="18" t="s">
        <v>186</v>
      </c>
      <c r="E31" s="18" t="n">
        <v>24.74718</v>
      </c>
      <c r="F31" s="18" t="n">
        <v>79.06454</v>
      </c>
      <c r="G31" s="18" t="n">
        <v>0</v>
      </c>
      <c r="H31" s="84" t="n">
        <v>25.39</v>
      </c>
      <c r="I31" s="18" t="n">
        <v>8.38</v>
      </c>
      <c r="J31" s="18" t="n">
        <v>730</v>
      </c>
      <c r="K31" s="18" t="n">
        <v>4.8</v>
      </c>
      <c r="L31" s="18" t="n">
        <v>6.83</v>
      </c>
      <c r="M31" s="66" t="n">
        <f aca="false">(L31/8.4)*100</f>
        <v>81.3095238095238</v>
      </c>
      <c r="N31" s="86" t="n">
        <f aca="false">316.96 - (29.85 *I31)</f>
        <v>66.817</v>
      </c>
      <c r="O31" s="86" t="n">
        <f aca="false">97.2-(26.6 * LOG(J31))</f>
        <v>21.0356119207959</v>
      </c>
      <c r="P31" s="86" t="n">
        <f aca="false">96.67 - (7*K31)</f>
        <v>63.07</v>
      </c>
      <c r="Q31" s="86" t="n">
        <f aca="false">(-13.55)+(1.17 *M31)</f>
        <v>81.5821428571429</v>
      </c>
      <c r="R31" s="75"/>
      <c r="S31" s="75"/>
      <c r="T31" s="75"/>
      <c r="U31" s="75"/>
      <c r="V31" s="94" t="n">
        <f aca="false">N31*$R$28</f>
        <v>14.69974</v>
      </c>
      <c r="W31" s="94" t="n">
        <f aca="false">O31*$S$28</f>
        <v>5.88997133782285</v>
      </c>
      <c r="X31" s="94" t="n">
        <f aca="false">P31*$T$28</f>
        <v>11.9833</v>
      </c>
      <c r="Y31" s="94" t="n">
        <f aca="false">Q31*$U$28</f>
        <v>25.2904642857143</v>
      </c>
      <c r="Z31" s="95" t="n">
        <f aca="false">SUM(V31+W31+X31+Y31)</f>
        <v>57.8634756235371</v>
      </c>
      <c r="AA31" s="58" t="s">
        <v>29</v>
      </c>
      <c r="AB31" s="96" t="s">
        <v>157</v>
      </c>
      <c r="AC31" s="96" t="s">
        <v>158</v>
      </c>
      <c r="AD31" s="98"/>
    </row>
    <row r="32" customFormat="false" ht="15" hidden="false" customHeight="false" outlineLevel="0" collapsed="false">
      <c r="A32" s="18" t="s">
        <v>200</v>
      </c>
      <c r="B32" s="18" t="s">
        <v>194</v>
      </c>
      <c r="C32" s="18" t="s">
        <v>186</v>
      </c>
      <c r="D32" s="18" t="s">
        <v>186</v>
      </c>
      <c r="E32" s="18" t="n">
        <v>24.74674</v>
      </c>
      <c r="F32" s="18" t="n">
        <v>79.06759</v>
      </c>
      <c r="G32" s="18" t="n">
        <v>0</v>
      </c>
      <c r="H32" s="84" t="n">
        <v>25.32</v>
      </c>
      <c r="I32" s="18" t="n">
        <v>8.65</v>
      </c>
      <c r="J32" s="18" t="n">
        <v>711</v>
      </c>
      <c r="K32" s="18" t="n">
        <v>5.2</v>
      </c>
      <c r="L32" s="18" t="n">
        <v>8.83</v>
      </c>
      <c r="M32" s="66" t="n">
        <f aca="false">(L32/8.4)*100</f>
        <v>105.119047619048</v>
      </c>
      <c r="N32" s="86" t="n">
        <f aca="false">316.96 - (29.85 *I32)</f>
        <v>58.7574999999999</v>
      </c>
      <c r="O32" s="86" t="n">
        <f aca="false">97.2-(26.6 * LOG(J32))</f>
        <v>21.3402686205882</v>
      </c>
      <c r="P32" s="86" t="n">
        <f aca="false">96.67 - (7*K32)</f>
        <v>60.27</v>
      </c>
      <c r="Q32" s="86" t="n">
        <f aca="false">163.34 - (0.62 *M32)</f>
        <v>98.1661904761905</v>
      </c>
      <c r="R32" s="75"/>
      <c r="S32" s="75"/>
      <c r="T32" s="75"/>
      <c r="U32" s="75"/>
      <c r="V32" s="94" t="n">
        <f aca="false">N32*$R$28</f>
        <v>12.92665</v>
      </c>
      <c r="W32" s="94" t="n">
        <f aca="false">O32*$S$28</f>
        <v>5.9752752137647</v>
      </c>
      <c r="X32" s="94" t="n">
        <f aca="false">P32*$T$28</f>
        <v>11.4513</v>
      </c>
      <c r="Y32" s="94" t="n">
        <f aca="false">Q32*$U$28</f>
        <v>30.431519047619</v>
      </c>
      <c r="Z32" s="95" t="n">
        <f aca="false">SUM(V32+W32+X32+Y32)</f>
        <v>60.7847442613837</v>
      </c>
      <c r="AA32" s="58" t="s">
        <v>29</v>
      </c>
      <c r="AB32" s="96" t="s">
        <v>157</v>
      </c>
      <c r="AC32" s="96" t="s">
        <v>158</v>
      </c>
      <c r="AD32" s="98"/>
    </row>
    <row r="33" customFormat="false" ht="15" hidden="false" customHeight="false" outlineLevel="0" collapsed="false">
      <c r="A33" s="92" t="s">
        <v>201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9" t="n">
        <f aca="false">AVERAGE(Z28:Z32)</f>
        <v>53.1237917788804</v>
      </c>
      <c r="AA33" s="58" t="s">
        <v>29</v>
      </c>
      <c r="AB33" s="96" t="s">
        <v>157</v>
      </c>
      <c r="AC33" s="96" t="s">
        <v>158</v>
      </c>
      <c r="AD33" s="98"/>
    </row>
    <row r="35" customFormat="false" ht="15" hidden="false" customHeight="false" outlineLevel="0" collapsed="false">
      <c r="A35" s="51" t="s">
        <v>202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</row>
    <row r="36" customFormat="false" ht="15" hidden="false" customHeight="true" outlineLevel="0" collapsed="false">
      <c r="A36" s="22" t="s">
        <v>160</v>
      </c>
      <c r="B36" s="22" t="s">
        <v>161</v>
      </c>
      <c r="C36" s="22" t="s">
        <v>162</v>
      </c>
      <c r="D36" s="22" t="s">
        <v>163</v>
      </c>
      <c r="E36" s="22" t="s">
        <v>164</v>
      </c>
      <c r="F36" s="22" t="s">
        <v>165</v>
      </c>
      <c r="G36" s="24" t="s">
        <v>166</v>
      </c>
      <c r="H36" s="2" t="s">
        <v>167</v>
      </c>
      <c r="I36" s="2"/>
      <c r="J36" s="2"/>
      <c r="K36" s="2"/>
      <c r="L36" s="2"/>
      <c r="M36" s="77" t="s">
        <v>168</v>
      </c>
      <c r="N36" s="78" t="s">
        <v>169</v>
      </c>
      <c r="O36" s="78"/>
      <c r="P36" s="78"/>
      <c r="Q36" s="78"/>
      <c r="R36" s="74" t="s">
        <v>170</v>
      </c>
      <c r="S36" s="74"/>
      <c r="T36" s="74"/>
      <c r="U36" s="74"/>
      <c r="V36" s="79" t="s">
        <v>171</v>
      </c>
      <c r="W36" s="79"/>
      <c r="X36" s="79"/>
      <c r="Y36" s="79"/>
      <c r="Z36" s="72" t="s">
        <v>172</v>
      </c>
      <c r="AA36" s="2" t="s">
        <v>173</v>
      </c>
      <c r="AB36" s="2"/>
      <c r="AC36" s="2"/>
      <c r="AD36" s="2"/>
    </row>
    <row r="37" customFormat="false" ht="30" hidden="false" customHeight="false" outlineLevel="0" collapsed="false">
      <c r="A37" s="22"/>
      <c r="B37" s="22"/>
      <c r="C37" s="22"/>
      <c r="D37" s="22"/>
      <c r="E37" s="22"/>
      <c r="F37" s="22"/>
      <c r="G37" s="22"/>
      <c r="H37" s="24" t="s">
        <v>174</v>
      </c>
      <c r="I37" s="22" t="s">
        <v>175</v>
      </c>
      <c r="J37" s="24" t="s">
        <v>176</v>
      </c>
      <c r="K37" s="24" t="s">
        <v>177</v>
      </c>
      <c r="L37" s="24" t="s">
        <v>178</v>
      </c>
      <c r="M37" s="80" t="s">
        <v>179</v>
      </c>
      <c r="N37" s="81" t="s">
        <v>175</v>
      </c>
      <c r="O37" s="81" t="s">
        <v>180</v>
      </c>
      <c r="P37" s="81" t="s">
        <v>181</v>
      </c>
      <c r="Q37" s="81" t="s">
        <v>182</v>
      </c>
      <c r="R37" s="82" t="s">
        <v>175</v>
      </c>
      <c r="S37" s="82" t="s">
        <v>180</v>
      </c>
      <c r="T37" s="82" t="s">
        <v>181</v>
      </c>
      <c r="U37" s="82" t="s">
        <v>182</v>
      </c>
      <c r="V37" s="83" t="s">
        <v>175</v>
      </c>
      <c r="W37" s="83" t="s">
        <v>180</v>
      </c>
      <c r="X37" s="83" t="s">
        <v>181</v>
      </c>
      <c r="Y37" s="83" t="s">
        <v>182</v>
      </c>
      <c r="Z37" s="72"/>
      <c r="AA37" s="72" t="s">
        <v>152</v>
      </c>
      <c r="AB37" s="72" t="s">
        <v>153</v>
      </c>
      <c r="AC37" s="22" t="s">
        <v>154</v>
      </c>
      <c r="AD37" s="22" t="s">
        <v>155</v>
      </c>
    </row>
    <row r="38" customFormat="false" ht="15" hidden="false" customHeight="false" outlineLevel="0" collapsed="false">
      <c r="A38" s="58" t="s">
        <v>203</v>
      </c>
      <c r="B38" s="58" t="s">
        <v>204</v>
      </c>
      <c r="C38" s="58" t="s">
        <v>205</v>
      </c>
      <c r="D38" s="58" t="s">
        <v>186</v>
      </c>
      <c r="E38" s="58" t="n">
        <v>24.7938</v>
      </c>
      <c r="F38" s="58" t="n">
        <v>79.0212</v>
      </c>
      <c r="G38" s="18" t="n">
        <v>0</v>
      </c>
      <c r="H38" s="84" t="n">
        <v>26.36</v>
      </c>
      <c r="I38" s="18" t="n">
        <v>9.46</v>
      </c>
      <c r="J38" s="18" t="n">
        <v>500</v>
      </c>
      <c r="K38" s="18" t="n">
        <v>4.5</v>
      </c>
      <c r="L38" s="18" t="n">
        <v>15.2</v>
      </c>
      <c r="M38" s="66" t="n">
        <f aca="false">(L38/8.2)*100</f>
        <v>185.365853658537</v>
      </c>
      <c r="N38" s="86" t="n">
        <f aca="false">316.96 - (29.85 *I38)</f>
        <v>34.5789999999999</v>
      </c>
      <c r="O38" s="86" t="n">
        <f aca="false">97.2-(26.6 * LOG(J38))</f>
        <v>25.4073978846619</v>
      </c>
      <c r="P38" s="86" t="n">
        <f aca="false">96.67 - (7*K38)</f>
        <v>65.17</v>
      </c>
      <c r="Q38" s="86" t="n">
        <f aca="false">163.34 - (0.62 *M38)</f>
        <v>48.4131707317073</v>
      </c>
      <c r="R38" s="75" t="n">
        <v>0.22</v>
      </c>
      <c r="S38" s="75" t="n">
        <v>0.28</v>
      </c>
      <c r="T38" s="75" t="n">
        <v>0.19</v>
      </c>
      <c r="U38" s="75" t="n">
        <v>0.31</v>
      </c>
      <c r="V38" s="94" t="n">
        <f aca="false">N38*$R$38</f>
        <v>7.60737999999999</v>
      </c>
      <c r="W38" s="94" t="n">
        <f aca="false">O38*$S$38</f>
        <v>7.11407140770533</v>
      </c>
      <c r="X38" s="94" t="n">
        <f aca="false">P38*$T$38</f>
        <v>12.3823</v>
      </c>
      <c r="Y38" s="94" t="n">
        <f aca="false">Q38*$U$38</f>
        <v>15.0080829268293</v>
      </c>
      <c r="Z38" s="95" t="n">
        <f aca="false">SUM(V38+W38+X38+Y38)</f>
        <v>42.1118343345346</v>
      </c>
      <c r="AA38" s="58" t="s">
        <v>40</v>
      </c>
      <c r="AB38" s="96" t="s">
        <v>195</v>
      </c>
      <c r="AC38" s="96" t="s">
        <v>196</v>
      </c>
      <c r="AD38" s="97"/>
    </row>
    <row r="39" customFormat="false" ht="15" hidden="false" customHeight="false" outlineLevel="0" collapsed="false">
      <c r="A39" s="58" t="s">
        <v>206</v>
      </c>
      <c r="B39" s="58" t="s">
        <v>204</v>
      </c>
      <c r="C39" s="58" t="s">
        <v>205</v>
      </c>
      <c r="D39" s="58" t="s">
        <v>186</v>
      </c>
      <c r="E39" s="58" t="n">
        <v>24.79418</v>
      </c>
      <c r="F39" s="58" t="n">
        <v>79.02119</v>
      </c>
      <c r="G39" s="18" t="n">
        <v>0</v>
      </c>
      <c r="H39" s="84" t="n">
        <v>26.209</v>
      </c>
      <c r="I39" s="18" t="n">
        <v>9.48</v>
      </c>
      <c r="J39" s="18" t="n">
        <v>550</v>
      </c>
      <c r="K39" s="18" t="n">
        <v>5.2</v>
      </c>
      <c r="L39" s="18" t="n">
        <v>17.75</v>
      </c>
      <c r="M39" s="66" t="n">
        <f aca="false">(L39/8.2)*100</f>
        <v>216.463414634146</v>
      </c>
      <c r="N39" s="86" t="n">
        <f aca="false">316.96 - (29.85 *I39)</f>
        <v>33.982</v>
      </c>
      <c r="O39" s="86" t="n">
        <f aca="false">97.2-(26.6 * LOG(J39))</f>
        <v>24.3063524594531</v>
      </c>
      <c r="P39" s="86" t="n">
        <f aca="false">96.67 - (7*K39)</f>
        <v>60.27</v>
      </c>
      <c r="Q39" s="86" t="n">
        <f aca="false">163.34 - (0.62 *M39)</f>
        <v>29.1326829268293</v>
      </c>
      <c r="R39" s="75"/>
      <c r="S39" s="75"/>
      <c r="T39" s="75"/>
      <c r="U39" s="75"/>
      <c r="V39" s="94" t="n">
        <f aca="false">N39*$R$38</f>
        <v>7.47603999999999</v>
      </c>
      <c r="W39" s="94" t="n">
        <f aca="false">O39*$S$38</f>
        <v>6.80577868864688</v>
      </c>
      <c r="X39" s="94" t="n">
        <f aca="false">P39*$T$38</f>
        <v>11.4513</v>
      </c>
      <c r="Y39" s="94" t="n">
        <f aca="false">Q39*$U$38</f>
        <v>9.03113170731707</v>
      </c>
      <c r="Z39" s="95" t="n">
        <f aca="false">SUM(V39+W39+X39+Y39)</f>
        <v>34.7642503959639</v>
      </c>
      <c r="AA39" s="58" t="s">
        <v>43</v>
      </c>
      <c r="AB39" s="96" t="s">
        <v>207</v>
      </c>
      <c r="AC39" s="96" t="s">
        <v>196</v>
      </c>
      <c r="AD39" s="100"/>
    </row>
    <row r="40" customFormat="false" ht="15" hidden="false" customHeight="false" outlineLevel="0" collapsed="false">
      <c r="A40" s="58" t="s">
        <v>208</v>
      </c>
      <c r="B40" s="58" t="s">
        <v>204</v>
      </c>
      <c r="C40" s="58" t="s">
        <v>205</v>
      </c>
      <c r="D40" s="58" t="s">
        <v>186</v>
      </c>
      <c r="E40" s="58" t="n">
        <v>24.79462</v>
      </c>
      <c r="F40" s="58" t="n">
        <v>79.02124</v>
      </c>
      <c r="G40" s="18" t="n">
        <v>0</v>
      </c>
      <c r="H40" s="84" t="n">
        <v>28.723</v>
      </c>
      <c r="I40" s="18" t="n">
        <v>9.49</v>
      </c>
      <c r="J40" s="18" t="n">
        <v>450</v>
      </c>
      <c r="K40" s="18" t="n">
        <v>4.3</v>
      </c>
      <c r="L40" s="18" t="n">
        <v>16.8</v>
      </c>
      <c r="M40" s="66" t="n">
        <f aca="false">(L40/7.8)*100</f>
        <v>215.384615384615</v>
      </c>
      <c r="N40" s="86" t="n">
        <f aca="false">316.96 - (29.85 *I40)</f>
        <v>33.6835</v>
      </c>
      <c r="O40" s="86" t="n">
        <f aca="false">97.2-(26.6 * LOG(J40))</f>
        <v>26.6245471335759</v>
      </c>
      <c r="P40" s="86" t="n">
        <f aca="false">96.67 - (7*K40)</f>
        <v>66.57</v>
      </c>
      <c r="Q40" s="86" t="n">
        <f aca="false">163.34 - (0.62 *M40)</f>
        <v>29.8015384615385</v>
      </c>
      <c r="R40" s="75"/>
      <c r="S40" s="75"/>
      <c r="T40" s="75"/>
      <c r="U40" s="75"/>
      <c r="V40" s="94" t="n">
        <f aca="false">N40*$R$38</f>
        <v>7.41037</v>
      </c>
      <c r="W40" s="94" t="n">
        <f aca="false">O40*$S$38</f>
        <v>7.45487319740124</v>
      </c>
      <c r="X40" s="94" t="n">
        <f aca="false">P40*$T$38</f>
        <v>12.6483</v>
      </c>
      <c r="Y40" s="94" t="n">
        <f aca="false">Q40*$U$38</f>
        <v>9.23847692307692</v>
      </c>
      <c r="Z40" s="95" t="n">
        <f aca="false">SUM(V40+W40+X40+Y40)</f>
        <v>36.7520201204782</v>
      </c>
      <c r="AA40" s="58" t="s">
        <v>43</v>
      </c>
      <c r="AB40" s="96" t="s">
        <v>207</v>
      </c>
      <c r="AC40" s="96" t="s">
        <v>196</v>
      </c>
      <c r="AD40" s="100"/>
    </row>
    <row r="41" customFormat="false" ht="15" hidden="false" customHeight="false" outlineLevel="0" collapsed="false">
      <c r="A41" s="58" t="s">
        <v>209</v>
      </c>
      <c r="B41" s="58" t="s">
        <v>204</v>
      </c>
      <c r="C41" s="58" t="s">
        <v>205</v>
      </c>
      <c r="D41" s="58" t="s">
        <v>186</v>
      </c>
      <c r="E41" s="58" t="n">
        <v>24.79495</v>
      </c>
      <c r="F41" s="58" t="n">
        <v>79.02091</v>
      </c>
      <c r="G41" s="18" t="n">
        <v>0</v>
      </c>
      <c r="H41" s="84" t="n">
        <v>28.938</v>
      </c>
      <c r="I41" s="18" t="n">
        <v>9.92</v>
      </c>
      <c r="J41" s="18" t="n">
        <v>420</v>
      </c>
      <c r="K41" s="18" t="n">
        <v>5.5</v>
      </c>
      <c r="L41" s="18" t="n">
        <v>15.01</v>
      </c>
      <c r="M41" s="66" t="n">
        <f aca="false">(L41/7.8)*100</f>
        <v>192.435897435897</v>
      </c>
      <c r="N41" s="86" t="n">
        <f aca="false">316.96 - (29.85 *I41)</f>
        <v>20.848</v>
      </c>
      <c r="O41" s="86" t="n">
        <f aca="false">97.2-(26.6 * LOG(J41))</f>
        <v>27.4215688754158</v>
      </c>
      <c r="P41" s="86" t="n">
        <f aca="false">96.67 - (7*K41)</f>
        <v>58.17</v>
      </c>
      <c r="Q41" s="86" t="n">
        <f aca="false">163.34 - (0.62 *M41)</f>
        <v>44.0297435897436</v>
      </c>
      <c r="R41" s="75"/>
      <c r="S41" s="75"/>
      <c r="T41" s="75"/>
      <c r="U41" s="75"/>
      <c r="V41" s="94" t="n">
        <f aca="false">N41*$R$38</f>
        <v>4.58655999999999</v>
      </c>
      <c r="W41" s="94" t="n">
        <f aca="false">O41*$S$38</f>
        <v>7.67803928511644</v>
      </c>
      <c r="X41" s="94" t="n">
        <f aca="false">P41*$T$38</f>
        <v>11.0523</v>
      </c>
      <c r="Y41" s="94" t="n">
        <f aca="false">Q41*$U$38</f>
        <v>13.6492205128205</v>
      </c>
      <c r="Z41" s="95" t="n">
        <f aca="false">SUM(V41+W41+X41+Y41)</f>
        <v>36.9661197979369</v>
      </c>
      <c r="AA41" s="58" t="s">
        <v>36</v>
      </c>
      <c r="AB41" s="96" t="s">
        <v>210</v>
      </c>
      <c r="AC41" s="96" t="s">
        <v>158</v>
      </c>
      <c r="AD41" s="101"/>
    </row>
    <row r="42" customFormat="false" ht="15" hidden="false" customHeight="false" outlineLevel="0" collapsed="false">
      <c r="A42" s="58" t="s">
        <v>211</v>
      </c>
      <c r="B42" s="58" t="s">
        <v>204</v>
      </c>
      <c r="C42" s="58" t="s">
        <v>205</v>
      </c>
      <c r="D42" s="58" t="s">
        <v>186</v>
      </c>
      <c r="E42" s="58" t="n">
        <v>24.79464</v>
      </c>
      <c r="F42" s="58" t="n">
        <v>79.02064</v>
      </c>
      <c r="G42" s="18" t="n">
        <v>0</v>
      </c>
      <c r="H42" s="84" t="n">
        <v>27.613</v>
      </c>
      <c r="I42" s="18" t="n">
        <v>9.98</v>
      </c>
      <c r="J42" s="18" t="n">
        <v>400</v>
      </c>
      <c r="K42" s="18" t="n">
        <v>4.9</v>
      </c>
      <c r="L42" s="18" t="n">
        <v>12.23</v>
      </c>
      <c r="M42" s="66" t="n">
        <f aca="false">(L42/7.9)*100</f>
        <v>154.810126582278</v>
      </c>
      <c r="N42" s="86" t="n">
        <f aca="false">316.96 - (29.85 *I42)</f>
        <v>19.057</v>
      </c>
      <c r="O42" s="86" t="n">
        <f aca="false">97.2-(26.6 * LOG(J42))</f>
        <v>27.9852042306762</v>
      </c>
      <c r="P42" s="86" t="n">
        <f aca="false">96.67 - (7*K42)</f>
        <v>62.37</v>
      </c>
      <c r="Q42" s="86" t="n">
        <f aca="false">163.34 - (0.62 *M42)</f>
        <v>67.3577215189873</v>
      </c>
      <c r="R42" s="75"/>
      <c r="S42" s="75"/>
      <c r="T42" s="75"/>
      <c r="U42" s="75"/>
      <c r="V42" s="94" t="n">
        <f aca="false">N42*$R$38</f>
        <v>4.19253999999999</v>
      </c>
      <c r="W42" s="94" t="n">
        <f aca="false">O42*$S$38</f>
        <v>7.83585718458934</v>
      </c>
      <c r="X42" s="94" t="n">
        <f aca="false">P42*$T$38</f>
        <v>11.8503</v>
      </c>
      <c r="Y42" s="94" t="n">
        <f aca="false">Q42*$U$38</f>
        <v>20.8808936708861</v>
      </c>
      <c r="Z42" s="95" t="n">
        <f aca="false">SUM(V42+W42+X42+Y42)</f>
        <v>44.7595908554754</v>
      </c>
      <c r="AA42" s="58" t="s">
        <v>40</v>
      </c>
      <c r="AB42" s="96" t="s">
        <v>195</v>
      </c>
      <c r="AC42" s="96" t="s">
        <v>196</v>
      </c>
      <c r="AD42" s="97"/>
    </row>
    <row r="43" customFormat="false" ht="15" hidden="false" customHeight="false" outlineLevel="0" collapsed="false">
      <c r="A43" s="92" t="s">
        <v>212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9" t="n">
        <f aca="false">AVERAGE(Z38:Z42)</f>
        <v>39.0707631008778</v>
      </c>
      <c r="AA43" s="58" t="s">
        <v>40</v>
      </c>
      <c r="AB43" s="96" t="s">
        <v>195</v>
      </c>
      <c r="AC43" s="96" t="s">
        <v>196</v>
      </c>
      <c r="AD43" s="97"/>
    </row>
    <row r="45" customFormat="false" ht="15" hidden="false" customHeight="false" outlineLevel="0" collapsed="false">
      <c r="A45" s="51" t="s">
        <v>213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customFormat="false" ht="15" hidden="false" customHeight="true" outlineLevel="0" collapsed="false">
      <c r="A46" s="22" t="s">
        <v>160</v>
      </c>
      <c r="B46" s="22" t="s">
        <v>161</v>
      </c>
      <c r="C46" s="22" t="s">
        <v>162</v>
      </c>
      <c r="D46" s="22" t="s">
        <v>163</v>
      </c>
      <c r="E46" s="22" t="s">
        <v>164</v>
      </c>
      <c r="F46" s="22" t="s">
        <v>165</v>
      </c>
      <c r="G46" s="24" t="s">
        <v>166</v>
      </c>
      <c r="H46" s="2" t="s">
        <v>167</v>
      </c>
      <c r="I46" s="2"/>
      <c r="J46" s="2"/>
      <c r="K46" s="2"/>
      <c r="L46" s="2"/>
      <c r="M46" s="77" t="s">
        <v>168</v>
      </c>
      <c r="N46" s="78" t="s">
        <v>169</v>
      </c>
      <c r="O46" s="78"/>
      <c r="P46" s="78"/>
      <c r="Q46" s="78"/>
      <c r="R46" s="74" t="s">
        <v>170</v>
      </c>
      <c r="S46" s="74"/>
      <c r="T46" s="74"/>
      <c r="U46" s="74"/>
      <c r="V46" s="79" t="s">
        <v>171</v>
      </c>
      <c r="W46" s="79"/>
      <c r="X46" s="79"/>
      <c r="Y46" s="79"/>
      <c r="Z46" s="72" t="s">
        <v>172</v>
      </c>
      <c r="AA46" s="2" t="s">
        <v>173</v>
      </c>
      <c r="AB46" s="2"/>
      <c r="AC46" s="2"/>
      <c r="AD46" s="2"/>
    </row>
    <row r="47" customFormat="false" ht="30" hidden="false" customHeight="false" outlineLevel="0" collapsed="false">
      <c r="A47" s="22"/>
      <c r="B47" s="22"/>
      <c r="C47" s="22"/>
      <c r="D47" s="22"/>
      <c r="E47" s="22"/>
      <c r="F47" s="22"/>
      <c r="G47" s="22"/>
      <c r="H47" s="24" t="s">
        <v>174</v>
      </c>
      <c r="I47" s="22" t="s">
        <v>175</v>
      </c>
      <c r="J47" s="24" t="s">
        <v>176</v>
      </c>
      <c r="K47" s="24" t="s">
        <v>177</v>
      </c>
      <c r="L47" s="24" t="s">
        <v>178</v>
      </c>
      <c r="M47" s="80" t="s">
        <v>179</v>
      </c>
      <c r="N47" s="81" t="s">
        <v>175</v>
      </c>
      <c r="O47" s="81" t="s">
        <v>180</v>
      </c>
      <c r="P47" s="81" t="s">
        <v>181</v>
      </c>
      <c r="Q47" s="81" t="s">
        <v>182</v>
      </c>
      <c r="R47" s="82" t="s">
        <v>175</v>
      </c>
      <c r="S47" s="82" t="s">
        <v>180</v>
      </c>
      <c r="T47" s="82" t="s">
        <v>181</v>
      </c>
      <c r="U47" s="82" t="s">
        <v>182</v>
      </c>
      <c r="V47" s="83" t="s">
        <v>175</v>
      </c>
      <c r="W47" s="83" t="s">
        <v>180</v>
      </c>
      <c r="X47" s="83" t="s">
        <v>181</v>
      </c>
      <c r="Y47" s="83" t="s">
        <v>182</v>
      </c>
      <c r="Z47" s="72"/>
      <c r="AA47" s="72" t="s">
        <v>152</v>
      </c>
      <c r="AB47" s="72" t="s">
        <v>153</v>
      </c>
      <c r="AC47" s="22" t="s">
        <v>154</v>
      </c>
      <c r="AD47" s="22" t="s">
        <v>155</v>
      </c>
    </row>
    <row r="48" customFormat="false" ht="15" hidden="false" customHeight="false" outlineLevel="0" collapsed="false">
      <c r="A48" s="58" t="s">
        <v>214</v>
      </c>
      <c r="B48" s="58" t="s">
        <v>215</v>
      </c>
      <c r="C48" s="58" t="s">
        <v>215</v>
      </c>
      <c r="D48" s="58" t="s">
        <v>147</v>
      </c>
      <c r="E48" s="58" t="n">
        <v>24.75133</v>
      </c>
      <c r="F48" s="58" t="n">
        <v>78.88111</v>
      </c>
      <c r="G48" s="18" t="n">
        <v>0</v>
      </c>
      <c r="H48" s="84" t="n">
        <v>27.529</v>
      </c>
      <c r="I48" s="18" t="n">
        <v>8.72</v>
      </c>
      <c r="J48" s="18" t="n">
        <v>590</v>
      </c>
      <c r="K48" s="53" t="n">
        <v>5.2</v>
      </c>
      <c r="L48" s="18" t="n">
        <v>10.04</v>
      </c>
      <c r="M48" s="66" t="n">
        <f aca="false">(L48/7.9)*100</f>
        <v>127.088607594937</v>
      </c>
      <c r="N48" s="86" t="n">
        <f aca="false">316.96 - (29.85 *I48)</f>
        <v>56.668</v>
      </c>
      <c r="O48" s="86" t="n">
        <f aca="false">97.2-(26.6 * LOG(J48))</f>
        <v>23.495336490319</v>
      </c>
      <c r="P48" s="86" t="n">
        <f aca="false">96.67 - (7*K48)</f>
        <v>60.27</v>
      </c>
      <c r="Q48" s="86" t="n">
        <f aca="false">163.34 - (0.62 *M48)</f>
        <v>84.5450632911392</v>
      </c>
      <c r="R48" s="75" t="n">
        <v>0.22</v>
      </c>
      <c r="S48" s="75" t="n">
        <v>0.28</v>
      </c>
      <c r="T48" s="75" t="n">
        <v>0.19</v>
      </c>
      <c r="U48" s="75" t="n">
        <v>0.31</v>
      </c>
      <c r="V48" s="94" t="n">
        <f aca="false">N48*$R$48</f>
        <v>12.46696</v>
      </c>
      <c r="W48" s="94" t="n">
        <f aca="false">O48*$S$48</f>
        <v>6.57869421728931</v>
      </c>
      <c r="X48" s="94" t="n">
        <f aca="false">P48*$T$48</f>
        <v>11.4513</v>
      </c>
      <c r="Y48" s="94" t="n">
        <f aca="false">Q48*$U$48</f>
        <v>26.2089696202532</v>
      </c>
      <c r="Z48" s="95" t="n">
        <f aca="false">SUM(V48+W48+X48+Y48)</f>
        <v>56.7059238375425</v>
      </c>
      <c r="AA48" s="58" t="s">
        <v>29</v>
      </c>
      <c r="AB48" s="96" t="s">
        <v>157</v>
      </c>
      <c r="AC48" s="96" t="s">
        <v>158</v>
      </c>
      <c r="AD48" s="98"/>
    </row>
    <row r="49" customFormat="false" ht="15" hidden="false" customHeight="false" outlineLevel="0" collapsed="false">
      <c r="A49" s="58" t="s">
        <v>216</v>
      </c>
      <c r="B49" s="58" t="s">
        <v>215</v>
      </c>
      <c r="C49" s="58" t="s">
        <v>215</v>
      </c>
      <c r="D49" s="58" t="s">
        <v>147</v>
      </c>
      <c r="E49" s="58" t="n">
        <v>24.75184</v>
      </c>
      <c r="F49" s="58" t="n">
        <v>78.88071</v>
      </c>
      <c r="G49" s="18" t="n">
        <v>0</v>
      </c>
      <c r="H49" s="84" t="n">
        <v>27.449</v>
      </c>
      <c r="I49" s="18" t="n">
        <v>8.73</v>
      </c>
      <c r="J49" s="18" t="n">
        <v>620</v>
      </c>
      <c r="K49" s="53" t="n">
        <v>5.3</v>
      </c>
      <c r="L49" s="18" t="n">
        <v>10.35</v>
      </c>
      <c r="M49" s="66" t="n">
        <f aca="false">(L49/8.1)*100</f>
        <v>127.777777777778</v>
      </c>
      <c r="N49" s="86" t="n">
        <f aca="false">316.96 - (29.85 *I49)</f>
        <v>56.3695</v>
      </c>
      <c r="O49" s="86" t="n">
        <f aca="false">97.2-(26.6 * LOG(J49))</f>
        <v>22.9223810593464</v>
      </c>
      <c r="P49" s="86" t="n">
        <f aca="false">96.67 - (7*K49)</f>
        <v>59.57</v>
      </c>
      <c r="Q49" s="86" t="n">
        <f aca="false">163.34 - (0.62 *M49)</f>
        <v>84.1177777777778</v>
      </c>
      <c r="R49" s="75"/>
      <c r="S49" s="75"/>
      <c r="T49" s="75"/>
      <c r="U49" s="75"/>
      <c r="V49" s="94" t="n">
        <f aca="false">N49*$R$48</f>
        <v>12.40129</v>
      </c>
      <c r="W49" s="94" t="n">
        <f aca="false">O49*$S$48</f>
        <v>6.41826669661701</v>
      </c>
      <c r="X49" s="94" t="n">
        <f aca="false">P49*$T$48</f>
        <v>11.3183</v>
      </c>
      <c r="Y49" s="94" t="n">
        <f aca="false">Q49*$U$48</f>
        <v>26.0765111111111</v>
      </c>
      <c r="Z49" s="95" t="n">
        <f aca="false">SUM(V49+W49+X49+Y49)</f>
        <v>56.2143678077281</v>
      </c>
      <c r="AA49" s="58" t="s">
        <v>29</v>
      </c>
      <c r="AB49" s="96" t="s">
        <v>157</v>
      </c>
      <c r="AC49" s="96" t="s">
        <v>158</v>
      </c>
      <c r="AD49" s="98"/>
    </row>
    <row r="50" customFormat="false" ht="15" hidden="false" customHeight="false" outlineLevel="0" collapsed="false">
      <c r="A50" s="58" t="s">
        <v>217</v>
      </c>
      <c r="B50" s="58" t="s">
        <v>215</v>
      </c>
      <c r="C50" s="58" t="s">
        <v>215</v>
      </c>
      <c r="D50" s="58" t="s">
        <v>147</v>
      </c>
      <c r="E50" s="58" t="n">
        <v>24.75206</v>
      </c>
      <c r="F50" s="58" t="n">
        <v>78.88028</v>
      </c>
      <c r="G50" s="18" t="n">
        <v>0</v>
      </c>
      <c r="H50" s="84" t="n">
        <v>27.24</v>
      </c>
      <c r="I50" s="18" t="n">
        <v>8.64</v>
      </c>
      <c r="J50" s="18" t="n">
        <v>650</v>
      </c>
      <c r="K50" s="53" t="n">
        <v>5.2</v>
      </c>
      <c r="L50" s="18" t="n">
        <v>10.09</v>
      </c>
      <c r="M50" s="66" t="n">
        <f aca="false">(L50/8.1)*100</f>
        <v>124.567901234568</v>
      </c>
      <c r="N50" s="86" t="n">
        <f aca="false">316.96 - (29.85 *I50)</f>
        <v>59.0559999999999</v>
      </c>
      <c r="O50" s="86" t="n">
        <f aca="false">97.2-(26.6 * LOG(J50))</f>
        <v>22.3765047133001</v>
      </c>
      <c r="P50" s="86" t="n">
        <f aca="false">96.67 - (7*K50)</f>
        <v>60.27</v>
      </c>
      <c r="Q50" s="86" t="n">
        <f aca="false">163.34 - (0.62 *M50)</f>
        <v>86.1079012345679</v>
      </c>
      <c r="R50" s="75"/>
      <c r="S50" s="75"/>
      <c r="T50" s="75"/>
      <c r="U50" s="75"/>
      <c r="V50" s="94" t="n">
        <f aca="false">N50*$R$48</f>
        <v>12.99232</v>
      </c>
      <c r="W50" s="94" t="n">
        <f aca="false">O50*$S$48</f>
        <v>6.26542131972402</v>
      </c>
      <c r="X50" s="94" t="n">
        <f aca="false">P50*$T$48</f>
        <v>11.4513</v>
      </c>
      <c r="Y50" s="94" t="n">
        <f aca="false">Q50*$U$48</f>
        <v>26.693449382716</v>
      </c>
      <c r="Z50" s="95" t="n">
        <f aca="false">SUM(V50+W50+X50+Y50)</f>
        <v>57.4024907024401</v>
      </c>
      <c r="AA50" s="58" t="s">
        <v>29</v>
      </c>
      <c r="AB50" s="96" t="s">
        <v>157</v>
      </c>
      <c r="AC50" s="96" t="s">
        <v>158</v>
      </c>
      <c r="AD50" s="98"/>
    </row>
    <row r="51" customFormat="false" ht="15" hidden="false" customHeight="false" outlineLevel="0" collapsed="false">
      <c r="A51" s="58" t="s">
        <v>218</v>
      </c>
      <c r="B51" s="58" t="s">
        <v>215</v>
      </c>
      <c r="C51" s="58" t="s">
        <v>215</v>
      </c>
      <c r="D51" s="58" t="s">
        <v>147</v>
      </c>
      <c r="E51" s="58" t="n">
        <v>24.75236</v>
      </c>
      <c r="F51" s="58" t="n">
        <v>78.8799</v>
      </c>
      <c r="G51" s="18" t="n">
        <v>0</v>
      </c>
      <c r="H51" s="84" t="n">
        <v>26.77</v>
      </c>
      <c r="I51" s="18" t="n">
        <v>8.63</v>
      </c>
      <c r="J51" s="18" t="n">
        <v>585</v>
      </c>
      <c r="K51" s="53" t="n">
        <v>5</v>
      </c>
      <c r="L51" s="18" t="n">
        <v>9.26</v>
      </c>
      <c r="M51" s="66" t="n">
        <f aca="false">(L51/8.1)*100</f>
        <v>114.320987654321</v>
      </c>
      <c r="N51" s="86" t="n">
        <f aca="false">316.96 - (29.85 *I51)</f>
        <v>59.3544999999999</v>
      </c>
      <c r="O51" s="86" t="n">
        <f aca="false">97.2-(26.6 * LOG(J51))</f>
        <v>23.593653962214</v>
      </c>
      <c r="P51" s="86" t="n">
        <f aca="false">96.67 - (7*K51)</f>
        <v>61.67</v>
      </c>
      <c r="Q51" s="86" t="n">
        <f aca="false">163.34 - (0.62 *M51)</f>
        <v>92.460987654321</v>
      </c>
      <c r="R51" s="75"/>
      <c r="S51" s="75"/>
      <c r="T51" s="75"/>
      <c r="U51" s="75"/>
      <c r="V51" s="94" t="n">
        <f aca="false">N51*$R$48</f>
        <v>13.05799</v>
      </c>
      <c r="W51" s="94" t="n">
        <f aca="false">O51*$S$48</f>
        <v>6.60622310941992</v>
      </c>
      <c r="X51" s="94" t="n">
        <f aca="false">P51*$T$48</f>
        <v>11.7173</v>
      </c>
      <c r="Y51" s="94" t="n">
        <f aca="false">Q51*$U$48</f>
        <v>28.6629061728395</v>
      </c>
      <c r="Z51" s="95" t="n">
        <f aca="false">SUM(V51+W51+X51+Y51)</f>
        <v>60.0444192822594</v>
      </c>
      <c r="AA51" s="58" t="s">
        <v>29</v>
      </c>
      <c r="AB51" s="96" t="s">
        <v>157</v>
      </c>
      <c r="AC51" s="96" t="s">
        <v>158</v>
      </c>
      <c r="AD51" s="98"/>
    </row>
    <row r="52" customFormat="false" ht="15" hidden="false" customHeight="false" outlineLevel="0" collapsed="false">
      <c r="A52" s="58" t="s">
        <v>219</v>
      </c>
      <c r="B52" s="58" t="s">
        <v>215</v>
      </c>
      <c r="C52" s="58" t="s">
        <v>215</v>
      </c>
      <c r="D52" s="58" t="s">
        <v>147</v>
      </c>
      <c r="E52" s="58" t="n">
        <v>24.75261</v>
      </c>
      <c r="F52" s="58" t="n">
        <v>78.87958</v>
      </c>
      <c r="G52" s="18" t="n">
        <v>0</v>
      </c>
      <c r="H52" s="84" t="n">
        <v>26.839</v>
      </c>
      <c r="I52" s="18" t="n">
        <v>8.59</v>
      </c>
      <c r="J52" s="18" t="n">
        <v>600</v>
      </c>
      <c r="K52" s="53" t="n">
        <v>5.1</v>
      </c>
      <c r="L52" s="18" t="n">
        <v>8.76</v>
      </c>
      <c r="M52" s="66" t="n">
        <f aca="false">(L52/8.1)*100</f>
        <v>108.148148148148</v>
      </c>
      <c r="N52" s="86" t="n">
        <f aca="false">316.96 - (29.85 *I52)</f>
        <v>60.5485</v>
      </c>
      <c r="O52" s="86" t="n">
        <f aca="false">97.2-(26.6 * LOG(J52))</f>
        <v>23.3011767397951</v>
      </c>
      <c r="P52" s="86" t="n">
        <f aca="false">96.67 - (7*K52)</f>
        <v>60.97</v>
      </c>
      <c r="Q52" s="86" t="n">
        <f aca="false">163.34 - (0.62 *M52)</f>
        <v>96.2881481481482</v>
      </c>
      <c r="R52" s="75"/>
      <c r="S52" s="75"/>
      <c r="T52" s="75"/>
      <c r="U52" s="75"/>
      <c r="V52" s="94" t="n">
        <f aca="false">N52*$R$48</f>
        <v>13.32067</v>
      </c>
      <c r="W52" s="94" t="n">
        <f aca="false">O52*$S$48</f>
        <v>6.52432948714263</v>
      </c>
      <c r="X52" s="94" t="n">
        <f aca="false">P52*$T$48</f>
        <v>11.5843</v>
      </c>
      <c r="Y52" s="94" t="n">
        <f aca="false">Q52*$U$48</f>
        <v>29.8493259259259</v>
      </c>
      <c r="Z52" s="95" t="n">
        <f aca="false">SUM(V52+W52+X52+Y52)</f>
        <v>61.2786254130686</v>
      </c>
      <c r="AA52" s="58" t="s">
        <v>29</v>
      </c>
      <c r="AB52" s="96" t="s">
        <v>157</v>
      </c>
      <c r="AC52" s="96" t="s">
        <v>158</v>
      </c>
      <c r="AD52" s="98"/>
    </row>
    <row r="53" customFormat="false" ht="15" hidden="false" customHeight="false" outlineLevel="0" collapsed="false">
      <c r="A53" s="92" t="s">
        <v>220</v>
      </c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9" t="n">
        <f aca="false">AVERAGE(Z48:Z52)</f>
        <v>58.3291654086077</v>
      </c>
      <c r="AA53" s="58" t="s">
        <v>29</v>
      </c>
      <c r="AB53" s="96" t="s">
        <v>157</v>
      </c>
      <c r="AC53" s="96" t="s">
        <v>158</v>
      </c>
      <c r="AD53" s="98"/>
    </row>
    <row r="55" customFormat="false" ht="15" hidden="false" customHeight="false" outlineLevel="0" collapsed="false">
      <c r="A55" s="51" t="s">
        <v>221</v>
      </c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</row>
    <row r="56" customFormat="false" ht="15" hidden="false" customHeight="true" outlineLevel="0" collapsed="false">
      <c r="A56" s="22" t="s">
        <v>160</v>
      </c>
      <c r="B56" s="22" t="s">
        <v>161</v>
      </c>
      <c r="C56" s="22" t="s">
        <v>162</v>
      </c>
      <c r="D56" s="22" t="s">
        <v>163</v>
      </c>
      <c r="E56" s="22" t="s">
        <v>164</v>
      </c>
      <c r="F56" s="22" t="s">
        <v>165</v>
      </c>
      <c r="G56" s="24" t="s">
        <v>166</v>
      </c>
      <c r="H56" s="2" t="s">
        <v>167</v>
      </c>
      <c r="I56" s="2"/>
      <c r="J56" s="2"/>
      <c r="K56" s="2"/>
      <c r="L56" s="2"/>
      <c r="M56" s="77" t="s">
        <v>168</v>
      </c>
      <c r="N56" s="78" t="s">
        <v>169</v>
      </c>
      <c r="O56" s="78"/>
      <c r="P56" s="78"/>
      <c r="Q56" s="78"/>
      <c r="R56" s="74" t="s">
        <v>170</v>
      </c>
      <c r="S56" s="74"/>
      <c r="T56" s="74"/>
      <c r="U56" s="74"/>
      <c r="V56" s="79" t="s">
        <v>171</v>
      </c>
      <c r="W56" s="79"/>
      <c r="X56" s="79"/>
      <c r="Y56" s="79"/>
      <c r="Z56" s="72" t="s">
        <v>172</v>
      </c>
      <c r="AA56" s="2" t="s">
        <v>173</v>
      </c>
      <c r="AB56" s="2"/>
      <c r="AC56" s="2"/>
      <c r="AD56" s="2"/>
    </row>
    <row r="57" customFormat="false" ht="30" hidden="false" customHeight="false" outlineLevel="0" collapsed="false">
      <c r="A57" s="22"/>
      <c r="B57" s="22"/>
      <c r="C57" s="22"/>
      <c r="D57" s="22"/>
      <c r="E57" s="22"/>
      <c r="F57" s="22"/>
      <c r="G57" s="22"/>
      <c r="H57" s="24" t="s">
        <v>174</v>
      </c>
      <c r="I57" s="22" t="s">
        <v>175</v>
      </c>
      <c r="J57" s="24" t="s">
        <v>176</v>
      </c>
      <c r="K57" s="24" t="s">
        <v>177</v>
      </c>
      <c r="L57" s="24" t="s">
        <v>178</v>
      </c>
      <c r="M57" s="80" t="s">
        <v>179</v>
      </c>
      <c r="N57" s="81" t="s">
        <v>175</v>
      </c>
      <c r="O57" s="81" t="s">
        <v>180</v>
      </c>
      <c r="P57" s="81" t="s">
        <v>181</v>
      </c>
      <c r="Q57" s="81" t="s">
        <v>182</v>
      </c>
      <c r="R57" s="82" t="s">
        <v>175</v>
      </c>
      <c r="S57" s="82" t="s">
        <v>180</v>
      </c>
      <c r="T57" s="82" t="s">
        <v>181</v>
      </c>
      <c r="U57" s="82" t="s">
        <v>182</v>
      </c>
      <c r="V57" s="83" t="s">
        <v>175</v>
      </c>
      <c r="W57" s="83" t="s">
        <v>180</v>
      </c>
      <c r="X57" s="83" t="s">
        <v>181</v>
      </c>
      <c r="Y57" s="83" t="s">
        <v>182</v>
      </c>
      <c r="Z57" s="72"/>
      <c r="AA57" s="72" t="s">
        <v>152</v>
      </c>
      <c r="AB57" s="72" t="s">
        <v>153</v>
      </c>
      <c r="AC57" s="22" t="s">
        <v>154</v>
      </c>
      <c r="AD57" s="22" t="s">
        <v>155</v>
      </c>
    </row>
    <row r="58" customFormat="false" ht="15" hidden="false" customHeight="false" outlineLevel="0" collapsed="false">
      <c r="A58" s="58" t="s">
        <v>222</v>
      </c>
      <c r="B58" s="58" t="s">
        <v>223</v>
      </c>
      <c r="C58" s="58" t="s">
        <v>223</v>
      </c>
      <c r="D58" s="58" t="s">
        <v>147</v>
      </c>
      <c r="E58" s="58" t="n">
        <v>24.71951</v>
      </c>
      <c r="F58" s="58" t="n">
        <v>78.92178</v>
      </c>
      <c r="G58" s="18" t="n">
        <v>0</v>
      </c>
      <c r="H58" s="84" t="n">
        <v>25.47</v>
      </c>
      <c r="I58" s="18" t="n">
        <v>8.51</v>
      </c>
      <c r="J58" s="18" t="n">
        <v>520</v>
      </c>
      <c r="K58" s="53" t="n">
        <v>6.1</v>
      </c>
      <c r="L58" s="18" t="n">
        <v>8.4</v>
      </c>
      <c r="M58" s="66" t="n">
        <f aca="false">(L58/8.4)*100</f>
        <v>100</v>
      </c>
      <c r="N58" s="86" t="n">
        <f aca="false">316.96 - (29.85 *I58)</f>
        <v>62.9365</v>
      </c>
      <c r="O58" s="86" t="n">
        <f aca="false">97.2-(26.6 * LOG(J58))</f>
        <v>24.9543110593144</v>
      </c>
      <c r="P58" s="86" t="n">
        <f aca="false">96.67 - (7*K58)</f>
        <v>53.97</v>
      </c>
      <c r="Q58" s="86" t="n">
        <f aca="false">(-13.55)+(1.17 *M58)</f>
        <v>103.45</v>
      </c>
      <c r="R58" s="75" t="n">
        <v>0.22</v>
      </c>
      <c r="S58" s="75" t="n">
        <v>0.28</v>
      </c>
      <c r="T58" s="75" t="n">
        <v>0.19</v>
      </c>
      <c r="U58" s="75" t="n">
        <v>0.31</v>
      </c>
      <c r="V58" s="94" t="n">
        <f aca="false">N58*$R$58</f>
        <v>13.84603</v>
      </c>
      <c r="W58" s="94" t="n">
        <f aca="false">O58*$S$58</f>
        <v>6.98720709660802</v>
      </c>
      <c r="X58" s="94" t="n">
        <f aca="false">P58*$T$58</f>
        <v>10.2543</v>
      </c>
      <c r="Y58" s="94" t="n">
        <f aca="false">Q58*$U$58</f>
        <v>32.0695</v>
      </c>
      <c r="Z58" s="95" t="n">
        <f aca="false">SUM(V58+W58+X58+Y58)</f>
        <v>63.157037096608</v>
      </c>
      <c r="AA58" s="58" t="s">
        <v>36</v>
      </c>
      <c r="AB58" s="96" t="s">
        <v>210</v>
      </c>
      <c r="AC58" s="96" t="s">
        <v>158</v>
      </c>
      <c r="AD58" s="101"/>
    </row>
    <row r="59" customFormat="false" ht="15" hidden="false" customHeight="false" outlineLevel="0" collapsed="false">
      <c r="A59" s="58" t="s">
        <v>224</v>
      </c>
      <c r="B59" s="58" t="s">
        <v>223</v>
      </c>
      <c r="C59" s="58" t="s">
        <v>223</v>
      </c>
      <c r="D59" s="58" t="s">
        <v>147</v>
      </c>
      <c r="E59" s="58" t="n">
        <v>24.71913</v>
      </c>
      <c r="F59" s="58" t="n">
        <v>78.9209</v>
      </c>
      <c r="G59" s="18" t="n">
        <v>0</v>
      </c>
      <c r="H59" s="84" t="n">
        <v>25.09</v>
      </c>
      <c r="I59" s="18" t="n">
        <v>8.47</v>
      </c>
      <c r="J59" s="18" t="n">
        <v>530</v>
      </c>
      <c r="K59" s="53" t="n">
        <v>6.8</v>
      </c>
      <c r="L59" s="18" t="n">
        <v>8.37</v>
      </c>
      <c r="M59" s="66" t="n">
        <f aca="false">(L59/8.4)*100</f>
        <v>99.6428571428571</v>
      </c>
      <c r="N59" s="86" t="n">
        <f aca="false">316.96 - (29.85 *I59)</f>
        <v>64.1305</v>
      </c>
      <c r="O59" s="86" t="n">
        <f aca="false">97.2-(26.6 * LOG(J59))</f>
        <v>24.734261868619</v>
      </c>
      <c r="P59" s="86" t="n">
        <f aca="false">96.67 - (7*K59)</f>
        <v>49.07</v>
      </c>
      <c r="Q59" s="86" t="n">
        <f aca="false">(-13.55)+(1.17 *M59)</f>
        <v>103.032142857143</v>
      </c>
      <c r="R59" s="75"/>
      <c r="S59" s="75"/>
      <c r="T59" s="75"/>
      <c r="U59" s="75"/>
      <c r="V59" s="94" t="n">
        <f aca="false">N59*$R$58</f>
        <v>14.10871</v>
      </c>
      <c r="W59" s="94" t="n">
        <f aca="false">O59*$S$58</f>
        <v>6.92559332321333</v>
      </c>
      <c r="X59" s="94" t="n">
        <f aca="false">P59*$T$58</f>
        <v>9.3233</v>
      </c>
      <c r="Y59" s="94" t="n">
        <f aca="false">Q59*$U$58</f>
        <v>31.9399642857143</v>
      </c>
      <c r="Z59" s="95" t="n">
        <f aca="false">SUM(V59+W59+X59+Y59)</f>
        <v>62.2975676089276</v>
      </c>
      <c r="AA59" s="58" t="s">
        <v>29</v>
      </c>
      <c r="AB59" s="96" t="s">
        <v>157</v>
      </c>
      <c r="AC59" s="96" t="s">
        <v>158</v>
      </c>
      <c r="AD59" s="98"/>
    </row>
    <row r="60" customFormat="false" ht="15" hidden="false" customHeight="false" outlineLevel="0" collapsed="false">
      <c r="A60" s="58" t="s">
        <v>225</v>
      </c>
      <c r="B60" s="58" t="s">
        <v>223</v>
      </c>
      <c r="C60" s="58" t="s">
        <v>223</v>
      </c>
      <c r="D60" s="58" t="s">
        <v>147</v>
      </c>
      <c r="E60" s="58" t="n">
        <v>24.71918</v>
      </c>
      <c r="F60" s="58" t="n">
        <v>78.92156</v>
      </c>
      <c r="G60" s="18" t="n">
        <v>0</v>
      </c>
      <c r="H60" s="84" t="n">
        <v>25.13</v>
      </c>
      <c r="I60" s="18" t="n">
        <v>8.22</v>
      </c>
      <c r="J60" s="18" t="n">
        <v>540</v>
      </c>
      <c r="K60" s="53" t="n">
        <v>6.9</v>
      </c>
      <c r="L60" s="18" t="n">
        <v>8.47</v>
      </c>
      <c r="M60" s="66" t="n">
        <f aca="false">(L60/8.4)*100</f>
        <v>100.833333333333</v>
      </c>
      <c r="N60" s="86" t="n">
        <f aca="false">316.96 - (29.85 *I60)</f>
        <v>71.593</v>
      </c>
      <c r="O60" s="86" t="n">
        <f aca="false">97.2-(26.6 * LOG(J60))</f>
        <v>24.518325988709</v>
      </c>
      <c r="P60" s="86" t="n">
        <f aca="false">96.67 - (7*K60)</f>
        <v>48.37</v>
      </c>
      <c r="Q60" s="86" t="n">
        <f aca="false">163.34 - (0.62 *M60)</f>
        <v>100.823333333333</v>
      </c>
      <c r="R60" s="75"/>
      <c r="S60" s="75"/>
      <c r="T60" s="75"/>
      <c r="U60" s="75"/>
      <c r="V60" s="94" t="n">
        <f aca="false">N60*$R$58</f>
        <v>15.75046</v>
      </c>
      <c r="W60" s="94" t="n">
        <f aca="false">O60*$S$58</f>
        <v>6.86513127683853</v>
      </c>
      <c r="X60" s="94" t="n">
        <f aca="false">P60*$T$58</f>
        <v>9.1903</v>
      </c>
      <c r="Y60" s="94" t="n">
        <f aca="false">Q60*$U$58</f>
        <v>31.2552333333333</v>
      </c>
      <c r="Z60" s="95" t="n">
        <f aca="false">SUM(V60+W60+X60+Y60)</f>
        <v>63.0611246101719</v>
      </c>
      <c r="AA60" s="58" t="s">
        <v>36</v>
      </c>
      <c r="AB60" s="96" t="s">
        <v>210</v>
      </c>
      <c r="AC60" s="96" t="s">
        <v>158</v>
      </c>
      <c r="AD60" s="101"/>
    </row>
    <row r="61" customFormat="false" ht="15" hidden="false" customHeight="false" outlineLevel="0" collapsed="false">
      <c r="A61" s="58" t="s">
        <v>226</v>
      </c>
      <c r="B61" s="58" t="s">
        <v>223</v>
      </c>
      <c r="C61" s="58" t="s">
        <v>223</v>
      </c>
      <c r="D61" s="58" t="s">
        <v>147</v>
      </c>
      <c r="E61" s="58" t="n">
        <v>24.71928</v>
      </c>
      <c r="F61" s="58" t="n">
        <v>78.92123</v>
      </c>
      <c r="G61" s="18" t="n">
        <v>0</v>
      </c>
      <c r="H61" s="84" t="n">
        <v>25.39</v>
      </c>
      <c r="I61" s="18" t="n">
        <v>8.55</v>
      </c>
      <c r="J61" s="18" t="n">
        <v>545</v>
      </c>
      <c r="K61" s="53" t="n">
        <v>6.5</v>
      </c>
      <c r="L61" s="18" t="n">
        <v>8.9</v>
      </c>
      <c r="M61" s="66" t="n">
        <f aca="false">(L61/8.4)*100</f>
        <v>105.952380952381</v>
      </c>
      <c r="N61" s="86" t="n">
        <f aca="false">316.96 - (29.85 *I61)</f>
        <v>61.7425</v>
      </c>
      <c r="O61" s="86" t="n">
        <f aca="false">97.2-(26.6 * LOG(J61))</f>
        <v>24.4118530394413</v>
      </c>
      <c r="P61" s="86" t="n">
        <f aca="false">96.67 - (7*K61)</f>
        <v>51.17</v>
      </c>
      <c r="Q61" s="86" t="n">
        <f aca="false">163.34 - (0.62 *M61)</f>
        <v>97.6495238095238</v>
      </c>
      <c r="R61" s="75"/>
      <c r="S61" s="75"/>
      <c r="T61" s="75"/>
      <c r="U61" s="75"/>
      <c r="V61" s="94" t="n">
        <f aca="false">N61*$R$58</f>
        <v>13.58335</v>
      </c>
      <c r="W61" s="94" t="n">
        <f aca="false">O61*$S$58</f>
        <v>6.83531885104357</v>
      </c>
      <c r="X61" s="94" t="n">
        <f aca="false">P61*$T$58</f>
        <v>9.7223</v>
      </c>
      <c r="Y61" s="94" t="n">
        <f aca="false">Q61*$U$58</f>
        <v>30.2713523809524</v>
      </c>
      <c r="Z61" s="95" t="n">
        <f aca="false">SUM(V61+W61+X61+Y61)</f>
        <v>60.4123212319959</v>
      </c>
      <c r="AA61" s="58" t="s">
        <v>29</v>
      </c>
      <c r="AB61" s="96" t="s">
        <v>157</v>
      </c>
      <c r="AC61" s="96" t="s">
        <v>158</v>
      </c>
      <c r="AD61" s="98"/>
    </row>
    <row r="62" customFormat="false" ht="15" hidden="false" customHeight="false" outlineLevel="0" collapsed="false">
      <c r="A62" s="58" t="s">
        <v>227</v>
      </c>
      <c r="B62" s="58" t="s">
        <v>223</v>
      </c>
      <c r="C62" s="58" t="s">
        <v>223</v>
      </c>
      <c r="D62" s="58" t="s">
        <v>147</v>
      </c>
      <c r="E62" s="58" t="n">
        <v>24.71907</v>
      </c>
      <c r="F62" s="58" t="n">
        <v>78.92076</v>
      </c>
      <c r="G62" s="18" t="n">
        <v>0</v>
      </c>
      <c r="H62" s="84" t="n">
        <v>25.76</v>
      </c>
      <c r="I62" s="18" t="n">
        <v>8.55</v>
      </c>
      <c r="J62" s="18" t="n">
        <v>510</v>
      </c>
      <c r="K62" s="53" t="n">
        <v>6.6</v>
      </c>
      <c r="L62" s="18" t="n">
        <v>9.09</v>
      </c>
      <c r="M62" s="66" t="n">
        <f aca="false">(L62/8.2)*100</f>
        <v>110.853658536585</v>
      </c>
      <c r="N62" s="86" t="n">
        <f aca="false">316.96 - (29.85 *I62)</f>
        <v>61.7425</v>
      </c>
      <c r="O62" s="86" t="n">
        <f aca="false">97.2-(26.6 * LOG(J62))</f>
        <v>25.1786333157949</v>
      </c>
      <c r="P62" s="86" t="n">
        <f aca="false">96.67 - (7*K62)</f>
        <v>50.47</v>
      </c>
      <c r="Q62" s="86" t="n">
        <f aca="false">163.34 - (0.62 *M62)</f>
        <v>94.6107317073171</v>
      </c>
      <c r="R62" s="75"/>
      <c r="S62" s="75"/>
      <c r="T62" s="75"/>
      <c r="U62" s="75"/>
      <c r="V62" s="94" t="n">
        <f aca="false">N62*$R$58</f>
        <v>13.58335</v>
      </c>
      <c r="W62" s="94" t="n">
        <f aca="false">O62*$S$58</f>
        <v>7.05001732842258</v>
      </c>
      <c r="X62" s="94" t="n">
        <f aca="false">P62*$T$58</f>
        <v>9.5893</v>
      </c>
      <c r="Y62" s="94" t="n">
        <f aca="false">Q62*$U$58</f>
        <v>29.3293268292683</v>
      </c>
      <c r="Z62" s="95" t="n">
        <f aca="false">SUM(V62+W62+X62+Y62)</f>
        <v>59.5519941576909</v>
      </c>
      <c r="AA62" s="58" t="s">
        <v>29</v>
      </c>
      <c r="AB62" s="96" t="s">
        <v>157</v>
      </c>
      <c r="AC62" s="96" t="s">
        <v>158</v>
      </c>
      <c r="AD62" s="98"/>
    </row>
    <row r="63" customFormat="false" ht="15" hidden="false" customHeight="false" outlineLevel="0" collapsed="false">
      <c r="A63" s="92" t="s">
        <v>228</v>
      </c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9" t="n">
        <f aca="false">AVERAGE(Z58:Z62)</f>
        <v>61.6960089410789</v>
      </c>
      <c r="AA63" s="58" t="s">
        <v>29</v>
      </c>
      <c r="AB63" s="96" t="s">
        <v>157</v>
      </c>
      <c r="AC63" s="96" t="s">
        <v>158</v>
      </c>
      <c r="AD63" s="98"/>
    </row>
    <row r="66" customFormat="false" ht="18.75" hidden="false" customHeight="false" outlineLevel="0" collapsed="false">
      <c r="A66" s="102" t="s">
        <v>229</v>
      </c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</row>
    <row r="68" customFormat="false" ht="51.75" hidden="false" customHeight="true" outlineLevel="0" collapsed="false">
      <c r="C68" s="103"/>
      <c r="D68" s="103"/>
      <c r="L68" s="104" t="s">
        <v>230</v>
      </c>
      <c r="M68" s="104"/>
      <c r="O68" s="81" t="s">
        <v>231</v>
      </c>
      <c r="P68" s="81"/>
      <c r="Q68" s="81"/>
      <c r="S68" s="82" t="s">
        <v>232</v>
      </c>
      <c r="T68" s="82"/>
      <c r="U68" s="82"/>
      <c r="W68" s="105" t="s">
        <v>233</v>
      </c>
      <c r="X68" s="105"/>
      <c r="Y68" s="106"/>
      <c r="Z68" s="107" t="s">
        <v>234</v>
      </c>
    </row>
    <row r="69" customFormat="false" ht="28.5" hidden="false" customHeight="true" outlineLevel="0" collapsed="false">
      <c r="L69" s="49" t="s">
        <v>235</v>
      </c>
      <c r="M69" s="108" t="s">
        <v>236</v>
      </c>
      <c r="O69" s="109" t="s">
        <v>237</v>
      </c>
      <c r="P69" s="109" t="s">
        <v>238</v>
      </c>
      <c r="Q69" s="109" t="s">
        <v>239</v>
      </c>
      <c r="S69" s="109" t="s">
        <v>237</v>
      </c>
      <c r="T69" s="109" t="s">
        <v>240</v>
      </c>
      <c r="U69" s="109" t="s">
        <v>241</v>
      </c>
      <c r="Z69" s="107"/>
    </row>
    <row r="70" customFormat="false" ht="30" hidden="false" customHeight="false" outlineLevel="0" collapsed="false">
      <c r="L70" s="18" t="n">
        <v>0</v>
      </c>
      <c r="M70" s="53" t="n">
        <v>14.6</v>
      </c>
      <c r="O70" s="110" t="s">
        <v>175</v>
      </c>
      <c r="P70" s="111" t="s">
        <v>242</v>
      </c>
      <c r="Q70" s="18" t="s">
        <v>243</v>
      </c>
      <c r="S70" s="96" t="s">
        <v>244</v>
      </c>
      <c r="T70" s="96" t="n">
        <v>0.17</v>
      </c>
      <c r="U70" s="96" t="n">
        <v>0.31</v>
      </c>
    </row>
    <row r="71" customFormat="false" ht="15" hidden="false" customHeight="false" outlineLevel="0" collapsed="false">
      <c r="L71" s="18" t="n">
        <v>1</v>
      </c>
      <c r="M71" s="53" t="n">
        <v>14.2</v>
      </c>
      <c r="O71" s="110"/>
      <c r="P71" s="18" t="s">
        <v>245</v>
      </c>
      <c r="Q71" s="18" t="s">
        <v>246</v>
      </c>
      <c r="S71" s="96" t="s">
        <v>180</v>
      </c>
      <c r="T71" s="96" t="n">
        <v>0.15</v>
      </c>
      <c r="U71" s="96" t="n">
        <v>0.28</v>
      </c>
      <c r="Z71" s="2" t="s">
        <v>247</v>
      </c>
      <c r="AA71" s="2"/>
      <c r="AB71" s="2"/>
      <c r="AC71" s="2"/>
      <c r="AD71" s="2"/>
    </row>
    <row r="72" customFormat="false" ht="15" hidden="false" customHeight="false" outlineLevel="0" collapsed="false">
      <c r="L72" s="18" t="n">
        <v>2</v>
      </c>
      <c r="M72" s="53" t="n">
        <v>13.8</v>
      </c>
      <c r="O72" s="110"/>
      <c r="P72" s="18" t="s">
        <v>248</v>
      </c>
      <c r="Q72" s="18" t="s">
        <v>249</v>
      </c>
      <c r="S72" s="96" t="s">
        <v>175</v>
      </c>
      <c r="T72" s="96" t="n">
        <v>0.12</v>
      </c>
      <c r="U72" s="96" t="n">
        <v>0.22</v>
      </c>
      <c r="Z72" s="2" t="s">
        <v>151</v>
      </c>
      <c r="AA72" s="2" t="s">
        <v>250</v>
      </c>
      <c r="AB72" s="2" t="s">
        <v>153</v>
      </c>
      <c r="AC72" s="2" t="s">
        <v>154</v>
      </c>
      <c r="AD72" s="2" t="s">
        <v>155</v>
      </c>
    </row>
    <row r="73" customFormat="false" ht="30" hidden="false" customHeight="false" outlineLevel="0" collapsed="false">
      <c r="L73" s="18" t="n">
        <v>3</v>
      </c>
      <c r="M73" s="53" t="n">
        <v>13.5</v>
      </c>
      <c r="O73" s="110"/>
      <c r="P73" s="18" t="s">
        <v>251</v>
      </c>
      <c r="Q73" s="18" t="s">
        <v>252</v>
      </c>
      <c r="S73" s="96" t="s">
        <v>253</v>
      </c>
      <c r="T73" s="96" t="n">
        <v>0.1</v>
      </c>
      <c r="U73" s="96" t="n">
        <v>0.19</v>
      </c>
      <c r="Z73" s="96" t="s">
        <v>254</v>
      </c>
      <c r="AA73" s="96" t="s">
        <v>36</v>
      </c>
      <c r="AB73" s="96" t="s">
        <v>210</v>
      </c>
      <c r="AC73" s="96" t="s">
        <v>158</v>
      </c>
      <c r="AD73" s="101"/>
    </row>
    <row r="74" customFormat="false" ht="15" hidden="false" customHeight="false" outlineLevel="0" collapsed="false">
      <c r="L74" s="18" t="n">
        <v>4</v>
      </c>
      <c r="M74" s="53" t="n">
        <v>13.1</v>
      </c>
      <c r="O74" s="110"/>
      <c r="P74" s="18" t="s">
        <v>255</v>
      </c>
      <c r="Q74" s="18" t="s">
        <v>256</v>
      </c>
      <c r="S74" s="109" t="s">
        <v>257</v>
      </c>
      <c r="T74" s="112" t="n">
        <f aca="false">SUM(T70:T73)</f>
        <v>0.54</v>
      </c>
      <c r="U74" s="112" t="n">
        <f aca="false">SUM(U70:U73)</f>
        <v>1</v>
      </c>
      <c r="Z74" s="96" t="s">
        <v>258</v>
      </c>
      <c r="AA74" s="96" t="s">
        <v>29</v>
      </c>
      <c r="AB74" s="96" t="s">
        <v>157</v>
      </c>
      <c r="AC74" s="96" t="s">
        <v>158</v>
      </c>
      <c r="AD74" s="98"/>
    </row>
    <row r="75" customFormat="false" ht="17.25" hidden="false" customHeight="false" outlineLevel="0" collapsed="false">
      <c r="L75" s="18" t="n">
        <v>5</v>
      </c>
      <c r="M75" s="53" t="n">
        <v>12.8</v>
      </c>
      <c r="O75" s="18" t="s">
        <v>180</v>
      </c>
      <c r="P75" s="111" t="s">
        <v>259</v>
      </c>
      <c r="Q75" s="18" t="s">
        <v>260</v>
      </c>
      <c r="Z75" s="96" t="s">
        <v>261</v>
      </c>
      <c r="AA75" s="96" t="s">
        <v>40</v>
      </c>
      <c r="AB75" s="96" t="s">
        <v>195</v>
      </c>
      <c r="AC75" s="96" t="s">
        <v>196</v>
      </c>
      <c r="AD75" s="97"/>
    </row>
    <row r="76" customFormat="false" ht="17.25" hidden="false" customHeight="false" outlineLevel="0" collapsed="false">
      <c r="L76" s="18" t="n">
        <v>6</v>
      </c>
      <c r="M76" s="53" t="n">
        <v>12.5</v>
      </c>
      <c r="O76" s="18"/>
      <c r="P76" s="111" t="s">
        <v>262</v>
      </c>
      <c r="Q76" s="18" t="s">
        <v>263</v>
      </c>
      <c r="Z76" s="96" t="s">
        <v>264</v>
      </c>
      <c r="AA76" s="96" t="s">
        <v>265</v>
      </c>
      <c r="AB76" s="96" t="s">
        <v>207</v>
      </c>
      <c r="AC76" s="96" t="s">
        <v>266</v>
      </c>
      <c r="AD76" s="100"/>
    </row>
    <row r="77" customFormat="false" ht="17.25" hidden="false" customHeight="false" outlineLevel="0" collapsed="false">
      <c r="L77" s="18" t="n">
        <v>7</v>
      </c>
      <c r="M77" s="53" t="n">
        <v>12.2</v>
      </c>
      <c r="O77" s="18"/>
      <c r="P77" s="111" t="s">
        <v>267</v>
      </c>
      <c r="Q77" s="18" t="s">
        <v>268</v>
      </c>
    </row>
    <row r="78" customFormat="false" ht="15" hidden="false" customHeight="true" outlineLevel="0" collapsed="false">
      <c r="L78" s="18" t="n">
        <v>8</v>
      </c>
      <c r="M78" s="53" t="n">
        <v>11.9</v>
      </c>
      <c r="O78" s="27" t="s">
        <v>253</v>
      </c>
      <c r="P78" s="111" t="s">
        <v>269</v>
      </c>
      <c r="Q78" s="18" t="s">
        <v>270</v>
      </c>
    </row>
    <row r="79" customFormat="false" ht="15" hidden="false" customHeight="false" outlineLevel="0" collapsed="false">
      <c r="L79" s="18" t="n">
        <v>9</v>
      </c>
      <c r="M79" s="53" t="n">
        <v>11.6</v>
      </c>
      <c r="O79" s="27"/>
      <c r="P79" s="111" t="s">
        <v>271</v>
      </c>
      <c r="Q79" s="18" t="s">
        <v>272</v>
      </c>
    </row>
    <row r="80" customFormat="false" ht="15" hidden="false" customHeight="false" outlineLevel="0" collapsed="false">
      <c r="L80" s="18" t="n">
        <v>10</v>
      </c>
      <c r="M80" s="53" t="n">
        <v>11.3</v>
      </c>
      <c r="O80" s="27"/>
      <c r="P80" s="111" t="s">
        <v>273</v>
      </c>
      <c r="Q80" s="18" t="s">
        <v>274</v>
      </c>
    </row>
    <row r="81" customFormat="false" ht="15" hidden="false" customHeight="true" outlineLevel="0" collapsed="false">
      <c r="L81" s="18" t="n">
        <v>11</v>
      </c>
      <c r="M81" s="53" t="n">
        <v>11.1</v>
      </c>
      <c r="O81" s="96" t="s">
        <v>275</v>
      </c>
      <c r="P81" s="18" t="s">
        <v>276</v>
      </c>
      <c r="Q81" s="18" t="s">
        <v>277</v>
      </c>
    </row>
    <row r="82" customFormat="false" ht="15" hidden="false" customHeight="false" outlineLevel="0" collapsed="false">
      <c r="L82" s="18" t="n">
        <v>12</v>
      </c>
      <c r="M82" s="53" t="n">
        <v>10.9</v>
      </c>
      <c r="O82" s="96"/>
      <c r="P82" s="18" t="s">
        <v>278</v>
      </c>
      <c r="Q82" s="18" t="s">
        <v>279</v>
      </c>
    </row>
    <row r="83" customFormat="false" ht="15" hidden="false" customHeight="false" outlineLevel="0" collapsed="false">
      <c r="L83" s="18" t="n">
        <v>13</v>
      </c>
      <c r="M83" s="53" t="n">
        <v>10.6</v>
      </c>
      <c r="O83" s="96"/>
      <c r="P83" s="18" t="s">
        <v>280</v>
      </c>
      <c r="Q83" s="18" t="s">
        <v>281</v>
      </c>
    </row>
    <row r="84" customFormat="false" ht="15" hidden="false" customHeight="false" outlineLevel="0" collapsed="false">
      <c r="L84" s="18" t="n">
        <v>14</v>
      </c>
      <c r="M84" s="53" t="n">
        <v>10.4</v>
      </c>
    </row>
    <row r="85" customFormat="false" ht="15" hidden="false" customHeight="false" outlineLevel="0" collapsed="false">
      <c r="L85" s="18" t="n">
        <v>15</v>
      </c>
      <c r="M85" s="53" t="n">
        <v>10.2</v>
      </c>
    </row>
    <row r="86" customFormat="false" ht="15" hidden="false" customHeight="false" outlineLevel="0" collapsed="false">
      <c r="L86" s="18" t="n">
        <v>16</v>
      </c>
      <c r="M86" s="53" t="n">
        <v>10</v>
      </c>
    </row>
    <row r="87" customFormat="false" ht="15" hidden="false" customHeight="false" outlineLevel="0" collapsed="false">
      <c r="L87" s="18" t="n">
        <v>17</v>
      </c>
      <c r="M87" s="53" t="n">
        <v>9.8</v>
      </c>
    </row>
    <row r="88" customFormat="false" ht="15" hidden="false" customHeight="false" outlineLevel="0" collapsed="false">
      <c r="L88" s="18" t="n">
        <v>18</v>
      </c>
      <c r="M88" s="53" t="n">
        <v>9.6</v>
      </c>
    </row>
    <row r="89" customFormat="false" ht="15" hidden="false" customHeight="false" outlineLevel="0" collapsed="false">
      <c r="L89" s="18" t="n">
        <v>19</v>
      </c>
      <c r="M89" s="53" t="n">
        <v>9.4</v>
      </c>
    </row>
    <row r="90" customFormat="false" ht="15" hidden="false" customHeight="false" outlineLevel="0" collapsed="false">
      <c r="L90" s="18" t="n">
        <v>20</v>
      </c>
      <c r="M90" s="53" t="n">
        <v>9.2</v>
      </c>
    </row>
    <row r="91" customFormat="false" ht="15" hidden="false" customHeight="false" outlineLevel="0" collapsed="false">
      <c r="L91" s="18" t="n">
        <v>21</v>
      </c>
      <c r="M91" s="53" t="n">
        <v>9</v>
      </c>
    </row>
    <row r="92" customFormat="false" ht="15" hidden="false" customHeight="false" outlineLevel="0" collapsed="false">
      <c r="L92" s="18" t="n">
        <v>22</v>
      </c>
      <c r="M92" s="53" t="n">
        <v>8.9</v>
      </c>
    </row>
    <row r="93" customFormat="false" ht="15" hidden="false" customHeight="false" outlineLevel="0" collapsed="false">
      <c r="L93" s="18" t="n">
        <v>23</v>
      </c>
      <c r="M93" s="53" t="n">
        <v>8.7</v>
      </c>
    </row>
    <row r="94" customFormat="false" ht="15" hidden="false" customHeight="false" outlineLevel="0" collapsed="false">
      <c r="L94" s="18" t="n">
        <v>24</v>
      </c>
      <c r="M94" s="53" t="n">
        <v>8.6</v>
      </c>
    </row>
    <row r="95" customFormat="false" ht="15" hidden="false" customHeight="false" outlineLevel="0" collapsed="false">
      <c r="L95" s="18" t="n">
        <v>25</v>
      </c>
      <c r="M95" s="53" t="n">
        <v>8.4</v>
      </c>
    </row>
    <row r="96" customFormat="false" ht="15" hidden="false" customHeight="false" outlineLevel="0" collapsed="false">
      <c r="L96" s="18" t="n">
        <v>26</v>
      </c>
      <c r="M96" s="53" t="n">
        <v>8.2</v>
      </c>
    </row>
    <row r="97" customFormat="false" ht="15" hidden="false" customHeight="false" outlineLevel="0" collapsed="false">
      <c r="L97" s="18" t="n">
        <v>27</v>
      </c>
      <c r="M97" s="53" t="n">
        <v>8.1</v>
      </c>
    </row>
    <row r="98" customFormat="false" ht="15" hidden="false" customHeight="false" outlineLevel="0" collapsed="false">
      <c r="L98" s="18" t="n">
        <v>28</v>
      </c>
      <c r="M98" s="53" t="n">
        <v>7.9</v>
      </c>
    </row>
    <row r="99" customFormat="false" ht="15" hidden="false" customHeight="false" outlineLevel="0" collapsed="false">
      <c r="L99" s="18" t="n">
        <v>29</v>
      </c>
      <c r="M99" s="53" t="n">
        <v>7.8</v>
      </c>
    </row>
    <row r="100" customFormat="false" ht="15" hidden="false" customHeight="false" outlineLevel="0" collapsed="false">
      <c r="L100" s="18" t="n">
        <v>30</v>
      </c>
      <c r="M100" s="53" t="n">
        <v>7.7</v>
      </c>
    </row>
  </sheetData>
  <mergeCells count="109">
    <mergeCell ref="A1:B1"/>
    <mergeCell ref="A11:H11"/>
    <mergeCell ref="A13:C13"/>
    <mergeCell ref="A15:AD15"/>
    <mergeCell ref="A16:A17"/>
    <mergeCell ref="B16:B17"/>
    <mergeCell ref="C16:C17"/>
    <mergeCell ref="D16:D17"/>
    <mergeCell ref="E16:E17"/>
    <mergeCell ref="F16:F17"/>
    <mergeCell ref="G16:G17"/>
    <mergeCell ref="H16:L16"/>
    <mergeCell ref="N16:Q16"/>
    <mergeCell ref="R16:U16"/>
    <mergeCell ref="V16:Y16"/>
    <mergeCell ref="Z16:Z17"/>
    <mergeCell ref="AA16:AD16"/>
    <mergeCell ref="R18:R22"/>
    <mergeCell ref="S18:S22"/>
    <mergeCell ref="T18:T22"/>
    <mergeCell ref="U18:U22"/>
    <mergeCell ref="A23:Y23"/>
    <mergeCell ref="A25:AD25"/>
    <mergeCell ref="A26:A27"/>
    <mergeCell ref="B26:B27"/>
    <mergeCell ref="C26:C27"/>
    <mergeCell ref="D26:D27"/>
    <mergeCell ref="E26:E27"/>
    <mergeCell ref="F26:F27"/>
    <mergeCell ref="G26:G27"/>
    <mergeCell ref="H26:L26"/>
    <mergeCell ref="N26:Q26"/>
    <mergeCell ref="R26:U26"/>
    <mergeCell ref="V26:Y26"/>
    <mergeCell ref="Z26:Z27"/>
    <mergeCell ref="AA26:AD26"/>
    <mergeCell ref="R28:R32"/>
    <mergeCell ref="S28:S32"/>
    <mergeCell ref="T28:T32"/>
    <mergeCell ref="U28:U32"/>
    <mergeCell ref="A33:Y33"/>
    <mergeCell ref="A35:AD35"/>
    <mergeCell ref="A36:A37"/>
    <mergeCell ref="B36:B37"/>
    <mergeCell ref="C36:C37"/>
    <mergeCell ref="D36:D37"/>
    <mergeCell ref="E36:E37"/>
    <mergeCell ref="F36:F37"/>
    <mergeCell ref="G36:G37"/>
    <mergeCell ref="H36:L36"/>
    <mergeCell ref="N36:Q36"/>
    <mergeCell ref="R36:U36"/>
    <mergeCell ref="V36:Y36"/>
    <mergeCell ref="Z36:Z37"/>
    <mergeCell ref="AA36:AD36"/>
    <mergeCell ref="R38:R42"/>
    <mergeCell ref="S38:S42"/>
    <mergeCell ref="T38:T42"/>
    <mergeCell ref="U38:U42"/>
    <mergeCell ref="A43:Y43"/>
    <mergeCell ref="A45:AD45"/>
    <mergeCell ref="A46:A47"/>
    <mergeCell ref="B46:B47"/>
    <mergeCell ref="C46:C47"/>
    <mergeCell ref="D46:D47"/>
    <mergeCell ref="E46:E47"/>
    <mergeCell ref="F46:F47"/>
    <mergeCell ref="G46:G47"/>
    <mergeCell ref="H46:L46"/>
    <mergeCell ref="N46:Q46"/>
    <mergeCell ref="R46:U46"/>
    <mergeCell ref="V46:Y46"/>
    <mergeCell ref="Z46:Z47"/>
    <mergeCell ref="AA46:AD46"/>
    <mergeCell ref="R48:R52"/>
    <mergeCell ref="S48:S52"/>
    <mergeCell ref="T48:T52"/>
    <mergeCell ref="U48:U52"/>
    <mergeCell ref="A53:Y53"/>
    <mergeCell ref="A55:AD55"/>
    <mergeCell ref="A56:A57"/>
    <mergeCell ref="B56:B57"/>
    <mergeCell ref="C56:C57"/>
    <mergeCell ref="D56:D57"/>
    <mergeCell ref="E56:E57"/>
    <mergeCell ref="F56:F57"/>
    <mergeCell ref="G56:G57"/>
    <mergeCell ref="H56:L56"/>
    <mergeCell ref="N56:Q56"/>
    <mergeCell ref="R56:U56"/>
    <mergeCell ref="V56:Y56"/>
    <mergeCell ref="Z56:Z57"/>
    <mergeCell ref="AA56:AD56"/>
    <mergeCell ref="R58:R62"/>
    <mergeCell ref="S58:S62"/>
    <mergeCell ref="T58:T62"/>
    <mergeCell ref="U58:U62"/>
    <mergeCell ref="A63:Y63"/>
    <mergeCell ref="A66:AD66"/>
    <mergeCell ref="L68:M68"/>
    <mergeCell ref="O68:Q68"/>
    <mergeCell ref="S68:U68"/>
    <mergeCell ref="W68:X68"/>
    <mergeCell ref="Z68:Z69"/>
    <mergeCell ref="O70:O74"/>
    <mergeCell ref="Z71:AD71"/>
    <mergeCell ref="O75:O77"/>
    <mergeCell ref="O78:O80"/>
    <mergeCell ref="O81:O8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20.14"/>
    <col collapsed="false" customWidth="true" hidden="false" outlineLevel="0" max="3" min="3" style="0" width="14.15"/>
    <col collapsed="false" customWidth="true" hidden="false" outlineLevel="0" max="4" min="4" style="0" width="21.71"/>
    <col collapsed="false" customWidth="true" hidden="false" outlineLevel="0" max="5" min="5" style="0" width="8.67"/>
    <col collapsed="false" customWidth="true" hidden="false" outlineLevel="0" max="6" min="6" style="0" width="17.71"/>
    <col collapsed="false" customWidth="true" hidden="false" outlineLevel="0" max="7" min="7" style="0" width="20.3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30" t="s">
        <v>49</v>
      </c>
      <c r="B1" s="30"/>
    </row>
    <row r="2" customFormat="false" ht="15" hidden="false" customHeight="false" outlineLevel="0" collapsed="false">
      <c r="A2" s="2" t="s">
        <v>1</v>
      </c>
      <c r="B2" s="3" t="s">
        <v>2</v>
      </c>
    </row>
    <row r="3" customFormat="false" ht="15" hidden="false" customHeight="false" outlineLevel="0" collapsed="false">
      <c r="A3" s="2" t="s">
        <v>3</v>
      </c>
      <c r="B3" s="3" t="s">
        <v>4</v>
      </c>
    </row>
    <row r="4" customFormat="false" ht="15" hidden="false" customHeight="false" outlineLevel="0" collapsed="false">
      <c r="A4" s="2" t="s">
        <v>5</v>
      </c>
      <c r="B4" s="3" t="s">
        <v>6</v>
      </c>
    </row>
    <row r="5" customFormat="false" ht="15" hidden="false" customHeight="false" outlineLevel="0" collapsed="false">
      <c r="A5" s="2" t="s">
        <v>7</v>
      </c>
      <c r="B5" s="3" t="n">
        <v>2015</v>
      </c>
    </row>
    <row r="7" customFormat="false" ht="15" hidden="false" customHeight="false" outlineLevel="0" collapsed="false">
      <c r="A7" s="2" t="s">
        <v>76</v>
      </c>
      <c r="B7" s="3" t="s">
        <v>77</v>
      </c>
    </row>
    <row r="8" customFormat="false" ht="15" hidden="false" customHeight="false" outlineLevel="0" collapsed="false">
      <c r="A8" s="2" t="s">
        <v>78</v>
      </c>
      <c r="B8" s="3" t="s">
        <v>15</v>
      </c>
    </row>
    <row r="9" customFormat="false" ht="15" hidden="false" customHeight="false" outlineLevel="0" collapsed="false">
      <c r="A9" s="2" t="s">
        <v>79</v>
      </c>
      <c r="B9" s="3" t="s">
        <v>282</v>
      </c>
    </row>
    <row r="12" customFormat="false" ht="52.5" hidden="false" customHeight="true" outlineLevel="0" collapsed="false">
      <c r="A12" s="113" t="s">
        <v>283</v>
      </c>
      <c r="B12" s="113"/>
      <c r="C12" s="113"/>
      <c r="D12" s="113"/>
    </row>
    <row r="13" customFormat="false" ht="15" hidden="false" customHeight="false" outlineLevel="0" collapsed="false">
      <c r="A13" s="114"/>
      <c r="B13" s="114"/>
    </row>
    <row r="14" customFormat="false" ht="15" hidden="false" customHeight="false" outlineLevel="0" collapsed="false">
      <c r="A14" s="51" t="s">
        <v>284</v>
      </c>
      <c r="B14" s="51"/>
      <c r="C14" s="51"/>
      <c r="D14" s="51"/>
      <c r="E14" s="51"/>
      <c r="F14" s="51"/>
      <c r="G14" s="51"/>
    </row>
    <row r="15" s="50" customFormat="true" ht="30" hidden="false" customHeight="false" outlineLevel="0" collapsed="false">
      <c r="A15" s="18"/>
      <c r="B15" s="18"/>
      <c r="C15" s="18"/>
      <c r="D15" s="22" t="s">
        <v>151</v>
      </c>
      <c r="E15" s="72" t="s">
        <v>285</v>
      </c>
      <c r="F15" s="72" t="s">
        <v>286</v>
      </c>
      <c r="G15" s="72" t="s">
        <v>153</v>
      </c>
    </row>
    <row r="16" customFormat="false" ht="15" hidden="false" customHeight="false" outlineLevel="0" collapsed="false">
      <c r="A16" s="2" t="s">
        <v>287</v>
      </c>
      <c r="B16" s="2"/>
      <c r="C16" s="2"/>
      <c r="D16" s="73" t="n">
        <v>115</v>
      </c>
      <c r="E16" s="74" t="s">
        <v>40</v>
      </c>
      <c r="F16" s="74" t="s">
        <v>288</v>
      </c>
      <c r="G16" s="75" t="s">
        <v>289</v>
      </c>
    </row>
    <row r="21" customFormat="false" ht="15" hidden="false" customHeight="false" outlineLevel="0" collapsed="false">
      <c r="A21" s="51" t="s">
        <v>290</v>
      </c>
      <c r="B21" s="51"/>
      <c r="C21" s="51"/>
      <c r="D21" s="51"/>
    </row>
    <row r="22" customFormat="false" ht="15" hidden="false" customHeight="false" outlineLevel="0" collapsed="false">
      <c r="A22" s="22" t="s">
        <v>151</v>
      </c>
      <c r="B22" s="22" t="s">
        <v>291</v>
      </c>
      <c r="C22" s="22" t="s">
        <v>285</v>
      </c>
      <c r="D22" s="22" t="s">
        <v>292</v>
      </c>
    </row>
    <row r="23" customFormat="false" ht="15" hidden="false" customHeight="false" outlineLevel="0" collapsed="false">
      <c r="A23" s="18" t="s">
        <v>293</v>
      </c>
      <c r="B23" s="18" t="s">
        <v>69</v>
      </c>
      <c r="C23" s="18" t="s">
        <v>36</v>
      </c>
      <c r="D23" s="18" t="s">
        <v>294</v>
      </c>
    </row>
    <row r="24" customFormat="false" ht="15" hidden="false" customHeight="false" outlineLevel="0" collapsed="false">
      <c r="A24" s="18" t="s">
        <v>295</v>
      </c>
      <c r="B24" s="18" t="s">
        <v>296</v>
      </c>
      <c r="C24" s="18" t="s">
        <v>29</v>
      </c>
      <c r="D24" s="18" t="s">
        <v>296</v>
      </c>
    </row>
    <row r="25" customFormat="false" ht="15" hidden="false" customHeight="false" outlineLevel="0" collapsed="false">
      <c r="A25" s="18" t="s">
        <v>297</v>
      </c>
      <c r="B25" s="18" t="s">
        <v>288</v>
      </c>
      <c r="C25" s="18" t="s">
        <v>40</v>
      </c>
      <c r="D25" s="18" t="s">
        <v>289</v>
      </c>
    </row>
    <row r="26" customFormat="false" ht="15" hidden="false" customHeight="false" outlineLevel="0" collapsed="false">
      <c r="A26" s="18" t="s">
        <v>298</v>
      </c>
      <c r="B26" s="18" t="s">
        <v>73</v>
      </c>
      <c r="C26" s="18" t="s">
        <v>43</v>
      </c>
      <c r="D26" s="18" t="s">
        <v>299</v>
      </c>
    </row>
    <row r="27" customFormat="false" ht="15" hidden="false" customHeight="false" outlineLevel="0" collapsed="false">
      <c r="A27" s="18" t="s">
        <v>300</v>
      </c>
      <c r="B27" s="18" t="s">
        <v>74</v>
      </c>
      <c r="C27" s="18" t="s">
        <v>46</v>
      </c>
      <c r="D27" s="18" t="s">
        <v>299</v>
      </c>
    </row>
    <row r="28" customFormat="false" ht="15" hidden="false" customHeight="false" outlineLevel="0" collapsed="false">
      <c r="A28" s="18" t="s">
        <v>301</v>
      </c>
      <c r="B28" s="18" t="s">
        <v>302</v>
      </c>
      <c r="C28" s="18" t="s">
        <v>303</v>
      </c>
      <c r="D28" s="18" t="s">
        <v>304</v>
      </c>
    </row>
  </sheetData>
  <mergeCells count="5">
    <mergeCell ref="A1:B1"/>
    <mergeCell ref="A12:D12"/>
    <mergeCell ref="A14:G14"/>
    <mergeCell ref="A16:C16"/>
    <mergeCell ref="A21:D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20.14"/>
    <col collapsed="false" customWidth="true" hidden="false" outlineLevel="0" max="3" min="3" style="0" width="16.14"/>
    <col collapsed="false" customWidth="true" hidden="false" outlineLevel="0" max="4" min="4" style="0" width="21.71"/>
    <col collapsed="false" customWidth="true" hidden="false" outlineLevel="0" max="7" min="5" style="0" width="8.67"/>
    <col collapsed="false" customWidth="true" hidden="false" outlineLevel="0" max="8" min="8" style="0" width="15.15"/>
    <col collapsed="false" customWidth="true" hidden="false" outlineLevel="0" max="9" min="9" style="0" width="25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30" t="s">
        <v>49</v>
      </c>
      <c r="B1" s="30"/>
    </row>
    <row r="2" customFormat="false" ht="15" hidden="false" customHeight="false" outlineLevel="0" collapsed="false">
      <c r="A2" s="2" t="s">
        <v>1</v>
      </c>
      <c r="B2" s="3" t="s">
        <v>2</v>
      </c>
    </row>
    <row r="3" customFormat="false" ht="15" hidden="false" customHeight="false" outlineLevel="0" collapsed="false">
      <c r="A3" s="2" t="s">
        <v>3</v>
      </c>
      <c r="B3" s="3" t="s">
        <v>4</v>
      </c>
    </row>
    <row r="4" customFormat="false" ht="15" hidden="false" customHeight="false" outlineLevel="0" collapsed="false">
      <c r="A4" s="2" t="s">
        <v>5</v>
      </c>
      <c r="B4" s="3" t="s">
        <v>6</v>
      </c>
    </row>
    <row r="5" customFormat="false" ht="15" hidden="false" customHeight="false" outlineLevel="0" collapsed="false">
      <c r="A5" s="2" t="s">
        <v>7</v>
      </c>
      <c r="B5" s="3" t="n">
        <v>2015</v>
      </c>
    </row>
    <row r="7" customFormat="false" ht="15" hidden="false" customHeight="false" outlineLevel="0" collapsed="false">
      <c r="A7" s="2" t="s">
        <v>76</v>
      </c>
      <c r="B7" s="3" t="s">
        <v>77</v>
      </c>
    </row>
    <row r="8" customFormat="false" ht="15" hidden="false" customHeight="false" outlineLevel="0" collapsed="false">
      <c r="A8" s="2" t="s">
        <v>78</v>
      </c>
      <c r="B8" s="3" t="s">
        <v>18</v>
      </c>
    </row>
    <row r="9" customFormat="false" ht="15" hidden="false" customHeight="false" outlineLevel="0" collapsed="false">
      <c r="A9" s="2" t="s">
        <v>79</v>
      </c>
      <c r="B9" s="3" t="s">
        <v>305</v>
      </c>
    </row>
    <row r="13" customFormat="false" ht="15" hidden="false" customHeight="false" outlineLevel="0" collapsed="false">
      <c r="A13" s="115" t="s">
        <v>306</v>
      </c>
      <c r="B13" s="115"/>
      <c r="C13" s="115"/>
      <c r="D13" s="115"/>
    </row>
    <row r="14" customFormat="false" ht="15" hidden="false" customHeight="false" outlineLevel="0" collapsed="false">
      <c r="A14" s="116" t="s">
        <v>307</v>
      </c>
      <c r="B14" s="116" t="s">
        <v>308</v>
      </c>
      <c r="C14" s="2" t="s">
        <v>309</v>
      </c>
      <c r="D14" s="2" t="s">
        <v>310</v>
      </c>
    </row>
    <row r="15" customFormat="false" ht="15" hidden="false" customHeight="false" outlineLevel="0" collapsed="false">
      <c r="A15" s="84" t="n">
        <v>0</v>
      </c>
      <c r="B15" s="84" t="n">
        <v>2</v>
      </c>
      <c r="C15" s="18" t="n">
        <f aca="false">B15*900</f>
        <v>1800</v>
      </c>
      <c r="D15" s="18" t="n">
        <f aca="false">C15/10000</f>
        <v>0.18</v>
      </c>
    </row>
    <row r="16" customFormat="false" ht="15" hidden="false" customHeight="false" outlineLevel="0" collapsed="false">
      <c r="A16" s="84" t="n">
        <v>1</v>
      </c>
      <c r="B16" s="84" t="n">
        <v>9</v>
      </c>
      <c r="C16" s="18" t="n">
        <f aca="false">B16*900</f>
        <v>8100</v>
      </c>
      <c r="D16" s="18" t="n">
        <f aca="false">C16/10000</f>
        <v>0.81</v>
      </c>
    </row>
    <row r="17" customFormat="false" ht="15" hidden="false" customHeight="false" outlineLevel="0" collapsed="false">
      <c r="A17" s="84" t="n">
        <v>2</v>
      </c>
      <c r="B17" s="84" t="n">
        <v>22</v>
      </c>
      <c r="C17" s="18" t="n">
        <f aca="false">B17*900</f>
        <v>19800</v>
      </c>
      <c r="D17" s="18" t="n">
        <f aca="false">C17/10000</f>
        <v>1.98</v>
      </c>
    </row>
    <row r="18" customFormat="false" ht="15" hidden="false" customHeight="false" outlineLevel="0" collapsed="false">
      <c r="A18" s="84" t="n">
        <v>3</v>
      </c>
      <c r="B18" s="84" t="n">
        <v>158</v>
      </c>
      <c r="C18" s="18" t="n">
        <f aca="false">B18*900</f>
        <v>142200</v>
      </c>
      <c r="D18" s="18" t="n">
        <f aca="false">C18/10000</f>
        <v>14.22</v>
      </c>
    </row>
    <row r="19" customFormat="false" ht="15" hidden="false" customHeight="false" outlineLevel="0" collapsed="false">
      <c r="A19" s="84" t="n">
        <v>4</v>
      </c>
      <c r="B19" s="84" t="n">
        <v>101</v>
      </c>
      <c r="C19" s="18" t="n">
        <f aca="false">B19*900</f>
        <v>90900</v>
      </c>
      <c r="D19" s="18" t="n">
        <f aca="false">C19/10000</f>
        <v>9.09</v>
      </c>
    </row>
    <row r="20" customFormat="false" ht="15" hidden="false" customHeight="false" outlineLevel="0" collapsed="false">
      <c r="A20" s="84" t="n">
        <v>5</v>
      </c>
      <c r="B20" s="84" t="n">
        <v>196</v>
      </c>
      <c r="C20" s="18" t="n">
        <f aca="false">B20*900</f>
        <v>176400</v>
      </c>
      <c r="D20" s="18" t="n">
        <f aca="false">C20/10000</f>
        <v>17.64</v>
      </c>
    </row>
    <row r="21" customFormat="false" ht="15" hidden="false" customHeight="false" outlineLevel="0" collapsed="false">
      <c r="A21" s="84" t="n">
        <v>6</v>
      </c>
      <c r="B21" s="84" t="n">
        <v>2739</v>
      </c>
      <c r="C21" s="18" t="n">
        <f aca="false">B21*900</f>
        <v>2465100</v>
      </c>
      <c r="D21" s="18" t="n">
        <f aca="false">C21/10000</f>
        <v>246.51</v>
      </c>
      <c r="H21" s="2" t="s">
        <v>311</v>
      </c>
      <c r="I21" s="2"/>
    </row>
    <row r="22" customFormat="false" ht="15" hidden="false" customHeight="false" outlineLevel="0" collapsed="false">
      <c r="A22" s="84" t="n">
        <v>7</v>
      </c>
      <c r="B22" s="84" t="n">
        <v>30294</v>
      </c>
      <c r="C22" s="18" t="n">
        <f aca="false">B22*900</f>
        <v>27264600</v>
      </c>
      <c r="D22" s="18" t="n">
        <f aca="false">C22/10000</f>
        <v>2726.46</v>
      </c>
      <c r="H22" s="116" t="s">
        <v>312</v>
      </c>
      <c r="I22" s="116" t="s">
        <v>313</v>
      </c>
    </row>
    <row r="23" customFormat="false" ht="15" hidden="false" customHeight="false" outlineLevel="0" collapsed="false">
      <c r="A23" s="117" t="n">
        <v>8</v>
      </c>
      <c r="B23" s="117" t="n">
        <v>13999</v>
      </c>
      <c r="C23" s="118" t="n">
        <f aca="false">B23*900</f>
        <v>12599100</v>
      </c>
      <c r="D23" s="118" t="n">
        <f aca="false">C23/10000</f>
        <v>1259.91</v>
      </c>
      <c r="H23" s="119" t="s">
        <v>314</v>
      </c>
      <c r="I23" s="84" t="s">
        <v>315</v>
      </c>
    </row>
    <row r="24" customFormat="false" ht="15" hidden="false" customHeight="false" outlineLevel="0" collapsed="false">
      <c r="A24" s="117" t="n">
        <v>9</v>
      </c>
      <c r="B24" s="117" t="n">
        <v>25374</v>
      </c>
      <c r="C24" s="118" t="n">
        <f aca="false">B24*900</f>
        <v>22836600</v>
      </c>
      <c r="D24" s="118" t="n">
        <f aca="false">C24/10000</f>
        <v>2283.66</v>
      </c>
      <c r="H24" s="119" t="s">
        <v>316</v>
      </c>
      <c r="I24" s="84" t="s">
        <v>317</v>
      </c>
    </row>
    <row r="25" customFormat="false" ht="15" hidden="false" customHeight="false" outlineLevel="0" collapsed="false">
      <c r="A25" s="117" t="n">
        <v>10</v>
      </c>
      <c r="B25" s="117" t="n">
        <v>1248</v>
      </c>
      <c r="C25" s="118" t="n">
        <f aca="false">B25*900</f>
        <v>1123200</v>
      </c>
      <c r="D25" s="118" t="n">
        <f aca="false">C25/10000</f>
        <v>112.32</v>
      </c>
      <c r="E25" s="120" t="n">
        <f aca="false">D23+D24+D25</f>
        <v>3655.89</v>
      </c>
      <c r="H25" s="119" t="s">
        <v>318</v>
      </c>
      <c r="I25" s="84" t="s">
        <v>319</v>
      </c>
    </row>
    <row r="26" customFormat="false" ht="15" hidden="false" customHeight="false" outlineLevel="0" collapsed="false">
      <c r="A26" s="84"/>
      <c r="B26" s="84"/>
      <c r="C26" s="22" t="n">
        <f aca="false">SUM(C15:C25)</f>
        <v>66727800</v>
      </c>
      <c r="D26" s="22" t="n">
        <f aca="false">SUM(D15:D25)</f>
        <v>6672.78</v>
      </c>
      <c r="E26" s="121" t="n">
        <f aca="false">E25/D26</f>
        <v>0.547881093037684</v>
      </c>
    </row>
    <row r="27" customFormat="false" ht="15" hidden="false" customHeight="false" outlineLevel="0" collapsed="false">
      <c r="A27" s="122"/>
      <c r="B27" s="122"/>
    </row>
    <row r="28" customFormat="false" ht="15" hidden="false" customHeight="false" outlineLevel="0" collapsed="false">
      <c r="A28" s="122"/>
      <c r="B28" s="122"/>
    </row>
    <row r="29" customFormat="false" ht="15" hidden="false" customHeight="false" outlineLevel="0" collapsed="false">
      <c r="A29" s="123" t="s">
        <v>320</v>
      </c>
      <c r="B29" s="123"/>
      <c r="C29" s="123"/>
      <c r="D29" s="123"/>
    </row>
    <row r="30" customFormat="false" ht="15" hidden="false" customHeight="false" outlineLevel="0" collapsed="false">
      <c r="A30" s="124"/>
      <c r="B30" s="124"/>
      <c r="C30" s="60" t="s">
        <v>321</v>
      </c>
      <c r="D30" s="60" t="s">
        <v>33</v>
      </c>
    </row>
    <row r="31" customFormat="false" ht="15" hidden="false" customHeight="false" outlineLevel="0" collapsed="false">
      <c r="A31" s="125" t="s">
        <v>305</v>
      </c>
      <c r="B31" s="125"/>
      <c r="C31" s="126" t="n">
        <v>0.55</v>
      </c>
      <c r="D31" s="127" t="s">
        <v>36</v>
      </c>
    </row>
    <row r="34" customFormat="false" ht="15" hidden="false" customHeight="false" outlineLevel="0" collapsed="false">
      <c r="A34" s="51" t="s">
        <v>322</v>
      </c>
      <c r="B34" s="51"/>
      <c r="C34" s="51"/>
    </row>
    <row r="35" customFormat="false" ht="15" hidden="false" customHeight="false" outlineLevel="0" collapsed="false">
      <c r="A35" s="22" t="s">
        <v>285</v>
      </c>
      <c r="B35" s="22" t="s">
        <v>323</v>
      </c>
      <c r="C35" s="22" t="s">
        <v>324</v>
      </c>
    </row>
    <row r="36" customFormat="false" ht="15" hidden="false" customHeight="false" outlineLevel="0" collapsed="false">
      <c r="A36" s="18" t="s">
        <v>36</v>
      </c>
      <c r="B36" s="18" t="s">
        <v>325</v>
      </c>
      <c r="C36" s="18" t="s">
        <v>69</v>
      </c>
    </row>
    <row r="37" customFormat="false" ht="15" hidden="false" customHeight="false" outlineLevel="0" collapsed="false">
      <c r="A37" s="18" t="s">
        <v>29</v>
      </c>
      <c r="B37" s="18" t="s">
        <v>326</v>
      </c>
      <c r="C37" s="18" t="s">
        <v>296</v>
      </c>
    </row>
    <row r="38" customFormat="false" ht="15" hidden="false" customHeight="false" outlineLevel="0" collapsed="false">
      <c r="A38" s="18" t="s">
        <v>40</v>
      </c>
      <c r="B38" s="18" t="s">
        <v>327</v>
      </c>
      <c r="C38" s="18" t="s">
        <v>73</v>
      </c>
    </row>
    <row r="39" customFormat="false" ht="15" hidden="false" customHeight="false" outlineLevel="0" collapsed="false">
      <c r="A39" s="18" t="s">
        <v>43</v>
      </c>
      <c r="B39" s="18" t="s">
        <v>328</v>
      </c>
      <c r="C39" s="18" t="s">
        <v>74</v>
      </c>
    </row>
  </sheetData>
  <mergeCells count="7">
    <mergeCell ref="A1:B1"/>
    <mergeCell ref="A13:D13"/>
    <mergeCell ref="H21:I21"/>
    <mergeCell ref="A29:D29"/>
    <mergeCell ref="A30:B30"/>
    <mergeCell ref="A31:B31"/>
    <mergeCell ref="A34:C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21.71"/>
    <col collapsed="false" customWidth="true" hidden="false" outlineLevel="0" max="3" min="3" style="0" width="20.14"/>
    <col collapsed="false" customWidth="true" hidden="false" outlineLevel="0" max="5" min="4" style="0" width="15.71"/>
    <col collapsed="false" customWidth="true" hidden="false" outlineLevel="0" max="6" min="6" style="0" width="23.87"/>
    <col collapsed="false" customWidth="true" hidden="false" outlineLevel="0" max="7" min="7" style="0" width="22.86"/>
    <col collapsed="false" customWidth="true" hidden="false" outlineLevel="0" max="8" min="8" style="0" width="25.14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30" t="s">
        <v>49</v>
      </c>
      <c r="B1" s="30"/>
    </row>
    <row r="2" customFormat="false" ht="15" hidden="false" customHeight="false" outlineLevel="0" collapsed="false">
      <c r="A2" s="2" t="s">
        <v>1</v>
      </c>
      <c r="B2" s="3" t="s">
        <v>2</v>
      </c>
    </row>
    <row r="3" customFormat="false" ht="15" hidden="false" customHeight="false" outlineLevel="0" collapsed="false">
      <c r="A3" s="2" t="s">
        <v>3</v>
      </c>
      <c r="B3" s="3" t="s">
        <v>4</v>
      </c>
    </row>
    <row r="4" customFormat="false" ht="15" hidden="false" customHeight="false" outlineLevel="0" collapsed="false">
      <c r="A4" s="2" t="s">
        <v>5</v>
      </c>
      <c r="B4" s="3" t="s">
        <v>6</v>
      </c>
    </row>
    <row r="5" customFormat="false" ht="15" hidden="false" customHeight="false" outlineLevel="0" collapsed="false">
      <c r="A5" s="2" t="s">
        <v>7</v>
      </c>
      <c r="B5" s="3" t="n">
        <v>2015</v>
      </c>
    </row>
    <row r="7" customFormat="false" ht="15" hidden="false" customHeight="false" outlineLevel="0" collapsed="false">
      <c r="A7" s="2" t="s">
        <v>76</v>
      </c>
      <c r="B7" s="3" t="s">
        <v>77</v>
      </c>
    </row>
    <row r="8" customFormat="false" ht="15" hidden="false" customHeight="false" outlineLevel="0" collapsed="false">
      <c r="A8" s="2" t="s">
        <v>78</v>
      </c>
      <c r="B8" s="3" t="s">
        <v>20</v>
      </c>
    </row>
    <row r="9" customFormat="false" ht="15" hidden="false" customHeight="false" outlineLevel="0" collapsed="false">
      <c r="A9" s="2" t="s">
        <v>79</v>
      </c>
      <c r="B9" s="3" t="s">
        <v>140</v>
      </c>
    </row>
    <row r="12" s="128" customFormat="true" ht="21" hidden="false" customHeight="true" outlineLevel="0" collapsed="false">
      <c r="A12" s="25" t="s">
        <v>329</v>
      </c>
      <c r="B12" s="25"/>
      <c r="C12" s="25"/>
    </row>
    <row r="13" customFormat="false" ht="34.5" hidden="false" customHeight="false" outlineLevel="0" collapsed="false">
      <c r="A13" s="22" t="s">
        <v>330</v>
      </c>
      <c r="B13" s="24" t="s">
        <v>132</v>
      </c>
      <c r="C13" s="24" t="s">
        <v>331</v>
      </c>
    </row>
    <row r="14" customFormat="false" ht="15" hidden="false" customHeight="false" outlineLevel="0" collapsed="false">
      <c r="A14" s="18" t="s">
        <v>332</v>
      </c>
      <c r="B14" s="65" t="n">
        <v>65</v>
      </c>
      <c r="C14" s="65" t="n">
        <v>4225</v>
      </c>
    </row>
    <row r="15" customFormat="false" ht="15" hidden="false" customHeight="false" outlineLevel="0" collapsed="false">
      <c r="A15" s="18" t="s">
        <v>333</v>
      </c>
      <c r="B15" s="65" t="n">
        <v>11.5</v>
      </c>
      <c r="C15" s="65" t="n">
        <v>132.25</v>
      </c>
    </row>
    <row r="16" customFormat="false" ht="15.75" hidden="false" customHeight="false" outlineLevel="0" collapsed="false">
      <c r="A16" s="129" t="s">
        <v>334</v>
      </c>
      <c r="B16" s="65" t="n">
        <v>2</v>
      </c>
      <c r="C16" s="65" t="n">
        <v>4</v>
      </c>
    </row>
    <row r="17" customFormat="false" ht="15" hidden="false" customHeight="false" outlineLevel="0" collapsed="false">
      <c r="A17" s="18" t="s">
        <v>335</v>
      </c>
      <c r="B17" s="65" t="n">
        <v>35</v>
      </c>
      <c r="C17" s="65" t="n">
        <v>1225</v>
      </c>
    </row>
    <row r="18" customFormat="false" ht="30" hidden="false" customHeight="true" outlineLevel="0" collapsed="false">
      <c r="A18" s="18" t="s">
        <v>336</v>
      </c>
      <c r="B18" s="65" t="n">
        <v>112</v>
      </c>
      <c r="C18" s="65" t="n">
        <v>12544</v>
      </c>
    </row>
    <row r="19" customFormat="false" ht="15" hidden="false" customHeight="false" outlineLevel="0" collapsed="false">
      <c r="A19" s="18" t="s">
        <v>337</v>
      </c>
      <c r="B19" s="65" t="n">
        <v>67.5</v>
      </c>
      <c r="C19" s="65" t="n">
        <v>4556.25</v>
      </c>
    </row>
    <row r="20" customFormat="false" ht="15" hidden="false" customHeight="false" outlineLevel="0" collapsed="false">
      <c r="A20" s="18" t="s">
        <v>338</v>
      </c>
      <c r="B20" s="65" t="n">
        <v>2277.86</v>
      </c>
      <c r="C20" s="65" t="n">
        <v>5188646.1796</v>
      </c>
    </row>
    <row r="21" customFormat="false" ht="15" hidden="false" customHeight="false" outlineLevel="0" collapsed="false">
      <c r="A21" s="18" t="s">
        <v>339</v>
      </c>
      <c r="B21" s="65" t="n">
        <v>40</v>
      </c>
      <c r="C21" s="65" t="n">
        <v>1600</v>
      </c>
    </row>
    <row r="22" customFormat="false" ht="15" hidden="false" customHeight="false" outlineLevel="0" collapsed="false">
      <c r="A22" s="18" t="s">
        <v>340</v>
      </c>
      <c r="B22" s="65" t="n">
        <v>5</v>
      </c>
      <c r="C22" s="65" t="n">
        <v>25</v>
      </c>
    </row>
    <row r="23" customFormat="false" ht="15" hidden="false" customHeight="false" outlineLevel="0" collapsed="false">
      <c r="A23" s="18" t="s">
        <v>341</v>
      </c>
      <c r="B23" s="65" t="n">
        <v>2.6</v>
      </c>
      <c r="C23" s="65" t="n">
        <v>6.76</v>
      </c>
    </row>
    <row r="24" customFormat="false" ht="15" hidden="false" customHeight="false" outlineLevel="0" collapsed="false">
      <c r="A24" s="18" t="s">
        <v>342</v>
      </c>
      <c r="B24" s="65" t="n">
        <v>22.7</v>
      </c>
      <c r="C24" s="65" t="n">
        <v>515.29</v>
      </c>
    </row>
    <row r="25" customFormat="false" ht="15" hidden="false" customHeight="false" outlineLevel="0" collapsed="false">
      <c r="A25" s="130"/>
      <c r="B25" s="131" t="n">
        <v>2641.16</v>
      </c>
      <c r="C25" s="131" t="n">
        <v>5213479.7296</v>
      </c>
    </row>
    <row r="26" customFormat="false" ht="15" hidden="false" customHeight="false" outlineLevel="0" collapsed="false">
      <c r="A26" s="130"/>
      <c r="B26" s="132" t="n">
        <f aca="false">B25^2</f>
        <v>6975726.1456</v>
      </c>
      <c r="C26" s="133"/>
    </row>
    <row r="27" customFormat="false" ht="15" hidden="false" customHeight="false" outlineLevel="0" collapsed="false">
      <c r="A27" s="134"/>
      <c r="B27" s="134"/>
      <c r="C27" s="134"/>
    </row>
    <row r="28" customFormat="false" ht="15" hidden="false" customHeight="false" outlineLevel="0" collapsed="false">
      <c r="A28" s="59" t="s">
        <v>343</v>
      </c>
      <c r="B28" s="59"/>
      <c r="C28" s="59"/>
    </row>
    <row r="29" customFormat="false" ht="15" hidden="false" customHeight="false" outlineLevel="0" collapsed="false">
      <c r="A29" s="60"/>
      <c r="B29" s="60" t="s">
        <v>139</v>
      </c>
      <c r="C29" s="60" t="s">
        <v>33</v>
      </c>
    </row>
    <row r="30" customFormat="false" ht="15" hidden="false" customHeight="false" outlineLevel="0" collapsed="false">
      <c r="A30" s="60" t="s">
        <v>140</v>
      </c>
      <c r="B30" s="135" t="n">
        <f aca="false">1-(C25/B26)</f>
        <v>0.252625515855658</v>
      </c>
      <c r="C30" s="60" t="s">
        <v>43</v>
      </c>
    </row>
    <row r="33" customFormat="false" ht="15" hidden="false" customHeight="true" outlineLevel="0" collapsed="false">
      <c r="A33" s="136" t="s">
        <v>344</v>
      </c>
      <c r="B33" s="136"/>
      <c r="C33" s="136"/>
    </row>
    <row r="34" customFormat="false" ht="30" hidden="false" customHeight="false" outlineLevel="0" collapsed="false">
      <c r="A34" s="24" t="s">
        <v>345</v>
      </c>
      <c r="B34" s="22" t="s">
        <v>346</v>
      </c>
      <c r="C34" s="22" t="s">
        <v>347</v>
      </c>
    </row>
    <row r="35" customFormat="false" ht="15" hidden="false" customHeight="false" outlineLevel="0" collapsed="false">
      <c r="A35" s="18" t="s">
        <v>348</v>
      </c>
      <c r="B35" s="18" t="s">
        <v>36</v>
      </c>
      <c r="C35" s="18" t="s">
        <v>349</v>
      </c>
    </row>
    <row r="36" customFormat="false" ht="15" hidden="false" customHeight="false" outlineLevel="0" collapsed="false">
      <c r="A36" s="18" t="s">
        <v>350</v>
      </c>
      <c r="B36" s="18" t="s">
        <v>29</v>
      </c>
      <c r="C36" s="18" t="s">
        <v>351</v>
      </c>
    </row>
    <row r="37" customFormat="false" ht="15" hidden="false" customHeight="false" outlineLevel="0" collapsed="false">
      <c r="A37" s="18" t="s">
        <v>352</v>
      </c>
      <c r="B37" s="18" t="s">
        <v>40</v>
      </c>
      <c r="C37" s="18" t="s">
        <v>353</v>
      </c>
    </row>
    <row r="38" customFormat="false" ht="15" hidden="false" customHeight="false" outlineLevel="0" collapsed="false">
      <c r="A38" s="18" t="s">
        <v>354</v>
      </c>
      <c r="B38" s="18" t="s">
        <v>43</v>
      </c>
      <c r="C38" s="18" t="s">
        <v>355</v>
      </c>
    </row>
    <row r="39" customFormat="false" ht="33" hidden="false" customHeight="true" outlineLevel="0" collapsed="false">
      <c r="A39" s="137" t="s">
        <v>356</v>
      </c>
      <c r="B39" s="137"/>
      <c r="C39" s="137"/>
    </row>
  </sheetData>
  <mergeCells count="5">
    <mergeCell ref="A1:B1"/>
    <mergeCell ref="A12:C12"/>
    <mergeCell ref="A28:C28"/>
    <mergeCell ref="A33:C33"/>
    <mergeCell ref="A39:C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5" activeCellId="0" sqref="A15"/>
    </sheetView>
  </sheetViews>
  <sheetFormatPr defaultRowHeight="15" zeroHeight="false" outlineLevelRow="0" outlineLevelCol="0"/>
  <cols>
    <col collapsed="false" customWidth="true" hidden="false" outlineLevel="0" max="8" min="1" style="0" width="20.71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30" t="s">
        <v>49</v>
      </c>
      <c r="B1" s="30"/>
    </row>
    <row r="2" customFormat="false" ht="15" hidden="false" customHeight="false" outlineLevel="0" collapsed="false">
      <c r="A2" s="2" t="s">
        <v>1</v>
      </c>
      <c r="B2" s="3" t="s">
        <v>2</v>
      </c>
    </row>
    <row r="3" customFormat="false" ht="15" hidden="false" customHeight="false" outlineLevel="0" collapsed="false">
      <c r="A3" s="2" t="s">
        <v>3</v>
      </c>
      <c r="B3" s="3" t="s">
        <v>4</v>
      </c>
    </row>
    <row r="4" customFormat="false" ht="15" hidden="false" customHeight="false" outlineLevel="0" collapsed="false">
      <c r="A4" s="2" t="s">
        <v>5</v>
      </c>
      <c r="B4" s="3" t="s">
        <v>6</v>
      </c>
    </row>
    <row r="5" customFormat="false" ht="15" hidden="false" customHeight="false" outlineLevel="0" collapsed="false">
      <c r="A5" s="2" t="s">
        <v>7</v>
      </c>
      <c r="B5" s="3" t="n">
        <v>2015</v>
      </c>
    </row>
    <row r="7" customFormat="false" ht="15" hidden="false" customHeight="false" outlineLevel="0" collapsed="false">
      <c r="A7" s="2" t="s">
        <v>76</v>
      </c>
      <c r="B7" s="3" t="s">
        <v>77</v>
      </c>
    </row>
    <row r="8" customFormat="false" ht="15" hidden="false" customHeight="false" outlineLevel="0" collapsed="false">
      <c r="A8" s="2" t="s">
        <v>78</v>
      </c>
      <c r="B8" s="3" t="s">
        <v>357</v>
      </c>
    </row>
    <row r="9" customFormat="false" ht="15" hidden="false" customHeight="false" outlineLevel="0" collapsed="false">
      <c r="A9" s="2" t="s">
        <v>79</v>
      </c>
      <c r="B9" s="3" t="s">
        <v>22</v>
      </c>
    </row>
    <row r="12" customFormat="false" ht="15" hidden="false" customHeight="false" outlineLevel="0" collapsed="false">
      <c r="A12" s="138" t="s">
        <v>358</v>
      </c>
      <c r="B12" s="138"/>
      <c r="C12" s="138"/>
      <c r="D12" s="138"/>
      <c r="E12" s="138"/>
      <c r="F12" s="138"/>
      <c r="G12" s="138"/>
      <c r="H12" s="138"/>
    </row>
    <row r="13" customFormat="false" ht="15" hidden="false" customHeight="false" outlineLevel="0" collapsed="false">
      <c r="A13" s="22" t="s">
        <v>359</v>
      </c>
      <c r="B13" s="2" t="s">
        <v>360</v>
      </c>
      <c r="C13" s="2" t="s">
        <v>361</v>
      </c>
      <c r="D13" s="2" t="s">
        <v>362</v>
      </c>
      <c r="E13" s="2" t="s">
        <v>363</v>
      </c>
      <c r="F13" s="2" t="s">
        <v>364</v>
      </c>
      <c r="G13" s="2" t="s">
        <v>22</v>
      </c>
      <c r="H13" s="2" t="s">
        <v>33</v>
      </c>
    </row>
    <row r="14" customFormat="false" ht="17.25" hidden="false" customHeight="true" outlineLevel="0" collapsed="false">
      <c r="A14" s="22" t="s">
        <v>365</v>
      </c>
      <c r="B14" s="58" t="n">
        <v>4.03328000000001</v>
      </c>
      <c r="C14" s="58" t="n">
        <v>20.76003</v>
      </c>
      <c r="D14" s="58" t="n">
        <f aca="false">B14</f>
        <v>4.03328000000001</v>
      </c>
      <c r="E14" s="58" t="n">
        <f aca="false">B14+C14+D14</f>
        <v>28.82659</v>
      </c>
      <c r="F14" s="58" t="n">
        <f aca="false">2*B14+C14+D14</f>
        <v>32.85987</v>
      </c>
      <c r="G14" s="139" t="n">
        <f aca="false">F14/E14</f>
        <v>1.13991526573209</v>
      </c>
      <c r="H14" s="139" t="s">
        <v>43</v>
      </c>
    </row>
    <row r="15" customFormat="false" ht="31.5" hidden="false" customHeight="true" outlineLevel="0" collapsed="false">
      <c r="A15" s="140" t="s">
        <v>366</v>
      </c>
      <c r="B15" s="140"/>
      <c r="C15" s="140"/>
      <c r="D15" s="140"/>
      <c r="E15" s="140"/>
      <c r="F15" s="140"/>
      <c r="G15" s="140"/>
      <c r="H15" s="140"/>
    </row>
    <row r="18" customFormat="false" ht="15" hidden="false" customHeight="false" outlineLevel="0" collapsed="false">
      <c r="A18" s="59" t="s">
        <v>367</v>
      </c>
      <c r="B18" s="59"/>
      <c r="C18" s="59"/>
    </row>
    <row r="19" customFormat="false" ht="15" hidden="false" customHeight="false" outlineLevel="0" collapsed="false">
      <c r="A19" s="60"/>
      <c r="B19" s="60" t="s">
        <v>139</v>
      </c>
      <c r="C19" s="60" t="s">
        <v>33</v>
      </c>
    </row>
    <row r="20" customFormat="false" ht="15" hidden="false" customHeight="false" outlineLevel="0" collapsed="false">
      <c r="A20" s="60" t="s">
        <v>140</v>
      </c>
      <c r="B20" s="70" t="n">
        <f aca="false">G14</f>
        <v>1.13991526573209</v>
      </c>
      <c r="C20" s="60" t="s">
        <v>43</v>
      </c>
    </row>
    <row r="23" customFormat="false" ht="19.5" hidden="false" customHeight="true" outlineLevel="0" collapsed="false">
      <c r="A23" s="141" t="s">
        <v>368</v>
      </c>
      <c r="B23" s="141"/>
      <c r="C23" s="141"/>
    </row>
    <row r="24" customFormat="false" ht="30" hidden="false" customHeight="false" outlineLevel="0" collapsed="false">
      <c r="A24" s="24" t="s">
        <v>369</v>
      </c>
      <c r="B24" s="22" t="s">
        <v>346</v>
      </c>
      <c r="C24" s="22" t="s">
        <v>347</v>
      </c>
    </row>
    <row r="25" customFormat="false" ht="15" hidden="false" customHeight="false" outlineLevel="0" collapsed="false">
      <c r="A25" s="18" t="s">
        <v>370</v>
      </c>
      <c r="B25" s="18" t="s">
        <v>36</v>
      </c>
      <c r="C25" s="18" t="s">
        <v>349</v>
      </c>
    </row>
    <row r="26" customFormat="false" ht="15" hidden="false" customHeight="false" outlineLevel="0" collapsed="false">
      <c r="A26" s="18" t="s">
        <v>371</v>
      </c>
      <c r="B26" s="18" t="s">
        <v>29</v>
      </c>
      <c r="C26" s="18" t="s">
        <v>351</v>
      </c>
    </row>
    <row r="27" customFormat="false" ht="15" hidden="false" customHeight="false" outlineLevel="0" collapsed="false">
      <c r="A27" s="18" t="s">
        <v>372</v>
      </c>
      <c r="B27" s="18" t="s">
        <v>40</v>
      </c>
      <c r="C27" s="18" t="s">
        <v>353</v>
      </c>
    </row>
    <row r="28" customFormat="false" ht="15" hidden="false" customHeight="false" outlineLevel="0" collapsed="false">
      <c r="A28" s="18" t="s">
        <v>373</v>
      </c>
      <c r="B28" s="18" t="s">
        <v>43</v>
      </c>
      <c r="C28" s="18" t="s">
        <v>355</v>
      </c>
    </row>
    <row r="29" customFormat="false" ht="54.75" hidden="false" customHeight="true" outlineLevel="0" collapsed="false">
      <c r="A29" s="142" t="s">
        <v>374</v>
      </c>
      <c r="B29" s="142"/>
      <c r="C29" s="142"/>
    </row>
  </sheetData>
  <mergeCells count="6">
    <mergeCell ref="A1:B1"/>
    <mergeCell ref="A12:H12"/>
    <mergeCell ref="A15:H15"/>
    <mergeCell ref="A18:C18"/>
    <mergeCell ref="A23:C23"/>
    <mergeCell ref="A29:C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2019-01-18T10:29:37Z</dcterms:created>
  <dc:creator>Meeta Gupta</dc:creator>
  <dc:description/>
  <dc:language>en-IN</dc:language>
  <cp:lastModifiedBy/>
  <cp:lastPrinted>2019-01-21T09:47:16Z</cp:lastPrinted>
  <dcterms:modified xsi:type="dcterms:W3CDTF">2019-02-28T15:55:58Z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