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H19" i="4" l="1"/>
  <c r="B19" i="4"/>
  <c r="B18" i="4"/>
  <c r="C14" i="4"/>
  <c r="B14" i="4"/>
  <c r="B17" i="4" s="1"/>
  <c r="B20" i="4" s="1"/>
  <c r="C13" i="4"/>
  <c r="B13" i="4"/>
  <c r="H17" i="4" l="1"/>
  <c r="H18" i="4"/>
  <c r="F15" i="3" l="1"/>
  <c r="B34" i="3"/>
  <c r="I31" i="3" s="1"/>
  <c r="C28" i="3"/>
  <c r="B27" i="3"/>
  <c r="C27" i="3" s="1"/>
  <c r="B26" i="3"/>
  <c r="C26" i="3" s="1"/>
  <c r="J25" i="3"/>
  <c r="B25" i="3"/>
  <c r="C25" i="3" s="1"/>
  <c r="J24" i="3"/>
  <c r="B24" i="3"/>
  <c r="C24" i="3" s="1"/>
  <c r="J23" i="3"/>
  <c r="B23" i="3"/>
  <c r="C23" i="3" s="1"/>
  <c r="J22" i="3"/>
  <c r="B22" i="3"/>
  <c r="C22" i="3" s="1"/>
  <c r="J21" i="3"/>
  <c r="B21" i="3"/>
  <c r="J20" i="3"/>
  <c r="B20" i="3"/>
  <c r="C20" i="3" s="1"/>
  <c r="J19" i="3"/>
  <c r="B19" i="3"/>
  <c r="C19" i="3" s="1"/>
  <c r="C12" i="3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C3" i="3" s="1"/>
  <c r="B14" i="2"/>
  <c r="C4" i="2"/>
  <c r="C5" i="2"/>
  <c r="C6" i="2"/>
  <c r="C7" i="2"/>
  <c r="C8" i="2"/>
  <c r="C9" i="2"/>
  <c r="C10" i="2"/>
  <c r="C3" i="2"/>
  <c r="I28" i="2"/>
  <c r="B27" i="2"/>
  <c r="C25" i="2" s="1"/>
  <c r="D25" i="2" s="1"/>
  <c r="C24" i="2"/>
  <c r="D24" i="2" s="1"/>
  <c r="F23" i="2"/>
  <c r="F22" i="2"/>
  <c r="F21" i="2"/>
  <c r="F20" i="2"/>
  <c r="C20" i="2"/>
  <c r="D20" i="2" s="1"/>
  <c r="E20" i="2" s="1"/>
  <c r="G20" i="2" s="1"/>
  <c r="I15" i="2"/>
  <c r="D11" i="2"/>
  <c r="H7" i="2"/>
  <c r="H6" i="2"/>
  <c r="H5" i="2"/>
  <c r="H4" i="2"/>
  <c r="H3" i="2"/>
  <c r="B11" i="1"/>
  <c r="C23" i="1" s="1"/>
  <c r="D23" i="1" s="1"/>
  <c r="C4" i="1"/>
  <c r="C5" i="1"/>
  <c r="C6" i="1"/>
  <c r="C7" i="1"/>
  <c r="C8" i="1"/>
  <c r="C3" i="1"/>
  <c r="H26" i="1"/>
  <c r="B25" i="1"/>
  <c r="F21" i="1"/>
  <c r="F20" i="1"/>
  <c r="F19" i="1"/>
  <c r="F18" i="1"/>
  <c r="J12" i="1"/>
  <c r="I7" i="1"/>
  <c r="I6" i="1"/>
  <c r="I5" i="1"/>
  <c r="I4" i="1"/>
  <c r="I3" i="1"/>
  <c r="C7" i="3" l="1"/>
  <c r="C5" i="3"/>
  <c r="C9" i="3"/>
  <c r="B14" i="3" s="1"/>
  <c r="B15" i="3" s="1"/>
  <c r="C21" i="3"/>
  <c r="B30" i="3" s="1"/>
  <c r="D3" i="2"/>
  <c r="D5" i="2"/>
  <c r="D7" i="2"/>
  <c r="D10" i="2"/>
  <c r="D9" i="2"/>
  <c r="B16" i="2"/>
  <c r="C23" i="2"/>
  <c r="D23" i="2" s="1"/>
  <c r="E23" i="2" s="1"/>
  <c r="G23" i="2" s="1"/>
  <c r="D4" i="2"/>
  <c r="D6" i="2"/>
  <c r="D8" i="2"/>
  <c r="C21" i="2"/>
  <c r="D21" i="2" s="1"/>
  <c r="E21" i="2" s="1"/>
  <c r="G21" i="2" s="1"/>
  <c r="C22" i="2"/>
  <c r="D22" i="2" s="1"/>
  <c r="E22" i="2" s="1"/>
  <c r="G22" i="2" s="1"/>
  <c r="D8" i="1"/>
  <c r="E8" i="1" s="1"/>
  <c r="D3" i="1"/>
  <c r="E3" i="1" s="1"/>
  <c r="D7" i="1"/>
  <c r="E7" i="1" s="1"/>
  <c r="C21" i="1"/>
  <c r="D21" i="1" s="1"/>
  <c r="D4" i="1"/>
  <c r="E4" i="1" s="1"/>
  <c r="D6" i="1"/>
  <c r="E6" i="1" s="1"/>
  <c r="C18" i="1"/>
  <c r="D18" i="1" s="1"/>
  <c r="E18" i="1" s="1"/>
  <c r="G18" i="1" s="1"/>
  <c r="C22" i="1"/>
  <c r="D22" i="1" s="1"/>
  <c r="D5" i="1"/>
  <c r="E5" i="1" s="1"/>
  <c r="C19" i="1"/>
  <c r="D19" i="1" s="1"/>
  <c r="E19" i="1" s="1"/>
  <c r="G19" i="1" s="1"/>
  <c r="C20" i="1"/>
  <c r="D20" i="1" s="1"/>
  <c r="E20" i="1" s="1"/>
  <c r="G20" i="1" s="1"/>
  <c r="E8" i="3" l="1"/>
  <c r="F8" i="3" s="1"/>
  <c r="G8" i="3" s="1"/>
  <c r="E7" i="3"/>
  <c r="F7" i="3" s="1"/>
  <c r="G7" i="3" s="1"/>
  <c r="E10" i="3"/>
  <c r="F10" i="3" s="1"/>
  <c r="G10" i="3" s="1"/>
  <c r="E6" i="3"/>
  <c r="F6" i="3" s="1"/>
  <c r="G6" i="3" s="1"/>
  <c r="E12" i="3"/>
  <c r="F12" i="3" s="1"/>
  <c r="G12" i="3" s="1"/>
  <c r="E5" i="3"/>
  <c r="F5" i="3" s="1"/>
  <c r="G5" i="3" s="1"/>
  <c r="E11" i="3"/>
  <c r="F11" i="3" s="1"/>
  <c r="G11" i="3" s="1"/>
  <c r="E3" i="3"/>
  <c r="F3" i="3" s="1"/>
  <c r="G3" i="3" s="1"/>
  <c r="E4" i="3"/>
  <c r="F4" i="3" s="1"/>
  <c r="G4" i="3" s="1"/>
  <c r="E9" i="3"/>
  <c r="F9" i="3" s="1"/>
  <c r="G9" i="3" s="1"/>
  <c r="E22" i="3"/>
  <c r="F22" i="3" s="1"/>
  <c r="E23" i="3"/>
  <c r="F23" i="3" s="1"/>
  <c r="E26" i="3"/>
  <c r="F26" i="3" s="1"/>
  <c r="E20" i="3"/>
  <c r="F20" i="3" s="1"/>
  <c r="E24" i="3"/>
  <c r="F24" i="3" s="1"/>
  <c r="E27" i="3"/>
  <c r="F27" i="3" s="1"/>
  <c r="E19" i="3"/>
  <c r="F19" i="3" s="1"/>
  <c r="E25" i="3"/>
  <c r="F25" i="3" s="1"/>
  <c r="E28" i="3"/>
  <c r="F28" i="3" s="1"/>
  <c r="E21" i="3"/>
  <c r="F21" i="3" s="1"/>
  <c r="I27" i="2"/>
  <c r="E8" i="2"/>
  <c r="F8" i="2" s="1"/>
  <c r="G6" i="2" s="1"/>
  <c r="I6" i="2" s="1"/>
  <c r="E6" i="2"/>
  <c r="F6" i="2" s="1"/>
  <c r="G4" i="2" s="1"/>
  <c r="I4" i="2" s="1"/>
  <c r="E4" i="2"/>
  <c r="F4" i="2" s="1"/>
  <c r="E9" i="2"/>
  <c r="F9" i="2" s="1"/>
  <c r="E10" i="2"/>
  <c r="F10" i="2" s="1"/>
  <c r="E7" i="2"/>
  <c r="F7" i="2" s="1"/>
  <c r="G5" i="2" s="1"/>
  <c r="I5" i="2" s="1"/>
  <c r="E5" i="2"/>
  <c r="F5" i="2" s="1"/>
  <c r="E3" i="2"/>
  <c r="F3" i="2" s="1"/>
  <c r="E11" i="2"/>
  <c r="F11" i="2" s="1"/>
  <c r="E21" i="1"/>
  <c r="G21" i="1" s="1"/>
  <c r="H25" i="1" s="1"/>
  <c r="B12" i="1"/>
  <c r="B13" i="1" s="1"/>
  <c r="B14" i="1" s="1"/>
  <c r="F14" i="3" l="1"/>
  <c r="B31" i="3"/>
  <c r="B33" i="3" s="1"/>
  <c r="B32" i="3" s="1"/>
  <c r="G28" i="3" s="1"/>
  <c r="H28" i="3" s="1"/>
  <c r="I25" i="3" s="1"/>
  <c r="K25" i="3" s="1"/>
  <c r="G3" i="2"/>
  <c r="I3" i="2" s="1"/>
  <c r="G7" i="2"/>
  <c r="I7" i="2" s="1"/>
  <c r="F7" i="1"/>
  <c r="G7" i="1" s="1"/>
  <c r="F3" i="1"/>
  <c r="G3" i="1" s="1"/>
  <c r="H3" i="1" s="1"/>
  <c r="J3" i="1" s="1"/>
  <c r="F8" i="1"/>
  <c r="G8" i="1" s="1"/>
  <c r="F4" i="1"/>
  <c r="G4" i="1" s="1"/>
  <c r="H4" i="1" s="1"/>
  <c r="J4" i="1" s="1"/>
  <c r="F6" i="1"/>
  <c r="G6" i="1" s="1"/>
  <c r="H6" i="1" s="1"/>
  <c r="J6" i="1" s="1"/>
  <c r="F5" i="1"/>
  <c r="G5" i="1" s="1"/>
  <c r="H5" i="1" s="1"/>
  <c r="J5" i="1" s="1"/>
  <c r="G21" i="3" l="1"/>
  <c r="H21" i="3" s="1"/>
  <c r="G23" i="3"/>
  <c r="H23" i="3" s="1"/>
  <c r="I20" i="3" s="1"/>
  <c r="K20" i="3" s="1"/>
  <c r="G19" i="3"/>
  <c r="H19" i="3" s="1"/>
  <c r="G25" i="3"/>
  <c r="H25" i="3" s="1"/>
  <c r="I22" i="3" s="1"/>
  <c r="K22" i="3" s="1"/>
  <c r="G22" i="3"/>
  <c r="H22" i="3" s="1"/>
  <c r="G26" i="3"/>
  <c r="H26" i="3" s="1"/>
  <c r="I23" i="3" s="1"/>
  <c r="K23" i="3" s="1"/>
  <c r="G27" i="3"/>
  <c r="H27" i="3" s="1"/>
  <c r="I24" i="3" s="1"/>
  <c r="K24" i="3" s="1"/>
  <c r="G24" i="3"/>
  <c r="H24" i="3" s="1"/>
  <c r="I21" i="3" s="1"/>
  <c r="K21" i="3" s="1"/>
  <c r="G20" i="3"/>
  <c r="H20" i="3" s="1"/>
  <c r="I19" i="3" s="1"/>
  <c r="K19" i="3" s="1"/>
  <c r="I14" i="2"/>
  <c r="H7" i="1"/>
  <c r="J7" i="1" s="1"/>
  <c r="J11" i="1" s="1"/>
  <c r="I30" i="3" l="1"/>
</calcChain>
</file>

<file path=xl/sharedStrings.xml><?xml version="1.0" encoding="utf-8"?>
<sst xmlns="http://schemas.openxmlformats.org/spreadsheetml/2006/main" count="85" uniqueCount="40">
  <si>
    <t>xi</t>
  </si>
  <si>
    <t>fi</t>
  </si>
  <si>
    <t>pi</t>
  </si>
  <si>
    <r>
      <t>(Oi-Ei)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/Ei</t>
    </r>
  </si>
  <si>
    <t>Mean=</t>
  </si>
  <si>
    <t>Chi square calculated=</t>
  </si>
  <si>
    <t>Acc</t>
  </si>
  <si>
    <t>Variance=</t>
  </si>
  <si>
    <t>r=</t>
  </si>
  <si>
    <t>Ei</t>
  </si>
  <si>
    <t>λ̂=</t>
  </si>
  <si>
    <r>
      <t>(xi-x</t>
    </r>
    <r>
      <rPr>
        <sz val="11"/>
        <color theme="1"/>
        <rFont val="Calibri"/>
        <family val="2"/>
      </rPr>
      <t>̅)2</t>
    </r>
  </si>
  <si>
    <r>
      <t>fi(xi-x</t>
    </r>
    <r>
      <rPr>
        <sz val="11"/>
        <color theme="1"/>
        <rFont val="Calibri"/>
        <family val="2"/>
      </rPr>
      <t>̅)2</t>
    </r>
  </si>
  <si>
    <t>(Oi-Ei)2/Ei</t>
  </si>
  <si>
    <t>p=</t>
  </si>
  <si>
    <t>xifi</t>
  </si>
  <si>
    <t>Chi square tabulated=</t>
  </si>
  <si>
    <t>λ=</t>
  </si>
  <si>
    <t>n=</t>
  </si>
  <si>
    <r>
      <t>p</t>
    </r>
    <r>
      <rPr>
        <sz val="11"/>
        <color theme="1"/>
        <rFont val="Calibri"/>
        <family val="2"/>
      </rPr>
      <t>=</t>
    </r>
  </si>
  <si>
    <t>LL</t>
  </si>
  <si>
    <t>UL</t>
  </si>
  <si>
    <t>df=</t>
  </si>
  <si>
    <t>α̂=</t>
  </si>
  <si>
    <t>β̂=</t>
  </si>
  <si>
    <t>A</t>
  </si>
  <si>
    <t>B</t>
  </si>
  <si>
    <t>Mean</t>
  </si>
  <si>
    <t>Variance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</si>
  <si>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</si>
  <si>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</si>
  <si>
    <t>F test for the Equality of Population Variances</t>
  </si>
  <si>
    <t>T test for equality of means:</t>
  </si>
  <si>
    <t>Cal F=</t>
  </si>
  <si>
    <t>sp2=</t>
  </si>
  <si>
    <t>F(0.025,9,9)=</t>
  </si>
  <si>
    <t>Cal t=</t>
  </si>
  <si>
    <t>F(0.975,9,9)=</t>
  </si>
  <si>
    <t>Tab t=</t>
  </si>
  <si>
    <t>p-value=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</si>
</sst>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3" sqref="D3"/>
    </sheetView>
  </sheetViews>
  <sheetFormatPr defaultRowHeight="15" x14ac:dyDescent="0.25"/>
  <cols>
    <col min="7" max="7" width="12" bestFit="1" customWidth="1"/>
    <col min="8" max="8" width="10.7109375" customWidth="1"/>
    <col min="9" max="9" width="10.5703125" customWidth="1"/>
  </cols>
  <sheetData>
    <row r="1" spans="1:12" x14ac:dyDescent="0.25">
      <c r="A1">
        <v>1</v>
      </c>
    </row>
    <row r="2" spans="1:12" x14ac:dyDescent="0.25">
      <c r="A2" t="s">
        <v>0</v>
      </c>
      <c r="B2" t="s">
        <v>1</v>
      </c>
      <c r="C2" t="s">
        <v>15</v>
      </c>
      <c r="D2" t="s">
        <v>11</v>
      </c>
      <c r="E2" t="s">
        <v>12</v>
      </c>
      <c r="F2" t="s">
        <v>2</v>
      </c>
      <c r="G2" t="s">
        <v>9</v>
      </c>
      <c r="J2" t="s">
        <v>13</v>
      </c>
    </row>
    <row r="3" spans="1:12" x14ac:dyDescent="0.25">
      <c r="A3">
        <v>0</v>
      </c>
      <c r="B3">
        <v>447</v>
      </c>
      <c r="C3">
        <f>A3*B3</f>
        <v>0</v>
      </c>
      <c r="D3">
        <f>(A3-$B$11)^2</f>
        <v>0.21643347371891195</v>
      </c>
      <c r="E3">
        <f>B3*D3</f>
        <v>96.745762752353642</v>
      </c>
      <c r="F3">
        <f>_xlfn.NEGBINOM.DIST(A3,$B$14,$B$13,FALSE)</f>
        <v>0.67342697483989666</v>
      </c>
      <c r="G3">
        <f>SUM($B$3:$B$8)*F3</f>
        <v>435.70725272141317</v>
      </c>
      <c r="H3">
        <f>G3</f>
        <v>435.70725272141317</v>
      </c>
      <c r="I3">
        <f>B3</f>
        <v>447</v>
      </c>
      <c r="J3">
        <f>(I3-H3)^2/H3</f>
        <v>0.29268767114044164</v>
      </c>
    </row>
    <row r="4" spans="1:12" x14ac:dyDescent="0.25">
      <c r="A4">
        <v>1</v>
      </c>
      <c r="B4">
        <v>132</v>
      </c>
      <c r="C4">
        <f t="shared" ref="C4:C8" si="0">A4*B4</f>
        <v>132</v>
      </c>
      <c r="D4">
        <f t="shared" ref="D4:D8" si="1">(A4-$B$11)^2</f>
        <v>0.2859852511532241</v>
      </c>
      <c r="E4">
        <f t="shared" ref="E4:E8" si="2">B4*D4</f>
        <v>37.750053152225583</v>
      </c>
      <c r="F4">
        <f t="shared" ref="F4:F8" si="3">_xlfn.NEGBINOM.DIST(A4,$B$14,$B$13,FALSE)</f>
        <v>0.21992308439788186</v>
      </c>
      <c r="G4">
        <f t="shared" ref="G4:G8" si="4">SUM($B$3:$B$8)*F4</f>
        <v>142.29023560542956</v>
      </c>
      <c r="H4">
        <f t="shared" ref="H4:H6" si="5">G4</f>
        <v>142.29023560542956</v>
      </c>
      <c r="I4">
        <f t="shared" ref="I4:I6" si="6">B4</f>
        <v>132</v>
      </c>
      <c r="J4">
        <f t="shared" ref="J4:J7" si="7">(I4-H4)^2/H4</f>
        <v>0.74417579227909914</v>
      </c>
    </row>
    <row r="5" spans="1:12" x14ac:dyDescent="0.25">
      <c r="A5">
        <v>2</v>
      </c>
      <c r="B5">
        <v>42</v>
      </c>
      <c r="C5">
        <f t="shared" si="0"/>
        <v>84</v>
      </c>
      <c r="D5">
        <f t="shared" si="1"/>
        <v>2.3555370285875363</v>
      </c>
      <c r="E5">
        <f t="shared" si="2"/>
        <v>98.932555200676532</v>
      </c>
      <c r="F5">
        <f t="shared" si="3"/>
        <v>7.1820946974357008E-2</v>
      </c>
      <c r="G5">
        <f t="shared" si="4"/>
        <v>46.468152692408985</v>
      </c>
      <c r="H5">
        <f t="shared" si="5"/>
        <v>46.468152692408985</v>
      </c>
      <c r="I5">
        <f t="shared" si="6"/>
        <v>42</v>
      </c>
      <c r="J5">
        <f t="shared" si="7"/>
        <v>0.42963594044363712</v>
      </c>
    </row>
    <row r="6" spans="1:12" x14ac:dyDescent="0.25">
      <c r="A6">
        <v>3</v>
      </c>
      <c r="B6">
        <v>21</v>
      </c>
      <c r="C6">
        <f t="shared" si="0"/>
        <v>63</v>
      </c>
      <c r="D6">
        <f t="shared" si="1"/>
        <v>6.4250888060218481</v>
      </c>
      <c r="E6">
        <f t="shared" si="2"/>
        <v>134.92686492645882</v>
      </c>
      <c r="F6">
        <f t="shared" si="3"/>
        <v>2.3454783923279137E-2</v>
      </c>
      <c r="G6">
        <f t="shared" si="4"/>
        <v>15.175245198361601</v>
      </c>
      <c r="H6">
        <f t="shared" si="5"/>
        <v>15.175245198361601</v>
      </c>
      <c r="I6">
        <f t="shared" si="6"/>
        <v>21</v>
      </c>
      <c r="J6">
        <f t="shared" si="7"/>
        <v>2.2357311566123887</v>
      </c>
    </row>
    <row r="7" spans="1:12" x14ac:dyDescent="0.25">
      <c r="A7">
        <v>4</v>
      </c>
      <c r="B7">
        <v>3</v>
      </c>
      <c r="C7">
        <f t="shared" si="0"/>
        <v>12</v>
      </c>
      <c r="D7">
        <f t="shared" si="1"/>
        <v>12.49464058345616</v>
      </c>
      <c r="E7">
        <f t="shared" si="2"/>
        <v>37.483921750368481</v>
      </c>
      <c r="F7">
        <f t="shared" si="3"/>
        <v>7.6596997403018249E-3</v>
      </c>
      <c r="G7" s="4">
        <f t="shared" si="4"/>
        <v>4.9558257319752803</v>
      </c>
      <c r="H7">
        <f>G7+G8</f>
        <v>6.5742647334327309</v>
      </c>
      <c r="I7">
        <f>B7+B8</f>
        <v>5</v>
      </c>
      <c r="J7">
        <f t="shared" si="7"/>
        <v>0.37697134986469982</v>
      </c>
    </row>
    <row r="8" spans="1:12" x14ac:dyDescent="0.25">
      <c r="A8">
        <v>5</v>
      </c>
      <c r="B8">
        <v>2</v>
      </c>
      <c r="C8">
        <f t="shared" si="0"/>
        <v>10</v>
      </c>
      <c r="D8">
        <f t="shared" si="1"/>
        <v>20.564192360890477</v>
      </c>
      <c r="E8">
        <f t="shared" si="2"/>
        <v>41.128384721780954</v>
      </c>
      <c r="F8">
        <f t="shared" si="3"/>
        <v>2.5014513160084252E-3</v>
      </c>
      <c r="G8" s="4">
        <f t="shared" si="4"/>
        <v>1.618439001457451</v>
      </c>
    </row>
    <row r="11" spans="1:12" x14ac:dyDescent="0.25">
      <c r="A11" t="s">
        <v>4</v>
      </c>
      <c r="B11">
        <f>SUM(C3:C8)/SUM(B3:B8)</f>
        <v>0.46522411128284391</v>
      </c>
      <c r="H11" t="s">
        <v>5</v>
      </c>
      <c r="J11">
        <f>SUM(J3:J7)</f>
        <v>4.0792019103402666</v>
      </c>
      <c r="L11" t="s">
        <v>6</v>
      </c>
    </row>
    <row r="12" spans="1:12" ht="18.75" x14ac:dyDescent="0.35">
      <c r="A12" t="s">
        <v>7</v>
      </c>
      <c r="B12">
        <f>SUM(E3:E8)/SUM(B3:B8)</f>
        <v>0.69083082303533838</v>
      </c>
      <c r="H12" s="2" t="s">
        <v>16</v>
      </c>
      <c r="I12" s="2"/>
      <c r="J12">
        <f>_xlfn.CHISQ.INV.RT(0.05,2)</f>
        <v>5.9914645471079817</v>
      </c>
    </row>
    <row r="13" spans="1:12" x14ac:dyDescent="0.25">
      <c r="A13" t="s">
        <v>14</v>
      </c>
      <c r="B13">
        <f>B11/B12</f>
        <v>0.67342697483989666</v>
      </c>
    </row>
    <row r="14" spans="1:12" x14ac:dyDescent="0.25">
      <c r="A14" t="s">
        <v>8</v>
      </c>
      <c r="B14">
        <f>ROUND(B11*B13/(1-B13),1)</f>
        <v>1</v>
      </c>
    </row>
    <row r="16" spans="1:12" x14ac:dyDescent="0.25">
      <c r="A16">
        <v>1</v>
      </c>
    </row>
    <row r="17" spans="1:8" x14ac:dyDescent="0.25">
      <c r="A17" t="s">
        <v>0</v>
      </c>
      <c r="B17" t="s">
        <v>1</v>
      </c>
      <c r="C17" t="s">
        <v>2</v>
      </c>
      <c r="D17" t="s">
        <v>9</v>
      </c>
      <c r="G17" t="s">
        <v>13</v>
      </c>
    </row>
    <row r="18" spans="1:8" x14ac:dyDescent="0.25">
      <c r="A18">
        <v>0</v>
      </c>
      <c r="B18">
        <v>447</v>
      </c>
      <c r="C18">
        <f>_xlfn.POISSON.DIST(A18,$B$11,FALSE)</f>
        <v>0.62799434879855431</v>
      </c>
      <c r="D18">
        <f>SUM($B$18:$B$23)*C18</f>
        <v>406.31234367266467</v>
      </c>
      <c r="E18">
        <f>D18</f>
        <v>406.31234367266467</v>
      </c>
      <c r="F18">
        <f>B18</f>
        <v>447</v>
      </c>
      <c r="G18">
        <f>(F18-E18)^2/E18</f>
        <v>4.0744156636920961</v>
      </c>
    </row>
    <row r="19" spans="1:8" x14ac:dyDescent="0.25">
      <c r="A19">
        <v>1</v>
      </c>
      <c r="B19">
        <v>132</v>
      </c>
      <c r="C19">
        <f>_xlfn.POISSON.DIST(A19,$B$11,FALSE)</f>
        <v>0.29215811281045573</v>
      </c>
      <c r="D19">
        <f t="shared" ref="D19:D23" si="8">SUM($B$18:$B$23)*C19</f>
        <v>189.02629898836486</v>
      </c>
      <c r="E19">
        <f t="shared" ref="E19:E20" si="9">D19</f>
        <v>189.02629898836486</v>
      </c>
      <c r="F19">
        <f>B19</f>
        <v>132</v>
      </c>
      <c r="G19">
        <f t="shared" ref="G19:G21" si="10">(F19-E19)^2/E19</f>
        <v>17.203948835238812</v>
      </c>
    </row>
    <row r="20" spans="1:8" x14ac:dyDescent="0.25">
      <c r="A20">
        <v>2</v>
      </c>
      <c r="B20">
        <v>42</v>
      </c>
      <c r="C20">
        <f>_xlfn.POISSON.DIST(A20,$B$11,FALSE)</f>
        <v>6.7959499193158551E-2</v>
      </c>
      <c r="D20">
        <f t="shared" si="8"/>
        <v>43.969795977973583</v>
      </c>
      <c r="E20">
        <f t="shared" si="9"/>
        <v>43.969795977973583</v>
      </c>
      <c r="F20">
        <f>B20</f>
        <v>42</v>
      </c>
      <c r="G20">
        <f t="shared" si="10"/>
        <v>8.8244580365681349E-2</v>
      </c>
    </row>
    <row r="21" spans="1:8" x14ac:dyDescent="0.25">
      <c r="A21">
        <v>3</v>
      </c>
      <c r="B21">
        <v>21</v>
      </c>
      <c r="C21">
        <f>_xlfn.POISSON.DIST(A21,$B$11,FALSE)</f>
        <v>1.0538799205121447E-2</v>
      </c>
      <c r="D21">
        <f t="shared" si="8"/>
        <v>6.8186030857135762</v>
      </c>
      <c r="E21">
        <f>D21+D22+D23</f>
        <v>7.6854364234865393</v>
      </c>
      <c r="F21">
        <f>B21+B22+B23</f>
        <v>26</v>
      </c>
      <c r="G21">
        <f t="shared" si="10"/>
        <v>43.644006731108576</v>
      </c>
    </row>
    <row r="22" spans="1:8" x14ac:dyDescent="0.25">
      <c r="A22">
        <v>4</v>
      </c>
      <c r="B22">
        <v>3</v>
      </c>
      <c r="C22">
        <f>_xlfn.POISSON.DIST(A22,$B$11,FALSE)</f>
        <v>1.2257258735477417E-3</v>
      </c>
      <c r="D22">
        <f t="shared" si="8"/>
        <v>0.79304464018538889</v>
      </c>
    </row>
    <row r="23" spans="1:8" x14ac:dyDescent="0.25">
      <c r="A23">
        <v>5</v>
      </c>
      <c r="B23">
        <v>2</v>
      </c>
      <c r="C23">
        <f>_xlfn.POISSON.DIST(A23,$B$11,FALSE)</f>
        <v>1.1404744603952719E-4</v>
      </c>
      <c r="D23">
        <f t="shared" si="8"/>
        <v>7.3788697587574087E-2</v>
      </c>
    </row>
    <row r="25" spans="1:8" x14ac:dyDescent="0.25">
      <c r="A25" s="3" t="s">
        <v>17</v>
      </c>
      <c r="B25">
        <f>SUMPRODUCT(B18:B23,A18:A23/SUM(B18:B23))</f>
        <v>0.46522411128284391</v>
      </c>
      <c r="F25" t="s">
        <v>5</v>
      </c>
      <c r="H25">
        <f>SUM(G18:G21)</f>
        <v>65.01061581040517</v>
      </c>
    </row>
    <row r="26" spans="1:8" x14ac:dyDescent="0.25">
      <c r="F26" s="2" t="s">
        <v>16</v>
      </c>
      <c r="G26" s="2"/>
      <c r="H26">
        <f>_xlfn.CHISQ.INV.RT(0.05,2)</f>
        <v>5.9914645471079817</v>
      </c>
    </row>
  </sheetData>
  <mergeCells count="2">
    <mergeCell ref="H12:I12"/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5" sqref="D25"/>
    </sheetView>
  </sheetViews>
  <sheetFormatPr defaultRowHeight="15" x14ac:dyDescent="0.25"/>
  <cols>
    <col min="1" max="1" width="7" bestFit="1" customWidth="1"/>
    <col min="2" max="2" width="12" bestFit="1" customWidth="1"/>
    <col min="3" max="3" width="6" customWidth="1"/>
    <col min="4" max="6" width="12" bestFit="1" customWidth="1"/>
    <col min="7" max="7" width="14" customWidth="1"/>
    <col min="8" max="9" width="12" bestFit="1" customWidth="1"/>
  </cols>
  <sheetData>
    <row r="1" spans="1:9" x14ac:dyDescent="0.25">
      <c r="A1">
        <v>2</v>
      </c>
    </row>
    <row r="2" spans="1:9" x14ac:dyDescent="0.25">
      <c r="A2" t="s">
        <v>0</v>
      </c>
      <c r="B2" t="s">
        <v>1</v>
      </c>
      <c r="C2" t="s">
        <v>15</v>
      </c>
      <c r="D2" t="s">
        <v>11</v>
      </c>
      <c r="E2" t="s">
        <v>2</v>
      </c>
      <c r="F2" t="s">
        <v>9</v>
      </c>
      <c r="I2" t="s">
        <v>13</v>
      </c>
    </row>
    <row r="3" spans="1:9" x14ac:dyDescent="0.25">
      <c r="A3">
        <v>0</v>
      </c>
      <c r="B3">
        <v>2</v>
      </c>
      <c r="C3">
        <f>A3*B3</f>
        <v>0</v>
      </c>
      <c r="D3">
        <f>(A3-$B$14)^2</f>
        <v>14.125069444444444</v>
      </c>
      <c r="E3">
        <f>_xlfn.BINOM.DIST(A3,$B$15,$B$16,FALSE)</f>
        <v>6.2455745171753228E-3</v>
      </c>
      <c r="F3">
        <f>SUM($B$3:$B$11)*E3</f>
        <v>0.74946894206103876</v>
      </c>
      <c r="G3">
        <f>F3+F4+F5</f>
        <v>22.537153993921748</v>
      </c>
      <c r="H3">
        <f>B3+B4+B5</f>
        <v>28</v>
      </c>
      <c r="I3">
        <f>(H3-G3)^2/G3</f>
        <v>1.3241550594264764</v>
      </c>
    </row>
    <row r="4" spans="1:9" x14ac:dyDescent="0.25">
      <c r="A4">
        <v>1</v>
      </c>
      <c r="B4">
        <v>12</v>
      </c>
      <c r="C4">
        <f t="shared" ref="C4:C10" si="0">A4*B4</f>
        <v>12</v>
      </c>
      <c r="D4">
        <f t="shared" ref="D4:D11" si="1">(A4-$B$14)^2</f>
        <v>7.6084027777777772</v>
      </c>
      <c r="E4">
        <f t="shared" ref="E4:E11" si="2">_xlfn.BINOM.DIST(A4,$B$15,$B$16,FALSE)</f>
        <v>4.4271184396794797E-2</v>
      </c>
      <c r="F4">
        <f t="shared" ref="F4:F11" si="3">SUM($B$3:$B$11)*E4</f>
        <v>5.3125421276153757</v>
      </c>
      <c r="G4">
        <f>F6</f>
        <v>29.195636380489745</v>
      </c>
      <c r="H4">
        <f>B6</f>
        <v>22</v>
      </c>
      <c r="I4">
        <f t="shared" ref="I4:I7" si="4">(H4-G4)^2/G4</f>
        <v>1.7734562194653221</v>
      </c>
    </row>
    <row r="5" spans="1:9" x14ac:dyDescent="0.25">
      <c r="A5">
        <v>2</v>
      </c>
      <c r="B5">
        <v>14</v>
      </c>
      <c r="C5">
        <f t="shared" si="0"/>
        <v>28</v>
      </c>
      <c r="D5">
        <f t="shared" si="1"/>
        <v>3.091736111111111</v>
      </c>
      <c r="E5">
        <f t="shared" si="2"/>
        <v>0.13729285770204444</v>
      </c>
      <c r="F5">
        <f t="shared" si="3"/>
        <v>16.475142924245333</v>
      </c>
      <c r="G5">
        <f t="shared" ref="G5:G6" si="5">F7</f>
        <v>32.336031452850868</v>
      </c>
      <c r="H5">
        <f t="shared" ref="H5:H6" si="6">B7</f>
        <v>28</v>
      </c>
      <c r="I5">
        <f t="shared" si="4"/>
        <v>0.58143092752510384</v>
      </c>
    </row>
    <row r="6" spans="1:9" x14ac:dyDescent="0.25">
      <c r="A6">
        <v>3</v>
      </c>
      <c r="B6">
        <v>22</v>
      </c>
      <c r="C6">
        <f t="shared" si="0"/>
        <v>66</v>
      </c>
      <c r="D6">
        <f t="shared" si="1"/>
        <v>0.57506944444444441</v>
      </c>
      <c r="E6">
        <f t="shared" si="2"/>
        <v>0.24329696983741456</v>
      </c>
      <c r="F6">
        <f t="shared" si="3"/>
        <v>29.195636380489745</v>
      </c>
      <c r="G6">
        <f t="shared" si="5"/>
        <v>22.921100487600377</v>
      </c>
      <c r="H6">
        <f t="shared" si="6"/>
        <v>17</v>
      </c>
      <c r="I6">
        <f t="shared" si="4"/>
        <v>1.5295701444713581</v>
      </c>
    </row>
    <row r="7" spans="1:9" x14ac:dyDescent="0.25">
      <c r="A7">
        <v>4</v>
      </c>
      <c r="B7">
        <v>28</v>
      </c>
      <c r="C7">
        <f t="shared" si="0"/>
        <v>112</v>
      </c>
      <c r="D7">
        <f t="shared" si="1"/>
        <v>5.840277777777779E-2</v>
      </c>
      <c r="E7">
        <f t="shared" si="2"/>
        <v>0.26946692877375722</v>
      </c>
      <c r="F7">
        <f t="shared" si="3"/>
        <v>32.336031452850868</v>
      </c>
      <c r="G7">
        <f>F9+F10+F11</f>
        <v>13.010077685137272</v>
      </c>
      <c r="H7">
        <f>B9+B10+B11</f>
        <v>25</v>
      </c>
      <c r="I7">
        <f t="shared" si="4"/>
        <v>11.049760085650584</v>
      </c>
    </row>
    <row r="8" spans="1:9" x14ac:dyDescent="0.25">
      <c r="A8">
        <v>5</v>
      </c>
      <c r="B8">
        <v>17</v>
      </c>
      <c r="C8">
        <f t="shared" si="0"/>
        <v>85</v>
      </c>
      <c r="D8">
        <f t="shared" si="1"/>
        <v>1.5417361111111112</v>
      </c>
      <c r="E8">
        <f t="shared" si="2"/>
        <v>0.19100917073000315</v>
      </c>
      <c r="F8">
        <f t="shared" si="3"/>
        <v>22.921100487600377</v>
      </c>
    </row>
    <row r="9" spans="1:9" x14ac:dyDescent="0.25">
      <c r="A9">
        <v>6</v>
      </c>
      <c r="B9">
        <v>13</v>
      </c>
      <c r="C9">
        <f t="shared" si="0"/>
        <v>78</v>
      </c>
      <c r="D9">
        <f t="shared" si="1"/>
        <v>5.0250694444444441</v>
      </c>
      <c r="E9">
        <f t="shared" si="2"/>
        <v>8.4621941060148712E-2</v>
      </c>
      <c r="F9">
        <f t="shared" si="3"/>
        <v>10.154632927217845</v>
      </c>
    </row>
    <row r="10" spans="1:9" x14ac:dyDescent="0.25">
      <c r="A10">
        <v>7</v>
      </c>
      <c r="B10">
        <v>10</v>
      </c>
      <c r="C10">
        <f t="shared" si="0"/>
        <v>70</v>
      </c>
      <c r="D10">
        <f t="shared" si="1"/>
        <v>10.508402777777778</v>
      </c>
      <c r="E10">
        <f t="shared" si="2"/>
        <v>2.1422674947026137E-2</v>
      </c>
      <c r="F10">
        <f t="shared" si="3"/>
        <v>2.5707209936431363</v>
      </c>
    </row>
    <row r="11" spans="1:9" x14ac:dyDescent="0.25">
      <c r="A11">
        <v>8</v>
      </c>
      <c r="B11">
        <v>2</v>
      </c>
      <c r="D11">
        <f t="shared" si="1"/>
        <v>17.991736111111116</v>
      </c>
      <c r="E11">
        <f t="shared" si="2"/>
        <v>2.3726980356357542E-3</v>
      </c>
      <c r="F11">
        <f t="shared" si="3"/>
        <v>0.28472376427629054</v>
      </c>
    </row>
    <row r="14" spans="1:9" x14ac:dyDescent="0.25">
      <c r="A14" t="s">
        <v>4</v>
      </c>
      <c r="B14">
        <f>SUM(C3:C11)/SUM(B3:B11)</f>
        <v>3.7583333333333333</v>
      </c>
      <c r="G14" t="s">
        <v>5</v>
      </c>
      <c r="I14">
        <f>SUM(I3:I7)</f>
        <v>16.258372436538846</v>
      </c>
    </row>
    <row r="15" spans="1:9" x14ac:dyDescent="0.25">
      <c r="A15" t="s">
        <v>18</v>
      </c>
      <c r="B15">
        <v>8</v>
      </c>
      <c r="G15" s="2" t="s">
        <v>16</v>
      </c>
      <c r="H15" s="2"/>
      <c r="I15">
        <f>_xlfn.CHISQ.INV.RT(0.05,3)</f>
        <v>7.8147279032511792</v>
      </c>
    </row>
    <row r="16" spans="1:9" x14ac:dyDescent="0.25">
      <c r="A16" t="s">
        <v>19</v>
      </c>
      <c r="B16">
        <f>B14/B15</f>
        <v>0.46979166666666666</v>
      </c>
    </row>
    <row r="18" spans="1:9" x14ac:dyDescent="0.25">
      <c r="A18">
        <v>3</v>
      </c>
    </row>
    <row r="19" spans="1:9" x14ac:dyDescent="0.25">
      <c r="A19" t="s">
        <v>0</v>
      </c>
      <c r="B19" t="s">
        <v>1</v>
      </c>
      <c r="C19" t="s">
        <v>2</v>
      </c>
      <c r="D19" t="s">
        <v>9</v>
      </c>
      <c r="G19" t="s">
        <v>13</v>
      </c>
    </row>
    <row r="20" spans="1:9" x14ac:dyDescent="0.25">
      <c r="A20">
        <v>0</v>
      </c>
      <c r="B20">
        <v>139</v>
      </c>
      <c r="C20">
        <f>_xlfn.POISSON.DIST(A20,$B$27,FALSE)</f>
        <v>0.53365805050299064</v>
      </c>
      <c r="D20">
        <f>SUM($B$20:$B$25)*C20</f>
        <v>133.41451262574765</v>
      </c>
      <c r="E20">
        <f>D20</f>
        <v>133.41451262574765</v>
      </c>
      <c r="F20">
        <f>B20</f>
        <v>139</v>
      </c>
      <c r="G20">
        <f>(F20-E20)^2/E20</f>
        <v>0.23384014672712303</v>
      </c>
    </row>
    <row r="21" spans="1:9" x14ac:dyDescent="0.25">
      <c r="A21">
        <v>1</v>
      </c>
      <c r="B21">
        <v>76</v>
      </c>
      <c r="C21">
        <f>_xlfn.POISSON.DIST(A21,$B$27,FALSE)</f>
        <v>0.3351372557158781</v>
      </c>
      <c r="D21">
        <f t="shared" ref="D21:D25" si="7">SUM($B$20:$B$25)*C21</f>
        <v>83.784313928969524</v>
      </c>
      <c r="E21">
        <f t="shared" ref="E21:E22" si="8">D21</f>
        <v>83.784313928969524</v>
      </c>
      <c r="F21">
        <f>B21</f>
        <v>76</v>
      </c>
      <c r="G21">
        <f t="shared" ref="G21:G23" si="9">(F21-E21)^2/E21</f>
        <v>0.72323255396135977</v>
      </c>
    </row>
    <row r="22" spans="1:9" x14ac:dyDescent="0.25">
      <c r="A22">
        <v>2</v>
      </c>
      <c r="B22">
        <v>28</v>
      </c>
      <c r="C22">
        <f>_xlfn.POISSON.DIST(A22,$B$27,FALSE)</f>
        <v>0.10523309829478571</v>
      </c>
      <c r="D22">
        <f t="shared" si="7"/>
        <v>26.308274573696426</v>
      </c>
      <c r="E22">
        <f t="shared" si="8"/>
        <v>26.308274573696426</v>
      </c>
      <c r="F22">
        <f>B22</f>
        <v>28</v>
      </c>
      <c r="G22">
        <f t="shared" si="9"/>
        <v>0.10878459208660653</v>
      </c>
    </row>
    <row r="23" spans="1:9" x14ac:dyDescent="0.25">
      <c r="A23">
        <v>3</v>
      </c>
      <c r="B23">
        <v>4</v>
      </c>
      <c r="C23">
        <f>_xlfn.POISSON.DIST(A23,$B$27,FALSE)</f>
        <v>2.2028795243041809E-2</v>
      </c>
      <c r="D23">
        <f t="shared" si="7"/>
        <v>5.5071988107604524</v>
      </c>
      <c r="E23">
        <f>D23+D24+D25</f>
        <v>6.4804265788389905</v>
      </c>
      <c r="F23">
        <f>B23+B24+B25</f>
        <v>7</v>
      </c>
      <c r="G23">
        <f t="shared" si="9"/>
        <v>4.165721757553191E-2</v>
      </c>
    </row>
    <row r="24" spans="1:9" x14ac:dyDescent="0.25">
      <c r="A24">
        <v>4</v>
      </c>
      <c r="B24">
        <v>2</v>
      </c>
      <c r="C24">
        <f>_xlfn.POISSON.DIST(A24,$B$27,FALSE)</f>
        <v>3.4585208531575638E-3</v>
      </c>
      <c r="D24">
        <f t="shared" si="7"/>
        <v>0.86463021328939094</v>
      </c>
    </row>
    <row r="25" spans="1:9" x14ac:dyDescent="0.25">
      <c r="A25">
        <v>5</v>
      </c>
      <c r="B25">
        <v>1</v>
      </c>
      <c r="C25">
        <f>_xlfn.POISSON.DIST(A25,$B$27,FALSE)</f>
        <v>4.3439021915659006E-4</v>
      </c>
      <c r="D25">
        <f t="shared" si="7"/>
        <v>0.10859755478914751</v>
      </c>
    </row>
    <row r="27" spans="1:9" x14ac:dyDescent="0.25">
      <c r="A27" s="3" t="s">
        <v>17</v>
      </c>
      <c r="B27">
        <f>SUMPRODUCT(A20:A25,B20:B25)/SUM(B20:B25)</f>
        <v>0.628</v>
      </c>
      <c r="G27" t="s">
        <v>5</v>
      </c>
      <c r="I27">
        <f>SUM(G20:G23)</f>
        <v>1.1075145103506212</v>
      </c>
    </row>
    <row r="28" spans="1:9" x14ac:dyDescent="0.25">
      <c r="G28" s="2" t="s">
        <v>16</v>
      </c>
      <c r="H28" s="2"/>
      <c r="I28">
        <f>_xlfn.CHISQ.INV.RT(0.05,2)</f>
        <v>5.9914645471079817</v>
      </c>
    </row>
  </sheetData>
  <mergeCells count="2">
    <mergeCell ref="G15:H15"/>
    <mergeCell ref="G28:H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22" sqref="D22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8.5703125" customWidth="1"/>
    <col min="4" max="4" width="21" bestFit="1" customWidth="1"/>
    <col min="5" max="6" width="12" bestFit="1" customWidth="1"/>
    <col min="7" max="7" width="21" bestFit="1" customWidth="1"/>
    <col min="8" max="9" width="12" bestFit="1" customWidth="1"/>
    <col min="10" max="10" width="4" bestFit="1" customWidth="1"/>
    <col min="11" max="11" width="12" bestFit="1" customWidth="1"/>
  </cols>
  <sheetData>
    <row r="1" spans="1:7" x14ac:dyDescent="0.25">
      <c r="A1">
        <v>4</v>
      </c>
    </row>
    <row r="2" spans="1:7" ht="17.25" x14ac:dyDescent="0.25">
      <c r="A2" t="s">
        <v>20</v>
      </c>
      <c r="B2" t="s">
        <v>21</v>
      </c>
      <c r="C2" t="s">
        <v>0</v>
      </c>
      <c r="D2" t="s">
        <v>1</v>
      </c>
      <c r="E2" t="s">
        <v>2</v>
      </c>
      <c r="F2" t="s">
        <v>9</v>
      </c>
      <c r="G2" t="s">
        <v>3</v>
      </c>
    </row>
    <row r="3" spans="1:7" x14ac:dyDescent="0.25">
      <c r="A3">
        <v>0</v>
      </c>
      <c r="B3">
        <f>A4</f>
        <v>5</v>
      </c>
      <c r="C3">
        <f>AVERAGE(A3:B3)</f>
        <v>2.5</v>
      </c>
      <c r="D3">
        <v>5</v>
      </c>
      <c r="E3">
        <f>_xlfn.EXPON.DIST(B3,$B$15,TRUE)-0</f>
        <v>0.16362772006956933</v>
      </c>
      <c r="F3">
        <f>SUM($D$3:$D$12)*E3</f>
        <v>47.452038820175105</v>
      </c>
      <c r="G3">
        <f>(D3-F3)^2/F3</f>
        <v>37.978886572591819</v>
      </c>
    </row>
    <row r="4" spans="1:7" x14ac:dyDescent="0.25">
      <c r="A4">
        <v>5</v>
      </c>
      <c r="B4">
        <f t="shared" ref="B4:B11" si="0">A5</f>
        <v>10</v>
      </c>
      <c r="C4">
        <f t="shared" ref="C4:C12" si="1">AVERAGE(A4:B4)</f>
        <v>7.5</v>
      </c>
      <c r="D4">
        <v>12</v>
      </c>
      <c r="E4">
        <f>_xlfn.EXPON.DIST(B4,$B$15,TRUE)-_xlfn.EXPON.DIST(A4,$B$15,TRUE)</f>
        <v>0.136853689294404</v>
      </c>
      <c r="F4">
        <f t="shared" ref="F4:F12" si="2">SUM($D$3:$D$12)*E4</f>
        <v>39.687569895377159</v>
      </c>
      <c r="G4">
        <f t="shared" ref="G4:G12" si="3">(D4-F4)^2/F4</f>
        <v>19.315909962043051</v>
      </c>
    </row>
    <row r="5" spans="1:7" x14ac:dyDescent="0.25">
      <c r="A5">
        <v>10</v>
      </c>
      <c r="B5">
        <f t="shared" si="0"/>
        <v>15</v>
      </c>
      <c r="C5">
        <f t="shared" si="1"/>
        <v>12.5</v>
      </c>
      <c r="D5">
        <v>15</v>
      </c>
      <c r="E5">
        <f>_xlfn.EXPON.DIST(B5,$B$15,TRUE)-_xlfn.EXPON.DIST(A5,$B$15,TRUE)</f>
        <v>0.11446063213205143</v>
      </c>
      <c r="F5">
        <f t="shared" si="2"/>
        <v>33.193583318294912</v>
      </c>
      <c r="G5">
        <f t="shared" si="3"/>
        <v>9.9720018410094937</v>
      </c>
    </row>
    <row r="6" spans="1:7" x14ac:dyDescent="0.25">
      <c r="A6">
        <v>15</v>
      </c>
      <c r="B6">
        <f t="shared" si="0"/>
        <v>20</v>
      </c>
      <c r="C6">
        <f t="shared" si="1"/>
        <v>17.5</v>
      </c>
      <c r="D6">
        <v>30</v>
      </c>
      <c r="E6">
        <f>_xlfn.EXPON.DIST(B6,$B$15,TRUE)-_xlfn.EXPON.DIST(A6,$B$15,TRUE)</f>
        <v>9.5731699858562225E-2</v>
      </c>
      <c r="F6">
        <f t="shared" si="2"/>
        <v>27.762192958983047</v>
      </c>
      <c r="G6">
        <f t="shared" si="3"/>
        <v>0.18038129625508131</v>
      </c>
    </row>
    <row r="7" spans="1:7" x14ac:dyDescent="0.25">
      <c r="A7">
        <v>20</v>
      </c>
      <c r="B7">
        <f t="shared" si="0"/>
        <v>25</v>
      </c>
      <c r="C7">
        <f t="shared" si="1"/>
        <v>22.5</v>
      </c>
      <c r="D7">
        <v>40</v>
      </c>
      <c r="E7">
        <f>_xlfn.EXPON.DIST(B7,$B$15,TRUE)-_xlfn.EXPON.DIST(A7,$B$15,TRUE)</f>
        <v>8.0067340072321191E-2</v>
      </c>
      <c r="F7">
        <f t="shared" si="2"/>
        <v>23.219528620973147</v>
      </c>
      <c r="G7">
        <f t="shared" si="3"/>
        <v>12.127042899914736</v>
      </c>
    </row>
    <row r="8" spans="1:7" x14ac:dyDescent="0.25">
      <c r="A8">
        <v>25</v>
      </c>
      <c r="B8">
        <f t="shared" si="0"/>
        <v>30</v>
      </c>
      <c r="C8">
        <f t="shared" si="1"/>
        <v>27.5</v>
      </c>
      <c r="D8">
        <v>60</v>
      </c>
      <c r="E8">
        <f>_xlfn.EXPON.DIST(B8,$B$15,TRUE)-_xlfn.EXPON.DIST(A8,$B$15,TRUE)</f>
        <v>6.6966103764252605E-2</v>
      </c>
      <c r="F8">
        <f t="shared" si="2"/>
        <v>19.420170091633256</v>
      </c>
      <c r="G8">
        <f t="shared" si="3"/>
        <v>84.794447608954258</v>
      </c>
    </row>
    <row r="9" spans="1:7" x14ac:dyDescent="0.25">
      <c r="A9">
        <v>30</v>
      </c>
      <c r="B9">
        <f t="shared" si="0"/>
        <v>35</v>
      </c>
      <c r="C9">
        <f t="shared" si="1"/>
        <v>32.5</v>
      </c>
      <c r="D9">
        <v>44</v>
      </c>
      <c r="E9">
        <f>_xlfn.EXPON.DIST(B9,$B$15,TRUE)-_xlfn.EXPON.DIST(A9,$B$15,TRUE)</f>
        <v>5.6008592883365682E-2</v>
      </c>
      <c r="F9">
        <f t="shared" si="2"/>
        <v>16.242491936176048</v>
      </c>
      <c r="G9">
        <f t="shared" si="3"/>
        <v>47.436025022564657</v>
      </c>
    </row>
    <row r="10" spans="1:7" x14ac:dyDescent="0.25">
      <c r="A10">
        <v>35</v>
      </c>
      <c r="B10">
        <f t="shared" si="0"/>
        <v>40</v>
      </c>
      <c r="C10">
        <f t="shared" si="1"/>
        <v>37.5</v>
      </c>
      <c r="D10">
        <v>58</v>
      </c>
      <c r="E10">
        <f>_xlfn.EXPON.DIST(B10,$B$15,TRUE)-_xlfn.EXPON.DIST(A10,$B$15,TRUE)</f>
        <v>4.6844034525555855E-2</v>
      </c>
      <c r="F10">
        <f t="shared" si="2"/>
        <v>13.584770012411198</v>
      </c>
      <c r="G10">
        <f t="shared" si="3"/>
        <v>145.21502042714857</v>
      </c>
    </row>
    <row r="11" spans="1:7" x14ac:dyDescent="0.25">
      <c r="A11">
        <v>40</v>
      </c>
      <c r="B11">
        <f t="shared" si="0"/>
        <v>45</v>
      </c>
      <c r="C11">
        <f t="shared" si="1"/>
        <v>42.5</v>
      </c>
      <c r="D11">
        <v>18</v>
      </c>
      <c r="E11">
        <f>_xlfn.EXPON.DIST(B11,$B$15,TRUE)-_xlfn.EXPON.DIST(A11,$B$15,TRUE)</f>
        <v>3.9179051957278999E-2</v>
      </c>
      <c r="F11">
        <f t="shared" si="2"/>
        <v>11.36192506761091</v>
      </c>
      <c r="G11">
        <f t="shared" si="3"/>
        <v>3.8782194518800708</v>
      </c>
    </row>
    <row r="12" spans="1:7" x14ac:dyDescent="0.25">
      <c r="A12">
        <v>45</v>
      </c>
      <c r="B12">
        <v>50</v>
      </c>
      <c r="C12">
        <f t="shared" si="1"/>
        <v>47.5</v>
      </c>
      <c r="D12">
        <v>8</v>
      </c>
      <c r="E12">
        <f>1-_xlfn.EXPON.DIST(A12,$B$15,TRUE)</f>
        <v>0.20026113544263868</v>
      </c>
      <c r="F12">
        <f t="shared" si="2"/>
        <v>58.075729278365216</v>
      </c>
      <c r="G12">
        <f t="shared" si="3"/>
        <v>43.177738685655463</v>
      </c>
    </row>
    <row r="14" spans="1:7" x14ac:dyDescent="0.25">
      <c r="A14" t="s">
        <v>4</v>
      </c>
      <c r="B14">
        <f>SUMPRODUCT(C3:C12,D3:D12)/SUM(D3:D12)</f>
        <v>27.982758620689655</v>
      </c>
      <c r="D14" t="s">
        <v>5</v>
      </c>
      <c r="F14">
        <f>SUM(G3:G12)</f>
        <v>404.07567376801717</v>
      </c>
    </row>
    <row r="15" spans="1:7" x14ac:dyDescent="0.25">
      <c r="A15" s="3" t="s">
        <v>10</v>
      </c>
      <c r="B15">
        <f>1/B14</f>
        <v>3.5736290819470121E-2</v>
      </c>
      <c r="D15" s="2" t="s">
        <v>16</v>
      </c>
      <c r="E15" s="2"/>
      <c r="F15">
        <f>_xlfn.CHISQ.INV.RT(0.05,8)</f>
        <v>15.507313055865453</v>
      </c>
    </row>
    <row r="17" spans="1:11" x14ac:dyDescent="0.25">
      <c r="A17">
        <v>5</v>
      </c>
    </row>
    <row r="18" spans="1:11" ht="17.25" x14ac:dyDescent="0.25">
      <c r="A18" t="s">
        <v>20</v>
      </c>
      <c r="B18" t="s">
        <v>21</v>
      </c>
      <c r="C18" t="s">
        <v>0</v>
      </c>
      <c r="D18" t="s">
        <v>1</v>
      </c>
      <c r="E18" t="s">
        <v>11</v>
      </c>
      <c r="F18" t="s">
        <v>12</v>
      </c>
      <c r="G18" t="s">
        <v>2</v>
      </c>
      <c r="H18" t="s">
        <v>9</v>
      </c>
      <c r="K18" t="s">
        <v>13</v>
      </c>
    </row>
    <row r="19" spans="1:11" x14ac:dyDescent="0.25">
      <c r="A19">
        <v>0</v>
      </c>
      <c r="B19">
        <f>A20</f>
        <v>5</v>
      </c>
      <c r="C19">
        <f>AVERAGE(A19:B19)</f>
        <v>2.5</v>
      </c>
      <c r="D19">
        <v>5</v>
      </c>
      <c r="E19">
        <f>(C19-$B$30)^2</f>
        <v>1206.2263313609469</v>
      </c>
      <c r="F19">
        <f>D19*E19</f>
        <v>6031.131656804735</v>
      </c>
      <c r="G19">
        <f>_xlfn.GAMMA.DIST(B19,$B$32,$B$33,TRUE)-0</f>
        <v>2.8257562933688894E-8</v>
      </c>
      <c r="H19">
        <f>G19*780</f>
        <v>2.2040899088277338E-5</v>
      </c>
      <c r="I19">
        <f>H19+H20+H21+H22</f>
        <v>19.24821449001416</v>
      </c>
      <c r="J19">
        <f>D19+D20+D21+D22</f>
        <v>62</v>
      </c>
      <c r="K19">
        <f>(J19-I19)^2/I19</f>
        <v>94.955049739290928</v>
      </c>
    </row>
    <row r="20" spans="1:11" x14ac:dyDescent="0.25">
      <c r="A20">
        <v>5</v>
      </c>
      <c r="B20">
        <f t="shared" ref="B20:B27" si="4">A21</f>
        <v>10</v>
      </c>
      <c r="C20">
        <f t="shared" ref="C20:C28" si="5">AVERAGE(A20:B20)</f>
        <v>7.5</v>
      </c>
      <c r="D20">
        <v>12</v>
      </c>
      <c r="E20">
        <f t="shared" ref="E20:E28" si="6">(C20-$B$30)^2</f>
        <v>883.91863905325465</v>
      </c>
      <c r="F20">
        <f t="shared" ref="F20:F28" si="7">D20*E20</f>
        <v>10607.023668639056</v>
      </c>
      <c r="G20">
        <f>_xlfn.GAMMA.DIST(B20,$B$32,$B$33,TRUE)-_xlfn.GAMMA.DIST(A20,$B$32,$B$33,TRUE)</f>
        <v>5.8269374663018635E-5</v>
      </c>
      <c r="H20">
        <f t="shared" ref="H20:H28" si="8">G20*780</f>
        <v>4.5450112237154533E-2</v>
      </c>
      <c r="I20">
        <f>H23</f>
        <v>59.972119274030824</v>
      </c>
      <c r="J20">
        <f>D23</f>
        <v>40</v>
      </c>
      <c r="K20">
        <f t="shared" ref="K20:K25" si="9">(J20-I20)^2/I20</f>
        <v>6.6511831351746027</v>
      </c>
    </row>
    <row r="21" spans="1:11" x14ac:dyDescent="0.25">
      <c r="A21">
        <v>10</v>
      </c>
      <c r="B21">
        <f t="shared" si="4"/>
        <v>15</v>
      </c>
      <c r="C21">
        <f t="shared" si="5"/>
        <v>12.5</v>
      </c>
      <c r="D21">
        <v>15</v>
      </c>
      <c r="E21">
        <f t="shared" si="6"/>
        <v>611.61094674556227</v>
      </c>
      <c r="F21">
        <f t="shared" si="7"/>
        <v>9174.1642011834338</v>
      </c>
      <c r="G21">
        <f>_xlfn.GAMMA.DIST(B21,$B$32,$B$33,TRUE)-_xlfn.GAMMA.DIST(A21,$B$32,$B$33,TRUE)</f>
        <v>2.5479128227387628E-3</v>
      </c>
      <c r="H21">
        <f t="shared" si="8"/>
        <v>1.9873720017362351</v>
      </c>
      <c r="I21">
        <f t="shared" ref="I21:I25" si="10">H24</f>
        <v>116.91240326911854</v>
      </c>
      <c r="J21">
        <f>D24</f>
        <v>60</v>
      </c>
      <c r="K21">
        <f t="shared" si="9"/>
        <v>27.704687914172201</v>
      </c>
    </row>
    <row r="22" spans="1:11" x14ac:dyDescent="0.25">
      <c r="A22">
        <v>15</v>
      </c>
      <c r="B22">
        <f t="shared" si="4"/>
        <v>20</v>
      </c>
      <c r="C22">
        <f t="shared" si="5"/>
        <v>17.5</v>
      </c>
      <c r="D22">
        <v>30</v>
      </c>
      <c r="E22">
        <f t="shared" si="6"/>
        <v>389.30325443786995</v>
      </c>
      <c r="F22">
        <f t="shared" si="7"/>
        <v>11679.097633136098</v>
      </c>
      <c r="G22">
        <f>_xlfn.GAMMA.DIST(B22,$B$32,$B$33,TRUE)-_xlfn.GAMMA.DIST(A22,$B$32,$B$33,TRUE)</f>
        <v>2.2070987609156004E-2</v>
      </c>
      <c r="H22">
        <f t="shared" si="8"/>
        <v>17.215370335141682</v>
      </c>
      <c r="I22">
        <f t="shared" si="10"/>
        <v>152.88548222691549</v>
      </c>
      <c r="J22">
        <f>D25</f>
        <v>90</v>
      </c>
      <c r="K22">
        <f t="shared" si="9"/>
        <v>25.866313905739172</v>
      </c>
    </row>
    <row r="23" spans="1:11" x14ac:dyDescent="0.25">
      <c r="A23">
        <v>20</v>
      </c>
      <c r="B23">
        <f t="shared" si="4"/>
        <v>25</v>
      </c>
      <c r="C23">
        <f t="shared" si="5"/>
        <v>22.5</v>
      </c>
      <c r="D23">
        <v>40</v>
      </c>
      <c r="E23">
        <f t="shared" si="6"/>
        <v>216.9955621301776</v>
      </c>
      <c r="F23">
        <f t="shared" si="7"/>
        <v>8679.8224852071035</v>
      </c>
      <c r="G23">
        <f>_xlfn.GAMMA.DIST(B23,$B$32,$B$33,TRUE)-_xlfn.GAMMA.DIST(A23,$B$32,$B$33,TRUE)</f>
        <v>7.688733240260362E-2</v>
      </c>
      <c r="H23">
        <f t="shared" si="8"/>
        <v>59.972119274030824</v>
      </c>
      <c r="I23">
        <f t="shared" si="10"/>
        <v>149.58403758330147</v>
      </c>
      <c r="J23">
        <f>D26</f>
        <v>148</v>
      </c>
      <c r="K23">
        <f t="shared" si="9"/>
        <v>1.677435043103594E-2</v>
      </c>
    </row>
    <row r="24" spans="1:11" x14ac:dyDescent="0.25">
      <c r="A24">
        <v>25</v>
      </c>
      <c r="B24">
        <f t="shared" si="4"/>
        <v>30</v>
      </c>
      <c r="C24">
        <f t="shared" si="5"/>
        <v>27.5</v>
      </c>
      <c r="D24">
        <v>60</v>
      </c>
      <c r="E24">
        <f t="shared" si="6"/>
        <v>94.687869822485254</v>
      </c>
      <c r="F24">
        <f t="shared" si="7"/>
        <v>5681.2721893491153</v>
      </c>
      <c r="G24">
        <f>_xlfn.GAMMA.DIST(B24,$B$32,$B$33,TRUE)-_xlfn.GAMMA.DIST(A24,$B$32,$B$33,TRUE)</f>
        <v>0.14988769649886993</v>
      </c>
      <c r="H24">
        <f t="shared" si="8"/>
        <v>116.91240326911854</v>
      </c>
      <c r="I24">
        <f t="shared" si="10"/>
        <v>117.48530878282766</v>
      </c>
      <c r="J24">
        <f>D27</f>
        <v>170</v>
      </c>
      <c r="K24">
        <f t="shared" si="9"/>
        <v>23.473511898689864</v>
      </c>
    </row>
    <row r="25" spans="1:11" x14ac:dyDescent="0.25">
      <c r="A25">
        <v>30</v>
      </c>
      <c r="B25">
        <f t="shared" si="4"/>
        <v>35</v>
      </c>
      <c r="C25">
        <f t="shared" si="5"/>
        <v>32.5</v>
      </c>
      <c r="D25">
        <v>90</v>
      </c>
      <c r="E25">
        <f t="shared" si="6"/>
        <v>22.380177514792926</v>
      </c>
      <c r="F25">
        <f t="shared" si="7"/>
        <v>2014.2159763313634</v>
      </c>
      <c r="G25">
        <f>_xlfn.GAMMA.DIST(B25,$B$32,$B$33,TRUE)-_xlfn.GAMMA.DIST(A25,$B$32,$B$33,TRUE)</f>
        <v>0.19600702849604551</v>
      </c>
      <c r="H25">
        <f t="shared" si="8"/>
        <v>152.88548222691549</v>
      </c>
      <c r="I25">
        <f t="shared" si="10"/>
        <v>163.91243437379185</v>
      </c>
      <c r="J25">
        <f>D28</f>
        <v>210</v>
      </c>
      <c r="K25">
        <f t="shared" si="9"/>
        <v>12.958526993176434</v>
      </c>
    </row>
    <row r="26" spans="1:11" x14ac:dyDescent="0.25">
      <c r="A26">
        <v>35</v>
      </c>
      <c r="B26">
        <f t="shared" si="4"/>
        <v>40</v>
      </c>
      <c r="C26">
        <f t="shared" si="5"/>
        <v>37.5</v>
      </c>
      <c r="D26">
        <v>148</v>
      </c>
      <c r="E26">
        <f t="shared" si="6"/>
        <v>7.248520710059024E-2</v>
      </c>
      <c r="F26">
        <f t="shared" si="7"/>
        <v>10.727810650887356</v>
      </c>
      <c r="G26">
        <f>_xlfn.GAMMA.DIST(B26,$B$32,$B$33,TRUE)-_xlfn.GAMMA.DIST(A26,$B$32,$B$33,TRUE)</f>
        <v>0.19177440715807881</v>
      </c>
      <c r="H26">
        <f t="shared" si="8"/>
        <v>149.58403758330147</v>
      </c>
    </row>
    <row r="27" spans="1:11" x14ac:dyDescent="0.25">
      <c r="A27">
        <v>40</v>
      </c>
      <c r="B27">
        <f t="shared" si="4"/>
        <v>45</v>
      </c>
      <c r="C27">
        <f t="shared" si="5"/>
        <v>42.5</v>
      </c>
      <c r="D27">
        <v>170</v>
      </c>
      <c r="E27">
        <f t="shared" si="6"/>
        <v>27.764792899408256</v>
      </c>
      <c r="F27">
        <f t="shared" si="7"/>
        <v>4720.0147928994038</v>
      </c>
      <c r="G27">
        <f>_xlfn.GAMMA.DIST(B27,$B$32,$B$33,TRUE)-_xlfn.GAMMA.DIST(A27,$B$32,$B$33,TRUE)</f>
        <v>0.15062219074721495</v>
      </c>
      <c r="H27">
        <f t="shared" si="8"/>
        <v>117.48530878282766</v>
      </c>
    </row>
    <row r="28" spans="1:11" x14ac:dyDescent="0.25">
      <c r="A28">
        <v>45</v>
      </c>
      <c r="B28">
        <v>50</v>
      </c>
      <c r="C28">
        <f t="shared" si="5"/>
        <v>47.5</v>
      </c>
      <c r="D28">
        <v>210</v>
      </c>
      <c r="E28">
        <f t="shared" si="6"/>
        <v>105.45710059171591</v>
      </c>
      <c r="F28">
        <f t="shared" si="7"/>
        <v>22145.991124260341</v>
      </c>
      <c r="G28">
        <f>1-_xlfn.GAMMA.DIST(A28,$B$32,$B$33,TRUE)</f>
        <v>0.21014414663306646</v>
      </c>
      <c r="H28">
        <f t="shared" si="8"/>
        <v>163.91243437379185</v>
      </c>
    </row>
    <row r="30" spans="1:11" x14ac:dyDescent="0.25">
      <c r="A30" t="s">
        <v>4</v>
      </c>
      <c r="B30">
        <f>SUMPRODUCT(C19:C28,D19:D28)/SUM(D19:D28)</f>
        <v>37.230769230769234</v>
      </c>
      <c r="G30" t="s">
        <v>5</v>
      </c>
      <c r="I30">
        <f>SUM(K19:K25)</f>
        <v>191.62604793667421</v>
      </c>
    </row>
    <row r="31" spans="1:11" x14ac:dyDescent="0.25">
      <c r="A31" t="s">
        <v>7</v>
      </c>
      <c r="B31">
        <f>SUM(F19:F28)/SUM(D19:D28)</f>
        <v>103.51725838264299</v>
      </c>
      <c r="G31" s="2" t="s">
        <v>16</v>
      </c>
      <c r="H31" s="2"/>
      <c r="I31">
        <f>_xlfn.CHISQ.INV.RT(0.05,B34)</f>
        <v>9.4877290367811575</v>
      </c>
    </row>
    <row r="32" spans="1:11" x14ac:dyDescent="0.25">
      <c r="A32" s="3" t="s">
        <v>23</v>
      </c>
      <c r="B32">
        <f>B30/B33</f>
        <v>13.390329295537152</v>
      </c>
    </row>
    <row r="33" spans="1:2" x14ac:dyDescent="0.25">
      <c r="A33" s="3" t="s">
        <v>24</v>
      </c>
      <c r="B33">
        <f>B31/B30</f>
        <v>2.7804222292858651</v>
      </c>
    </row>
    <row r="34" spans="1:2" x14ac:dyDescent="0.25">
      <c r="A34" s="3" t="s">
        <v>22</v>
      </c>
      <c r="B34">
        <f>10-1-1-3-1</f>
        <v>4</v>
      </c>
    </row>
  </sheetData>
  <mergeCells count="2">
    <mergeCell ref="D15:E15"/>
    <mergeCell ref="G31:H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H8" sqref="H8"/>
    </sheetView>
  </sheetViews>
  <sheetFormatPr defaultRowHeight="15" x14ac:dyDescent="0.25"/>
  <cols>
    <col min="1" max="1" width="12.140625" bestFit="1" customWidth="1"/>
    <col min="3" max="3" width="10.5703125" customWidth="1"/>
    <col min="5" max="5" width="12.140625" bestFit="1" customWidth="1"/>
  </cols>
  <sheetData>
    <row r="1" spans="1:16" x14ac:dyDescent="0.25">
      <c r="A1" s="1">
        <v>10</v>
      </c>
    </row>
    <row r="2" spans="1:16" x14ac:dyDescent="0.25">
      <c r="B2" t="s">
        <v>25</v>
      </c>
      <c r="C2" t="s">
        <v>26</v>
      </c>
    </row>
    <row r="3" spans="1:16" x14ac:dyDescent="0.25">
      <c r="B3">
        <v>503</v>
      </c>
      <c r="C3">
        <v>502</v>
      </c>
    </row>
    <row r="4" spans="1:16" x14ac:dyDescent="0.25">
      <c r="B4">
        <v>505</v>
      </c>
      <c r="C4">
        <v>497</v>
      </c>
    </row>
    <row r="5" spans="1:16" x14ac:dyDescent="0.25">
      <c r="B5">
        <v>497</v>
      </c>
      <c r="C5">
        <v>492</v>
      </c>
    </row>
    <row r="6" spans="1:16" x14ac:dyDescent="0.25">
      <c r="B6">
        <v>505</v>
      </c>
      <c r="C6">
        <v>498</v>
      </c>
    </row>
    <row r="7" spans="1:16" x14ac:dyDescent="0.25">
      <c r="B7">
        <v>495</v>
      </c>
      <c r="C7">
        <v>499</v>
      </c>
    </row>
    <row r="8" spans="1:16" x14ac:dyDescent="0.25">
      <c r="B8">
        <v>502</v>
      </c>
      <c r="C8">
        <v>495</v>
      </c>
    </row>
    <row r="9" spans="1:16" x14ac:dyDescent="0.25">
      <c r="B9">
        <v>499</v>
      </c>
      <c r="C9">
        <v>497</v>
      </c>
    </row>
    <row r="10" spans="1:16" x14ac:dyDescent="0.25">
      <c r="B10">
        <v>493</v>
      </c>
      <c r="C10">
        <v>496</v>
      </c>
      <c r="I10" s="5"/>
      <c r="J10" s="5"/>
      <c r="L10" s="5"/>
      <c r="M10" s="5"/>
      <c r="O10" s="5"/>
      <c r="P10" s="5"/>
    </row>
    <row r="11" spans="1:16" x14ac:dyDescent="0.25">
      <c r="B11">
        <v>510</v>
      </c>
      <c r="C11">
        <v>498</v>
      </c>
    </row>
    <row r="12" spans="1:16" x14ac:dyDescent="0.25">
      <c r="B12">
        <v>501</v>
      </c>
      <c r="C12">
        <v>500</v>
      </c>
    </row>
    <row r="13" spans="1:16" x14ac:dyDescent="0.25">
      <c r="A13" t="s">
        <v>27</v>
      </c>
      <c r="B13">
        <f>AVERAGE(B3:B12)</f>
        <v>501</v>
      </c>
      <c r="C13">
        <f>AVERAGE(C3:C12)</f>
        <v>497.4</v>
      </c>
    </row>
    <row r="14" spans="1:16" x14ac:dyDescent="0.25">
      <c r="A14" t="s">
        <v>28</v>
      </c>
      <c r="B14">
        <f>_xlfn.VAR.S(B3:B12)</f>
        <v>26.444444444444443</v>
      </c>
      <c r="C14">
        <f>_xlfn.VAR.S(C3:C12)</f>
        <v>7.6000000000000005</v>
      </c>
    </row>
    <row r="15" spans="1:16" ht="18.75" x14ac:dyDescent="0.35">
      <c r="B15" t="s">
        <v>29</v>
      </c>
      <c r="C15" t="s">
        <v>30</v>
      </c>
    </row>
    <row r="16" spans="1:16" x14ac:dyDescent="0.25">
      <c r="A16" t="s">
        <v>31</v>
      </c>
      <c r="G16" t="s">
        <v>32</v>
      </c>
    </row>
    <row r="17" spans="1:8" x14ac:dyDescent="0.25">
      <c r="A17" t="s">
        <v>33</v>
      </c>
      <c r="B17">
        <f>B14/C14</f>
        <v>3.4795321637426895</v>
      </c>
      <c r="G17" t="s">
        <v>34</v>
      </c>
      <c r="H17">
        <f>(9*B14+9*C14)/(10+10-2)</f>
        <v>17.022222222222222</v>
      </c>
    </row>
    <row r="18" spans="1:8" x14ac:dyDescent="0.25">
      <c r="A18" t="s">
        <v>35</v>
      </c>
      <c r="B18">
        <f>_xlfn.F.INV.RT(0.025,9,9)</f>
        <v>4.0259941582829777</v>
      </c>
      <c r="G18" t="s">
        <v>36</v>
      </c>
      <c r="H18">
        <f>(B13-C13)/((H17^0.5)*((1/10)+(1/10))^0.5)</f>
        <v>1.9510993085308075</v>
      </c>
    </row>
    <row r="19" spans="1:8" x14ac:dyDescent="0.25">
      <c r="A19" t="s">
        <v>37</v>
      </c>
      <c r="B19">
        <f>_xlfn.F.INV.RT(0.975,9,9)</f>
        <v>0.24838585469445484</v>
      </c>
      <c r="G19" t="s">
        <v>38</v>
      </c>
      <c r="H19">
        <f>_xlfn.T.INV.2T(0.05,10+10-2)</f>
        <v>2.1009220402410378</v>
      </c>
    </row>
    <row r="20" spans="1:8" x14ac:dyDescent="0.25">
      <c r="A20" t="s">
        <v>39</v>
      </c>
      <c r="B20">
        <f>_xlfn.F.DIST.RT(B17,9,9)</f>
        <v>3.8655423253025699E-2</v>
      </c>
    </row>
    <row r="21" spans="1:8" x14ac:dyDescent="0.25">
      <c r="D21" s="2"/>
      <c r="E21" s="2"/>
    </row>
    <row r="22" spans="1:8" x14ac:dyDescent="0.25">
      <c r="C22" s="1"/>
    </row>
    <row r="23" spans="1:8" x14ac:dyDescent="0.25">
      <c r="C23" s="2"/>
      <c r="D23" s="2"/>
    </row>
  </sheetData>
  <mergeCells count="5">
    <mergeCell ref="I10:J10"/>
    <mergeCell ref="L10:M10"/>
    <mergeCell ref="O10:P10"/>
    <mergeCell ref="D21:E21"/>
    <mergeCell ref="C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2024-11-29T12:02:01Z</dcterms:created>
  <dcterms:modified xsi:type="dcterms:W3CDTF">2024-11-29T13:14:34Z</dcterms:modified>
</cp:coreProperties>
</file>