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ut\Google Drive\Eventos\2024\World Data Forum - 2024\Datathon\"/>
    </mc:Choice>
  </mc:AlternateContent>
  <xr:revisionPtr revIDLastSave="0" documentId="13_ncr:1_{09351518-E365-4843-A168-9D5E9CDED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7" i="1" l="1"/>
  <c r="W10" i="1"/>
  <c r="W6" i="1"/>
  <c r="W7" i="1"/>
  <c r="W15" i="1"/>
  <c r="W16" i="1"/>
  <c r="W13" i="1"/>
  <c r="W11" i="1"/>
  <c r="W12" i="1"/>
  <c r="W4" i="1"/>
  <c r="W2" i="1"/>
  <c r="W8" i="1"/>
  <c r="W14" i="1"/>
  <c r="W3" i="1"/>
  <c r="W9" i="1"/>
  <c r="W5" i="1"/>
  <c r="U17" i="1"/>
  <c r="U10" i="1"/>
  <c r="U6" i="1"/>
  <c r="U7" i="1"/>
  <c r="U15" i="1"/>
  <c r="U16" i="1"/>
  <c r="U13" i="1"/>
  <c r="U11" i="1"/>
  <c r="U12" i="1"/>
  <c r="U4" i="1"/>
  <c r="U2" i="1"/>
  <c r="U8" i="1"/>
  <c r="U14" i="1"/>
  <c r="U3" i="1"/>
  <c r="U9" i="1"/>
  <c r="U5" i="1"/>
  <c r="P17" i="1" l="1"/>
  <c r="N17" i="1"/>
  <c r="L17" i="1"/>
  <c r="P16" i="1"/>
  <c r="N16" i="1"/>
  <c r="L16" i="1"/>
  <c r="P15" i="1"/>
  <c r="N15" i="1"/>
  <c r="L15" i="1"/>
  <c r="P14" i="1"/>
  <c r="N14" i="1"/>
  <c r="L14" i="1"/>
  <c r="P13" i="1"/>
  <c r="N13" i="1"/>
  <c r="L13" i="1"/>
  <c r="P12" i="1"/>
  <c r="N12" i="1"/>
  <c r="L12" i="1"/>
  <c r="P11" i="1"/>
  <c r="N11" i="1"/>
  <c r="L11" i="1"/>
  <c r="P10" i="1"/>
  <c r="N10" i="1"/>
  <c r="L10" i="1"/>
  <c r="P9" i="1"/>
  <c r="N9" i="1"/>
  <c r="L9" i="1"/>
  <c r="P8" i="1"/>
  <c r="N8" i="1"/>
  <c r="L8" i="1"/>
  <c r="P7" i="1"/>
  <c r="N7" i="1"/>
  <c r="L7" i="1"/>
  <c r="P6" i="1"/>
  <c r="N6" i="1"/>
  <c r="L6" i="1"/>
  <c r="P5" i="1"/>
  <c r="N5" i="1"/>
  <c r="L5" i="1"/>
  <c r="P4" i="1"/>
  <c r="N4" i="1"/>
  <c r="L4" i="1"/>
  <c r="P2" i="1"/>
  <c r="P3" i="1"/>
  <c r="N3" i="1"/>
  <c r="L3" i="1"/>
  <c r="L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tc={11B0CB5B-0922-4A6A-B2EE-FF0E5903B3C2}</author>
    <author>tc={EB2BD1D3-47F2-4BE9-A874-9FA935603D71}</author>
    <author>tc={EE325C67-BA40-4F0D-9A22-4A0B42054D1A}</author>
    <author>tc={9343223D-637A-4B73-BDFA-513E573E4C42}</author>
    <author>tc={64830694-EE29-40BF-8D00-3639A92BEDFB}</author>
    <author>tc={0AFF1154-40EC-483E-989E-E79578529D6F}</author>
    <author>tc={D2310342-7A2E-48DD-9B54-1C6FCD7AF0DA}</author>
    <author>tc={82F12338-7F93-43A3-BA50-DF1DABB9F2D8}</author>
    <author>tc={CEAD72DD-9B49-415B-B7C1-8FF5FC687D2B}</author>
    <author>tc={42142B17-813C-485A-9C2E-571CEB6459A9}</author>
    <author>tc={23107029-C9F3-4CDC-9DAF-326E6803A1A0}</author>
    <author>tc={A251106E-7132-4A88-B9A5-2A0EF006F919}</author>
    <author>tc={F0B536D2-63B4-4B24-BAA9-ACDF3C3FCBA5}</author>
    <author>tc={192F6460-96D8-4D5D-8690-234A09C01711}</author>
    <author>tc={7E18A822-C9B3-4791-B5D2-CF5A16BFA011}</author>
    <author>tc={B5BB49C7-125C-4E0F-B640-C3F7451B9575}</author>
  </authors>
  <commentList>
    <comment ref="K1" authorId="0" shapeId="0" xr:uid="{11B0CB5B-0922-4A6A-B2EE-FF0E5903B3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% da popul que utiliza predominantemente o metro ou cable para ir ao trabalho</t>
      </text>
    </comment>
    <comment ref="L1" authorId="1" shapeId="0" xr:uid="{EB2BD1D3-47F2-4BE9-A874-9FA935603D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% da popul que utiliza predominantemente o trans publico para ir ao trabalho (metro, bus ou sistema integrado de transporte)</t>
      </text>
    </comment>
    <comment ref="M1" authorId="2" shapeId="0" xr:uid="{EE325C67-BA40-4F0D-9A22-4A0B42054D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% da população que utiliza predominantemente para ir ao trabalho a bicicleta</t>
      </text>
    </comment>
    <comment ref="N1" authorId="3" shapeId="0" xr:uid="{9343223D-637A-4B73-BDFA-513E573E4C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% da população que utiliza predominantemente para ir ao trabalho a bicicleta ou caminhando</t>
      </text>
    </comment>
    <comment ref="O1" authorId="4" shapeId="0" xr:uid="{64830694-EE29-40BF-8D00-3639A92BEDF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% da população que utiliza predominantemente carro particular para ir ao trabalho</t>
      </text>
    </comment>
    <comment ref="P1" authorId="5" shapeId="0" xr:uid="{0AFF1154-40EC-483E-989E-E79578529D6F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% de pessoas que consideram boa ou muito boa a qualidade do transporte publico </t>
      </text>
    </comment>
    <comment ref="Q1" authorId="6" shapeId="0" xr:uid="{D2310342-7A2E-48DD-9B54-1C6FCD7AF0D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Taxa de mortalidade por acidentes de transito</t>
      </text>
    </comment>
    <comment ref="R1" authorId="7" shapeId="0" xr:uid="{82F12338-7F93-43A3-BA50-DF1DABB9F2D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Taxa de hurto a personas x 100.000</t>
      </text>
    </comment>
    <comment ref="S1" authorId="8" shapeId="0" xr:uid="{CEAD72DD-9B49-415B-B7C1-8FF5FC687D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Numero de atrações turisticas</t>
      </text>
    </comment>
    <comment ref="T1" authorId="9" shapeId="0" xr:uid="{42142B17-813C-485A-9C2E-571CEB6459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Número de estabelecimentos comerciais</t>
      </text>
    </comment>
    <comment ref="U1" authorId="10" shapeId="0" xr:uid="{23107029-C9F3-4CDC-9DAF-326E6803A1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Número de estabelecimentos comerciais/População*100.000</t>
      </text>
    </comment>
    <comment ref="V1" authorId="11" shapeId="0" xr:uid="{A251106E-7132-4A88-B9A5-2A0EF006F9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Número de estabelecimentos de serviço</t>
      </text>
    </comment>
    <comment ref="W1" authorId="12" shapeId="0" xr:uid="{F0B536D2-63B4-4B24-BAA9-ACDF3C3FCBA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Número de estabelecimentos de serviço/População*100000</t>
      </text>
    </comment>
    <comment ref="X1" authorId="13" shapeId="0" xr:uid="{192F6460-96D8-4D5D-8690-234A09C0171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Numero de pontos de wifi gratis</t>
      </text>
    </comment>
    <comment ref="Z1" authorId="14" shapeId="0" xr:uid="{7E18A822-C9B3-4791-B5D2-CF5A16BFA01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Numero de estacoes para aluguel de bike</t>
      </text>
    </comment>
    <comment ref="AB1" authorId="15" shapeId="0" xr:uid="{B5BB49C7-125C-4E0F-B640-C3F7451B957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% dos domicilios da comuna no estrato social 5 e 6</t>
      </text>
    </comment>
  </commentList>
</comments>
</file>

<file path=xl/sharedStrings.xml><?xml version="1.0" encoding="utf-8"?>
<sst xmlns="http://schemas.openxmlformats.org/spreadsheetml/2006/main" count="109" uniqueCount="109">
  <si>
    <t>Shape</t>
  </si>
  <si>
    <t>Shape_Length</t>
  </si>
  <si>
    <t>Shape_Area</t>
  </si>
  <si>
    <t>(4718611.9224620145, 2254112.982703273)</t>
  </si>
  <si>
    <t>Popular</t>
  </si>
  <si>
    <t>152365</t>
  </si>
  <si>
    <t>9604.447483556913</t>
  </si>
  <si>
    <t>3097940.827732239</t>
  </si>
  <si>
    <t>(4717471.901390271, 2254648.311123495)</t>
  </si>
  <si>
    <t>Santa Cruz</t>
  </si>
  <si>
    <t>124610</t>
  </si>
  <si>
    <t>8597.293651496906</t>
  </si>
  <si>
    <t>2195662.6284617903</t>
  </si>
  <si>
    <t>(4718479.60763957, 2251852.493695912)</t>
  </si>
  <si>
    <t>Manrique</t>
  </si>
  <si>
    <t>182988</t>
  </si>
  <si>
    <t>12077.558707999233</t>
  </si>
  <si>
    <t>5096182.131995531</t>
  </si>
  <si>
    <t>(4716680.2916398095, 2252195.029419798)</t>
  </si>
  <si>
    <t>Aranjuez</t>
  </si>
  <si>
    <t>146611</t>
  </si>
  <si>
    <t>9642.676521959884</t>
  </si>
  <si>
    <t>4883314.140121121</t>
  </si>
  <si>
    <t>(4715903.412084993, 2253981.999643141)</t>
  </si>
  <si>
    <t>Castilla</t>
  </si>
  <si>
    <t>127722</t>
  </si>
  <si>
    <t>16098.031666492969</t>
  </si>
  <si>
    <t>6063915.6247931495</t>
  </si>
  <si>
    <t>(4714743.451129568, 2254761.3938770983)</t>
  </si>
  <si>
    <t>Doce de Octubre</t>
  </si>
  <si>
    <t>185191</t>
  </si>
  <si>
    <t>10709.846514087652</t>
  </si>
  <si>
    <t>3849811.996337703</t>
  </si>
  <si>
    <t>(4713275.711336649, 2252410.442102353)</t>
  </si>
  <si>
    <t>Robledo</t>
  </si>
  <si>
    <t>212453</t>
  </si>
  <si>
    <t>23265.232357307657</t>
  </si>
  <si>
    <t>9462007.787774289</t>
  </si>
  <si>
    <t>(4718584.283007639, 2249006.5964567186)</t>
  </si>
  <si>
    <t>Villa Hermosa</t>
  </si>
  <si>
    <t>175756</t>
  </si>
  <si>
    <t>16392.858636688892</t>
  </si>
  <si>
    <t>5716967.879701792</t>
  </si>
  <si>
    <t>(4717615.286810038, 2247244.748238594)</t>
  </si>
  <si>
    <t>Buenos Aires</t>
  </si>
  <si>
    <t>179159</t>
  </si>
  <si>
    <t>18364.90123390961</t>
  </si>
  <si>
    <t>6052668.249575188</t>
  </si>
  <si>
    <t>(4715944.53219838, 2249048.1243155734)</t>
  </si>
  <si>
    <t>La Candelaria</t>
  </si>
  <si>
    <t>79892</t>
  </si>
  <si>
    <t>13632.701741921632</t>
  </si>
  <si>
    <t>7360811.122944673</t>
  </si>
  <si>
    <t>(4713343.505862651, 2249368.1422557477)</t>
  </si>
  <si>
    <t>Laureles Estadio</t>
  </si>
  <si>
    <t>101396</t>
  </si>
  <si>
    <t>16365.175401920807</t>
  </si>
  <si>
    <t>7402669.306983</t>
  </si>
  <si>
    <t>(4711800.387881924, 2249823.217872609)</t>
  </si>
  <si>
    <t>88382</t>
  </si>
  <si>
    <t>15425.496036223585</t>
  </si>
  <si>
    <t>3973306.8918085587</t>
  </si>
  <si>
    <t>(4710446.833379285, 2250061.4652752504)</t>
  </si>
  <si>
    <t>San Javier</t>
  </si>
  <si>
    <t>178903</t>
  </si>
  <si>
    <t>26384.222424049298</t>
  </si>
  <si>
    <t>4849278.869611957</t>
  </si>
  <si>
    <t>(4716105.141383168, 2243895.5048163435)</t>
  </si>
  <si>
    <t>El Poblado</t>
  </si>
  <si>
    <t>112850</t>
  </si>
  <si>
    <t>19965.688224099635</t>
  </si>
  <si>
    <t>14414322.974759718</t>
  </si>
  <si>
    <t>(4713893.913108434, 2245262.8041605293)</t>
  </si>
  <si>
    <t>Guayabal</t>
  </si>
  <si>
    <t>64509</t>
  </si>
  <si>
    <t>13279.241952554396</t>
  </si>
  <si>
    <t>7288420.653708949</t>
  </si>
  <si>
    <t>(4712464.646414882, 2246614.074433245)</t>
  </si>
  <si>
    <t>219847</t>
  </si>
  <si>
    <t>25695.015716947</t>
  </si>
  <si>
    <t>8856231.995996315</t>
  </si>
  <si>
    <t>IMCV</t>
  </si>
  <si>
    <t>Perc_cobert_acueducto</t>
  </si>
  <si>
    <t>Perc_cobert_alcantarillado</t>
  </si>
  <si>
    <t>Perc_cobert_aseo</t>
  </si>
  <si>
    <t>Perc_transp_publico</t>
  </si>
  <si>
    <t>Perc_metro</t>
  </si>
  <si>
    <t>Perc_gostam_transp_publico</t>
  </si>
  <si>
    <t>taxa_mortal_acid_trans</t>
  </si>
  <si>
    <t>taxa_hurto</t>
  </si>
  <si>
    <t>Perc_transp_sustent</t>
  </si>
  <si>
    <t>Perc_bicicleta</t>
  </si>
  <si>
    <t>La America</t>
  </si>
  <si>
    <t>Perc_transp_partic</t>
  </si>
  <si>
    <t>Belen</t>
  </si>
  <si>
    <t>popul_2024</t>
  </si>
  <si>
    <t>Numero_atractivos</t>
  </si>
  <si>
    <t>nombre_comuna</t>
  </si>
  <si>
    <t>Numero_estabelec_comerc</t>
  </si>
  <si>
    <t>Taxa_estabelec_comerc</t>
  </si>
  <si>
    <t>Numero_estabelec_servico</t>
  </si>
  <si>
    <t>Taxa_estabelec_servico</t>
  </si>
  <si>
    <t>Pontos_wifi</t>
  </si>
  <si>
    <t>Pontos_voluntariado</t>
  </si>
  <si>
    <t>Estaciones_EnCicla</t>
  </si>
  <si>
    <t>Estaciones_sistema_metro</t>
  </si>
  <si>
    <t>Numero_comuna</t>
  </si>
  <si>
    <t>estratos5e6</t>
  </si>
  <si>
    <t>emissaoCO2_carroparticular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</si>
</sst>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 Luiza Guerra de Toledo" id="{9B0A1A61-0A50-44DA-BC45-1C7CF404DA1E}" userId="S::1880699@ibge.gov.br::577fb751-3c09-43a1-8e5c-dca043e26dc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4-11-09T20:17:11.60" personId="{9B0A1A61-0A50-44DA-BC45-1C7CF404DA1E}" id="{11B0CB5B-0922-4A6A-B2EE-FF0E5903B3C2}">
    <text>% da popul que utiliza predominantemente o metro ou cable para ir ao trabalho</text>
  </threadedComment>
  <threadedComment ref="L1" dT="2024-11-09T20:17:11.60" personId="{9B0A1A61-0A50-44DA-BC45-1C7CF404DA1E}" id="{EB2BD1D3-47F2-4BE9-A874-9FA935603D71}">
    <text>% da popul que utiliza predominantemente o trans publico para ir ao trabalho (metro, bus ou sistema integrado de transporte)</text>
  </threadedComment>
  <threadedComment ref="M1" dT="2024-11-09T20:30:29.30" personId="{9B0A1A61-0A50-44DA-BC45-1C7CF404DA1E}" id="{EE325C67-BA40-4F0D-9A22-4A0B42054D1A}">
    <text>% da população que utiliza predominantemente para ir ao trabalho a bicicleta</text>
  </threadedComment>
  <threadedComment ref="N1" dT="2024-11-09T20:29:52.90" personId="{9B0A1A61-0A50-44DA-BC45-1C7CF404DA1E}" id="{9343223D-637A-4B73-BDFA-513E573E4C42}">
    <text>% da população que utiliza predominantemente para ir ao trabalho a bicicleta ou caminhando</text>
  </threadedComment>
  <threadedComment ref="O1" dT="2024-11-09T21:12:23.70" personId="{9B0A1A61-0A50-44DA-BC45-1C7CF404DA1E}" id="{64830694-EE29-40BF-8D00-3639A92BEDFB}">
    <text>% da população que utiliza predominantemente carro particular para ir ao trabalho</text>
  </threadedComment>
  <threadedComment ref="P1" dT="2024-11-09T20:19:46.06" personId="{9B0A1A61-0A50-44DA-BC45-1C7CF404DA1E}" id="{0AFF1154-40EC-483E-989E-E79578529D6F}">
    <text xml:space="preserve">% de pessoas que consideram boa ou muito boa a qualidade do transporte publico </text>
  </threadedComment>
  <threadedComment ref="Q1" dT="2024-11-09T20:21:08.75" personId="{9B0A1A61-0A50-44DA-BC45-1C7CF404DA1E}" id="{D2310342-7A2E-48DD-9B54-1C6FCD7AF0DA}">
    <text>Taxa de mortalidade por acidentes de transito</text>
  </threadedComment>
  <threadedComment ref="R1" dT="2024-11-09T20:22:08.96" personId="{9B0A1A61-0A50-44DA-BC45-1C7CF404DA1E}" id="{82F12338-7F93-43A3-BA50-DF1DABB9F2D8}">
    <text>Taxa de hurto a personas x 100.000</text>
  </threadedComment>
  <threadedComment ref="S1" dT="2024-11-10T19:27:21.07" personId="{9B0A1A61-0A50-44DA-BC45-1C7CF404DA1E}" id="{CEAD72DD-9B49-415B-B7C1-8FF5FC687D2B}">
    <text>Numero de atrações turisticas</text>
  </threadedComment>
  <threadedComment ref="T1" dT="2024-11-10T20:00:34.04" personId="{9B0A1A61-0A50-44DA-BC45-1C7CF404DA1E}" id="{42142B17-813C-485A-9C2E-571CEB6459A9}">
    <text>Número de estabelecimentos comerciais</text>
  </threadedComment>
  <threadedComment ref="U1" dT="2024-11-10T20:01:17.40" personId="{9B0A1A61-0A50-44DA-BC45-1C7CF404DA1E}" id="{23107029-C9F3-4CDC-9DAF-326E6803A1A0}">
    <text>Número de estabelecimentos comerciais/População*100.000</text>
  </threadedComment>
  <threadedComment ref="V1" dT="2024-11-10T20:00:34.04" personId="{9B0A1A61-0A50-44DA-BC45-1C7CF404DA1E}" id="{A251106E-7132-4A88-B9A5-2A0EF006F919}">
    <text>Número de estabelecimentos de serviço</text>
  </threadedComment>
  <threadedComment ref="W1" dT="2024-11-10T20:01:17.40" personId="{9B0A1A61-0A50-44DA-BC45-1C7CF404DA1E}" id="{F0B536D2-63B4-4B24-BAA9-ACDF3C3FCBA5}">
    <text>Número de estabelecimentos de serviço/População*100000</text>
  </threadedComment>
  <threadedComment ref="X1" dT="2024-11-11T14:26:10.83" personId="{9B0A1A61-0A50-44DA-BC45-1C7CF404DA1E}" id="{192F6460-96D8-4D5D-8690-234A09C01711}">
    <text>Numero de pontos de wifi gratis</text>
  </threadedComment>
  <threadedComment ref="Z1" dT="2024-11-11T14:38:07.49" personId="{9B0A1A61-0A50-44DA-BC45-1C7CF404DA1E}" id="{7E18A822-C9B3-4791-B5D2-CF5A16BFA011}">
    <text>Numero de estacoes para aluguel de bike</text>
  </threadedComment>
  <threadedComment ref="AB1" dT="2024-11-11T16:11:56.36" personId="{9B0A1A61-0A50-44DA-BC45-1C7CF404DA1E}" id="{B5BB49C7-125C-4E0F-B640-C3F7451B9575}">
    <text>% dos domicilios da comuna no estrato social 5 e 6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zoomScale="126" workbookViewId="0">
      <selection activeCell="AC6" sqref="AC6"/>
    </sheetView>
  </sheetViews>
  <sheetFormatPr defaultRowHeight="14.4" x14ac:dyDescent="0.3"/>
  <cols>
    <col min="1" max="1" width="15.88671875" style="2" customWidth="1"/>
    <col min="2" max="2" width="37.88671875" bestFit="1" customWidth="1"/>
    <col min="3" max="3" width="19.5546875" customWidth="1"/>
    <col min="4" max="4" width="10.6640625" customWidth="1"/>
    <col min="5" max="6" width="18.77734375" customWidth="1"/>
    <col min="7" max="7" width="8.88671875" customWidth="1"/>
    <col min="8" max="8" width="20.77734375" customWidth="1"/>
    <col min="9" max="9" width="23.33203125" customWidth="1"/>
    <col min="10" max="10" width="15.88671875" customWidth="1"/>
    <col min="11" max="11" width="10.5546875" customWidth="1"/>
    <col min="12" max="12" width="18" customWidth="1"/>
    <col min="13" max="13" width="12.33203125" customWidth="1"/>
    <col min="14" max="15" width="18" customWidth="1"/>
    <col min="16" max="16" width="25.109375" customWidth="1"/>
    <col min="17" max="17" width="20.6640625" customWidth="1"/>
    <col min="18" max="18" width="10" customWidth="1"/>
    <col min="19" max="19" width="16.88671875" style="2" customWidth="1"/>
    <col min="20" max="20" width="23.88671875" customWidth="1"/>
    <col min="21" max="21" width="21" customWidth="1"/>
    <col min="22" max="22" width="23.5546875" customWidth="1"/>
    <col min="23" max="23" width="21" customWidth="1"/>
    <col min="24" max="24" width="10.6640625" customWidth="1"/>
    <col min="25" max="25" width="18.88671875" style="2" customWidth="1"/>
    <col min="26" max="26" width="16.88671875" customWidth="1"/>
    <col min="27" max="27" width="23.5546875" style="2" bestFit="1" customWidth="1"/>
    <col min="28" max="28" width="14.109375" style="2" bestFit="1" customWidth="1"/>
    <col min="29" max="29" width="24.88671875" style="2" bestFit="1" customWidth="1"/>
  </cols>
  <sheetData>
    <row r="1" spans="1:29" s="1" customFormat="1" x14ac:dyDescent="0.3">
      <c r="A1" s="3" t="s">
        <v>106</v>
      </c>
      <c r="B1" s="1" t="s">
        <v>0</v>
      </c>
      <c r="C1" s="1" t="s">
        <v>97</v>
      </c>
      <c r="D1" s="1" t="s">
        <v>95</v>
      </c>
      <c r="E1" s="1" t="s">
        <v>1</v>
      </c>
      <c r="F1" s="1" t="s">
        <v>2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86</v>
      </c>
      <c r="L1" s="1" t="s">
        <v>85</v>
      </c>
      <c r="M1" s="1" t="s">
        <v>91</v>
      </c>
      <c r="N1" s="1" t="s">
        <v>90</v>
      </c>
      <c r="O1" s="1" t="s">
        <v>93</v>
      </c>
      <c r="P1" s="1" t="s">
        <v>87</v>
      </c>
      <c r="Q1" s="1" t="s">
        <v>88</v>
      </c>
      <c r="R1" s="1" t="s">
        <v>89</v>
      </c>
      <c r="S1" s="3" t="s">
        <v>96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3" t="s">
        <v>103</v>
      </c>
      <c r="Z1" s="1" t="s">
        <v>104</v>
      </c>
      <c r="AA1" s="3" t="s">
        <v>105</v>
      </c>
      <c r="AB1" s="3" t="s">
        <v>107</v>
      </c>
      <c r="AC1" s="3" t="s">
        <v>108</v>
      </c>
    </row>
    <row r="2" spans="1:29" x14ac:dyDescent="0.3">
      <c r="A2" s="5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34.75</v>
      </c>
      <c r="H2">
        <v>95</v>
      </c>
      <c r="I2">
        <v>89.9</v>
      </c>
      <c r="J2">
        <v>91.6</v>
      </c>
      <c r="K2">
        <v>30.4</v>
      </c>
      <c r="L2">
        <f>30.4+25.3+4</f>
        <v>59.7</v>
      </c>
      <c r="M2">
        <v>0</v>
      </c>
      <c r="N2">
        <v>15.8</v>
      </c>
      <c r="O2">
        <v>1.6</v>
      </c>
      <c r="P2">
        <f>57.1+15</f>
        <v>72.099999999999994</v>
      </c>
      <c r="Q2">
        <v>3.8</v>
      </c>
      <c r="R2">
        <v>112.9</v>
      </c>
      <c r="S2" s="2">
        <v>1</v>
      </c>
      <c r="T2">
        <v>5</v>
      </c>
      <c r="U2" s="4">
        <f t="shared" ref="U2:U17" si="0">T2/D2*100000</f>
        <v>3.2815935418239093</v>
      </c>
      <c r="V2">
        <v>3</v>
      </c>
      <c r="W2" s="4">
        <f t="shared" ref="W2:W17" si="1">V2/D2*100000</f>
        <v>1.9689561250943457</v>
      </c>
      <c r="X2">
        <v>17</v>
      </c>
      <c r="Y2" s="5">
        <v>0</v>
      </c>
      <c r="Z2">
        <v>0</v>
      </c>
      <c r="AA2" s="2">
        <v>3</v>
      </c>
      <c r="AB2" s="6">
        <v>0</v>
      </c>
      <c r="AC2" s="2">
        <v>11092.172</v>
      </c>
    </row>
    <row r="3" spans="1:29" x14ac:dyDescent="0.3">
      <c r="A3" s="5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37.08</v>
      </c>
      <c r="H3">
        <v>95.8</v>
      </c>
      <c r="I3">
        <v>91.9</v>
      </c>
      <c r="J3">
        <v>95.1</v>
      </c>
      <c r="K3">
        <v>34.9</v>
      </c>
      <c r="L3">
        <f>34.9+21.6+1.8</f>
        <v>58.3</v>
      </c>
      <c r="M3">
        <v>1.5</v>
      </c>
      <c r="N3">
        <f>1.5+18.9</f>
        <v>20.399999999999999</v>
      </c>
      <c r="O3">
        <v>1.9</v>
      </c>
      <c r="P3">
        <f>74.4+11.1</f>
        <v>85.5</v>
      </c>
      <c r="Q3">
        <v>1.8</v>
      </c>
      <c r="R3">
        <v>115</v>
      </c>
      <c r="S3" s="2">
        <v>0</v>
      </c>
      <c r="T3">
        <v>3</v>
      </c>
      <c r="U3" s="4">
        <f t="shared" si="0"/>
        <v>2.4075114356793197</v>
      </c>
      <c r="V3">
        <v>5</v>
      </c>
      <c r="W3" s="4">
        <f t="shared" si="1"/>
        <v>4.0125190594655322</v>
      </c>
      <c r="X3">
        <v>9</v>
      </c>
      <c r="Y3" s="5">
        <v>0</v>
      </c>
      <c r="Z3">
        <v>0</v>
      </c>
      <c r="AA3" s="2">
        <v>1</v>
      </c>
      <c r="AB3" s="6">
        <v>0</v>
      </c>
      <c r="AC3" s="2">
        <v>10772.5345</v>
      </c>
    </row>
    <row r="4" spans="1:29" x14ac:dyDescent="0.3">
      <c r="A4" s="5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37.450000000000003</v>
      </c>
      <c r="H4">
        <v>92.4</v>
      </c>
      <c r="I4">
        <v>89.9</v>
      </c>
      <c r="J4">
        <v>90.6</v>
      </c>
      <c r="K4">
        <v>19.600000000000001</v>
      </c>
      <c r="L4">
        <f>31.2+19.6+6.1</f>
        <v>56.9</v>
      </c>
      <c r="M4">
        <v>0.6</v>
      </c>
      <c r="N4">
        <f>0.6+15.2</f>
        <v>15.799999999999999</v>
      </c>
      <c r="O4">
        <v>2.7</v>
      </c>
      <c r="P4">
        <f>63.4+8.8</f>
        <v>72.2</v>
      </c>
      <c r="Q4">
        <v>10.5</v>
      </c>
      <c r="R4">
        <v>209.6</v>
      </c>
      <c r="S4" s="2">
        <v>1</v>
      </c>
      <c r="T4">
        <v>7</v>
      </c>
      <c r="U4" s="4">
        <f t="shared" si="0"/>
        <v>3.8253874571010122</v>
      </c>
      <c r="V4">
        <v>4</v>
      </c>
      <c r="W4" s="4">
        <f t="shared" si="1"/>
        <v>2.1859356897720068</v>
      </c>
      <c r="X4">
        <v>11</v>
      </c>
      <c r="Y4" s="5">
        <v>0</v>
      </c>
      <c r="Z4">
        <v>0</v>
      </c>
      <c r="AA4" s="2">
        <v>6</v>
      </c>
      <c r="AB4" s="6">
        <v>0.10655301012253596</v>
      </c>
      <c r="AC4" s="2">
        <v>22480.075800000002</v>
      </c>
    </row>
    <row r="5" spans="1:29" x14ac:dyDescent="0.3">
      <c r="A5" s="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44.12</v>
      </c>
      <c r="H5">
        <v>98.2</v>
      </c>
      <c r="I5">
        <v>94.5</v>
      </c>
      <c r="J5">
        <v>97.7</v>
      </c>
      <c r="K5">
        <v>20.2</v>
      </c>
      <c r="L5">
        <f>20.8+20.2+4.2</f>
        <v>45.2</v>
      </c>
      <c r="M5">
        <v>2.5</v>
      </c>
      <c r="N5">
        <f>23+2.5</f>
        <v>25.5</v>
      </c>
      <c r="O5">
        <v>5.3</v>
      </c>
      <c r="P5">
        <f>65.9+15</f>
        <v>80.900000000000006</v>
      </c>
      <c r="Q5">
        <v>3.7</v>
      </c>
      <c r="R5">
        <v>655.6</v>
      </c>
      <c r="S5" s="2">
        <v>9</v>
      </c>
      <c r="T5">
        <v>12</v>
      </c>
      <c r="U5" s="4">
        <f t="shared" si="0"/>
        <v>8.1849247327963113</v>
      </c>
      <c r="V5">
        <v>9</v>
      </c>
      <c r="W5" s="4">
        <f t="shared" si="1"/>
        <v>6.1386935495972335</v>
      </c>
      <c r="X5">
        <v>20</v>
      </c>
      <c r="Y5" s="5">
        <v>0</v>
      </c>
      <c r="Z5">
        <v>3</v>
      </c>
      <c r="AA5" s="2">
        <v>19</v>
      </c>
      <c r="AB5" s="6">
        <v>0</v>
      </c>
      <c r="AC5" s="2">
        <v>35355.24265</v>
      </c>
    </row>
    <row r="6" spans="1:29" x14ac:dyDescent="0.3">
      <c r="A6" s="5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v>48.06</v>
      </c>
      <c r="H6">
        <v>98.2</v>
      </c>
      <c r="I6">
        <v>95.2</v>
      </c>
      <c r="J6">
        <v>98.3</v>
      </c>
      <c r="K6">
        <v>16.5</v>
      </c>
      <c r="L6">
        <f>29.5+16.5+1.8</f>
        <v>47.8</v>
      </c>
      <c r="M6">
        <v>0.6</v>
      </c>
      <c r="N6">
        <f>0.6+21.4</f>
        <v>22</v>
      </c>
      <c r="O6">
        <v>6.4</v>
      </c>
      <c r="P6">
        <f>69.5+16.3</f>
        <v>85.8</v>
      </c>
      <c r="Q6">
        <v>16.5</v>
      </c>
      <c r="R6">
        <v>717.5</v>
      </c>
      <c r="S6" s="2">
        <v>0</v>
      </c>
      <c r="T6">
        <v>9</v>
      </c>
      <c r="U6" s="4">
        <f t="shared" si="0"/>
        <v>7.0465542349790953</v>
      </c>
      <c r="V6">
        <v>5</v>
      </c>
      <c r="W6" s="4">
        <f t="shared" si="1"/>
        <v>3.9147523527661643</v>
      </c>
      <c r="X6">
        <v>23</v>
      </c>
      <c r="Y6" s="5">
        <v>0</v>
      </c>
      <c r="Z6">
        <v>0</v>
      </c>
      <c r="AA6" s="2">
        <v>12</v>
      </c>
      <c r="AB6" s="6">
        <v>9.1996320147194111E-2</v>
      </c>
      <c r="AC6" s="2">
        <v>37192.646399999998</v>
      </c>
    </row>
    <row r="7" spans="1:29" x14ac:dyDescent="0.3">
      <c r="A7" s="5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40.79</v>
      </c>
      <c r="H7">
        <v>98.8</v>
      </c>
      <c r="I7">
        <v>98.1</v>
      </c>
      <c r="J7">
        <v>98.3</v>
      </c>
      <c r="K7">
        <v>11.8</v>
      </c>
      <c r="L7">
        <f>37.1+11.8+5</f>
        <v>53.900000000000006</v>
      </c>
      <c r="M7">
        <v>0.6</v>
      </c>
      <c r="N7">
        <f>18.4+0.6</f>
        <v>19</v>
      </c>
      <c r="O7">
        <v>3.3</v>
      </c>
      <c r="P7">
        <f>66.5+16.2</f>
        <v>82.7</v>
      </c>
      <c r="Q7">
        <v>3.1</v>
      </c>
      <c r="R7">
        <v>126.5</v>
      </c>
      <c r="S7" s="2">
        <v>0</v>
      </c>
      <c r="T7">
        <v>6</v>
      </c>
      <c r="U7" s="4">
        <f t="shared" si="0"/>
        <v>3.2398982671944099</v>
      </c>
      <c r="V7">
        <v>5</v>
      </c>
      <c r="W7" s="4">
        <f t="shared" si="1"/>
        <v>2.6999152226620082</v>
      </c>
      <c r="X7">
        <v>16</v>
      </c>
      <c r="Y7" s="5">
        <v>1</v>
      </c>
      <c r="Z7">
        <v>0</v>
      </c>
      <c r="AA7" s="2">
        <v>2</v>
      </c>
      <c r="AB7" s="6">
        <v>0</v>
      </c>
      <c r="AC7" s="2">
        <v>27806.428649999998</v>
      </c>
    </row>
    <row r="8" spans="1:29" x14ac:dyDescent="0.3">
      <c r="A8" s="5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>
        <v>46.12</v>
      </c>
      <c r="H8">
        <v>97</v>
      </c>
      <c r="I8">
        <v>97</v>
      </c>
      <c r="J8">
        <v>95.7</v>
      </c>
      <c r="K8">
        <v>10.199999999999999</v>
      </c>
      <c r="L8">
        <f>34+10.2+3.7</f>
        <v>47.900000000000006</v>
      </c>
      <c r="M8">
        <v>0.7</v>
      </c>
      <c r="N8">
        <f>0.7+15.8</f>
        <v>16.5</v>
      </c>
      <c r="O8">
        <v>9.6999999999999993</v>
      </c>
      <c r="P8">
        <f>56.9+11</f>
        <v>67.900000000000006</v>
      </c>
      <c r="Q8">
        <v>5.0999999999999996</v>
      </c>
      <c r="R8">
        <v>487.9</v>
      </c>
      <c r="S8" s="2">
        <v>2</v>
      </c>
      <c r="T8">
        <v>10</v>
      </c>
      <c r="U8" s="4">
        <f t="shared" si="0"/>
        <v>4.706923413649136</v>
      </c>
      <c r="V8">
        <v>7</v>
      </c>
      <c r="W8" s="4">
        <f t="shared" si="1"/>
        <v>3.2948463895543956</v>
      </c>
      <c r="X8">
        <v>12</v>
      </c>
      <c r="Y8" s="5">
        <v>0</v>
      </c>
      <c r="Z8">
        <v>1</v>
      </c>
      <c r="AA8" s="2">
        <v>7</v>
      </c>
      <c r="AB8" s="6">
        <v>0.91414944356120831</v>
      </c>
      <c r="AC8" s="2">
        <v>93766.131549999991</v>
      </c>
    </row>
    <row r="9" spans="1:29" x14ac:dyDescent="0.3">
      <c r="A9" s="5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>
        <v>39.67</v>
      </c>
      <c r="H9">
        <v>96</v>
      </c>
      <c r="I9">
        <v>93.6</v>
      </c>
      <c r="J9">
        <v>94.3</v>
      </c>
      <c r="K9">
        <v>9.3000000000000007</v>
      </c>
      <c r="L9">
        <f>42.2+9.3+4.9</f>
        <v>56.4</v>
      </c>
      <c r="M9">
        <v>0.1</v>
      </c>
      <c r="N9">
        <f>16.4+0.1</f>
        <v>16.5</v>
      </c>
      <c r="O9">
        <v>3.9</v>
      </c>
      <c r="P9">
        <f>68.6+13.3</f>
        <v>81.899999999999991</v>
      </c>
      <c r="Q9">
        <v>2.2000000000000002</v>
      </c>
      <c r="R9">
        <v>244.6</v>
      </c>
      <c r="S9" s="2">
        <v>0</v>
      </c>
      <c r="T9">
        <v>5</v>
      </c>
      <c r="U9" s="4">
        <f t="shared" si="0"/>
        <v>2.8448530917863399</v>
      </c>
      <c r="V9">
        <v>2</v>
      </c>
      <c r="W9" s="4">
        <f t="shared" si="1"/>
        <v>1.1379412367145361</v>
      </c>
      <c r="X9">
        <v>13</v>
      </c>
      <c r="Y9" s="5">
        <v>0</v>
      </c>
      <c r="Z9">
        <v>0</v>
      </c>
      <c r="AA9" s="2">
        <v>4</v>
      </c>
      <c r="AB9" s="6">
        <v>0</v>
      </c>
      <c r="AC9" s="2">
        <v>31187.9022</v>
      </c>
    </row>
    <row r="10" spans="1:29" x14ac:dyDescent="0.3">
      <c r="A10" s="5">
        <v>9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49.91</v>
      </c>
      <c r="H10">
        <v>98.6</v>
      </c>
      <c r="I10">
        <v>99</v>
      </c>
      <c r="J10">
        <v>97.7</v>
      </c>
      <c r="K10">
        <v>12.2</v>
      </c>
      <c r="L10">
        <f>31.9+12.2+4</f>
        <v>48.099999999999994</v>
      </c>
      <c r="M10">
        <v>1.2</v>
      </c>
      <c r="N10">
        <f>19+1.2</f>
        <v>20.2</v>
      </c>
      <c r="O10">
        <v>8.1</v>
      </c>
      <c r="P10">
        <f>68.3+17.4</f>
        <v>85.699999999999989</v>
      </c>
      <c r="Q10">
        <v>5.0999999999999996</v>
      </c>
      <c r="R10">
        <v>364.6</v>
      </c>
      <c r="S10" s="2">
        <v>1</v>
      </c>
      <c r="T10">
        <v>11</v>
      </c>
      <c r="U10" s="4">
        <f t="shared" si="0"/>
        <v>6.1397976099442397</v>
      </c>
      <c r="V10">
        <v>8</v>
      </c>
      <c r="W10" s="4">
        <f t="shared" si="1"/>
        <v>4.46530735268672</v>
      </c>
      <c r="X10">
        <v>13</v>
      </c>
      <c r="Y10" s="5">
        <v>0</v>
      </c>
      <c r="Z10">
        <v>0</v>
      </c>
      <c r="AA10" s="2">
        <v>7</v>
      </c>
      <c r="AB10" s="6">
        <v>1.4328358208955223</v>
      </c>
      <c r="AC10" s="2">
        <v>66029.049450000006</v>
      </c>
    </row>
    <row r="11" spans="1:29" x14ac:dyDescent="0.3">
      <c r="A11" s="5">
        <v>10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>
        <v>56.42</v>
      </c>
      <c r="H11">
        <v>98.1</v>
      </c>
      <c r="I11">
        <v>98.8</v>
      </c>
      <c r="J11">
        <v>96.2</v>
      </c>
      <c r="K11">
        <v>10.9</v>
      </c>
      <c r="L11">
        <f>27+10.9+2.5</f>
        <v>40.4</v>
      </c>
      <c r="M11">
        <v>2.1</v>
      </c>
      <c r="N11">
        <f>2.1+33.2</f>
        <v>35.300000000000004</v>
      </c>
      <c r="O11">
        <v>7.4</v>
      </c>
      <c r="P11">
        <f>69.2+13.4</f>
        <v>82.600000000000009</v>
      </c>
      <c r="Q11">
        <v>60.7</v>
      </c>
      <c r="R11">
        <v>8220.6</v>
      </c>
      <c r="S11" s="2">
        <v>43</v>
      </c>
      <c r="T11">
        <v>49</v>
      </c>
      <c r="U11" s="4">
        <f t="shared" si="0"/>
        <v>61.332799279026688</v>
      </c>
      <c r="V11">
        <v>30</v>
      </c>
      <c r="W11" s="4">
        <f t="shared" si="1"/>
        <v>37.550693436138786</v>
      </c>
      <c r="X11">
        <v>42</v>
      </c>
      <c r="Y11" s="5">
        <v>11</v>
      </c>
      <c r="Z11">
        <v>15</v>
      </c>
      <c r="AA11" s="2">
        <v>39</v>
      </c>
      <c r="AB11" s="6">
        <v>3.6605657237936775</v>
      </c>
      <c r="AC11" s="2">
        <v>26899.636400000003</v>
      </c>
    </row>
    <row r="12" spans="1:29" x14ac:dyDescent="0.3">
      <c r="A12" s="5">
        <v>11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>
        <v>69.62</v>
      </c>
      <c r="H12">
        <v>99.3</v>
      </c>
      <c r="I12">
        <v>98.6</v>
      </c>
      <c r="J12">
        <v>95</v>
      </c>
      <c r="K12">
        <v>6.1</v>
      </c>
      <c r="L12">
        <f>19.8+6.1+1.9</f>
        <v>27.799999999999997</v>
      </c>
      <c r="M12">
        <v>2.2000000000000002</v>
      </c>
      <c r="N12">
        <f>22.3+2.2</f>
        <v>24.5</v>
      </c>
      <c r="O12">
        <v>30.5</v>
      </c>
      <c r="P12">
        <f>61.6+19.6</f>
        <v>81.2</v>
      </c>
      <c r="Q12">
        <v>17.100000000000001</v>
      </c>
      <c r="R12">
        <v>2298.1</v>
      </c>
      <c r="S12" s="2">
        <v>5</v>
      </c>
      <c r="T12">
        <v>20</v>
      </c>
      <c r="U12" s="4">
        <f t="shared" si="0"/>
        <v>19.724643970176338</v>
      </c>
      <c r="V12">
        <v>24</v>
      </c>
      <c r="W12" s="4">
        <f t="shared" si="1"/>
        <v>23.669572764211605</v>
      </c>
      <c r="X12">
        <v>34</v>
      </c>
      <c r="Y12" s="5">
        <v>5</v>
      </c>
      <c r="Z12">
        <v>28</v>
      </c>
      <c r="AA12" s="2">
        <v>10</v>
      </c>
      <c r="AB12" s="6">
        <v>59.965187119234123</v>
      </c>
      <c r="AC12" s="2">
        <v>140712.299</v>
      </c>
    </row>
    <row r="13" spans="1:29" x14ac:dyDescent="0.3">
      <c r="A13" s="5">
        <v>12</v>
      </c>
      <c r="B13" t="s">
        <v>58</v>
      </c>
      <c r="C13" t="s">
        <v>92</v>
      </c>
      <c r="D13" t="s">
        <v>59</v>
      </c>
      <c r="E13" t="s">
        <v>60</v>
      </c>
      <c r="F13" t="s">
        <v>61</v>
      </c>
      <c r="G13">
        <v>61.94</v>
      </c>
      <c r="H13">
        <v>99.4</v>
      </c>
      <c r="I13">
        <v>98.7</v>
      </c>
      <c r="J13">
        <v>97.1</v>
      </c>
      <c r="K13">
        <v>11.8</v>
      </c>
      <c r="L13">
        <f>21.4+11.8+5.4</f>
        <v>38.6</v>
      </c>
      <c r="M13">
        <v>2.5</v>
      </c>
      <c r="N13">
        <f>19.3+2.5</f>
        <v>21.8</v>
      </c>
      <c r="O13">
        <v>17.100000000000001</v>
      </c>
      <c r="P13">
        <f>61.6+23</f>
        <v>84.6</v>
      </c>
      <c r="Q13">
        <v>9.3000000000000007</v>
      </c>
      <c r="R13">
        <v>915.6</v>
      </c>
      <c r="S13" s="2">
        <v>0</v>
      </c>
      <c r="T13">
        <v>13</v>
      </c>
      <c r="U13" s="4">
        <f t="shared" si="0"/>
        <v>14.708877373220792</v>
      </c>
      <c r="V13">
        <v>15</v>
      </c>
      <c r="W13" s="4">
        <f t="shared" si="1"/>
        <v>16.97178158448553</v>
      </c>
      <c r="X13">
        <v>12</v>
      </c>
      <c r="Y13" s="5">
        <v>0</v>
      </c>
      <c r="Z13">
        <v>0</v>
      </c>
      <c r="AA13" s="2">
        <v>6</v>
      </c>
      <c r="AB13" s="6">
        <v>21.693121693121693</v>
      </c>
      <c r="AC13" s="2">
        <v>68765.61510000001</v>
      </c>
    </row>
    <row r="14" spans="1:29" x14ac:dyDescent="0.3">
      <c r="A14" s="5">
        <v>13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>
        <v>40.42</v>
      </c>
      <c r="H14">
        <v>98.1</v>
      </c>
      <c r="I14">
        <v>97.4</v>
      </c>
      <c r="J14">
        <v>97</v>
      </c>
      <c r="K14">
        <v>21.4</v>
      </c>
      <c r="L14">
        <f>31+21.4+7</f>
        <v>59.4</v>
      </c>
      <c r="M14">
        <v>1.9</v>
      </c>
      <c r="N14">
        <f>15.6+1.9</f>
        <v>17.5</v>
      </c>
      <c r="O14">
        <v>4.0999999999999996</v>
      </c>
      <c r="P14">
        <f>56.7+9.9</f>
        <v>66.600000000000009</v>
      </c>
      <c r="Q14">
        <v>2.9</v>
      </c>
      <c r="R14">
        <v>211.1</v>
      </c>
      <c r="S14" s="2">
        <v>5</v>
      </c>
      <c r="T14">
        <v>10</v>
      </c>
      <c r="U14" s="4">
        <f t="shared" si="0"/>
        <v>5.5896211913718608</v>
      </c>
      <c r="V14">
        <v>3</v>
      </c>
      <c r="W14" s="4">
        <f t="shared" si="1"/>
        <v>1.676886357411558</v>
      </c>
      <c r="X14">
        <v>23</v>
      </c>
      <c r="Y14" s="5">
        <v>0</v>
      </c>
      <c r="Z14">
        <v>0</v>
      </c>
      <c r="AA14" s="2">
        <v>3</v>
      </c>
      <c r="AB14" s="6">
        <v>0.28422548555187116</v>
      </c>
      <c r="AC14" s="2">
        <v>33374.354649999994</v>
      </c>
    </row>
    <row r="15" spans="1:29" x14ac:dyDescent="0.3">
      <c r="A15" s="5">
        <v>14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>
        <v>76.599999999999994</v>
      </c>
      <c r="H15">
        <v>99.3</v>
      </c>
      <c r="I15">
        <v>98.8</v>
      </c>
      <c r="J15">
        <v>95</v>
      </c>
      <c r="K15">
        <v>4.3</v>
      </c>
      <c r="L15">
        <f>11.2+4.3+1</f>
        <v>16.5</v>
      </c>
      <c r="M15">
        <v>0.9</v>
      </c>
      <c r="N15">
        <f>0.9+13.8</f>
        <v>14.700000000000001</v>
      </c>
      <c r="O15">
        <v>54</v>
      </c>
      <c r="P15">
        <f>62.7+16.1</f>
        <v>78.800000000000011</v>
      </c>
      <c r="Q15">
        <v>10.6</v>
      </c>
      <c r="R15">
        <v>1869</v>
      </c>
      <c r="S15" s="2">
        <v>11</v>
      </c>
      <c r="T15">
        <v>34</v>
      </c>
      <c r="U15" s="4">
        <f t="shared" si="0"/>
        <v>30.128489144882586</v>
      </c>
      <c r="V15">
        <v>43</v>
      </c>
      <c r="W15" s="4">
        <f t="shared" si="1"/>
        <v>38.103677447939738</v>
      </c>
      <c r="X15">
        <v>12</v>
      </c>
      <c r="Y15" s="5">
        <v>2</v>
      </c>
      <c r="Z15">
        <v>8</v>
      </c>
      <c r="AA15" s="2">
        <v>4</v>
      </c>
      <c r="AB15" s="6">
        <v>73.073803730738035</v>
      </c>
      <c r="AC15" s="2">
        <v>277272.45</v>
      </c>
    </row>
    <row r="16" spans="1:29" x14ac:dyDescent="0.3">
      <c r="A16" s="5">
        <v>15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>
        <v>52.35</v>
      </c>
      <c r="H16">
        <v>98.6</v>
      </c>
      <c r="I16">
        <v>99.8</v>
      </c>
      <c r="J16">
        <v>98.9</v>
      </c>
      <c r="K16">
        <v>6.2</v>
      </c>
      <c r="L16">
        <f>6.2+25.7+1.8</f>
        <v>33.699999999999996</v>
      </c>
      <c r="M16">
        <v>2.7</v>
      </c>
      <c r="N16">
        <f>36.1+2.7</f>
        <v>38.800000000000004</v>
      </c>
      <c r="O16">
        <v>5.0999999999999996</v>
      </c>
      <c r="P16">
        <f>72.7+13.4</f>
        <v>86.100000000000009</v>
      </c>
      <c r="Q16">
        <v>18.8</v>
      </c>
      <c r="R16">
        <v>1053.3</v>
      </c>
      <c r="S16" s="2">
        <v>6</v>
      </c>
      <c r="T16">
        <v>6</v>
      </c>
      <c r="U16" s="4">
        <f t="shared" si="0"/>
        <v>9.3010277635678751</v>
      </c>
      <c r="V16">
        <v>11</v>
      </c>
      <c r="W16" s="4">
        <f t="shared" si="1"/>
        <v>17.051884233207769</v>
      </c>
      <c r="X16">
        <v>17</v>
      </c>
      <c r="Y16" s="5">
        <v>0</v>
      </c>
      <c r="Z16">
        <v>4</v>
      </c>
      <c r="AA16" s="2">
        <v>8</v>
      </c>
      <c r="AB16" s="6">
        <v>0.16604400166044</v>
      </c>
      <c r="AC16" s="2">
        <v>14969.313449999998</v>
      </c>
    </row>
    <row r="17" spans="1:29" x14ac:dyDescent="0.3">
      <c r="A17" s="5">
        <v>16</v>
      </c>
      <c r="B17" t="s">
        <v>77</v>
      </c>
      <c r="C17" t="s">
        <v>94</v>
      </c>
      <c r="D17" t="s">
        <v>78</v>
      </c>
      <c r="E17" t="s">
        <v>79</v>
      </c>
      <c r="F17" t="s">
        <v>80</v>
      </c>
      <c r="G17">
        <v>57.43</v>
      </c>
      <c r="H17">
        <v>99.3</v>
      </c>
      <c r="I17">
        <v>98.7</v>
      </c>
      <c r="J17">
        <v>97.1</v>
      </c>
      <c r="K17">
        <v>9.4</v>
      </c>
      <c r="L17">
        <f>22.6+9.4+4.3</f>
        <v>36.299999999999997</v>
      </c>
      <c r="M17">
        <v>2.1</v>
      </c>
      <c r="N17">
        <f>2.1+18</f>
        <v>20.100000000000001</v>
      </c>
      <c r="O17">
        <v>20.5</v>
      </c>
      <c r="P17">
        <f>65.3+15.1</f>
        <v>80.399999999999991</v>
      </c>
      <c r="Q17">
        <v>8.1</v>
      </c>
      <c r="R17">
        <v>784.4</v>
      </c>
      <c r="S17" s="2">
        <v>5</v>
      </c>
      <c r="T17">
        <v>20</v>
      </c>
      <c r="U17" s="4">
        <f t="shared" si="0"/>
        <v>9.0972358049006807</v>
      </c>
      <c r="V17">
        <v>27</v>
      </c>
      <c r="W17" s="4">
        <f t="shared" si="1"/>
        <v>12.281268336615918</v>
      </c>
      <c r="X17">
        <v>15</v>
      </c>
      <c r="Y17" s="5">
        <v>1</v>
      </c>
      <c r="Z17">
        <v>6</v>
      </c>
      <c r="AA17" s="2">
        <v>26</v>
      </c>
      <c r="AB17" s="6">
        <v>15.036803364879075</v>
      </c>
      <c r="AC17" s="2">
        <v>205062.28924999997</v>
      </c>
    </row>
  </sheetData>
  <sortState xmlns:xlrd2="http://schemas.microsoft.com/office/spreadsheetml/2017/richdata2" ref="A2:AC17">
    <sortCondition ref="A2:A17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Luiza Guerra de Toledo</cp:lastModifiedBy>
  <dcterms:created xsi:type="dcterms:W3CDTF">2024-11-09T19:43:58Z</dcterms:created>
  <dcterms:modified xsi:type="dcterms:W3CDTF">2024-11-11T19:10:00Z</dcterms:modified>
</cp:coreProperties>
</file>