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255" windowHeight="7935" activeTab="2"/>
  </bookViews>
  <sheets>
    <sheet name="BELOUIZDAD" sheetId="1" r:id="rId1"/>
    <sheet name="BOLOGHINE" sheetId="2" r:id="rId2"/>
    <sheet name="GUE DE CONS" sheetId="3" r:id="rId3"/>
    <sheet name="EL HARRACH" sheetId="4" r:id="rId4"/>
    <sheet name="TOTAL SDA" sheetId="6" r:id="rId5"/>
    <sheet name="page de garde" sheetId="7" r:id="rId6"/>
    <sheet name="page de garde (2)" sheetId="9" r:id="rId7"/>
  </sheets>
  <calcPr calcId="145621"/>
</workbook>
</file>

<file path=xl/calcChain.xml><?xml version="1.0" encoding="utf-8"?>
<calcChain xmlns="http://schemas.openxmlformats.org/spreadsheetml/2006/main">
  <c r="AF13" i="3" l="1"/>
  <c r="AF17" i="3"/>
  <c r="AF21" i="3"/>
  <c r="AF30" i="3"/>
  <c r="AF34" i="3"/>
  <c r="C36" i="6"/>
  <c r="D36" i="6"/>
  <c r="E36" i="6"/>
  <c r="F36" i="6"/>
  <c r="G36" i="6"/>
  <c r="I36" i="6"/>
  <c r="J36" i="6"/>
  <c r="K36" i="6"/>
  <c r="L36" i="6"/>
  <c r="M36" i="6"/>
  <c r="N36" i="6"/>
  <c r="P36" i="6"/>
  <c r="Q36" i="6"/>
  <c r="R36" i="6"/>
  <c r="S36" i="6"/>
  <c r="T36" i="6"/>
  <c r="U36" i="6"/>
  <c r="W36" i="6"/>
  <c r="X36" i="6"/>
  <c r="Y36" i="6"/>
  <c r="Z36" i="6"/>
  <c r="AA36" i="6"/>
  <c r="AB36" i="6"/>
  <c r="C34" i="6"/>
  <c r="D34" i="6"/>
  <c r="E34" i="6"/>
  <c r="F34" i="6"/>
  <c r="G34" i="6"/>
  <c r="J34" i="6"/>
  <c r="L34" i="6"/>
  <c r="N34" i="6"/>
  <c r="Q34" i="6"/>
  <c r="S34" i="6"/>
  <c r="U34" i="6"/>
  <c r="X34" i="6"/>
  <c r="Z34" i="6"/>
  <c r="AB34" i="6"/>
  <c r="C35" i="6"/>
  <c r="D35" i="6"/>
  <c r="E35" i="6"/>
  <c r="F35" i="6"/>
  <c r="G35" i="6"/>
  <c r="I35" i="6"/>
  <c r="J35" i="6"/>
  <c r="K35" i="6"/>
  <c r="L35" i="6"/>
  <c r="M35" i="6"/>
  <c r="N35" i="6"/>
  <c r="P35" i="6"/>
  <c r="Q35" i="6"/>
  <c r="R35" i="6"/>
  <c r="S35" i="6"/>
  <c r="T35" i="6"/>
  <c r="U35" i="6"/>
  <c r="W35" i="6"/>
  <c r="X35" i="6"/>
  <c r="Y35" i="6"/>
  <c r="Z35" i="6"/>
  <c r="AA35" i="6"/>
  <c r="AB35" i="6"/>
  <c r="AB25" i="1"/>
  <c r="AB27" i="1"/>
  <c r="AB35" i="1"/>
  <c r="AA48" i="4"/>
  <c r="AB48" i="4"/>
  <c r="AB30" i="4"/>
  <c r="AA30" i="4"/>
  <c r="AA25" i="4"/>
  <c r="AB25" i="4"/>
  <c r="AE47" i="4"/>
  <c r="AD47" i="4"/>
  <c r="AF47" i="4" s="1"/>
  <c r="AE46" i="4"/>
  <c r="AD46" i="4"/>
  <c r="AE45" i="4"/>
  <c r="AD45" i="4"/>
  <c r="AF45" i="4" s="1"/>
  <c r="AE44" i="4"/>
  <c r="AD44" i="4"/>
  <c r="AE43" i="4"/>
  <c r="AD43" i="4"/>
  <c r="AF43" i="4" s="1"/>
  <c r="AE42" i="4"/>
  <c r="AD42" i="4"/>
  <c r="AE41" i="4"/>
  <c r="AD41" i="4"/>
  <c r="AF41" i="4" s="1"/>
  <c r="AE40" i="4"/>
  <c r="AD40" i="4"/>
  <c r="AE39" i="4"/>
  <c r="AD39" i="4"/>
  <c r="AF39" i="4" s="1"/>
  <c r="AE38" i="4"/>
  <c r="AD38" i="4"/>
  <c r="AE37" i="4"/>
  <c r="AD37" i="4"/>
  <c r="AF37" i="4" s="1"/>
  <c r="AE36" i="4"/>
  <c r="AD36" i="4"/>
  <c r="AE35" i="4"/>
  <c r="AD35" i="4"/>
  <c r="AF35" i="4" s="1"/>
  <c r="AE34" i="4"/>
  <c r="AD34" i="4"/>
  <c r="AE33" i="4"/>
  <c r="AD33" i="4"/>
  <c r="AF33" i="4" s="1"/>
  <c r="AE32" i="4"/>
  <c r="AD32" i="4"/>
  <c r="AE31" i="4"/>
  <c r="AD31" i="4"/>
  <c r="AF31" i="4" s="1"/>
  <c r="AE29" i="4"/>
  <c r="AD29" i="4"/>
  <c r="AE28" i="4"/>
  <c r="AD28" i="4"/>
  <c r="AF28" i="4" s="1"/>
  <c r="AE27" i="4"/>
  <c r="AD27" i="4"/>
  <c r="AF27" i="4" s="1"/>
  <c r="AE26" i="4"/>
  <c r="AD26" i="4"/>
  <c r="AF26" i="4" s="1"/>
  <c r="AE24" i="4"/>
  <c r="AD24" i="4"/>
  <c r="AE23" i="4"/>
  <c r="AD23" i="4"/>
  <c r="AF23" i="4" s="1"/>
  <c r="AE22" i="4"/>
  <c r="AD22" i="4"/>
  <c r="AE21" i="4"/>
  <c r="AD21" i="4"/>
  <c r="AF21" i="4" s="1"/>
  <c r="AE20" i="4"/>
  <c r="AD20" i="4"/>
  <c r="AF20" i="4" s="1"/>
  <c r="AE19" i="4"/>
  <c r="AD19" i="4"/>
  <c r="AF19" i="4" s="1"/>
  <c r="AE18" i="4"/>
  <c r="AD18" i="4"/>
  <c r="AF18" i="4" s="1"/>
  <c r="AE17" i="4"/>
  <c r="AD17" i="4"/>
  <c r="AF17" i="4" s="1"/>
  <c r="AE16" i="4"/>
  <c r="AD16" i="4"/>
  <c r="AF16" i="4" s="1"/>
  <c r="AE15" i="4"/>
  <c r="AD15" i="4"/>
  <c r="AF15" i="4" s="1"/>
  <c r="AE14" i="4"/>
  <c r="AD14" i="4"/>
  <c r="AF14" i="4" s="1"/>
  <c r="AE13" i="4"/>
  <c r="AD13" i="4"/>
  <c r="AF13" i="4" s="1"/>
  <c r="AE12" i="4"/>
  <c r="AD12" i="4"/>
  <c r="AF12" i="4" s="1"/>
  <c r="AE11" i="4"/>
  <c r="AD11" i="4"/>
  <c r="AF11" i="4" s="1"/>
  <c r="AE36" i="3"/>
  <c r="AE36" i="6" s="1"/>
  <c r="AD36" i="3"/>
  <c r="AD36" i="6" s="1"/>
  <c r="AE35" i="3"/>
  <c r="AD35" i="3"/>
  <c r="AF35" i="3" s="1"/>
  <c r="AE34" i="3"/>
  <c r="AD34" i="3"/>
  <c r="AE33" i="3"/>
  <c r="AD33" i="3"/>
  <c r="AF33" i="3" s="1"/>
  <c r="AE32" i="3"/>
  <c r="AD32" i="3"/>
  <c r="AF32" i="3" s="1"/>
  <c r="AE31" i="3"/>
  <c r="AD31" i="3"/>
  <c r="AF31" i="3" s="1"/>
  <c r="AE30" i="3"/>
  <c r="AD30" i="3"/>
  <c r="AE29" i="3"/>
  <c r="AD29" i="3"/>
  <c r="AF29" i="3" s="1"/>
  <c r="AE28" i="3"/>
  <c r="AD28" i="3"/>
  <c r="AF28" i="3" s="1"/>
  <c r="AE26" i="3"/>
  <c r="AF26" i="3" s="1"/>
  <c r="AD26" i="3"/>
  <c r="AE25" i="3"/>
  <c r="AD25" i="3"/>
  <c r="AF25" i="3" s="1"/>
  <c r="AE24" i="3"/>
  <c r="AD24" i="3"/>
  <c r="AF24" i="3" s="1"/>
  <c r="AE22" i="3"/>
  <c r="AD22" i="3"/>
  <c r="AF22" i="3" s="1"/>
  <c r="AE21" i="3"/>
  <c r="AD21" i="3"/>
  <c r="AE20" i="3"/>
  <c r="AD20" i="3"/>
  <c r="AF20" i="3" s="1"/>
  <c r="AE19" i="3"/>
  <c r="AD19" i="3"/>
  <c r="AF19" i="3" s="1"/>
  <c r="AE18" i="3"/>
  <c r="AD18" i="3"/>
  <c r="AF18" i="3" s="1"/>
  <c r="AE17" i="3"/>
  <c r="AD17" i="3"/>
  <c r="AE16" i="3"/>
  <c r="AD16" i="3"/>
  <c r="AF16" i="3" s="1"/>
  <c r="AE15" i="3"/>
  <c r="AD15" i="3"/>
  <c r="AF15" i="3" s="1"/>
  <c r="AE14" i="3"/>
  <c r="AD14" i="3"/>
  <c r="AF14" i="3" s="1"/>
  <c r="AE13" i="3"/>
  <c r="AD13" i="3"/>
  <c r="AE12" i="3"/>
  <c r="AD12" i="3"/>
  <c r="AF12" i="3" s="1"/>
  <c r="AE52" i="2"/>
  <c r="AD52" i="2"/>
  <c r="AF52" i="2" s="1"/>
  <c r="AE49" i="2"/>
  <c r="AE35" i="6" s="1"/>
  <c r="AD49" i="2"/>
  <c r="AD35" i="6" s="1"/>
  <c r="AE48" i="2"/>
  <c r="AD48" i="2"/>
  <c r="AE47" i="2"/>
  <c r="AD47" i="2"/>
  <c r="AF47" i="2" s="1"/>
  <c r="AE46" i="2"/>
  <c r="AD46" i="2"/>
  <c r="AF46" i="2" s="1"/>
  <c r="AE45" i="2"/>
  <c r="AD45" i="2"/>
  <c r="AF45" i="2" s="1"/>
  <c r="AE44" i="2"/>
  <c r="AE34" i="6" s="1"/>
  <c r="AE43" i="2"/>
  <c r="AD43" i="2"/>
  <c r="AE42" i="2"/>
  <c r="AE40" i="2"/>
  <c r="AD40" i="2"/>
  <c r="AF40" i="2" s="1"/>
  <c r="AE39" i="2"/>
  <c r="AD39" i="2"/>
  <c r="AF39" i="2" s="1"/>
  <c r="AE38" i="2"/>
  <c r="AD38" i="2"/>
  <c r="AE37" i="2"/>
  <c r="AD37" i="2"/>
  <c r="AF37" i="2" s="1"/>
  <c r="AE35" i="2"/>
  <c r="AD35" i="2"/>
  <c r="AF35" i="2" s="1"/>
  <c r="AE34" i="2"/>
  <c r="AD34" i="2"/>
  <c r="AF34" i="2" s="1"/>
  <c r="AE33" i="2"/>
  <c r="AD33" i="2"/>
  <c r="AF33" i="2" s="1"/>
  <c r="AE32" i="2"/>
  <c r="AD32" i="2"/>
  <c r="AF32" i="2" s="1"/>
  <c r="AE31" i="2"/>
  <c r="AD31" i="2"/>
  <c r="AF31" i="2" s="1"/>
  <c r="AE30" i="2"/>
  <c r="AE29" i="2"/>
  <c r="AD29" i="2"/>
  <c r="AE28" i="2"/>
  <c r="AE27" i="2"/>
  <c r="AE26" i="2"/>
  <c r="AD26" i="2"/>
  <c r="AF26" i="2" s="1"/>
  <c r="AE25" i="2"/>
  <c r="AD25" i="2"/>
  <c r="AE24" i="2"/>
  <c r="AD24" i="2"/>
  <c r="AE23" i="2"/>
  <c r="AD23" i="2"/>
  <c r="AE22" i="2"/>
  <c r="AE21" i="2"/>
  <c r="AE20" i="2"/>
  <c r="AD20" i="2"/>
  <c r="AE19" i="2"/>
  <c r="AE18" i="2"/>
  <c r="AE17" i="2"/>
  <c r="AE16" i="2"/>
  <c r="AE15" i="2"/>
  <c r="AE14" i="2"/>
  <c r="AE13" i="2"/>
  <c r="AE12" i="2"/>
  <c r="AE37" i="1"/>
  <c r="AD37" i="1"/>
  <c r="AF37" i="1" s="1"/>
  <c r="AE34" i="1"/>
  <c r="AD34" i="1"/>
  <c r="AE33" i="1"/>
  <c r="AD33" i="1"/>
  <c r="AD32" i="1"/>
  <c r="AD31" i="1"/>
  <c r="AE30" i="1"/>
  <c r="AD30" i="1"/>
  <c r="AE29" i="1"/>
  <c r="AD29" i="1"/>
  <c r="AE28" i="1"/>
  <c r="AF28" i="1" s="1"/>
  <c r="AD28" i="1"/>
  <c r="AE26" i="1"/>
  <c r="AD26" i="1"/>
  <c r="AE24" i="1"/>
  <c r="AF24" i="1" s="1"/>
  <c r="AD24" i="1"/>
  <c r="AE23" i="1"/>
  <c r="AD23" i="1"/>
  <c r="AF23" i="1" s="1"/>
  <c r="AE22" i="1"/>
  <c r="AD22" i="1"/>
  <c r="AE21" i="1"/>
  <c r="AD21" i="1"/>
  <c r="AF21" i="1" s="1"/>
  <c r="AE20" i="1"/>
  <c r="AF20" i="1" s="1"/>
  <c r="AD20" i="1"/>
  <c r="AE19" i="1"/>
  <c r="AD19" i="1"/>
  <c r="AF19" i="1" s="1"/>
  <c r="AE18" i="1"/>
  <c r="AD18" i="1"/>
  <c r="AE17" i="1"/>
  <c r="AD17" i="1"/>
  <c r="AF17" i="1" s="1"/>
  <c r="AE16" i="1"/>
  <c r="AF16" i="1" s="1"/>
  <c r="AD16" i="1"/>
  <c r="AE15" i="1"/>
  <c r="AD15" i="1"/>
  <c r="AE14" i="1"/>
  <c r="AD14" i="1"/>
  <c r="AE13" i="1"/>
  <c r="AD13" i="1"/>
  <c r="AE12" i="1"/>
  <c r="AD12" i="1"/>
  <c r="C38" i="6"/>
  <c r="D38" i="6"/>
  <c r="E38" i="6"/>
  <c r="F38" i="6"/>
  <c r="G38" i="6"/>
  <c r="I38" i="6"/>
  <c r="J38" i="6"/>
  <c r="L38" i="6"/>
  <c r="M38" i="6"/>
  <c r="N38" i="6"/>
  <c r="P38" i="6"/>
  <c r="Q38" i="6"/>
  <c r="R38" i="6"/>
  <c r="S38" i="6"/>
  <c r="T38" i="6"/>
  <c r="U38" i="6"/>
  <c r="W38" i="6"/>
  <c r="X38" i="6"/>
  <c r="Y38" i="6"/>
  <c r="Z38" i="6"/>
  <c r="AA38" i="6"/>
  <c r="AB38" i="6"/>
  <c r="C37" i="6"/>
  <c r="D37" i="6"/>
  <c r="E37" i="6"/>
  <c r="F37" i="6"/>
  <c r="G37" i="6"/>
  <c r="I37" i="6"/>
  <c r="J37" i="6"/>
  <c r="K37" i="6"/>
  <c r="L37" i="6"/>
  <c r="M37" i="6"/>
  <c r="N37" i="6"/>
  <c r="P37" i="6"/>
  <c r="Q37" i="6"/>
  <c r="R37" i="6"/>
  <c r="S37" i="6"/>
  <c r="T37" i="6"/>
  <c r="U37" i="6"/>
  <c r="W37" i="6"/>
  <c r="X37" i="6"/>
  <c r="Y37" i="6"/>
  <c r="Z37" i="6"/>
  <c r="AA37" i="6"/>
  <c r="AB37" i="6"/>
  <c r="B37" i="6"/>
  <c r="C13" i="6"/>
  <c r="D13" i="6"/>
  <c r="E13" i="6"/>
  <c r="F13" i="6"/>
  <c r="G13" i="6"/>
  <c r="I13" i="6"/>
  <c r="J13" i="6"/>
  <c r="K13" i="6"/>
  <c r="L13" i="6"/>
  <c r="M13" i="6"/>
  <c r="N13" i="6"/>
  <c r="P13" i="6"/>
  <c r="Q13" i="6"/>
  <c r="R13" i="6"/>
  <c r="S13" i="6"/>
  <c r="T13" i="6"/>
  <c r="U13" i="6"/>
  <c r="W13" i="6"/>
  <c r="X13" i="6"/>
  <c r="Y13" i="6"/>
  <c r="Z13" i="6"/>
  <c r="AA13" i="6"/>
  <c r="AB13" i="6"/>
  <c r="B13" i="6"/>
  <c r="C37" i="3"/>
  <c r="D37" i="3"/>
  <c r="E37" i="3"/>
  <c r="F37" i="3"/>
  <c r="G37" i="3"/>
  <c r="I37" i="3"/>
  <c r="J37" i="3"/>
  <c r="K37" i="3"/>
  <c r="L37" i="3"/>
  <c r="M37" i="3"/>
  <c r="N37" i="3"/>
  <c r="P37" i="3"/>
  <c r="Q37" i="3"/>
  <c r="R37" i="3"/>
  <c r="S37" i="3"/>
  <c r="T37" i="3"/>
  <c r="U37" i="3"/>
  <c r="W37" i="3"/>
  <c r="X37" i="3"/>
  <c r="Y37" i="3"/>
  <c r="Z37" i="3"/>
  <c r="AA37" i="3"/>
  <c r="AB37" i="3"/>
  <c r="B37" i="3"/>
  <c r="C23" i="3"/>
  <c r="D23" i="3"/>
  <c r="E23" i="3"/>
  <c r="F23" i="3"/>
  <c r="G23" i="3"/>
  <c r="I23" i="3"/>
  <c r="J23" i="3"/>
  <c r="K23" i="3"/>
  <c r="L23" i="3"/>
  <c r="M23" i="3"/>
  <c r="N23" i="3"/>
  <c r="P23" i="3"/>
  <c r="Q23" i="3"/>
  <c r="R23" i="3"/>
  <c r="S23" i="3"/>
  <c r="T23" i="3"/>
  <c r="U23" i="3"/>
  <c r="W23" i="3"/>
  <c r="X23" i="3"/>
  <c r="Y23" i="3"/>
  <c r="Z23" i="3"/>
  <c r="AA23" i="3"/>
  <c r="AB23" i="3"/>
  <c r="B23" i="3"/>
  <c r="AD23" i="3" s="1"/>
  <c r="AB18" i="6"/>
  <c r="AA18" i="6"/>
  <c r="Z18" i="6"/>
  <c r="Y18" i="6"/>
  <c r="X18" i="6"/>
  <c r="W18" i="6"/>
  <c r="U18" i="6"/>
  <c r="T18" i="6"/>
  <c r="S18" i="6"/>
  <c r="R18" i="6"/>
  <c r="Q18" i="6"/>
  <c r="P18" i="6"/>
  <c r="N18" i="6"/>
  <c r="M18" i="6"/>
  <c r="L18" i="6"/>
  <c r="K18" i="6"/>
  <c r="J18" i="6"/>
  <c r="I18" i="6"/>
  <c r="G18" i="6"/>
  <c r="F18" i="6"/>
  <c r="E18" i="6"/>
  <c r="D18" i="6"/>
  <c r="C18" i="6"/>
  <c r="B18" i="6"/>
  <c r="AF22" i="4" l="1"/>
  <c r="AF24" i="4"/>
  <c r="AF29" i="4"/>
  <c r="AF32" i="4"/>
  <c r="AF34" i="4"/>
  <c r="AF36" i="4"/>
  <c r="AF38" i="4"/>
  <c r="AF40" i="4"/>
  <c r="AF42" i="4"/>
  <c r="AF44" i="4"/>
  <c r="AF46" i="4"/>
  <c r="AD37" i="3"/>
  <c r="AF37" i="3" s="1"/>
  <c r="AF13" i="1"/>
  <c r="AF15" i="1"/>
  <c r="AF26" i="1"/>
  <c r="AF29" i="1"/>
  <c r="AF34" i="1"/>
  <c r="AF20" i="2"/>
  <c r="AF23" i="2"/>
  <c r="AF25" i="2"/>
  <c r="AF43" i="2"/>
  <c r="AF36" i="3"/>
  <c r="AF12" i="1"/>
  <c r="AF14" i="1"/>
  <c r="AF18" i="1"/>
  <c r="AF22" i="1"/>
  <c r="AF30" i="1"/>
  <c r="AF33" i="1"/>
  <c r="AF24" i="2"/>
  <c r="AF29" i="2"/>
  <c r="AF38" i="2"/>
  <c r="AF48" i="2"/>
  <c r="AF35" i="6"/>
  <c r="AD37" i="6"/>
  <c r="AF36" i="6"/>
  <c r="AF49" i="2"/>
  <c r="AD18" i="6"/>
  <c r="AE18" i="6"/>
  <c r="AE37" i="3"/>
  <c r="AE23" i="3"/>
  <c r="AF23" i="3" s="1"/>
  <c r="AD13" i="6"/>
  <c r="AE13" i="6"/>
  <c r="AE37" i="6"/>
  <c r="AE38" i="6"/>
  <c r="AF37" i="6" l="1"/>
  <c r="AF18" i="6"/>
  <c r="AF13" i="6"/>
  <c r="B16" i="6" l="1"/>
  <c r="D16" i="6"/>
  <c r="E16" i="6"/>
  <c r="F16" i="6"/>
  <c r="G16" i="6"/>
  <c r="I16" i="6"/>
  <c r="J16" i="6"/>
  <c r="K16" i="6"/>
  <c r="L16" i="6"/>
  <c r="M16" i="6"/>
  <c r="P16" i="6"/>
  <c r="Q16" i="6"/>
  <c r="R16" i="6"/>
  <c r="S16" i="6"/>
  <c r="T16" i="6"/>
  <c r="U16" i="6"/>
  <c r="W16" i="6"/>
  <c r="X16" i="6"/>
  <c r="Y16" i="6"/>
  <c r="Z16" i="6"/>
  <c r="AA16" i="6"/>
  <c r="AB16" i="6"/>
  <c r="C16" i="6"/>
  <c r="C14" i="6"/>
  <c r="D14" i="6"/>
  <c r="E14" i="6"/>
  <c r="F14" i="6"/>
  <c r="G14" i="6"/>
  <c r="I14" i="6"/>
  <c r="J14" i="6"/>
  <c r="K14" i="6"/>
  <c r="L14" i="6"/>
  <c r="M14" i="6"/>
  <c r="N14" i="6"/>
  <c r="P14" i="6"/>
  <c r="Q14" i="6"/>
  <c r="R14" i="6"/>
  <c r="S14" i="6"/>
  <c r="T14" i="6"/>
  <c r="U14" i="6"/>
  <c r="W14" i="6"/>
  <c r="X14" i="6"/>
  <c r="Y14" i="6"/>
  <c r="Z14" i="6"/>
  <c r="AA14" i="6"/>
  <c r="AB14" i="6"/>
  <c r="B14" i="6"/>
  <c r="C50" i="2"/>
  <c r="L50" i="2"/>
  <c r="U50" i="2"/>
  <c r="C19" i="6"/>
  <c r="D19" i="6"/>
  <c r="E19" i="6"/>
  <c r="F19" i="6"/>
  <c r="G19" i="6"/>
  <c r="I19" i="6"/>
  <c r="J19" i="6"/>
  <c r="K19" i="6"/>
  <c r="L19" i="6"/>
  <c r="M19" i="6"/>
  <c r="N19" i="6"/>
  <c r="P19" i="6"/>
  <c r="Q19" i="6"/>
  <c r="R19" i="6"/>
  <c r="S19" i="6"/>
  <c r="T19" i="6"/>
  <c r="U19" i="6"/>
  <c r="W19" i="6"/>
  <c r="X19" i="6"/>
  <c r="Y19" i="6"/>
  <c r="Z19" i="6"/>
  <c r="AA19" i="6"/>
  <c r="AB19" i="6"/>
  <c r="C41" i="6"/>
  <c r="D41" i="6"/>
  <c r="E41" i="6"/>
  <c r="F41" i="6"/>
  <c r="G41" i="6"/>
  <c r="I41" i="6"/>
  <c r="J41" i="6"/>
  <c r="K41" i="6"/>
  <c r="L41" i="6"/>
  <c r="M41" i="6"/>
  <c r="N41" i="6"/>
  <c r="P41" i="6"/>
  <c r="Q41" i="6"/>
  <c r="R41" i="6"/>
  <c r="S41" i="6"/>
  <c r="T41" i="6"/>
  <c r="U41" i="6"/>
  <c r="W41" i="6"/>
  <c r="X41" i="6"/>
  <c r="Y41" i="6"/>
  <c r="Z41" i="6"/>
  <c r="AA41" i="6"/>
  <c r="AB41" i="6"/>
  <c r="B41" i="6"/>
  <c r="B36" i="6"/>
  <c r="B35" i="6"/>
  <c r="B34" i="6"/>
  <c r="C33" i="6"/>
  <c r="D33" i="6"/>
  <c r="E33" i="6"/>
  <c r="F33" i="6"/>
  <c r="G33" i="6"/>
  <c r="I33" i="6"/>
  <c r="J33" i="6"/>
  <c r="K33" i="6"/>
  <c r="L33" i="6"/>
  <c r="M33" i="6"/>
  <c r="N33" i="6"/>
  <c r="P33" i="6"/>
  <c r="Q33" i="6"/>
  <c r="R33" i="6"/>
  <c r="S33" i="6"/>
  <c r="T33" i="6"/>
  <c r="U33" i="6"/>
  <c r="W33" i="6"/>
  <c r="X33" i="6"/>
  <c r="Y33" i="6"/>
  <c r="Z33" i="6"/>
  <c r="AA33" i="6"/>
  <c r="AB33" i="6"/>
  <c r="B33" i="6"/>
  <c r="C30" i="6"/>
  <c r="D30" i="6"/>
  <c r="E30" i="6"/>
  <c r="F30" i="6"/>
  <c r="G30" i="6"/>
  <c r="I30" i="6"/>
  <c r="J30" i="6"/>
  <c r="K30" i="6"/>
  <c r="L30" i="6"/>
  <c r="M30" i="6"/>
  <c r="N30" i="6"/>
  <c r="P30" i="6"/>
  <c r="Q30" i="6"/>
  <c r="R30" i="6"/>
  <c r="S30" i="6"/>
  <c r="T30" i="6"/>
  <c r="U30" i="6"/>
  <c r="W30" i="6"/>
  <c r="X30" i="6"/>
  <c r="Y30" i="6"/>
  <c r="Z30" i="6"/>
  <c r="AA30" i="6"/>
  <c r="AB30" i="6"/>
  <c r="C31" i="6"/>
  <c r="D31" i="6"/>
  <c r="E31" i="6"/>
  <c r="F31" i="6"/>
  <c r="G31" i="6"/>
  <c r="I31" i="6"/>
  <c r="J31" i="6"/>
  <c r="K31" i="6"/>
  <c r="L31" i="6"/>
  <c r="M31" i="6"/>
  <c r="N31" i="6"/>
  <c r="P31" i="6"/>
  <c r="Q31" i="6"/>
  <c r="R31" i="6"/>
  <c r="S31" i="6"/>
  <c r="T31" i="6"/>
  <c r="U31" i="6"/>
  <c r="W31" i="6"/>
  <c r="X31" i="6"/>
  <c r="Y31" i="6"/>
  <c r="Z31" i="6"/>
  <c r="AA31" i="6"/>
  <c r="AB31" i="6"/>
  <c r="C32" i="6"/>
  <c r="D32" i="6"/>
  <c r="E32" i="6"/>
  <c r="F32" i="6"/>
  <c r="G32" i="6"/>
  <c r="I32" i="6"/>
  <c r="J32" i="6"/>
  <c r="K32" i="6"/>
  <c r="L32" i="6"/>
  <c r="M32" i="6"/>
  <c r="N32" i="6"/>
  <c r="P32" i="6"/>
  <c r="Q32" i="6"/>
  <c r="R32" i="6"/>
  <c r="S32" i="6"/>
  <c r="T32" i="6"/>
  <c r="U32" i="6"/>
  <c r="W32" i="6"/>
  <c r="X32" i="6"/>
  <c r="Y32" i="6"/>
  <c r="Z32" i="6"/>
  <c r="AA32" i="6"/>
  <c r="AB32" i="6"/>
  <c r="B32" i="6"/>
  <c r="B31" i="6"/>
  <c r="B30" i="6"/>
  <c r="C29" i="6"/>
  <c r="D29" i="6"/>
  <c r="E29" i="6"/>
  <c r="F29" i="6"/>
  <c r="G29" i="6"/>
  <c r="I29" i="6"/>
  <c r="J29" i="6"/>
  <c r="K29" i="6"/>
  <c r="L29" i="6"/>
  <c r="M29" i="6"/>
  <c r="N29" i="6"/>
  <c r="P29" i="6"/>
  <c r="Q29" i="6"/>
  <c r="R29" i="6"/>
  <c r="S29" i="6"/>
  <c r="T29" i="6"/>
  <c r="U29" i="6"/>
  <c r="W29" i="6"/>
  <c r="X29" i="6"/>
  <c r="Y29" i="6"/>
  <c r="Z29" i="6"/>
  <c r="AA29" i="6"/>
  <c r="AB29" i="6"/>
  <c r="B29" i="6"/>
  <c r="C28" i="6"/>
  <c r="D28" i="6"/>
  <c r="E28" i="6"/>
  <c r="F28" i="6"/>
  <c r="G28" i="6"/>
  <c r="I28" i="6"/>
  <c r="J28" i="6"/>
  <c r="K28" i="6"/>
  <c r="L28" i="6"/>
  <c r="M28" i="6"/>
  <c r="N28" i="6"/>
  <c r="P28" i="6"/>
  <c r="Q28" i="6"/>
  <c r="R28" i="6"/>
  <c r="S28" i="6"/>
  <c r="T28" i="6"/>
  <c r="U28" i="6"/>
  <c r="W28" i="6"/>
  <c r="X28" i="6"/>
  <c r="Y28" i="6"/>
  <c r="Z28" i="6"/>
  <c r="AA28" i="6"/>
  <c r="AB28" i="6"/>
  <c r="B28" i="6"/>
  <c r="C27" i="6"/>
  <c r="D27" i="6"/>
  <c r="E27" i="6"/>
  <c r="F27" i="6"/>
  <c r="G27" i="6"/>
  <c r="I27" i="6"/>
  <c r="J27" i="6"/>
  <c r="K27" i="6"/>
  <c r="L27" i="6"/>
  <c r="M27" i="6"/>
  <c r="N27" i="6"/>
  <c r="P27" i="6"/>
  <c r="Q27" i="6"/>
  <c r="R27" i="6"/>
  <c r="S27" i="6"/>
  <c r="T27" i="6"/>
  <c r="U27" i="6"/>
  <c r="W27" i="6"/>
  <c r="X27" i="6"/>
  <c r="Y27" i="6"/>
  <c r="Z27" i="6"/>
  <c r="AA27" i="6"/>
  <c r="AB27" i="6"/>
  <c r="B27" i="6"/>
  <c r="C26" i="6"/>
  <c r="D26" i="6"/>
  <c r="E26" i="6"/>
  <c r="F26" i="6"/>
  <c r="G26" i="6"/>
  <c r="I26" i="6"/>
  <c r="J26" i="6"/>
  <c r="K26" i="6"/>
  <c r="L26" i="6"/>
  <c r="M26" i="6"/>
  <c r="N26" i="6"/>
  <c r="P26" i="6"/>
  <c r="Q26" i="6"/>
  <c r="R26" i="6"/>
  <c r="S26" i="6"/>
  <c r="T26" i="6"/>
  <c r="U26" i="6"/>
  <c r="W26" i="6"/>
  <c r="X26" i="6"/>
  <c r="Y26" i="6"/>
  <c r="Z26" i="6"/>
  <c r="AA26" i="6"/>
  <c r="AB26" i="6"/>
  <c r="B26" i="6"/>
  <c r="C25" i="6"/>
  <c r="D25" i="6"/>
  <c r="E25" i="6"/>
  <c r="F25" i="6"/>
  <c r="G25" i="6"/>
  <c r="I25" i="6"/>
  <c r="J25" i="6"/>
  <c r="K25" i="6"/>
  <c r="L25" i="6"/>
  <c r="M25" i="6"/>
  <c r="N25" i="6"/>
  <c r="P25" i="6"/>
  <c r="Q25" i="6"/>
  <c r="R25" i="6"/>
  <c r="S25" i="6"/>
  <c r="T25" i="6"/>
  <c r="U25" i="6"/>
  <c r="W25" i="6"/>
  <c r="X25" i="6"/>
  <c r="Y25" i="6"/>
  <c r="Z25" i="6"/>
  <c r="AA25" i="6"/>
  <c r="AB25" i="6"/>
  <c r="B25" i="6"/>
  <c r="C24" i="6"/>
  <c r="D24" i="6"/>
  <c r="E24" i="6"/>
  <c r="F24" i="6"/>
  <c r="G24" i="6"/>
  <c r="I24" i="6"/>
  <c r="J24" i="6"/>
  <c r="K24" i="6"/>
  <c r="L24" i="6"/>
  <c r="M24" i="6"/>
  <c r="N24" i="6"/>
  <c r="P24" i="6"/>
  <c r="Q24" i="6"/>
  <c r="R24" i="6"/>
  <c r="S24" i="6"/>
  <c r="T24" i="6"/>
  <c r="U24" i="6"/>
  <c r="W24" i="6"/>
  <c r="X24" i="6"/>
  <c r="Y24" i="6"/>
  <c r="Z24" i="6"/>
  <c r="AA24" i="6"/>
  <c r="AB24" i="6"/>
  <c r="B24" i="6"/>
  <c r="C23" i="6"/>
  <c r="D23" i="6"/>
  <c r="E23" i="6"/>
  <c r="F23" i="6"/>
  <c r="G23" i="6"/>
  <c r="I23" i="6"/>
  <c r="J23" i="6"/>
  <c r="K23" i="6"/>
  <c r="L23" i="6"/>
  <c r="M23" i="6"/>
  <c r="N23" i="6"/>
  <c r="P23" i="6"/>
  <c r="Q23" i="6"/>
  <c r="R23" i="6"/>
  <c r="S23" i="6"/>
  <c r="T23" i="6"/>
  <c r="U23" i="6"/>
  <c r="W23" i="6"/>
  <c r="X23" i="6"/>
  <c r="Y23" i="6"/>
  <c r="Z23" i="6"/>
  <c r="AA23" i="6"/>
  <c r="AB23" i="6"/>
  <c r="B23" i="6"/>
  <c r="C22" i="6"/>
  <c r="D22" i="6"/>
  <c r="E22" i="6"/>
  <c r="F22" i="6"/>
  <c r="G22" i="6"/>
  <c r="I22" i="6"/>
  <c r="J22" i="6"/>
  <c r="K22" i="6"/>
  <c r="L22" i="6"/>
  <c r="M22" i="6"/>
  <c r="N22" i="6"/>
  <c r="P22" i="6"/>
  <c r="Q22" i="6"/>
  <c r="R22" i="6"/>
  <c r="S22" i="6"/>
  <c r="T22" i="6"/>
  <c r="U22" i="6"/>
  <c r="W22" i="6"/>
  <c r="X22" i="6"/>
  <c r="Y22" i="6"/>
  <c r="Z22" i="6"/>
  <c r="AA22" i="6"/>
  <c r="AB22" i="6"/>
  <c r="B22" i="6"/>
  <c r="C21" i="6"/>
  <c r="D21" i="6"/>
  <c r="E21" i="6"/>
  <c r="F21" i="6"/>
  <c r="G21" i="6"/>
  <c r="I21" i="6"/>
  <c r="J21" i="6"/>
  <c r="K21" i="6"/>
  <c r="L21" i="6"/>
  <c r="M21" i="6"/>
  <c r="N21" i="6"/>
  <c r="P21" i="6"/>
  <c r="Q21" i="6"/>
  <c r="R21" i="6"/>
  <c r="S21" i="6"/>
  <c r="T21" i="6"/>
  <c r="U21" i="6"/>
  <c r="W21" i="6"/>
  <c r="X21" i="6"/>
  <c r="Y21" i="6"/>
  <c r="Z21" i="6"/>
  <c r="AA21" i="6"/>
  <c r="AB21" i="6"/>
  <c r="B21" i="6"/>
  <c r="C20" i="6"/>
  <c r="D20" i="6"/>
  <c r="E20" i="6"/>
  <c r="F20" i="6"/>
  <c r="G20" i="6"/>
  <c r="I20" i="6"/>
  <c r="J20" i="6"/>
  <c r="K20" i="6"/>
  <c r="L20" i="6"/>
  <c r="M20" i="6"/>
  <c r="N20" i="6"/>
  <c r="P20" i="6"/>
  <c r="Q20" i="6"/>
  <c r="R20" i="6"/>
  <c r="S20" i="6"/>
  <c r="T20" i="6"/>
  <c r="U20" i="6"/>
  <c r="W20" i="6"/>
  <c r="X20" i="6"/>
  <c r="Y20" i="6"/>
  <c r="Z20" i="6"/>
  <c r="AA20" i="6"/>
  <c r="AB20" i="6"/>
  <c r="B20" i="6"/>
  <c r="B19" i="6"/>
  <c r="C17" i="6"/>
  <c r="D17" i="6"/>
  <c r="E17" i="6"/>
  <c r="F17" i="6"/>
  <c r="G17" i="6"/>
  <c r="I17" i="6"/>
  <c r="J17" i="6"/>
  <c r="K17" i="6"/>
  <c r="L17" i="6"/>
  <c r="M17" i="6"/>
  <c r="N17" i="6"/>
  <c r="P17" i="6"/>
  <c r="Q17" i="6"/>
  <c r="R17" i="6"/>
  <c r="S17" i="6"/>
  <c r="T17" i="6"/>
  <c r="U17" i="6"/>
  <c r="W17" i="6"/>
  <c r="X17" i="6"/>
  <c r="Y17" i="6"/>
  <c r="AA17" i="6"/>
  <c r="AB17" i="6"/>
  <c r="B17" i="6"/>
  <c r="C15" i="6"/>
  <c r="D15" i="6"/>
  <c r="E15" i="6"/>
  <c r="F15" i="6"/>
  <c r="G15" i="6"/>
  <c r="I15" i="6"/>
  <c r="J15" i="6"/>
  <c r="K15" i="6"/>
  <c r="L15" i="6"/>
  <c r="M15" i="6"/>
  <c r="N15" i="6"/>
  <c r="P15" i="6"/>
  <c r="Q15" i="6"/>
  <c r="R15" i="6"/>
  <c r="S15" i="6"/>
  <c r="T15" i="6"/>
  <c r="U15" i="6"/>
  <c r="W15" i="6"/>
  <c r="X15" i="6"/>
  <c r="Y15" i="6"/>
  <c r="Z15" i="6"/>
  <c r="AA15" i="6"/>
  <c r="AB15" i="6"/>
  <c r="C48" i="4"/>
  <c r="G48" i="4"/>
  <c r="I48" i="4"/>
  <c r="L48" i="4"/>
  <c r="M48" i="4"/>
  <c r="Q48" i="4"/>
  <c r="W48" i="4"/>
  <c r="Z48" i="4"/>
  <c r="B48" i="4"/>
  <c r="B15" i="6"/>
  <c r="K48" i="4"/>
  <c r="R48" i="4"/>
  <c r="T48" i="4"/>
  <c r="U48" i="4"/>
  <c r="D48" i="4"/>
  <c r="E48" i="4"/>
  <c r="F48" i="4"/>
  <c r="J48" i="4"/>
  <c r="N48" i="4"/>
  <c r="P48" i="4"/>
  <c r="X48" i="4"/>
  <c r="Y48" i="4"/>
  <c r="C30" i="4"/>
  <c r="D30" i="4"/>
  <c r="E30" i="4"/>
  <c r="F30" i="4"/>
  <c r="G30" i="4"/>
  <c r="I30" i="4"/>
  <c r="J30" i="4"/>
  <c r="K30" i="4"/>
  <c r="L30" i="4"/>
  <c r="M30" i="4"/>
  <c r="N30" i="4"/>
  <c r="P30" i="4"/>
  <c r="Q30" i="4"/>
  <c r="R30" i="4"/>
  <c r="S30" i="4"/>
  <c r="T30" i="4"/>
  <c r="U30" i="4"/>
  <c r="W30" i="4"/>
  <c r="X30" i="4"/>
  <c r="Y30" i="4"/>
  <c r="Z30" i="4"/>
  <c r="B30" i="4"/>
  <c r="C25" i="4"/>
  <c r="D25" i="4"/>
  <c r="E25" i="4"/>
  <c r="F25" i="4"/>
  <c r="G25" i="4"/>
  <c r="I25" i="4"/>
  <c r="J25" i="4"/>
  <c r="K25" i="4"/>
  <c r="L25" i="4"/>
  <c r="M25" i="4"/>
  <c r="N25" i="4"/>
  <c r="P25" i="4"/>
  <c r="Q25" i="4"/>
  <c r="R25" i="4"/>
  <c r="S25" i="4"/>
  <c r="T25" i="4"/>
  <c r="U25" i="4"/>
  <c r="W25" i="4"/>
  <c r="X25" i="4"/>
  <c r="Y25" i="4"/>
  <c r="Z25" i="4"/>
  <c r="B25" i="4"/>
  <c r="C27" i="3"/>
  <c r="C39" i="3" s="1"/>
  <c r="D27" i="3"/>
  <c r="D39" i="3" s="1"/>
  <c r="E27" i="3"/>
  <c r="F27" i="3"/>
  <c r="F39" i="3" s="1"/>
  <c r="G27" i="3"/>
  <c r="G39" i="3" s="1"/>
  <c r="I27" i="3"/>
  <c r="I39" i="3" s="1"/>
  <c r="J27" i="3"/>
  <c r="J39" i="3" s="1"/>
  <c r="K27" i="3"/>
  <c r="K39" i="3" s="1"/>
  <c r="L27" i="3"/>
  <c r="L39" i="3" s="1"/>
  <c r="M27" i="3"/>
  <c r="M39" i="3" s="1"/>
  <c r="N27" i="3"/>
  <c r="N39" i="3" s="1"/>
  <c r="P27" i="3"/>
  <c r="P39" i="3" s="1"/>
  <c r="Q27" i="3"/>
  <c r="Q39" i="3" s="1"/>
  <c r="R27" i="3"/>
  <c r="R39" i="3" s="1"/>
  <c r="S27" i="3"/>
  <c r="S39" i="3" s="1"/>
  <c r="T27" i="3"/>
  <c r="T39" i="3" s="1"/>
  <c r="U27" i="3"/>
  <c r="U39" i="3" s="1"/>
  <c r="W27" i="3"/>
  <c r="W39" i="3" s="1"/>
  <c r="X27" i="3"/>
  <c r="X39" i="3" s="1"/>
  <c r="Y27" i="3"/>
  <c r="Y39" i="3" s="1"/>
  <c r="Z27" i="3"/>
  <c r="Z39" i="3" s="1"/>
  <c r="AA27" i="3"/>
  <c r="AA39" i="3" s="1"/>
  <c r="AB27" i="3"/>
  <c r="AB39" i="3" s="1"/>
  <c r="B27" i="3"/>
  <c r="E50" i="2"/>
  <c r="G50" i="2"/>
  <c r="J50" i="2"/>
  <c r="N50" i="2"/>
  <c r="Q50" i="2"/>
  <c r="S50" i="2"/>
  <c r="X50" i="2"/>
  <c r="Z50" i="2"/>
  <c r="AB50" i="2"/>
  <c r="C41" i="2"/>
  <c r="D41" i="2"/>
  <c r="E41" i="2"/>
  <c r="F41" i="2"/>
  <c r="G41" i="2"/>
  <c r="I41" i="2"/>
  <c r="J41" i="2"/>
  <c r="K41" i="2"/>
  <c r="L41" i="2"/>
  <c r="M41" i="2"/>
  <c r="N41" i="2"/>
  <c r="P41" i="2"/>
  <c r="Q41" i="2"/>
  <c r="R41" i="2"/>
  <c r="S41" i="2"/>
  <c r="T41" i="2"/>
  <c r="U41" i="2"/>
  <c r="W41" i="2"/>
  <c r="X41" i="2"/>
  <c r="Y41" i="2"/>
  <c r="Z41" i="2"/>
  <c r="AA41" i="2"/>
  <c r="AB41" i="2"/>
  <c r="AB12" i="6" s="1"/>
  <c r="B41" i="2"/>
  <c r="C36" i="2"/>
  <c r="E36" i="2"/>
  <c r="G36" i="2"/>
  <c r="J36" i="2"/>
  <c r="L36" i="2"/>
  <c r="N36" i="2"/>
  <c r="Q36" i="2"/>
  <c r="S36" i="2"/>
  <c r="U36" i="2"/>
  <c r="X36" i="2"/>
  <c r="Z36" i="2"/>
  <c r="AB36" i="2"/>
  <c r="AB11" i="6" s="1"/>
  <c r="C35" i="1"/>
  <c r="D35" i="1"/>
  <c r="E35" i="1"/>
  <c r="F35" i="1"/>
  <c r="G35" i="1"/>
  <c r="I35" i="1"/>
  <c r="J35" i="1"/>
  <c r="K35" i="1"/>
  <c r="L35" i="1"/>
  <c r="M35" i="1"/>
  <c r="P35" i="1"/>
  <c r="Q35" i="1"/>
  <c r="R35" i="1"/>
  <c r="S35" i="1"/>
  <c r="T35" i="1"/>
  <c r="U35" i="1"/>
  <c r="W35" i="1"/>
  <c r="X35" i="1"/>
  <c r="Y35" i="1"/>
  <c r="AA35" i="1"/>
  <c r="B35" i="1"/>
  <c r="C27" i="1"/>
  <c r="D27" i="1"/>
  <c r="E27" i="1"/>
  <c r="F27" i="1"/>
  <c r="G27" i="1"/>
  <c r="I27" i="1"/>
  <c r="J27" i="1"/>
  <c r="K27" i="1"/>
  <c r="L27" i="1"/>
  <c r="M27" i="1"/>
  <c r="N27" i="1"/>
  <c r="P27" i="1"/>
  <c r="Q27" i="1"/>
  <c r="R27" i="1"/>
  <c r="S27" i="1"/>
  <c r="T27" i="1"/>
  <c r="U27" i="1"/>
  <c r="W27" i="1"/>
  <c r="X27" i="1"/>
  <c r="Y27" i="1"/>
  <c r="Z27" i="1"/>
  <c r="AA27" i="1"/>
  <c r="B27" i="1"/>
  <c r="AD27" i="1" s="1"/>
  <c r="C25" i="1"/>
  <c r="D25" i="1"/>
  <c r="E25" i="1"/>
  <c r="F25" i="1"/>
  <c r="G25" i="1"/>
  <c r="I25" i="1"/>
  <c r="J25" i="1"/>
  <c r="K25" i="1"/>
  <c r="L25" i="1"/>
  <c r="M25" i="1"/>
  <c r="N25" i="1"/>
  <c r="P25" i="1"/>
  <c r="Q25" i="1"/>
  <c r="R25" i="1"/>
  <c r="S25" i="1"/>
  <c r="T25" i="1"/>
  <c r="T39" i="1" s="1"/>
  <c r="U25" i="1"/>
  <c r="W25" i="1"/>
  <c r="X25" i="1"/>
  <c r="Y25" i="1"/>
  <c r="Y39" i="1" s="1"/>
  <c r="Z25" i="1"/>
  <c r="AA25" i="1"/>
  <c r="B25" i="1"/>
  <c r="Z32" i="1"/>
  <c r="AE32" i="1" s="1"/>
  <c r="AF32" i="1" s="1"/>
  <c r="N31" i="1"/>
  <c r="AE31" i="1" s="1"/>
  <c r="AF31" i="1" s="1"/>
  <c r="P39" i="1" l="1"/>
  <c r="C54" i="2"/>
  <c r="G39" i="1"/>
  <c r="AD30" i="4"/>
  <c r="P50" i="4"/>
  <c r="R50" i="4"/>
  <c r="AA39" i="1"/>
  <c r="S11" i="6"/>
  <c r="J11" i="6"/>
  <c r="Y12" i="6"/>
  <c r="T12" i="6"/>
  <c r="P12" i="6"/>
  <c r="K12" i="6"/>
  <c r="F12" i="6"/>
  <c r="AD27" i="3"/>
  <c r="B39" i="3"/>
  <c r="AD39" i="3" s="1"/>
  <c r="AD32" i="6"/>
  <c r="AD31" i="6"/>
  <c r="AE50" i="2"/>
  <c r="AD41" i="2"/>
  <c r="C39" i="1"/>
  <c r="AD35" i="1"/>
  <c r="U11" i="6"/>
  <c r="W39" i="1"/>
  <c r="R39" i="1"/>
  <c r="M39" i="1"/>
  <c r="L39" i="1"/>
  <c r="AE27" i="1"/>
  <c r="AF27" i="1" s="1"/>
  <c r="N35" i="1"/>
  <c r="N39" i="1" s="1"/>
  <c r="Q39" i="1"/>
  <c r="AE25" i="1"/>
  <c r="K39" i="1"/>
  <c r="AD25" i="1"/>
  <c r="X39" i="1"/>
  <c r="S39" i="1"/>
  <c r="J39" i="1"/>
  <c r="I39" i="1"/>
  <c r="B39" i="1"/>
  <c r="Z11" i="6"/>
  <c r="Q11" i="6"/>
  <c r="G11" i="6"/>
  <c r="X12" i="6"/>
  <c r="S12" i="6"/>
  <c r="N12" i="6"/>
  <c r="J12" i="6"/>
  <c r="E12" i="6"/>
  <c r="Z17" i="6"/>
  <c r="AE17" i="6" s="1"/>
  <c r="N16" i="6"/>
  <c r="AE16" i="6" s="1"/>
  <c r="AD14" i="6"/>
  <c r="AD19" i="6"/>
  <c r="X11" i="6"/>
  <c r="M50" i="4"/>
  <c r="N11" i="6"/>
  <c r="L11" i="6"/>
  <c r="AE30" i="4"/>
  <c r="AD48" i="4"/>
  <c r="AE48" i="4"/>
  <c r="AD25" i="4"/>
  <c r="E11" i="6"/>
  <c r="AE25" i="4"/>
  <c r="B50" i="4"/>
  <c r="AE27" i="3"/>
  <c r="E39" i="3"/>
  <c r="AE39" i="3" s="1"/>
  <c r="AE41" i="2"/>
  <c r="C11" i="6"/>
  <c r="AE36" i="2"/>
  <c r="AE32" i="6"/>
  <c r="AE19" i="6"/>
  <c r="AD20" i="6"/>
  <c r="AD21" i="6"/>
  <c r="AD22" i="6"/>
  <c r="AD23" i="6"/>
  <c r="AD24" i="6"/>
  <c r="AD25" i="6"/>
  <c r="AD26" i="6"/>
  <c r="AD27" i="6"/>
  <c r="AD28" i="6"/>
  <c r="AD29" i="6"/>
  <c r="AD30" i="6"/>
  <c r="AE31" i="6"/>
  <c r="AD33" i="6"/>
  <c r="AE14" i="6"/>
  <c r="AD16" i="6"/>
  <c r="AD17" i="6"/>
  <c r="AE20" i="6"/>
  <c r="AE21" i="6"/>
  <c r="AE22" i="6"/>
  <c r="AE23" i="6"/>
  <c r="AE24" i="6"/>
  <c r="AE25" i="6"/>
  <c r="AE26" i="6"/>
  <c r="AE27" i="6"/>
  <c r="AE28" i="6"/>
  <c r="AE29" i="6"/>
  <c r="AE30" i="6"/>
  <c r="AE33" i="6"/>
  <c r="AD41" i="6"/>
  <c r="AD15" i="6"/>
  <c r="AE15" i="6"/>
  <c r="AE41" i="6"/>
  <c r="Z12" i="6"/>
  <c r="Q12" i="6"/>
  <c r="L12" i="6"/>
  <c r="G12" i="6"/>
  <c r="AA12" i="6"/>
  <c r="W12" i="6"/>
  <c r="R12" i="6"/>
  <c r="M12" i="6"/>
  <c r="I12" i="6"/>
  <c r="D12" i="6"/>
  <c r="U12" i="6"/>
  <c r="C12" i="6"/>
  <c r="Q54" i="2"/>
  <c r="G54" i="2"/>
  <c r="L54" i="2"/>
  <c r="X54" i="2"/>
  <c r="U54" i="2"/>
  <c r="E54" i="2"/>
  <c r="Z54" i="2"/>
  <c r="N54" i="2"/>
  <c r="F39" i="6"/>
  <c r="AB39" i="6"/>
  <c r="X39" i="6"/>
  <c r="J39" i="6"/>
  <c r="E39" i="6"/>
  <c r="S39" i="6"/>
  <c r="S43" i="6" s="1"/>
  <c r="U39" i="6"/>
  <c r="Q39" i="6"/>
  <c r="L39" i="6"/>
  <c r="G39" i="6"/>
  <c r="C39" i="6"/>
  <c r="D39" i="6"/>
  <c r="E50" i="4"/>
  <c r="B12" i="6"/>
  <c r="S50" i="4"/>
  <c r="F50" i="4"/>
  <c r="T50" i="4"/>
  <c r="AB50" i="4"/>
  <c r="Y50" i="4"/>
  <c r="N50" i="4"/>
  <c r="C50" i="4"/>
  <c r="Q50" i="4"/>
  <c r="G50" i="4"/>
  <c r="X50" i="4"/>
  <c r="J50" i="4"/>
  <c r="U50" i="4"/>
  <c r="AA50" i="4"/>
  <c r="W50" i="4"/>
  <c r="I50" i="4"/>
  <c r="D50" i="4"/>
  <c r="K50" i="4"/>
  <c r="Z50" i="4"/>
  <c r="L50" i="4"/>
  <c r="AB54" i="2"/>
  <c r="S54" i="2"/>
  <c r="J54" i="2"/>
  <c r="Z35" i="1"/>
  <c r="Z39" i="1" s="1"/>
  <c r="AB39" i="1"/>
  <c r="U39" i="1"/>
  <c r="E39" i="1"/>
  <c r="F39" i="1"/>
  <c r="D39" i="1"/>
  <c r="AF39" i="3" l="1"/>
  <c r="AF30" i="4"/>
  <c r="AF25" i="4"/>
  <c r="AF27" i="3"/>
  <c r="AF48" i="4"/>
  <c r="AF32" i="6"/>
  <c r="AF27" i="6"/>
  <c r="AF33" i="6"/>
  <c r="AF28" i="6"/>
  <c r="AF31" i="6"/>
  <c r="AF25" i="6"/>
  <c r="AF24" i="6"/>
  <c r="AF30" i="6"/>
  <c r="AF26" i="6"/>
  <c r="AF21" i="6"/>
  <c r="AF19" i="6"/>
  <c r="AF22" i="6"/>
  <c r="AF23" i="6"/>
  <c r="AF20" i="6"/>
  <c r="Z39" i="6"/>
  <c r="AF41" i="2"/>
  <c r="AF15" i="6"/>
  <c r="N39" i="6"/>
  <c r="N43" i="6" s="1"/>
  <c r="AF14" i="6"/>
  <c r="AF29" i="6"/>
  <c r="AE39" i="1"/>
  <c r="AE35" i="1"/>
  <c r="AF35" i="1" s="1"/>
  <c r="AF16" i="6"/>
  <c r="AD39" i="1"/>
  <c r="AF25" i="1"/>
  <c r="AF41" i="6"/>
  <c r="AF17" i="6"/>
  <c r="AE50" i="4"/>
  <c r="AD50" i="4"/>
  <c r="AF50" i="4" s="1"/>
  <c r="AE11" i="6"/>
  <c r="AE12" i="6"/>
  <c r="AE54" i="2"/>
  <c r="AD12" i="6"/>
  <c r="Q43" i="6"/>
  <c r="G43" i="6"/>
  <c r="X43" i="6"/>
  <c r="E43" i="6"/>
  <c r="J43" i="6"/>
  <c r="AB43" i="6"/>
  <c r="C43" i="6"/>
  <c r="L43" i="6"/>
  <c r="U43" i="6"/>
  <c r="AE39" i="6" l="1"/>
  <c r="Z43" i="6"/>
  <c r="AE43" i="6" s="1"/>
  <c r="AF39" i="1"/>
  <c r="AF12" i="6"/>
  <c r="AA44" i="2" l="1"/>
  <c r="AA34" i="6" s="1"/>
  <c r="AA39" i="6" s="1"/>
  <c r="Y44" i="2"/>
  <c r="W44" i="2"/>
  <c r="W34" i="6" s="1"/>
  <c r="W39" i="6" s="1"/>
  <c r="T44" i="2"/>
  <c r="T34" i="6" s="1"/>
  <c r="T39" i="6" s="1"/>
  <c r="R44" i="2"/>
  <c r="P44" i="2"/>
  <c r="P34" i="6" s="1"/>
  <c r="P39" i="6" s="1"/>
  <c r="M44" i="2"/>
  <c r="M34" i="6" s="1"/>
  <c r="M39" i="6" s="1"/>
  <c r="K44" i="2"/>
  <c r="K34" i="6" s="1"/>
  <c r="I44" i="2"/>
  <c r="P50" i="2"/>
  <c r="M50" i="2"/>
  <c r="F50" i="2"/>
  <c r="K42" i="2"/>
  <c r="K38" i="6" s="1"/>
  <c r="B42" i="2"/>
  <c r="AA30" i="2"/>
  <c r="Y30" i="2"/>
  <c r="W30" i="2"/>
  <c r="T30" i="2"/>
  <c r="R30" i="2"/>
  <c r="P30" i="2"/>
  <c r="M30" i="2"/>
  <c r="K30" i="2"/>
  <c r="I30" i="2"/>
  <c r="F30" i="2"/>
  <c r="D30" i="2"/>
  <c r="B30" i="2"/>
  <c r="B28" i="2"/>
  <c r="AD28" i="2" s="1"/>
  <c r="AF28" i="2" s="1"/>
  <c r="AA27" i="2"/>
  <c r="Y27" i="2"/>
  <c r="W27" i="2"/>
  <c r="T27" i="2"/>
  <c r="R27" i="2"/>
  <c r="P27" i="2"/>
  <c r="M27" i="2"/>
  <c r="K27" i="2"/>
  <c r="I27" i="2"/>
  <c r="F27" i="2"/>
  <c r="D27" i="2"/>
  <c r="B27" i="2"/>
  <c r="AA22" i="2"/>
  <c r="Y22" i="2"/>
  <c r="W22" i="2"/>
  <c r="B22" i="2"/>
  <c r="AA21" i="2"/>
  <c r="Y21" i="2"/>
  <c r="W21" i="2"/>
  <c r="T21" i="2"/>
  <c r="R21" i="2"/>
  <c r="P21" i="2"/>
  <c r="M21" i="2"/>
  <c r="K21" i="2"/>
  <c r="I21" i="2"/>
  <c r="F19" i="2"/>
  <c r="AD19" i="2" s="1"/>
  <c r="AF19" i="2" s="1"/>
  <c r="AA18" i="2"/>
  <c r="Y18" i="2"/>
  <c r="W18" i="2"/>
  <c r="R18" i="2"/>
  <c r="P18" i="2"/>
  <c r="M18" i="2"/>
  <c r="K18" i="2"/>
  <c r="I18" i="2"/>
  <c r="F18" i="2"/>
  <c r="D18" i="2"/>
  <c r="Y17" i="2"/>
  <c r="AD17" i="2" s="1"/>
  <c r="AF17" i="2" s="1"/>
  <c r="Y16" i="2"/>
  <c r="W16" i="2"/>
  <c r="T16" i="2"/>
  <c r="R16" i="2"/>
  <c r="P16" i="2"/>
  <c r="K16" i="2"/>
  <c r="I16" i="2"/>
  <c r="B16" i="2"/>
  <c r="AA15" i="2"/>
  <c r="Y15" i="2"/>
  <c r="W15" i="2"/>
  <c r="T15" i="2"/>
  <c r="R15" i="2"/>
  <c r="P15" i="2"/>
  <c r="F15" i="2"/>
  <c r="B15" i="2"/>
  <c r="D14" i="2"/>
  <c r="B14" i="2"/>
  <c r="AA13" i="2"/>
  <c r="Y13" i="2"/>
  <c r="W13" i="2"/>
  <c r="T13" i="2"/>
  <c r="R13" i="2"/>
  <c r="P13" i="2"/>
  <c r="I13" i="2"/>
  <c r="AA12" i="2"/>
  <c r="Y12" i="2"/>
  <c r="W12" i="2"/>
  <c r="T12" i="2"/>
  <c r="R12" i="2"/>
  <c r="M12" i="2"/>
  <c r="K12" i="2"/>
  <c r="AD18" i="2" l="1"/>
  <c r="AF18" i="2" s="1"/>
  <c r="AD22" i="2"/>
  <c r="AF22" i="2" s="1"/>
  <c r="AD27" i="2"/>
  <c r="AF27" i="2" s="1"/>
  <c r="K39" i="6"/>
  <c r="I34" i="6"/>
  <c r="I39" i="6" s="1"/>
  <c r="AD44" i="2"/>
  <c r="R50" i="2"/>
  <c r="R34" i="6"/>
  <c r="R39" i="6" s="1"/>
  <c r="AD15" i="2"/>
  <c r="AF15" i="2" s="1"/>
  <c r="AD42" i="2"/>
  <c r="AF42" i="2" s="1"/>
  <c r="B38" i="6"/>
  <c r="Y50" i="2"/>
  <c r="Y34" i="6"/>
  <c r="Y39" i="6" s="1"/>
  <c r="AD12" i="2"/>
  <c r="AF12" i="2" s="1"/>
  <c r="AD16" i="2"/>
  <c r="AF16" i="2" s="1"/>
  <c r="AD21" i="2"/>
  <c r="AF21" i="2" s="1"/>
  <c r="AD13" i="2"/>
  <c r="AF13" i="2" s="1"/>
  <c r="AD14" i="2"/>
  <c r="AF14" i="2" s="1"/>
  <c r="AD30" i="2"/>
  <c r="AF30" i="2" s="1"/>
  <c r="B50" i="2"/>
  <c r="R36" i="2"/>
  <c r="W50" i="2"/>
  <c r="AA36" i="2"/>
  <c r="D36" i="2"/>
  <c r="T50" i="2"/>
  <c r="I50" i="2"/>
  <c r="D50" i="2"/>
  <c r="M36" i="2"/>
  <c r="K36" i="2"/>
  <c r="W36" i="2"/>
  <c r="W11" i="6" s="1"/>
  <c r="I36" i="2"/>
  <c r="B36" i="2"/>
  <c r="K50" i="2"/>
  <c r="K54" i="2" s="1"/>
  <c r="AA50" i="2"/>
  <c r="Y36" i="2"/>
  <c r="P36" i="2"/>
  <c r="F36" i="2"/>
  <c r="T36" i="2"/>
  <c r="AF44" i="2" l="1"/>
  <c r="AD34" i="6"/>
  <c r="AF34" i="6" s="1"/>
  <c r="AD38" i="6"/>
  <c r="AF38" i="6" s="1"/>
  <c r="B39" i="6"/>
  <c r="AD39" i="6" s="1"/>
  <c r="AF39" i="6" s="1"/>
  <c r="AA54" i="2"/>
  <c r="AD50" i="2"/>
  <c r="AF50" i="2" s="1"/>
  <c r="AA11" i="6"/>
  <c r="AA43" i="6" s="1"/>
  <c r="Y54" i="2"/>
  <c r="Y11" i="6"/>
  <c r="Y43" i="6" s="1"/>
  <c r="T11" i="6"/>
  <c r="T43" i="6" s="1"/>
  <c r="R54" i="2"/>
  <c r="R11" i="6"/>
  <c r="R43" i="6" s="1"/>
  <c r="P54" i="2"/>
  <c r="P11" i="6"/>
  <c r="P43" i="6" s="1"/>
  <c r="M54" i="2"/>
  <c r="M11" i="6"/>
  <c r="M43" i="6" s="1"/>
  <c r="D11" i="6"/>
  <c r="D43" i="6" s="1"/>
  <c r="F54" i="2"/>
  <c r="F11" i="6"/>
  <c r="F43" i="6" s="1"/>
  <c r="K11" i="6"/>
  <c r="K43" i="6" s="1"/>
  <c r="AD36" i="2"/>
  <c r="AF36" i="2" s="1"/>
  <c r="B54" i="2"/>
  <c r="B11" i="6"/>
  <c r="I11" i="6"/>
  <c r="I43" i="6" s="1"/>
  <c r="W54" i="2"/>
  <c r="T54" i="2"/>
  <c r="I54" i="2"/>
  <c r="D54" i="2"/>
  <c r="W43" i="6"/>
  <c r="AD54" i="2" l="1"/>
  <c r="AF54" i="2" s="1"/>
  <c r="AD11" i="6"/>
  <c r="AF11" i="6" s="1"/>
  <c r="B43" i="6"/>
  <c r="AD43" i="6" s="1"/>
  <c r="AF43" i="6" s="1"/>
</calcChain>
</file>

<file path=xl/sharedStrings.xml><?xml version="1.0" encoding="utf-8"?>
<sst xmlns="http://schemas.openxmlformats.org/spreadsheetml/2006/main" count="1119" uniqueCount="143">
  <si>
    <t>SDA</t>
  </si>
  <si>
    <t>SITUATION ARRETEE AU 30/06/2017</t>
  </si>
  <si>
    <t>Année</t>
  </si>
  <si>
    <t xml:space="preserve">2006 et Antérieur  </t>
  </si>
  <si>
    <t>Total</t>
  </si>
  <si>
    <t>Intitulé de la Créance</t>
  </si>
  <si>
    <t>Energie (DA)</t>
  </si>
  <si>
    <t>Travaux (DA)</t>
  </si>
  <si>
    <t>MINISTERE DE L'INTERIEUR</t>
  </si>
  <si>
    <t>APC ALGER CENTRE</t>
  </si>
  <si>
    <t>APC BACHDJARAH</t>
  </si>
  <si>
    <t>APC BEN AKNOUN</t>
  </si>
  <si>
    <t>APC BMR</t>
  </si>
  <si>
    <t>APC EL BIAR</t>
  </si>
  <si>
    <t>APC EL MADANIA</t>
  </si>
  <si>
    <t>APC EL MAGHARIA</t>
  </si>
  <si>
    <t>APC HYDRA</t>
  </si>
  <si>
    <t>APC KOUBA</t>
  </si>
  <si>
    <t>APC SIDI M'HAMED</t>
  </si>
  <si>
    <t>APC BELOUIZDAD</t>
  </si>
  <si>
    <t>APC HUSSEIN DEY</t>
  </si>
  <si>
    <t>APC EL MOURADIA</t>
  </si>
  <si>
    <t>CA SIDI M'HAMED</t>
  </si>
  <si>
    <t>DBCP/WILAYA ALGER</t>
  </si>
  <si>
    <t>DIRECTION DE ENERGIES/WILAYA ALGER</t>
  </si>
  <si>
    <t>DIRECTION TRANSPORT/WILAYA ALGER</t>
  </si>
  <si>
    <t>DIRECTION URBANISME/WILAYA ALGER</t>
  </si>
  <si>
    <t>DTP/WILAYA ALGER</t>
  </si>
  <si>
    <t>ERMA/WILAYA ALGER</t>
  </si>
  <si>
    <t>APC OULED FAYET</t>
  </si>
  <si>
    <t>APC DELY BRAHIM</t>
  </si>
  <si>
    <t>APC CASBAH</t>
  </si>
  <si>
    <t>APC ZERALDA</t>
  </si>
  <si>
    <t>APC AIN BENIAN</t>
  </si>
  <si>
    <t>APC TESSALA EL MERDJA</t>
  </si>
  <si>
    <t>APC BAB EL OUED</t>
  </si>
  <si>
    <t>APC BOLOGHINE</t>
  </si>
  <si>
    <t>APC OUED KORICHE</t>
  </si>
  <si>
    <t>APC DOUERA</t>
  </si>
  <si>
    <t>APC CHERAGA</t>
  </si>
  <si>
    <t>APC HAMMAMET</t>
  </si>
  <si>
    <t>APC RAIS HAMIDOU</t>
  </si>
  <si>
    <t>APC RAHMANIA</t>
  </si>
  <si>
    <t>APC MAHELMA</t>
  </si>
  <si>
    <t>APC STAOUELI</t>
  </si>
  <si>
    <t>APC SOUIDANIA</t>
  </si>
  <si>
    <t>APC BENI MESSOUS</t>
  </si>
  <si>
    <t>APC BOUZAREH</t>
  </si>
  <si>
    <t>APC BABA HSSEN</t>
  </si>
  <si>
    <t>APC BIRTOUTA</t>
  </si>
  <si>
    <t>APC  DRARIA</t>
  </si>
  <si>
    <t>APC  KHRACIA</t>
  </si>
  <si>
    <t>APC SAOULA</t>
  </si>
  <si>
    <t>DAIRA BEO</t>
  </si>
  <si>
    <t>DAIRA  CHERAGA</t>
  </si>
  <si>
    <t>DAIRA ZERALDA</t>
  </si>
  <si>
    <t>DAIRA BOUZAREAH</t>
  </si>
  <si>
    <t>WILAYA D'alger</t>
  </si>
  <si>
    <t>DBCP WILAYA D'alger</t>
  </si>
  <si>
    <t>PROTECTION CIVILE</t>
  </si>
  <si>
    <t xml:space="preserve">DEP/WILAYA </t>
  </si>
  <si>
    <t>HYDROTECHNIQE/WILA</t>
  </si>
  <si>
    <t xml:space="preserve">DMI/WILAYA D'ALGER </t>
  </si>
  <si>
    <t xml:space="preserve">EPIC ERMA WILAYA D'ALGER </t>
  </si>
  <si>
    <t>APC DE BARAKI</t>
  </si>
  <si>
    <t xml:space="preserve">APC DE SIDI MOUSSA </t>
  </si>
  <si>
    <t>APC DE BIRKHADEM</t>
  </si>
  <si>
    <t xml:space="preserve">APC DE SAOULA </t>
  </si>
  <si>
    <t xml:space="preserve">APC GUE DE CONSTANTINE </t>
  </si>
  <si>
    <t xml:space="preserve">APC DE OULED CHEBEL </t>
  </si>
  <si>
    <t>APC DE BIRTOUTA</t>
  </si>
  <si>
    <t xml:space="preserve">APC DE KHRAISCA </t>
  </si>
  <si>
    <t>APC DE DRARIA</t>
  </si>
  <si>
    <t xml:space="preserve">APC EL ACHOUR </t>
  </si>
  <si>
    <t xml:space="preserve">APC DE BABA HASSEN </t>
  </si>
  <si>
    <t xml:space="preserve">DAIRA DE DRARIA </t>
  </si>
  <si>
    <t>DAIRA DE BARAKI</t>
  </si>
  <si>
    <t xml:space="preserve">DAIRA DE BIRTOUTA </t>
  </si>
  <si>
    <t xml:space="preserve">DTP WILAYA D'ALGER </t>
  </si>
  <si>
    <t xml:space="preserve">TRANSMISSION NATIONALE </t>
  </si>
  <si>
    <t xml:space="preserve">DIRECTION DU CADASTRE  </t>
  </si>
  <si>
    <t xml:space="preserve">DIRECTION DE L'EDUCATION </t>
  </si>
  <si>
    <t xml:space="preserve">DBCP WILAYA D'ALGER </t>
  </si>
  <si>
    <t xml:space="preserve">DIRECTION DE LA PECHE </t>
  </si>
  <si>
    <t>GARDE COMMUNALE  W/ALGER</t>
  </si>
  <si>
    <t>APC EL HARRACH</t>
  </si>
  <si>
    <t>APC OUED SMAR</t>
  </si>
  <si>
    <t>APC BOUROUBA</t>
  </si>
  <si>
    <t>APC BORDJ EL KIFFAN</t>
  </si>
  <si>
    <t>APC LES EUCALYPTUS</t>
  </si>
  <si>
    <t>APC DAR EL BEIDA</t>
  </si>
  <si>
    <t>APC BAB EZZOUAR</t>
  </si>
  <si>
    <t>APC MOHAMMADIA</t>
  </si>
  <si>
    <t>APC ROUIBA</t>
  </si>
  <si>
    <t>APC AIN TAYA</t>
  </si>
  <si>
    <t>APC BORDJ EL BAHRI</t>
  </si>
  <si>
    <t>APC EL MARSA</t>
  </si>
  <si>
    <t>APC HARAOUA</t>
  </si>
  <si>
    <t>APC REGHAIA</t>
  </si>
  <si>
    <t>DIRECTION DES FORETS</t>
  </si>
  <si>
    <t>DIRECTION DES DOMAINES</t>
  </si>
  <si>
    <t>OFICE NLE DES TERRES AGRI</t>
  </si>
  <si>
    <t>SUB AGRICOLE SEIGE ROUIBA</t>
  </si>
  <si>
    <t>DIRECTION PROTEC SOCIALE</t>
  </si>
  <si>
    <t>SOUS DIRECTION AFFAIRES D</t>
  </si>
  <si>
    <t>DIRECTION ERMA</t>
  </si>
  <si>
    <t>DIE/WILAYA ALGER</t>
  </si>
  <si>
    <t>SOUS.TOTAL APC</t>
  </si>
  <si>
    <t>SOUS.TOTAL CIRCONS/ADMINISTRATIVES</t>
  </si>
  <si>
    <t>SOUS.TOTAL DIRECTIONS DE WILAYA</t>
  </si>
  <si>
    <t>TOTAL.GENERAL</t>
  </si>
  <si>
    <t>CIRCONSCRIPTION ADMINISTRATIVE D'EL HARRACH</t>
  </si>
  <si>
    <t>CIRCONSCRIPTION ADMINISTRATIVE DE ROUIBA</t>
  </si>
  <si>
    <t>CIRCONSCRIPTION ADMINISTRATIVE DE DAR EL BEIDA</t>
  </si>
  <si>
    <t>CIRCONSCRIPTION ADMINISTRATIVE DE BAB  EZZOUAR</t>
  </si>
  <si>
    <t>DIRECTION DE ENERGIE/WILAYA ALGER</t>
  </si>
  <si>
    <t xml:space="preserve">DIRECTION DE LA CULTURE </t>
  </si>
  <si>
    <t>WILAYA D ALGER / SIEGE</t>
  </si>
  <si>
    <t>DJS/WILAYA D'ALGER</t>
  </si>
  <si>
    <t>DIRECTION DES SERVICES AFFAIRES GENERALES</t>
  </si>
  <si>
    <t>DEP / WILAYA D'ALGER</t>
  </si>
  <si>
    <t>DIRECTION DES DOMAINES / WILAYA D'ALGER</t>
  </si>
  <si>
    <t>OFFICE NLE DES TERRES AGRICOLES/ WILAYA D'ALGER</t>
  </si>
  <si>
    <t>DIRECTION PROTECTION  SOCIALE/WILAYA D'ALGER</t>
  </si>
  <si>
    <t xml:space="preserve">SOUS DIRECTION AFFAIRES </t>
  </si>
  <si>
    <t>DIRECTION DE L'EDUCATION / WILAYA D'ALGER</t>
  </si>
  <si>
    <r>
      <t xml:space="preserve">Direction de Distribution de : </t>
    </r>
    <r>
      <rPr>
        <b/>
        <sz val="14"/>
        <color theme="1"/>
        <rFont val="Calibri"/>
        <family val="2"/>
        <scheme val="minor"/>
      </rPr>
      <t>BELOUIZDAD</t>
    </r>
  </si>
  <si>
    <r>
      <t xml:space="preserve">Direction de Distribution de : </t>
    </r>
    <r>
      <rPr>
        <b/>
        <sz val="14"/>
        <color theme="1"/>
        <rFont val="Calibri"/>
        <family val="2"/>
        <scheme val="minor"/>
      </rPr>
      <t>EL HARRACH</t>
    </r>
  </si>
  <si>
    <r>
      <t xml:space="preserve">Direction de Distribution de : </t>
    </r>
    <r>
      <rPr>
        <b/>
        <sz val="14"/>
        <color theme="1"/>
        <rFont val="Calibri"/>
        <family val="2"/>
        <scheme val="minor"/>
      </rPr>
      <t>GUE DE CONSTANTINE</t>
    </r>
  </si>
  <si>
    <r>
      <t xml:space="preserve">Direction de Distribution de : </t>
    </r>
    <r>
      <rPr>
        <b/>
        <sz val="14"/>
        <color theme="1"/>
        <rFont val="Calibri"/>
        <family val="2"/>
        <scheme val="minor"/>
      </rPr>
      <t>BOLOGHINE</t>
    </r>
  </si>
  <si>
    <t>TRANSMISSION NATIONALE /WILAYA D'ALGER</t>
  </si>
  <si>
    <t>DIRECTION DU CADASTRE  /WILAYA D'ALGER</t>
  </si>
  <si>
    <t>DIRECTION DE LA PECHE /WILAYA D'ALGER</t>
  </si>
  <si>
    <t>DIRECTION JEUNESSE ET DES SPORTS/WILAYA D'ALGER</t>
  </si>
  <si>
    <t>WILAYA D'ALGER (DIVERS)</t>
  </si>
  <si>
    <t>EX.DIE/WILAYA ALGER</t>
  </si>
  <si>
    <t>DIRECTION DE L'ENERGIES/WILAYA ALGER</t>
  </si>
  <si>
    <t>ENERGIE+TVX</t>
  </si>
  <si>
    <r>
      <rPr>
        <b/>
        <sz val="36"/>
        <color theme="1"/>
        <rFont val="Calibri"/>
        <family val="2"/>
        <scheme val="minor"/>
      </rPr>
      <t>CREANCES ENERGIES &amp; TRAVAUX</t>
    </r>
    <r>
      <rPr>
        <b/>
        <sz val="24"/>
        <color theme="1"/>
        <rFont val="Calibri"/>
        <family val="2"/>
        <scheme val="minor"/>
      </rPr>
      <t xml:space="preserve">
</t>
    </r>
    <r>
      <rPr>
        <b/>
        <sz val="22"/>
        <color theme="1"/>
        <rFont val="Calibri"/>
        <family val="2"/>
        <scheme val="minor"/>
      </rPr>
      <t>DU MINISTERE DE L'INTERIEUR ET DES COLLECTIVITES LOCALES</t>
    </r>
  </si>
  <si>
    <t>TOTAL SDA</t>
  </si>
  <si>
    <t xml:space="preserve">CREANCES ENERGIES &amp; TRAVAUX </t>
  </si>
  <si>
    <t>DIRECTION DE DISTRIBUTION EL HARRACH</t>
  </si>
  <si>
    <t>NB: Les Montants sont exprimés en DA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</si>
</sst>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\ _D_A_-;\-* #,##0.00\ _D_A_-;_-* &quot;-&quot;??\ _D_A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2"/>
      <color rgb="FFFF0000"/>
      <name val="Calibri"/>
      <family val="2"/>
      <scheme val="minor"/>
    </font>
    <font>
      <sz val="10"/>
      <color indexed="8"/>
      <name val="MS Sans Serif"/>
      <family val="2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7" fillId="0" borderId="0"/>
  </cellStyleXfs>
  <cellXfs count="56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6" fillId="0" borderId="0" xfId="0" applyFont="1"/>
    <xf numFmtId="43" fontId="0" fillId="0" borderId="0" xfId="3" applyFont="1"/>
    <xf numFmtId="0" fontId="2" fillId="0" borderId="1" xfId="0" applyFont="1" applyBorder="1" applyAlignment="1">
      <alignment horizontal="center"/>
    </xf>
    <xf numFmtId="4" fontId="0" fillId="0" borderId="0" xfId="0" applyNumberFormat="1"/>
    <xf numFmtId="4" fontId="5" fillId="0" borderId="4" xfId="2" applyNumberFormat="1" applyFont="1" applyFill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1" fillId="0" borderId="3" xfId="1" applyNumberFormat="1" applyFont="1" applyBorder="1" applyAlignment="1">
      <alignment horizontal="center" vertical="center"/>
    </xf>
    <xf numFmtId="4" fontId="0" fillId="0" borderId="3" xfId="1" applyNumberFormat="1" applyFont="1" applyBorder="1" applyAlignment="1">
      <alignment horizontal="center" vertical="center"/>
    </xf>
    <xf numFmtId="4" fontId="2" fillId="0" borderId="3" xfId="1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17" fontId="2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4" fontId="3" fillId="3" borderId="3" xfId="0" applyNumberFormat="1" applyFont="1" applyFill="1" applyBorder="1" applyAlignment="1">
      <alignment horizontal="center" vertical="center"/>
    </xf>
    <xf numFmtId="4" fontId="10" fillId="2" borderId="3" xfId="1" applyNumberFormat="1" applyFont="1" applyFill="1" applyBorder="1" applyAlignment="1">
      <alignment horizontal="center" vertical="center"/>
    </xf>
    <xf numFmtId="4" fontId="2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0" fillId="0" borderId="0" xfId="3" applyNumberFormat="1" applyFont="1" applyAlignment="1">
      <alignment horizontal="center" vertical="center"/>
    </xf>
    <xf numFmtId="0" fontId="11" fillId="0" borderId="0" xfId="0" applyFont="1"/>
    <xf numFmtId="0" fontId="0" fillId="0" borderId="1" xfId="0" applyBorder="1" applyAlignment="1">
      <alignment horizontal="left" vertical="center" wrapText="1"/>
    </xf>
    <xf numFmtId="4" fontId="2" fillId="0" borderId="3" xfId="3" applyNumberFormat="1" applyFont="1" applyBorder="1"/>
    <xf numFmtId="0" fontId="3" fillId="0" borderId="5" xfId="0" applyFont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</cellXfs>
  <cellStyles count="5">
    <cellStyle name="Milliers" xfId="1" builtinId="3"/>
    <cellStyle name="Milliers 2" xfId="3"/>
    <cellStyle name="Normal" xfId="0" builtinId="0"/>
    <cellStyle name="Normal 2" xfId="4"/>
    <cellStyle name="Normal_Feuil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984250</xdr:colOff>
      <xdr:row>0</xdr:row>
      <xdr:rowOff>79375</xdr:rowOff>
    </xdr:from>
    <xdr:to>
      <xdr:col>31</xdr:col>
      <xdr:colOff>936625</xdr:colOff>
      <xdr:row>3</xdr:row>
      <xdr:rowOff>184150</xdr:rowOff>
    </xdr:to>
    <xdr:pic>
      <xdr:nvPicPr>
        <xdr:cNvPr id="7" name="Imag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00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2413000</xdr:colOff>
      <xdr:row>0</xdr:row>
      <xdr:rowOff>79375</xdr:rowOff>
    </xdr:from>
    <xdr:to>
      <xdr:col>5</xdr:col>
      <xdr:colOff>682625</xdr:colOff>
      <xdr:row>3</xdr:row>
      <xdr:rowOff>184150</xdr:rowOff>
    </xdr:to>
    <xdr:pic>
      <xdr:nvPicPr>
        <xdr:cNvPr id="8" name="Imag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3000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2587625</xdr:colOff>
      <xdr:row>0</xdr:row>
      <xdr:rowOff>63500</xdr:rowOff>
    </xdr:from>
    <xdr:to>
      <xdr:col>12</xdr:col>
      <xdr:colOff>412750</xdr:colOff>
      <xdr:row>3</xdr:row>
      <xdr:rowOff>168275</xdr:rowOff>
    </xdr:to>
    <xdr:pic>
      <xdr:nvPicPr>
        <xdr:cNvPr id="9" name="Image 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19000" y="6350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2746375</xdr:colOff>
      <xdr:row>0</xdr:row>
      <xdr:rowOff>31750</xdr:rowOff>
    </xdr:from>
    <xdr:to>
      <xdr:col>19</xdr:col>
      <xdr:colOff>587375</xdr:colOff>
      <xdr:row>3</xdr:row>
      <xdr:rowOff>136525</xdr:rowOff>
    </xdr:to>
    <xdr:pic>
      <xdr:nvPicPr>
        <xdr:cNvPr id="10" name="Imag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907625" y="317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2794000</xdr:colOff>
      <xdr:row>0</xdr:row>
      <xdr:rowOff>79375</xdr:rowOff>
    </xdr:from>
    <xdr:to>
      <xdr:col>26</xdr:col>
      <xdr:colOff>222250</xdr:colOff>
      <xdr:row>3</xdr:row>
      <xdr:rowOff>184150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480375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111125</xdr:colOff>
      <xdr:row>0</xdr:row>
      <xdr:rowOff>47625</xdr:rowOff>
    </xdr:from>
    <xdr:to>
      <xdr:col>26</xdr:col>
      <xdr:colOff>317500</xdr:colOff>
      <xdr:row>3</xdr:row>
      <xdr:rowOff>152400</xdr:rowOff>
    </xdr:to>
    <xdr:pic>
      <xdr:nvPicPr>
        <xdr:cNvPr id="7" name="Imag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99750" y="4762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1063625</xdr:colOff>
      <xdr:row>0</xdr:row>
      <xdr:rowOff>63500</xdr:rowOff>
    </xdr:from>
    <xdr:to>
      <xdr:col>31</xdr:col>
      <xdr:colOff>984250</xdr:colOff>
      <xdr:row>3</xdr:row>
      <xdr:rowOff>168275</xdr:rowOff>
    </xdr:to>
    <xdr:pic>
      <xdr:nvPicPr>
        <xdr:cNvPr id="8" name="Imag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323125" y="6350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15875</xdr:colOff>
      <xdr:row>0</xdr:row>
      <xdr:rowOff>63500</xdr:rowOff>
    </xdr:from>
    <xdr:to>
      <xdr:col>5</xdr:col>
      <xdr:colOff>190500</xdr:colOff>
      <xdr:row>3</xdr:row>
      <xdr:rowOff>168275</xdr:rowOff>
    </xdr:to>
    <xdr:pic>
      <xdr:nvPicPr>
        <xdr:cNvPr id="9" name="Image 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0" y="6350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2587625</xdr:colOff>
      <xdr:row>0</xdr:row>
      <xdr:rowOff>47625</xdr:rowOff>
    </xdr:from>
    <xdr:to>
      <xdr:col>12</xdr:col>
      <xdr:colOff>254000</xdr:colOff>
      <xdr:row>3</xdr:row>
      <xdr:rowOff>152400</xdr:rowOff>
    </xdr:to>
    <xdr:pic>
      <xdr:nvPicPr>
        <xdr:cNvPr id="10" name="Imag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27125" y="4762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444500</xdr:colOff>
      <xdr:row>0</xdr:row>
      <xdr:rowOff>111125</xdr:rowOff>
    </xdr:from>
    <xdr:to>
      <xdr:col>19</xdr:col>
      <xdr:colOff>698500</xdr:colOff>
      <xdr:row>3</xdr:row>
      <xdr:rowOff>215900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384125" y="11112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2968625</xdr:colOff>
      <xdr:row>0</xdr:row>
      <xdr:rowOff>111125</xdr:rowOff>
    </xdr:from>
    <xdr:to>
      <xdr:col>5</xdr:col>
      <xdr:colOff>587375</xdr:colOff>
      <xdr:row>3</xdr:row>
      <xdr:rowOff>215900</xdr:rowOff>
    </xdr:to>
    <xdr:pic>
      <xdr:nvPicPr>
        <xdr:cNvPr id="7" name="Imag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8625" y="11112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79375</xdr:colOff>
      <xdr:row>0</xdr:row>
      <xdr:rowOff>79375</xdr:rowOff>
    </xdr:from>
    <xdr:to>
      <xdr:col>12</xdr:col>
      <xdr:colOff>825500</xdr:colOff>
      <xdr:row>3</xdr:row>
      <xdr:rowOff>184150</xdr:rowOff>
    </xdr:to>
    <xdr:pic>
      <xdr:nvPicPr>
        <xdr:cNvPr id="8" name="Imag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43000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3270250</xdr:colOff>
      <xdr:row>0</xdr:row>
      <xdr:rowOff>79375</xdr:rowOff>
    </xdr:from>
    <xdr:to>
      <xdr:col>19</xdr:col>
      <xdr:colOff>142875</xdr:colOff>
      <xdr:row>3</xdr:row>
      <xdr:rowOff>184150</xdr:rowOff>
    </xdr:to>
    <xdr:pic>
      <xdr:nvPicPr>
        <xdr:cNvPr id="9" name="Image 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58625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95250</xdr:rowOff>
    </xdr:from>
    <xdr:to>
      <xdr:col>26</xdr:col>
      <xdr:colOff>587375</xdr:colOff>
      <xdr:row>3</xdr:row>
      <xdr:rowOff>200025</xdr:rowOff>
    </xdr:to>
    <xdr:pic>
      <xdr:nvPicPr>
        <xdr:cNvPr id="10" name="Imag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718750" y="952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1095375</xdr:colOff>
      <xdr:row>0</xdr:row>
      <xdr:rowOff>63500</xdr:rowOff>
    </xdr:from>
    <xdr:to>
      <xdr:col>31</xdr:col>
      <xdr:colOff>936625</xdr:colOff>
      <xdr:row>3</xdr:row>
      <xdr:rowOff>168275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592875" y="6350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2936875</xdr:colOff>
      <xdr:row>0</xdr:row>
      <xdr:rowOff>95250</xdr:rowOff>
    </xdr:from>
    <xdr:to>
      <xdr:col>25</xdr:col>
      <xdr:colOff>1190625</xdr:colOff>
      <xdr:row>3</xdr:row>
      <xdr:rowOff>200025</xdr:rowOff>
    </xdr:to>
    <xdr:pic>
      <xdr:nvPicPr>
        <xdr:cNvPr id="9" name="Image 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798000" y="952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1333500</xdr:colOff>
      <xdr:row>0</xdr:row>
      <xdr:rowOff>95250</xdr:rowOff>
    </xdr:from>
    <xdr:to>
      <xdr:col>31</xdr:col>
      <xdr:colOff>841375</xdr:colOff>
      <xdr:row>3</xdr:row>
      <xdr:rowOff>200025</xdr:rowOff>
    </xdr:to>
    <xdr:pic>
      <xdr:nvPicPr>
        <xdr:cNvPr id="10" name="Imag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24625" y="952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3048000</xdr:colOff>
      <xdr:row>0</xdr:row>
      <xdr:rowOff>47625</xdr:rowOff>
    </xdr:from>
    <xdr:to>
      <xdr:col>5</xdr:col>
      <xdr:colOff>269875</xdr:colOff>
      <xdr:row>3</xdr:row>
      <xdr:rowOff>152400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762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3206750</xdr:colOff>
      <xdr:row>0</xdr:row>
      <xdr:rowOff>79375</xdr:rowOff>
    </xdr:from>
    <xdr:to>
      <xdr:col>12</xdr:col>
      <xdr:colOff>460375</xdr:colOff>
      <xdr:row>3</xdr:row>
      <xdr:rowOff>184150</xdr:rowOff>
    </xdr:to>
    <xdr:pic>
      <xdr:nvPicPr>
        <xdr:cNvPr id="12" name="Imag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19250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2571750</xdr:colOff>
      <xdr:row>0</xdr:row>
      <xdr:rowOff>95250</xdr:rowOff>
    </xdr:from>
    <xdr:to>
      <xdr:col>19</xdr:col>
      <xdr:colOff>1031875</xdr:colOff>
      <xdr:row>3</xdr:row>
      <xdr:rowOff>200025</xdr:rowOff>
    </xdr:to>
    <xdr:pic>
      <xdr:nvPicPr>
        <xdr:cNvPr id="13" name="Image 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80875" y="952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841375</xdr:colOff>
      <xdr:row>0</xdr:row>
      <xdr:rowOff>79375</xdr:rowOff>
    </xdr:from>
    <xdr:to>
      <xdr:col>5</xdr:col>
      <xdr:colOff>777875</xdr:colOff>
      <xdr:row>3</xdr:row>
      <xdr:rowOff>136525</xdr:rowOff>
    </xdr:to>
    <xdr:pic>
      <xdr:nvPicPr>
        <xdr:cNvPr id="3" name="Imag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1125" y="793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587375</xdr:colOff>
      <xdr:row>0</xdr:row>
      <xdr:rowOff>142875</xdr:rowOff>
    </xdr:from>
    <xdr:to>
      <xdr:col>12</xdr:col>
      <xdr:colOff>904875</xdr:colOff>
      <xdr:row>3</xdr:row>
      <xdr:rowOff>200025</xdr:rowOff>
    </xdr:to>
    <xdr:pic>
      <xdr:nvPicPr>
        <xdr:cNvPr id="4" name="Imag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78125" y="142875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523875</xdr:colOff>
      <xdr:row>0</xdr:row>
      <xdr:rowOff>158750</xdr:rowOff>
    </xdr:from>
    <xdr:to>
      <xdr:col>19</xdr:col>
      <xdr:colOff>730250</xdr:colOff>
      <xdr:row>4</xdr:row>
      <xdr:rowOff>9525</xdr:rowOff>
    </xdr:to>
    <xdr:pic>
      <xdr:nvPicPr>
        <xdr:cNvPr id="5" name="Image 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733500" y="1587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809625</xdr:colOff>
      <xdr:row>0</xdr:row>
      <xdr:rowOff>95250</xdr:rowOff>
    </xdr:from>
    <xdr:to>
      <xdr:col>26</xdr:col>
      <xdr:colOff>730250</xdr:colOff>
      <xdr:row>3</xdr:row>
      <xdr:rowOff>152400</xdr:rowOff>
    </xdr:to>
    <xdr:pic>
      <xdr:nvPicPr>
        <xdr:cNvPr id="6" name="Imag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433375" y="9525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1095375</xdr:colOff>
      <xdr:row>0</xdr:row>
      <xdr:rowOff>127000</xdr:rowOff>
    </xdr:from>
    <xdr:to>
      <xdr:col>31</xdr:col>
      <xdr:colOff>587375</xdr:colOff>
      <xdr:row>3</xdr:row>
      <xdr:rowOff>184150</xdr:rowOff>
    </xdr:to>
    <xdr:pic>
      <xdr:nvPicPr>
        <xdr:cNvPr id="7" name="Imag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434500" y="127000"/>
          <a:ext cx="5762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1479550</xdr:colOff>
      <xdr:row>0</xdr:row>
      <xdr:rowOff>117475</xdr:rowOff>
    </xdr:from>
    <xdr:to>
      <xdr:col>3</xdr:col>
      <xdr:colOff>958850</xdr:colOff>
      <xdr:row>3</xdr:row>
      <xdr:rowOff>174625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9550" y="117475"/>
          <a:ext cx="60515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889000</xdr:colOff>
      <xdr:row>0</xdr:row>
      <xdr:rowOff>127000</xdr:rowOff>
    </xdr:from>
    <xdr:to>
      <xdr:col>3</xdr:col>
      <xdr:colOff>368300</xdr:colOff>
      <xdr:row>3</xdr:row>
      <xdr:rowOff>184150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000" y="127000"/>
          <a:ext cx="60515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F41"/>
  <sheetViews>
    <sheetView showGridLines="0" view="pageBreakPreview" zoomScale="60" workbookViewId="0">
      <selection activeCell="G58" sqref="G58"/>
    </sheetView>
  </sheetViews>
  <sheetFormatPr baseColWidth="10" defaultRowHeight="15" x14ac:dyDescent="0.25"/>
  <cols>
    <col min="1" max="1" width="42.7109375" bestFit="1" customWidth="1"/>
    <col min="2" max="2" width="17.85546875" bestFit="1" customWidth="1"/>
    <col min="3" max="3" width="19" bestFit="1" customWidth="1"/>
    <col min="4" max="4" width="20.42578125" bestFit="1" customWidth="1"/>
    <col min="5" max="5" width="12.28515625" bestFit="1" customWidth="1"/>
    <col min="6" max="6" width="21.28515625" bestFit="1" customWidth="1"/>
    <col min="7" max="7" width="12.28515625" bestFit="1" customWidth="1"/>
    <col min="8" max="8" width="42.7109375" bestFit="1" customWidth="1"/>
    <col min="9" max="9" width="19.85546875" bestFit="1" customWidth="1"/>
    <col min="10" max="10" width="20.85546875" bestFit="1" customWidth="1"/>
    <col min="11" max="11" width="17.5703125" bestFit="1" customWidth="1"/>
    <col min="12" max="12" width="18" bestFit="1" customWidth="1"/>
    <col min="13" max="13" width="17.5703125" bestFit="1" customWidth="1"/>
    <col min="14" max="14" width="19.85546875" bestFit="1" customWidth="1"/>
    <col min="15" max="15" width="42.7109375" bestFit="1" customWidth="1"/>
    <col min="16" max="16" width="17.5703125" bestFit="1" customWidth="1"/>
    <col min="17" max="17" width="20.42578125" bestFit="1" customWidth="1"/>
    <col min="18" max="19" width="19" bestFit="1" customWidth="1"/>
    <col min="20" max="21" width="19.42578125" bestFit="1" customWidth="1"/>
    <col min="22" max="22" width="42.7109375" bestFit="1" customWidth="1"/>
    <col min="23" max="23" width="19.42578125" bestFit="1" customWidth="1"/>
    <col min="24" max="24" width="21.28515625" bestFit="1" customWidth="1"/>
    <col min="25" max="25" width="19.85546875" bestFit="1" customWidth="1"/>
    <col min="26" max="26" width="21.85546875" customWidth="1"/>
    <col min="27" max="27" width="21.28515625" bestFit="1" customWidth="1"/>
    <col min="28" max="28" width="20.42578125" bestFit="1" customWidth="1"/>
    <col min="29" max="29" width="42.7109375" bestFit="1" customWidth="1"/>
    <col min="30" max="30" width="22.5703125" style="31" bestFit="1" customWidth="1"/>
    <col min="31" max="31" width="22" style="31" bestFit="1" customWidth="1"/>
    <col min="32" max="32" width="23" style="31" bestFit="1" customWidth="1"/>
  </cols>
  <sheetData>
    <row r="4" spans="1:32" ht="18.75" x14ac:dyDescent="0.3">
      <c r="A4" s="1"/>
      <c r="H4" s="1"/>
      <c r="O4" s="1"/>
      <c r="V4" s="1"/>
      <c r="AC4" s="1"/>
    </row>
    <row r="5" spans="1:32" ht="18.75" x14ac:dyDescent="0.3">
      <c r="A5" s="2" t="s">
        <v>126</v>
      </c>
      <c r="H5" s="2" t="s">
        <v>126</v>
      </c>
      <c r="O5" s="2" t="s">
        <v>126</v>
      </c>
      <c r="V5" s="2" t="s">
        <v>126</v>
      </c>
      <c r="AC5" s="2" t="s">
        <v>126</v>
      </c>
    </row>
    <row r="6" spans="1:32" x14ac:dyDescent="0.25">
      <c r="A6" s="15" t="s">
        <v>1</v>
      </c>
      <c r="B6" s="15"/>
      <c r="H6" s="15" t="s">
        <v>1</v>
      </c>
      <c r="O6" s="15" t="s">
        <v>1</v>
      </c>
      <c r="V6" s="15" t="s">
        <v>1</v>
      </c>
      <c r="AC6" s="15" t="s">
        <v>1</v>
      </c>
    </row>
    <row r="7" spans="1:32" x14ac:dyDescent="0.25">
      <c r="A7" s="15"/>
      <c r="B7" s="15"/>
      <c r="H7" s="15"/>
      <c r="O7" s="15"/>
      <c r="V7" s="15"/>
      <c r="AC7" s="15"/>
    </row>
    <row r="8" spans="1:32" ht="16.5" customHeight="1" x14ac:dyDescent="0.35">
      <c r="A8" s="34" t="s">
        <v>140</v>
      </c>
      <c r="H8" s="34" t="s">
        <v>140</v>
      </c>
      <c r="O8" s="34" t="s">
        <v>140</v>
      </c>
      <c r="V8" s="34" t="s">
        <v>140</v>
      </c>
      <c r="AC8" s="34" t="s">
        <v>140</v>
      </c>
      <c r="AF8"/>
    </row>
    <row r="10" spans="1:32" ht="18.75" customHeight="1" x14ac:dyDescent="0.25">
      <c r="A10" s="16" t="s">
        <v>2</v>
      </c>
      <c r="B10" s="29" t="s">
        <v>3</v>
      </c>
      <c r="C10" s="17"/>
      <c r="D10" s="16">
        <v>2007</v>
      </c>
      <c r="E10" s="17"/>
      <c r="F10" s="16">
        <v>2008</v>
      </c>
      <c r="G10" s="17"/>
      <c r="H10" s="16" t="s">
        <v>2</v>
      </c>
      <c r="I10" s="16">
        <v>2009</v>
      </c>
      <c r="J10" s="17"/>
      <c r="K10" s="16">
        <v>2010</v>
      </c>
      <c r="L10" s="17"/>
      <c r="M10" s="16">
        <v>2011</v>
      </c>
      <c r="N10" s="17"/>
      <c r="O10" s="16" t="s">
        <v>2</v>
      </c>
      <c r="P10" s="16">
        <v>2012</v>
      </c>
      <c r="Q10" s="17"/>
      <c r="R10" s="16">
        <v>2013</v>
      </c>
      <c r="S10" s="17"/>
      <c r="T10" s="16">
        <v>2014</v>
      </c>
      <c r="U10" s="17"/>
      <c r="V10" s="16" t="s">
        <v>2</v>
      </c>
      <c r="W10" s="16">
        <v>2015</v>
      </c>
      <c r="X10" s="17"/>
      <c r="Y10" s="16">
        <v>2016</v>
      </c>
      <c r="Z10" s="17"/>
      <c r="AA10" s="18">
        <v>42887</v>
      </c>
      <c r="AB10" s="17"/>
      <c r="AC10" s="16" t="s">
        <v>2</v>
      </c>
      <c r="AD10" s="42" t="s">
        <v>4</v>
      </c>
      <c r="AE10" s="42"/>
      <c r="AF10" s="42"/>
    </row>
    <row r="11" spans="1:32" ht="18.75" customHeight="1" x14ac:dyDescent="0.25">
      <c r="A11" s="16" t="s">
        <v>5</v>
      </c>
      <c r="B11" s="3" t="s">
        <v>6</v>
      </c>
      <c r="C11" s="3" t="s">
        <v>7</v>
      </c>
      <c r="D11" s="3" t="s">
        <v>6</v>
      </c>
      <c r="E11" s="3" t="s">
        <v>7</v>
      </c>
      <c r="F11" s="3" t="s">
        <v>6</v>
      </c>
      <c r="G11" s="3" t="s">
        <v>7</v>
      </c>
      <c r="H11" s="16" t="s">
        <v>5</v>
      </c>
      <c r="I11" s="3" t="s">
        <v>6</v>
      </c>
      <c r="J11" s="3" t="s">
        <v>7</v>
      </c>
      <c r="K11" s="3" t="s">
        <v>6</v>
      </c>
      <c r="L11" s="3" t="s">
        <v>7</v>
      </c>
      <c r="M11" s="3" t="s">
        <v>6</v>
      </c>
      <c r="N11" s="3" t="s">
        <v>7</v>
      </c>
      <c r="O11" s="16" t="s">
        <v>5</v>
      </c>
      <c r="P11" s="3" t="s">
        <v>6</v>
      </c>
      <c r="Q11" s="3" t="s">
        <v>7</v>
      </c>
      <c r="R11" s="3" t="s">
        <v>6</v>
      </c>
      <c r="S11" s="3" t="s">
        <v>7</v>
      </c>
      <c r="T11" s="3" t="s">
        <v>6</v>
      </c>
      <c r="U11" s="3" t="s">
        <v>7</v>
      </c>
      <c r="V11" s="16" t="s">
        <v>5</v>
      </c>
      <c r="W11" s="3" t="s">
        <v>6</v>
      </c>
      <c r="X11" s="3" t="s">
        <v>7</v>
      </c>
      <c r="Y11" s="3" t="s">
        <v>6</v>
      </c>
      <c r="Z11" s="3" t="s">
        <v>7</v>
      </c>
      <c r="AA11" s="3" t="s">
        <v>6</v>
      </c>
      <c r="AB11" s="3" t="s">
        <v>7</v>
      </c>
      <c r="AC11" s="16" t="s">
        <v>5</v>
      </c>
      <c r="AD11" s="30" t="s">
        <v>6</v>
      </c>
      <c r="AE11" s="30" t="s">
        <v>7</v>
      </c>
      <c r="AF11" s="30" t="s">
        <v>137</v>
      </c>
    </row>
    <row r="12" spans="1:32" x14ac:dyDescent="0.25">
      <c r="A12" s="20" t="s">
        <v>9</v>
      </c>
      <c r="B12" s="13">
        <v>0</v>
      </c>
      <c r="C12" s="13">
        <v>729519.08</v>
      </c>
      <c r="D12" s="13">
        <v>0</v>
      </c>
      <c r="E12" s="13">
        <v>0</v>
      </c>
      <c r="F12" s="13">
        <v>0</v>
      </c>
      <c r="G12" s="13">
        <v>0</v>
      </c>
      <c r="H12" s="20" t="s">
        <v>9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20" t="s">
        <v>9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20" t="s">
        <v>9</v>
      </c>
      <c r="W12" s="13">
        <v>0</v>
      </c>
      <c r="X12" s="13">
        <v>0</v>
      </c>
      <c r="Y12" s="13">
        <v>1684185.1999999997</v>
      </c>
      <c r="Z12" s="13"/>
      <c r="AA12" s="13">
        <v>4537143.5399999991</v>
      </c>
      <c r="AB12" s="13">
        <v>0</v>
      </c>
      <c r="AC12" s="20" t="s">
        <v>9</v>
      </c>
      <c r="AD12" s="14">
        <f>+B12+D12+F12+I12+K12+M12+P12+R12+T12+W12+Y12+AA12</f>
        <v>6221328.7399999984</v>
      </c>
      <c r="AE12" s="14">
        <f>+C12+E12+G12+J12+L12+N12+Q12+S12+U12+X12+Z12+AB12</f>
        <v>729519.08</v>
      </c>
      <c r="AF12" s="14">
        <f>+AD12+AE12</f>
        <v>6950847.8199999984</v>
      </c>
    </row>
    <row r="13" spans="1:32" x14ac:dyDescent="0.25">
      <c r="A13" s="20" t="s">
        <v>10</v>
      </c>
      <c r="B13" s="13">
        <v>0</v>
      </c>
      <c r="C13" s="13">
        <v>3259562.3499999996</v>
      </c>
      <c r="D13" s="13">
        <v>0</v>
      </c>
      <c r="E13" s="13">
        <v>0</v>
      </c>
      <c r="F13" s="13">
        <v>0</v>
      </c>
      <c r="G13" s="13">
        <v>0</v>
      </c>
      <c r="H13" s="20" t="s">
        <v>10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20" t="s">
        <v>10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0">
        <v>0</v>
      </c>
      <c r="V13" s="20" t="s">
        <v>10</v>
      </c>
      <c r="W13" s="13">
        <v>0</v>
      </c>
      <c r="X13" s="13">
        <v>0</v>
      </c>
      <c r="Y13" s="13">
        <v>1479856.68</v>
      </c>
      <c r="Z13" s="13"/>
      <c r="AA13" s="13">
        <v>1577024.1199999999</v>
      </c>
      <c r="AB13" s="13">
        <v>0</v>
      </c>
      <c r="AC13" s="20" t="s">
        <v>10</v>
      </c>
      <c r="AD13" s="14">
        <f t="shared" ref="AD13:AD34" si="0">+B13+D13+F13+I13+K13+M13+P13+R13+T13+W13+Y13+AA13</f>
        <v>3056880.8</v>
      </c>
      <c r="AE13" s="14">
        <f t="shared" ref="AE13:AE35" si="1">+C13+E13+G13+J13+L13+N13+Q13+S13+U13+X13+Z13+AB13</f>
        <v>3259562.3499999996</v>
      </c>
      <c r="AF13" s="14">
        <f t="shared" ref="AF13:AF37" si="2">+AD13+AE13</f>
        <v>6316443.1499999994</v>
      </c>
    </row>
    <row r="14" spans="1:32" x14ac:dyDescent="0.25">
      <c r="A14" s="20" t="s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20" t="s">
        <v>11</v>
      </c>
      <c r="I14" s="13">
        <v>137708.47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20" t="s">
        <v>11</v>
      </c>
      <c r="P14" s="13">
        <v>165946.57</v>
      </c>
      <c r="Q14" s="13">
        <v>0</v>
      </c>
      <c r="R14" s="13">
        <v>2864742.19</v>
      </c>
      <c r="S14" s="13"/>
      <c r="T14" s="13">
        <v>1405342.63</v>
      </c>
      <c r="U14" s="13">
        <v>247825.02</v>
      </c>
      <c r="V14" s="20" t="s">
        <v>11</v>
      </c>
      <c r="W14" s="13">
        <v>2101374.5100000002</v>
      </c>
      <c r="X14" s="13">
        <v>7000</v>
      </c>
      <c r="Y14" s="13">
        <v>3356144.72</v>
      </c>
      <c r="Z14" s="13"/>
      <c r="AA14" s="13">
        <v>1149643.6599999999</v>
      </c>
      <c r="AB14" s="13">
        <v>0</v>
      </c>
      <c r="AC14" s="20" t="s">
        <v>11</v>
      </c>
      <c r="AD14" s="14">
        <f t="shared" si="0"/>
        <v>11180902.75</v>
      </c>
      <c r="AE14" s="14">
        <f t="shared" si="1"/>
        <v>254825.02</v>
      </c>
      <c r="AF14" s="14">
        <f t="shared" si="2"/>
        <v>11435727.77</v>
      </c>
    </row>
    <row r="15" spans="1:32" x14ac:dyDescent="0.25">
      <c r="A15" s="20" t="s">
        <v>12</v>
      </c>
      <c r="B15" s="13">
        <v>0</v>
      </c>
      <c r="C15" s="9">
        <v>1792210.0600000003</v>
      </c>
      <c r="D15" s="13">
        <v>0</v>
      </c>
      <c r="E15" s="13">
        <v>0</v>
      </c>
      <c r="F15" s="13">
        <v>0</v>
      </c>
      <c r="G15" s="13">
        <v>0</v>
      </c>
      <c r="H15" s="20" t="s">
        <v>12</v>
      </c>
      <c r="I15" s="9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20" t="s">
        <v>12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537784.43000000005</v>
      </c>
      <c r="V15" s="20" t="s">
        <v>12</v>
      </c>
      <c r="W15" s="9">
        <v>0</v>
      </c>
      <c r="X15" s="9">
        <v>10100950.23</v>
      </c>
      <c r="Y15" s="9">
        <v>554214.17000000004</v>
      </c>
      <c r="Z15" s="9">
        <v>0</v>
      </c>
      <c r="AA15" s="9">
        <v>1113908.2000000002</v>
      </c>
      <c r="AB15" s="9">
        <v>0</v>
      </c>
      <c r="AC15" s="20" t="s">
        <v>12</v>
      </c>
      <c r="AD15" s="11">
        <f t="shared" si="0"/>
        <v>1668122.37</v>
      </c>
      <c r="AE15" s="11">
        <f t="shared" si="1"/>
        <v>12430944.720000001</v>
      </c>
      <c r="AF15" s="11">
        <f t="shared" si="2"/>
        <v>14099067.09</v>
      </c>
    </row>
    <row r="16" spans="1:32" x14ac:dyDescent="0.25">
      <c r="A16" s="20" t="s">
        <v>13</v>
      </c>
      <c r="B16" s="13">
        <v>0</v>
      </c>
      <c r="C16" s="13">
        <v>1051426.3</v>
      </c>
      <c r="D16" s="13">
        <v>0</v>
      </c>
      <c r="E16" s="13">
        <v>0</v>
      </c>
      <c r="F16" s="13">
        <v>0</v>
      </c>
      <c r="G16" s="13">
        <v>0</v>
      </c>
      <c r="H16" s="20" t="s">
        <v>13</v>
      </c>
      <c r="I16" s="9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20" t="s">
        <v>13</v>
      </c>
      <c r="P16" s="13">
        <v>0</v>
      </c>
      <c r="Q16" s="9">
        <v>0</v>
      </c>
      <c r="R16" s="9">
        <v>0</v>
      </c>
      <c r="S16" s="9">
        <v>0</v>
      </c>
      <c r="T16" s="13">
        <v>41944.31</v>
      </c>
      <c r="U16" s="13">
        <v>0</v>
      </c>
      <c r="V16" s="20" t="s">
        <v>13</v>
      </c>
      <c r="W16" s="13">
        <v>80037.87</v>
      </c>
      <c r="X16" s="13">
        <v>7282.38</v>
      </c>
      <c r="Y16" s="13">
        <v>505940.8</v>
      </c>
      <c r="Z16" s="13"/>
      <c r="AA16" s="13">
        <v>3134800.5199999996</v>
      </c>
      <c r="AB16" s="13">
        <v>0</v>
      </c>
      <c r="AC16" s="20" t="s">
        <v>13</v>
      </c>
      <c r="AD16" s="14">
        <f t="shared" si="0"/>
        <v>3762723.4999999995</v>
      </c>
      <c r="AE16" s="14">
        <f t="shared" si="1"/>
        <v>1058708.68</v>
      </c>
      <c r="AF16" s="14">
        <f t="shared" si="2"/>
        <v>4821432.18</v>
      </c>
    </row>
    <row r="17" spans="1:32" x14ac:dyDescent="0.25">
      <c r="A17" s="20" t="s">
        <v>14</v>
      </c>
      <c r="B17" s="13">
        <v>0</v>
      </c>
      <c r="C17" s="9">
        <v>0</v>
      </c>
      <c r="D17" s="13">
        <v>0</v>
      </c>
      <c r="E17" s="13">
        <v>0</v>
      </c>
      <c r="F17" s="13">
        <v>0</v>
      </c>
      <c r="G17" s="13">
        <v>0</v>
      </c>
      <c r="H17" s="20" t="s">
        <v>14</v>
      </c>
      <c r="I17" s="9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20" t="s">
        <v>14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20" t="s">
        <v>14</v>
      </c>
      <c r="W17" s="9">
        <v>0</v>
      </c>
      <c r="X17" s="9">
        <v>35326.019999999997</v>
      </c>
      <c r="Y17" s="9">
        <v>0</v>
      </c>
      <c r="Z17" s="9">
        <v>130579.69</v>
      </c>
      <c r="AA17" s="9">
        <v>1141216.3400000001</v>
      </c>
      <c r="AB17" s="9">
        <v>0</v>
      </c>
      <c r="AC17" s="20" t="s">
        <v>14</v>
      </c>
      <c r="AD17" s="11">
        <f t="shared" si="0"/>
        <v>1141216.3400000001</v>
      </c>
      <c r="AE17" s="11">
        <f t="shared" si="1"/>
        <v>165905.71</v>
      </c>
      <c r="AF17" s="11">
        <f t="shared" si="2"/>
        <v>1307122.05</v>
      </c>
    </row>
    <row r="18" spans="1:32" x14ac:dyDescent="0.25">
      <c r="A18" s="20" t="s">
        <v>15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20" t="s">
        <v>15</v>
      </c>
      <c r="I18" s="9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20" t="s">
        <v>15</v>
      </c>
      <c r="P18" s="13">
        <v>0</v>
      </c>
      <c r="Q18" s="10">
        <v>552319.36</v>
      </c>
      <c r="R18" s="13">
        <v>0</v>
      </c>
      <c r="S18" s="13">
        <v>7282.38</v>
      </c>
      <c r="T18" s="13">
        <v>0</v>
      </c>
      <c r="U18" s="13">
        <v>0</v>
      </c>
      <c r="V18" s="20" t="s">
        <v>15</v>
      </c>
      <c r="W18" s="13">
        <v>0</v>
      </c>
      <c r="X18" s="13">
        <v>0</v>
      </c>
      <c r="Y18" s="13">
        <v>122713.81</v>
      </c>
      <c r="Z18" s="13"/>
      <c r="AA18" s="13">
        <v>1870326.43</v>
      </c>
      <c r="AB18" s="13">
        <v>0</v>
      </c>
      <c r="AC18" s="20" t="s">
        <v>15</v>
      </c>
      <c r="AD18" s="14">
        <f t="shared" si="0"/>
        <v>1993040.24</v>
      </c>
      <c r="AE18" s="14">
        <f t="shared" si="1"/>
        <v>559601.74</v>
      </c>
      <c r="AF18" s="14">
        <f t="shared" si="2"/>
        <v>2552641.98</v>
      </c>
    </row>
    <row r="19" spans="1:32" x14ac:dyDescent="0.25">
      <c r="A19" s="20" t="s">
        <v>16</v>
      </c>
      <c r="B19" s="13">
        <v>0</v>
      </c>
      <c r="C19" s="9">
        <v>0</v>
      </c>
      <c r="D19" s="13">
        <v>0</v>
      </c>
      <c r="E19" s="13">
        <v>0</v>
      </c>
      <c r="F19" s="13">
        <v>0</v>
      </c>
      <c r="G19" s="13">
        <v>0</v>
      </c>
      <c r="H19" s="20" t="s">
        <v>16</v>
      </c>
      <c r="I19" s="9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20" t="s">
        <v>16</v>
      </c>
      <c r="P19" s="9">
        <v>0</v>
      </c>
      <c r="Q19" s="9">
        <v>148169.72</v>
      </c>
      <c r="R19" s="9">
        <v>0</v>
      </c>
      <c r="S19" s="9">
        <v>0</v>
      </c>
      <c r="T19" s="9">
        <v>0</v>
      </c>
      <c r="U19" s="9">
        <v>0</v>
      </c>
      <c r="V19" s="20" t="s">
        <v>16</v>
      </c>
      <c r="W19" s="9">
        <v>0</v>
      </c>
      <c r="X19" s="9">
        <v>43818407.32</v>
      </c>
      <c r="Y19" s="9">
        <v>189311.81</v>
      </c>
      <c r="Z19" s="9">
        <v>0</v>
      </c>
      <c r="AA19" s="9">
        <v>2922338.9000000004</v>
      </c>
      <c r="AB19" s="9">
        <v>0</v>
      </c>
      <c r="AC19" s="20" t="s">
        <v>16</v>
      </c>
      <c r="AD19" s="11">
        <f t="shared" si="0"/>
        <v>3111650.7100000004</v>
      </c>
      <c r="AE19" s="11">
        <f t="shared" si="1"/>
        <v>43966577.039999999</v>
      </c>
      <c r="AF19" s="11">
        <f t="shared" si="2"/>
        <v>47078227.75</v>
      </c>
    </row>
    <row r="20" spans="1:32" x14ac:dyDescent="0.25">
      <c r="A20" s="20" t="s">
        <v>17</v>
      </c>
      <c r="B20" s="13">
        <v>0</v>
      </c>
      <c r="C20" s="9">
        <v>362160.61</v>
      </c>
      <c r="D20" s="13">
        <v>0</v>
      </c>
      <c r="E20" s="13">
        <v>0</v>
      </c>
      <c r="F20" s="13">
        <v>0</v>
      </c>
      <c r="G20" s="13">
        <v>0</v>
      </c>
      <c r="H20" s="20" t="s">
        <v>17</v>
      </c>
      <c r="I20" s="9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20" t="s">
        <v>17</v>
      </c>
      <c r="P20" s="9">
        <v>0</v>
      </c>
      <c r="Q20" s="9">
        <v>16953672.039999999</v>
      </c>
      <c r="R20" s="9">
        <v>0</v>
      </c>
      <c r="S20" s="9">
        <v>0</v>
      </c>
      <c r="T20" s="9">
        <v>0</v>
      </c>
      <c r="U20" s="9">
        <v>0</v>
      </c>
      <c r="V20" s="20" t="s">
        <v>17</v>
      </c>
      <c r="W20" s="9">
        <v>0</v>
      </c>
      <c r="X20" s="9">
        <v>18282.38</v>
      </c>
      <c r="Y20" s="9">
        <v>928627</v>
      </c>
      <c r="Z20" s="9">
        <v>0</v>
      </c>
      <c r="AA20" s="9">
        <v>6670471.2999999989</v>
      </c>
      <c r="AB20" s="9">
        <v>0</v>
      </c>
      <c r="AC20" s="20" t="s">
        <v>17</v>
      </c>
      <c r="AD20" s="11">
        <f t="shared" si="0"/>
        <v>7599098.2999999989</v>
      </c>
      <c r="AE20" s="11">
        <f t="shared" si="1"/>
        <v>17334115.029999997</v>
      </c>
      <c r="AF20" s="11">
        <f t="shared" si="2"/>
        <v>24933213.329999998</v>
      </c>
    </row>
    <row r="21" spans="1:32" x14ac:dyDescent="0.25">
      <c r="A21" s="20" t="s">
        <v>18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20" t="s">
        <v>18</v>
      </c>
      <c r="I21" s="9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20" t="s">
        <v>18</v>
      </c>
      <c r="P21" s="13">
        <v>0</v>
      </c>
      <c r="Q21" s="13">
        <v>11514465.390000001</v>
      </c>
      <c r="R21" s="13">
        <v>0</v>
      </c>
      <c r="S21" s="13">
        <v>2221419.59</v>
      </c>
      <c r="T21" s="13">
        <v>0</v>
      </c>
      <c r="U21" s="13">
        <v>0</v>
      </c>
      <c r="V21" s="20" t="s">
        <v>18</v>
      </c>
      <c r="W21" s="13">
        <v>0</v>
      </c>
      <c r="X21" s="13">
        <v>0</v>
      </c>
      <c r="Y21" s="13">
        <v>2822393.5699999994</v>
      </c>
      <c r="Z21" s="13"/>
      <c r="AA21" s="13">
        <v>6419999.8399999961</v>
      </c>
      <c r="AB21" s="13">
        <v>129637.5</v>
      </c>
      <c r="AC21" s="20" t="s">
        <v>18</v>
      </c>
      <c r="AD21" s="14">
        <f t="shared" si="0"/>
        <v>9242393.4099999964</v>
      </c>
      <c r="AE21" s="14">
        <f t="shared" si="1"/>
        <v>13865522.48</v>
      </c>
      <c r="AF21" s="14">
        <f t="shared" si="2"/>
        <v>23107915.889999997</v>
      </c>
    </row>
    <row r="22" spans="1:32" x14ac:dyDescent="0.25">
      <c r="A22" s="20" t="s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20" t="s">
        <v>19</v>
      </c>
      <c r="I22" s="9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20" t="s">
        <v>19</v>
      </c>
      <c r="P22" s="13">
        <v>0</v>
      </c>
      <c r="Q22" s="13">
        <v>0</v>
      </c>
      <c r="R22" s="13">
        <v>0</v>
      </c>
      <c r="S22" s="13">
        <v>0</v>
      </c>
      <c r="T22" s="13">
        <v>24379.23</v>
      </c>
      <c r="U22" s="13">
        <v>0</v>
      </c>
      <c r="V22" s="20" t="s">
        <v>19</v>
      </c>
      <c r="W22" s="13">
        <v>179521.18</v>
      </c>
      <c r="X22" s="13">
        <v>0</v>
      </c>
      <c r="Y22" s="13">
        <v>1359525.8399999999</v>
      </c>
      <c r="Z22" s="13"/>
      <c r="AA22" s="13">
        <v>5627877.8000000007</v>
      </c>
      <c r="AB22" s="13">
        <v>0</v>
      </c>
      <c r="AC22" s="20" t="s">
        <v>19</v>
      </c>
      <c r="AD22" s="14">
        <f t="shared" si="0"/>
        <v>7191304.0500000007</v>
      </c>
      <c r="AE22" s="14">
        <f t="shared" si="1"/>
        <v>0</v>
      </c>
      <c r="AF22" s="14">
        <f t="shared" si="2"/>
        <v>7191304.0500000007</v>
      </c>
    </row>
    <row r="23" spans="1:32" x14ac:dyDescent="0.25">
      <c r="A23" s="20" t="s">
        <v>20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20" t="s">
        <v>20</v>
      </c>
      <c r="I23" s="9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20" t="s">
        <v>20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20" t="s">
        <v>20</v>
      </c>
      <c r="W23" s="13">
        <v>0</v>
      </c>
      <c r="X23" s="13">
        <v>0</v>
      </c>
      <c r="Y23" s="13">
        <v>0</v>
      </c>
      <c r="Z23" s="13"/>
      <c r="AA23" s="13">
        <v>1987658.7999999998</v>
      </c>
      <c r="AB23" s="13">
        <v>0</v>
      </c>
      <c r="AC23" s="20" t="s">
        <v>20</v>
      </c>
      <c r="AD23" s="14">
        <f t="shared" si="0"/>
        <v>1987658.7999999998</v>
      </c>
      <c r="AE23" s="14">
        <f t="shared" si="1"/>
        <v>0</v>
      </c>
      <c r="AF23" s="14">
        <f t="shared" si="2"/>
        <v>1987658.7999999998</v>
      </c>
    </row>
    <row r="24" spans="1:32" x14ac:dyDescent="0.25">
      <c r="A24" s="20" t="s">
        <v>21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20" t="s">
        <v>21</v>
      </c>
      <c r="I24" s="9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20" t="s">
        <v>21</v>
      </c>
      <c r="P24" s="13">
        <v>0</v>
      </c>
      <c r="Q24" s="13">
        <v>0</v>
      </c>
      <c r="R24" s="13">
        <v>0</v>
      </c>
      <c r="S24" s="13">
        <v>0</v>
      </c>
      <c r="T24" s="13">
        <v>785414.35999999987</v>
      </c>
      <c r="U24" s="13">
        <v>0</v>
      </c>
      <c r="V24" s="20" t="s">
        <v>21</v>
      </c>
      <c r="W24" s="13">
        <v>0</v>
      </c>
      <c r="X24" s="13">
        <v>0</v>
      </c>
      <c r="Y24" s="13">
        <v>28726.11</v>
      </c>
      <c r="Z24" s="13"/>
      <c r="AA24" s="13">
        <v>994316.78999999992</v>
      </c>
      <c r="AB24" s="13">
        <v>0</v>
      </c>
      <c r="AC24" s="20" t="s">
        <v>21</v>
      </c>
      <c r="AD24" s="14">
        <f t="shared" si="0"/>
        <v>1808457.2599999998</v>
      </c>
      <c r="AE24" s="14">
        <f t="shared" si="1"/>
        <v>0</v>
      </c>
      <c r="AF24" s="14">
        <f t="shared" si="2"/>
        <v>1808457.2599999998</v>
      </c>
    </row>
    <row r="25" spans="1:32" ht="15.75" x14ac:dyDescent="0.25">
      <c r="A25" s="23" t="s">
        <v>107</v>
      </c>
      <c r="B25" s="27">
        <f>SUM(B12:B24)</f>
        <v>0</v>
      </c>
      <c r="C25" s="27">
        <f t="shared" ref="C25:AA25" si="3">SUM(C12:C24)</f>
        <v>7194878.4000000004</v>
      </c>
      <c r="D25" s="27">
        <f t="shared" si="3"/>
        <v>0</v>
      </c>
      <c r="E25" s="27">
        <f t="shared" si="3"/>
        <v>0</v>
      </c>
      <c r="F25" s="27">
        <f t="shared" si="3"/>
        <v>0</v>
      </c>
      <c r="G25" s="27">
        <f t="shared" si="3"/>
        <v>0</v>
      </c>
      <c r="H25" s="23" t="s">
        <v>107</v>
      </c>
      <c r="I25" s="27">
        <f t="shared" si="3"/>
        <v>137708.47</v>
      </c>
      <c r="J25" s="27">
        <f t="shared" si="3"/>
        <v>0</v>
      </c>
      <c r="K25" s="27">
        <f t="shared" si="3"/>
        <v>0</v>
      </c>
      <c r="L25" s="27">
        <f t="shared" si="3"/>
        <v>0</v>
      </c>
      <c r="M25" s="27">
        <f t="shared" si="3"/>
        <v>0</v>
      </c>
      <c r="N25" s="27">
        <f t="shared" si="3"/>
        <v>0</v>
      </c>
      <c r="O25" s="23" t="s">
        <v>107</v>
      </c>
      <c r="P25" s="27">
        <f t="shared" si="3"/>
        <v>165946.57</v>
      </c>
      <c r="Q25" s="27">
        <f t="shared" si="3"/>
        <v>29168626.509999998</v>
      </c>
      <c r="R25" s="27">
        <f t="shared" si="3"/>
        <v>2864742.19</v>
      </c>
      <c r="S25" s="27">
        <f t="shared" si="3"/>
        <v>2228701.9699999997</v>
      </c>
      <c r="T25" s="27">
        <f t="shared" si="3"/>
        <v>2257080.5299999998</v>
      </c>
      <c r="U25" s="27">
        <f t="shared" si="3"/>
        <v>785609.45000000007</v>
      </c>
      <c r="V25" s="23" t="s">
        <v>107</v>
      </c>
      <c r="W25" s="27">
        <f t="shared" si="3"/>
        <v>2360933.5600000005</v>
      </c>
      <c r="X25" s="27">
        <f t="shared" si="3"/>
        <v>53987248.330000006</v>
      </c>
      <c r="Y25" s="27">
        <f t="shared" si="3"/>
        <v>13031639.709999997</v>
      </c>
      <c r="Z25" s="27">
        <f t="shared" si="3"/>
        <v>130579.69</v>
      </c>
      <c r="AA25" s="27">
        <f t="shared" si="3"/>
        <v>39146726.239999987</v>
      </c>
      <c r="AB25" s="27">
        <f>SUM(AB12:AB24)</f>
        <v>129637.5</v>
      </c>
      <c r="AC25" s="23" t="s">
        <v>107</v>
      </c>
      <c r="AD25" s="27">
        <f t="shared" si="0"/>
        <v>59964777.269999981</v>
      </c>
      <c r="AE25" s="27">
        <f t="shared" si="1"/>
        <v>93625281.849999994</v>
      </c>
      <c r="AF25" s="27">
        <f t="shared" si="2"/>
        <v>153590059.11999997</v>
      </c>
    </row>
    <row r="26" spans="1:32" x14ac:dyDescent="0.25">
      <c r="A26" s="20" t="s">
        <v>22</v>
      </c>
      <c r="B26" s="13">
        <v>0</v>
      </c>
      <c r="C26" s="13">
        <v>397063.9</v>
      </c>
      <c r="D26" s="13"/>
      <c r="E26" s="13"/>
      <c r="F26" s="13">
        <v>0</v>
      </c>
      <c r="G26" s="13">
        <v>0</v>
      </c>
      <c r="H26" s="20" t="s">
        <v>22</v>
      </c>
      <c r="I26" s="13">
        <v>0</v>
      </c>
      <c r="J26" s="13">
        <v>23468728.129999999</v>
      </c>
      <c r="K26" s="13">
        <v>0</v>
      </c>
      <c r="L26" s="13">
        <v>0</v>
      </c>
      <c r="M26" s="13">
        <v>0</v>
      </c>
      <c r="N26" s="13">
        <v>0</v>
      </c>
      <c r="O26" s="20" t="s">
        <v>22</v>
      </c>
      <c r="P26" s="13">
        <v>393377.48</v>
      </c>
      <c r="Q26" s="13"/>
      <c r="R26" s="13">
        <v>397056.75</v>
      </c>
      <c r="S26" s="13"/>
      <c r="T26" s="13">
        <v>20358.12</v>
      </c>
      <c r="U26" s="13">
        <v>0</v>
      </c>
      <c r="V26" s="20" t="s">
        <v>22</v>
      </c>
      <c r="W26" s="13">
        <v>88210.33</v>
      </c>
      <c r="X26" s="13">
        <v>0</v>
      </c>
      <c r="Y26" s="13">
        <v>157670.19</v>
      </c>
      <c r="Z26" s="13">
        <v>0</v>
      </c>
      <c r="AA26" s="13">
        <v>206575.44</v>
      </c>
      <c r="AB26" s="13">
        <v>0</v>
      </c>
      <c r="AC26" s="20" t="s">
        <v>22</v>
      </c>
      <c r="AD26" s="14">
        <f t="shared" si="0"/>
        <v>1263248.3099999998</v>
      </c>
      <c r="AE26" s="14">
        <f t="shared" si="1"/>
        <v>23865792.029999997</v>
      </c>
      <c r="AF26" s="14">
        <f t="shared" si="2"/>
        <v>25129040.339999996</v>
      </c>
    </row>
    <row r="27" spans="1:32" ht="15.75" x14ac:dyDescent="0.25">
      <c r="A27" s="24" t="s">
        <v>108</v>
      </c>
      <c r="B27" s="27">
        <f>+B26</f>
        <v>0</v>
      </c>
      <c r="C27" s="27">
        <f t="shared" ref="C27:AA27" si="4">+C26</f>
        <v>397063.9</v>
      </c>
      <c r="D27" s="27">
        <f t="shared" si="4"/>
        <v>0</v>
      </c>
      <c r="E27" s="27">
        <f t="shared" si="4"/>
        <v>0</v>
      </c>
      <c r="F27" s="27">
        <f t="shared" si="4"/>
        <v>0</v>
      </c>
      <c r="G27" s="27">
        <f t="shared" si="4"/>
        <v>0</v>
      </c>
      <c r="H27" s="24" t="s">
        <v>108</v>
      </c>
      <c r="I27" s="27">
        <f t="shared" si="4"/>
        <v>0</v>
      </c>
      <c r="J27" s="27">
        <f t="shared" si="4"/>
        <v>23468728.129999999</v>
      </c>
      <c r="K27" s="27">
        <f t="shared" si="4"/>
        <v>0</v>
      </c>
      <c r="L27" s="27">
        <f t="shared" si="4"/>
        <v>0</v>
      </c>
      <c r="M27" s="27">
        <f t="shared" si="4"/>
        <v>0</v>
      </c>
      <c r="N27" s="27">
        <f t="shared" si="4"/>
        <v>0</v>
      </c>
      <c r="O27" s="24" t="s">
        <v>108</v>
      </c>
      <c r="P27" s="27">
        <f t="shared" si="4"/>
        <v>393377.48</v>
      </c>
      <c r="Q27" s="27">
        <f t="shared" si="4"/>
        <v>0</v>
      </c>
      <c r="R27" s="27">
        <f t="shared" si="4"/>
        <v>397056.75</v>
      </c>
      <c r="S27" s="27">
        <f t="shared" si="4"/>
        <v>0</v>
      </c>
      <c r="T27" s="27">
        <f t="shared" si="4"/>
        <v>20358.12</v>
      </c>
      <c r="U27" s="27">
        <f t="shared" si="4"/>
        <v>0</v>
      </c>
      <c r="V27" s="24" t="s">
        <v>108</v>
      </c>
      <c r="W27" s="27">
        <f t="shared" si="4"/>
        <v>88210.33</v>
      </c>
      <c r="X27" s="27">
        <f t="shared" si="4"/>
        <v>0</v>
      </c>
      <c r="Y27" s="27">
        <f t="shared" si="4"/>
        <v>157670.19</v>
      </c>
      <c r="Z27" s="27">
        <f t="shared" si="4"/>
        <v>0</v>
      </c>
      <c r="AA27" s="27">
        <f t="shared" si="4"/>
        <v>206575.44</v>
      </c>
      <c r="AB27" s="27">
        <f>+AB26</f>
        <v>0</v>
      </c>
      <c r="AC27" s="24" t="s">
        <v>108</v>
      </c>
      <c r="AD27" s="27">
        <f t="shared" si="0"/>
        <v>1263248.3099999998</v>
      </c>
      <c r="AE27" s="27">
        <f t="shared" si="1"/>
        <v>23865792.029999997</v>
      </c>
      <c r="AF27" s="27">
        <f t="shared" si="2"/>
        <v>25129040.339999996</v>
      </c>
    </row>
    <row r="28" spans="1:32" x14ac:dyDescent="0.25">
      <c r="A28" s="20" t="s">
        <v>23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20" t="s">
        <v>23</v>
      </c>
      <c r="I28" s="9">
        <v>1512692.1500000004</v>
      </c>
      <c r="J28" s="9">
        <v>0</v>
      </c>
      <c r="K28" s="9">
        <v>836777.41999999993</v>
      </c>
      <c r="L28" s="9">
        <v>0</v>
      </c>
      <c r="M28" s="9">
        <v>503255.50000000006</v>
      </c>
      <c r="N28" s="9">
        <v>11583086.07</v>
      </c>
      <c r="O28" s="20" t="s">
        <v>23</v>
      </c>
      <c r="P28" s="9">
        <v>725534.38000000012</v>
      </c>
      <c r="Q28" s="9">
        <v>0</v>
      </c>
      <c r="R28" s="9">
        <v>1617832.1900000002</v>
      </c>
      <c r="S28" s="9">
        <v>0</v>
      </c>
      <c r="T28" s="9">
        <v>1448108.53</v>
      </c>
      <c r="U28" s="9">
        <v>0</v>
      </c>
      <c r="V28" s="20" t="s">
        <v>23</v>
      </c>
      <c r="W28" s="9">
        <v>846426.87</v>
      </c>
      <c r="X28" s="9">
        <v>0</v>
      </c>
      <c r="Y28" s="9">
        <v>1851712.86</v>
      </c>
      <c r="Z28" s="9">
        <v>0</v>
      </c>
      <c r="AA28" s="9">
        <v>2407708.5700000003</v>
      </c>
      <c r="AB28" s="9">
        <v>0</v>
      </c>
      <c r="AC28" s="20" t="s">
        <v>23</v>
      </c>
      <c r="AD28" s="11">
        <f t="shared" si="0"/>
        <v>11750048.470000001</v>
      </c>
      <c r="AE28" s="11">
        <f t="shared" si="1"/>
        <v>11583086.07</v>
      </c>
      <c r="AF28" s="11">
        <f t="shared" si="2"/>
        <v>23333134.539999999</v>
      </c>
    </row>
    <row r="29" spans="1:32" x14ac:dyDescent="0.25">
      <c r="A29" s="21" t="s">
        <v>24</v>
      </c>
      <c r="B29" s="13">
        <v>0</v>
      </c>
      <c r="C29" s="10">
        <v>4645404.8599999994</v>
      </c>
      <c r="D29" s="13">
        <v>0</v>
      </c>
      <c r="E29" s="13">
        <v>0</v>
      </c>
      <c r="F29" s="13">
        <v>0</v>
      </c>
      <c r="G29" s="9">
        <v>0</v>
      </c>
      <c r="H29" s="21" t="s">
        <v>24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9">
        <v>0</v>
      </c>
      <c r="O29" s="21" t="s">
        <v>24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21" t="s">
        <v>24</v>
      </c>
      <c r="W29" s="13">
        <v>0</v>
      </c>
      <c r="X29" s="13">
        <v>71970.92</v>
      </c>
      <c r="Y29" s="13">
        <v>0</v>
      </c>
      <c r="Z29" s="13">
        <v>0</v>
      </c>
      <c r="AA29" s="13">
        <v>0</v>
      </c>
      <c r="AB29" s="13">
        <v>0</v>
      </c>
      <c r="AC29" s="21" t="s">
        <v>24</v>
      </c>
      <c r="AD29" s="14">
        <f t="shared" si="0"/>
        <v>0</v>
      </c>
      <c r="AE29" s="14">
        <f t="shared" si="1"/>
        <v>4717375.7799999993</v>
      </c>
      <c r="AF29" s="14">
        <f t="shared" si="2"/>
        <v>4717375.7799999993</v>
      </c>
    </row>
    <row r="30" spans="1:32" x14ac:dyDescent="0.25">
      <c r="A30" s="22" t="s">
        <v>25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9">
        <v>0</v>
      </c>
      <c r="H30" s="22" t="s">
        <v>25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2" t="s">
        <v>25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22" t="s">
        <v>25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10192646.57</v>
      </c>
      <c r="AC30" s="22" t="s">
        <v>25</v>
      </c>
      <c r="AD30" s="14">
        <f t="shared" si="0"/>
        <v>0</v>
      </c>
      <c r="AE30" s="14">
        <f t="shared" si="1"/>
        <v>10192646.57</v>
      </c>
      <c r="AF30" s="14">
        <f t="shared" si="2"/>
        <v>10192646.57</v>
      </c>
    </row>
    <row r="31" spans="1:32" ht="15.75" x14ac:dyDescent="0.25">
      <c r="A31" s="22" t="s">
        <v>26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9">
        <v>0</v>
      </c>
      <c r="H31" s="22" t="s">
        <v>26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8">
        <f>SUM(N28:N30)</f>
        <v>11583086.07</v>
      </c>
      <c r="O31" s="22" t="s">
        <v>26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22" t="s">
        <v>26</v>
      </c>
      <c r="W31" s="13">
        <v>37554.17</v>
      </c>
      <c r="X31" s="13">
        <v>0</v>
      </c>
      <c r="Y31" s="13">
        <v>0</v>
      </c>
      <c r="Z31" s="13">
        <v>232342384.94999999</v>
      </c>
      <c r="AA31" s="13">
        <v>202701.88</v>
      </c>
      <c r="AB31" s="13">
        <v>0</v>
      </c>
      <c r="AC31" s="22" t="s">
        <v>26</v>
      </c>
      <c r="AD31" s="14">
        <f t="shared" si="0"/>
        <v>240256.05</v>
      </c>
      <c r="AE31" s="14">
        <f t="shared" si="1"/>
        <v>243925471.01999998</v>
      </c>
      <c r="AF31" s="14">
        <f t="shared" si="2"/>
        <v>244165727.06999999</v>
      </c>
    </row>
    <row r="32" spans="1:32" x14ac:dyDescent="0.25">
      <c r="A32" s="22" t="s">
        <v>27</v>
      </c>
      <c r="B32" s="13">
        <v>0</v>
      </c>
      <c r="C32" s="13">
        <v>534053.05000000005</v>
      </c>
      <c r="D32" s="13">
        <v>0</v>
      </c>
      <c r="E32" s="13">
        <v>0</v>
      </c>
      <c r="F32" s="13">
        <v>0</v>
      </c>
      <c r="G32" s="9">
        <v>0</v>
      </c>
      <c r="H32" s="22" t="s">
        <v>27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22" t="s">
        <v>27</v>
      </c>
      <c r="P32" s="13">
        <v>0</v>
      </c>
      <c r="Q32" s="13">
        <v>11517593.15</v>
      </c>
      <c r="R32" s="13">
        <v>482778.47999999992</v>
      </c>
      <c r="S32" s="13">
        <v>0</v>
      </c>
      <c r="T32" s="13">
        <v>232970.60999999984</v>
      </c>
      <c r="U32" s="13">
        <v>0</v>
      </c>
      <c r="V32" s="22" t="s">
        <v>27</v>
      </c>
      <c r="W32" s="13">
        <v>319694.29999999993</v>
      </c>
      <c r="X32" s="13">
        <v>0</v>
      </c>
      <c r="Y32" s="13">
        <v>530481.76</v>
      </c>
      <c r="Z32" s="9">
        <f>+Z29+Z30+Z31</f>
        <v>232342384.94999999</v>
      </c>
      <c r="AA32" s="13">
        <v>328632.87</v>
      </c>
      <c r="AB32" s="13">
        <v>0</v>
      </c>
      <c r="AC32" s="22" t="s">
        <v>27</v>
      </c>
      <c r="AD32" s="14">
        <f t="shared" si="0"/>
        <v>1894558.0199999996</v>
      </c>
      <c r="AE32" s="14">
        <f t="shared" si="1"/>
        <v>244394031.14999998</v>
      </c>
      <c r="AF32" s="14">
        <f t="shared" si="2"/>
        <v>246288589.16999999</v>
      </c>
    </row>
    <row r="33" spans="1:32" x14ac:dyDescent="0.25">
      <c r="A33" s="22" t="s">
        <v>28</v>
      </c>
      <c r="B33" s="9">
        <v>0</v>
      </c>
      <c r="C33" s="9">
        <v>0</v>
      </c>
      <c r="D33" s="9">
        <v>19461459.380000003</v>
      </c>
      <c r="E33" s="9">
        <v>0</v>
      </c>
      <c r="F33" s="9">
        <v>34624555.649999999</v>
      </c>
      <c r="G33" s="9">
        <v>0</v>
      </c>
      <c r="H33" s="22" t="s">
        <v>28</v>
      </c>
      <c r="I33" s="9">
        <v>12759222.85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22" t="s">
        <v>28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1161839.25</v>
      </c>
      <c r="V33" s="22" t="s">
        <v>28</v>
      </c>
      <c r="W33" s="9">
        <v>0</v>
      </c>
      <c r="X33" s="9">
        <v>0</v>
      </c>
      <c r="Y33" s="9">
        <v>2648876.21</v>
      </c>
      <c r="Z33" s="9">
        <v>0</v>
      </c>
      <c r="AA33" s="9">
        <v>44418350.960000001</v>
      </c>
      <c r="AB33" s="9">
        <v>0</v>
      </c>
      <c r="AC33" s="22" t="s">
        <v>28</v>
      </c>
      <c r="AD33" s="11">
        <f t="shared" si="0"/>
        <v>113912465.05000001</v>
      </c>
      <c r="AE33" s="11">
        <f t="shared" si="1"/>
        <v>1161839.25</v>
      </c>
      <c r="AF33" s="11">
        <f t="shared" si="2"/>
        <v>115074304.30000001</v>
      </c>
    </row>
    <row r="34" spans="1:32" x14ac:dyDescent="0.25">
      <c r="A34" s="22" t="s">
        <v>106</v>
      </c>
      <c r="B34" s="9">
        <v>0</v>
      </c>
      <c r="C34" s="9">
        <v>2440808.2200000002</v>
      </c>
      <c r="D34" s="9">
        <v>0</v>
      </c>
      <c r="E34" s="9">
        <v>0</v>
      </c>
      <c r="F34" s="9">
        <v>0</v>
      </c>
      <c r="G34" s="9">
        <v>0</v>
      </c>
      <c r="H34" s="22" t="s">
        <v>106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22" t="s">
        <v>106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1161839.25</v>
      </c>
      <c r="V34" s="22" t="s">
        <v>106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22" t="s">
        <v>106</v>
      </c>
      <c r="AD34" s="11">
        <f t="shared" si="0"/>
        <v>0</v>
      </c>
      <c r="AE34" s="11">
        <f t="shared" si="1"/>
        <v>3602647.47</v>
      </c>
      <c r="AF34" s="11">
        <f t="shared" si="2"/>
        <v>3602647.47</v>
      </c>
    </row>
    <row r="35" spans="1:32" ht="15.75" x14ac:dyDescent="0.25">
      <c r="A35" s="24" t="s">
        <v>109</v>
      </c>
      <c r="B35" s="27">
        <f>+SUM(B28:B34)</f>
        <v>0</v>
      </c>
      <c r="C35" s="27">
        <f t="shared" ref="C35:AA35" si="5">+SUM(C28:C34)</f>
        <v>7620266.129999999</v>
      </c>
      <c r="D35" s="27">
        <f t="shared" si="5"/>
        <v>19461459.380000003</v>
      </c>
      <c r="E35" s="27">
        <f t="shared" si="5"/>
        <v>0</v>
      </c>
      <c r="F35" s="27">
        <f t="shared" si="5"/>
        <v>34624555.649999999</v>
      </c>
      <c r="G35" s="27">
        <f t="shared" si="5"/>
        <v>0</v>
      </c>
      <c r="H35" s="24" t="s">
        <v>109</v>
      </c>
      <c r="I35" s="27">
        <f t="shared" si="5"/>
        <v>14271915</v>
      </c>
      <c r="J35" s="27">
        <f t="shared" si="5"/>
        <v>0</v>
      </c>
      <c r="K35" s="27">
        <f t="shared" si="5"/>
        <v>836777.41999999993</v>
      </c>
      <c r="L35" s="27">
        <f t="shared" si="5"/>
        <v>0</v>
      </c>
      <c r="M35" s="27">
        <f t="shared" si="5"/>
        <v>503255.50000000006</v>
      </c>
      <c r="N35" s="27">
        <f t="shared" si="5"/>
        <v>23166172.140000001</v>
      </c>
      <c r="O35" s="24" t="s">
        <v>109</v>
      </c>
      <c r="P35" s="27">
        <f t="shared" si="5"/>
        <v>725534.38000000012</v>
      </c>
      <c r="Q35" s="27">
        <f t="shared" si="5"/>
        <v>11517593.15</v>
      </c>
      <c r="R35" s="27">
        <f t="shared" si="5"/>
        <v>2100610.67</v>
      </c>
      <c r="S35" s="27">
        <f t="shared" si="5"/>
        <v>0</v>
      </c>
      <c r="T35" s="27">
        <f t="shared" si="5"/>
        <v>1681079.14</v>
      </c>
      <c r="U35" s="27">
        <f t="shared" si="5"/>
        <v>2323678.5</v>
      </c>
      <c r="V35" s="24" t="s">
        <v>109</v>
      </c>
      <c r="W35" s="27">
        <f t="shared" si="5"/>
        <v>1203675.3399999999</v>
      </c>
      <c r="X35" s="27">
        <f t="shared" si="5"/>
        <v>71970.92</v>
      </c>
      <c r="Y35" s="27">
        <f t="shared" si="5"/>
        <v>5031070.83</v>
      </c>
      <c r="Z35" s="27">
        <f t="shared" si="5"/>
        <v>464684769.89999998</v>
      </c>
      <c r="AA35" s="27">
        <f t="shared" si="5"/>
        <v>47357394.280000001</v>
      </c>
      <c r="AB35" s="27">
        <f>+SUM(AB28:AB34)</f>
        <v>10192646.57</v>
      </c>
      <c r="AC35" s="24" t="s">
        <v>109</v>
      </c>
      <c r="AD35" s="27">
        <f>+B35+D35+F35+I35+K35+M35+P35+R35+T35+W35+Y35+AA35</f>
        <v>127797327.59</v>
      </c>
      <c r="AE35" s="27">
        <f t="shared" si="1"/>
        <v>519577097.31</v>
      </c>
      <c r="AF35" s="27">
        <f t="shared" si="2"/>
        <v>647374424.89999998</v>
      </c>
    </row>
    <row r="36" spans="1:32" x14ac:dyDescent="0.25">
      <c r="B36" s="10"/>
      <c r="C36" s="10"/>
      <c r="D36" s="10"/>
      <c r="E36" s="10"/>
      <c r="F36" s="10"/>
      <c r="G36" s="10"/>
      <c r="I36" s="10"/>
      <c r="J36" s="10"/>
      <c r="K36" s="10"/>
      <c r="L36" s="10"/>
      <c r="M36" s="10"/>
      <c r="N36" s="10"/>
      <c r="P36" s="10"/>
      <c r="Q36" s="10"/>
      <c r="R36" s="10"/>
      <c r="S36" s="10"/>
      <c r="T36" s="10"/>
      <c r="U36" s="10"/>
      <c r="W36" s="10"/>
      <c r="X36" s="10"/>
      <c r="Y36" s="10"/>
      <c r="Z36" s="10"/>
      <c r="AA36" s="10"/>
      <c r="AB36" s="10"/>
      <c r="AE36" s="28"/>
      <c r="AF36" s="28"/>
    </row>
    <row r="37" spans="1:32" x14ac:dyDescent="0.25">
      <c r="A37" s="19" t="s">
        <v>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9" t="s">
        <v>8</v>
      </c>
      <c r="I37" s="12">
        <v>0</v>
      </c>
      <c r="J37" s="12">
        <v>0</v>
      </c>
      <c r="K37" s="12">
        <v>580175.06000000006</v>
      </c>
      <c r="L37" s="12">
        <v>0</v>
      </c>
      <c r="M37" s="12">
        <v>0</v>
      </c>
      <c r="N37" s="12">
        <v>0</v>
      </c>
      <c r="O37" s="19" t="s">
        <v>8</v>
      </c>
      <c r="P37" s="12">
        <v>0</v>
      </c>
      <c r="Q37" s="12">
        <v>0</v>
      </c>
      <c r="R37" s="12">
        <v>0</v>
      </c>
      <c r="S37" s="12">
        <v>0</v>
      </c>
      <c r="T37" s="12">
        <v>1443420.98</v>
      </c>
      <c r="U37" s="12">
        <v>0</v>
      </c>
      <c r="V37" s="19" t="s">
        <v>8</v>
      </c>
      <c r="W37" s="12">
        <v>17078.79</v>
      </c>
      <c r="X37" s="12">
        <v>0</v>
      </c>
      <c r="Y37" s="12">
        <v>36840.81</v>
      </c>
      <c r="Z37" s="12">
        <v>0</v>
      </c>
      <c r="AA37" s="12">
        <v>2840124.2399999998</v>
      </c>
      <c r="AB37" s="12">
        <v>0</v>
      </c>
      <c r="AC37" s="19" t="s">
        <v>8</v>
      </c>
      <c r="AD37" s="14">
        <f>+B37+D37+F37+I37+K37+M37+P37+R37+T37+W37+Y37+AA37</f>
        <v>4917639.88</v>
      </c>
      <c r="AE37" s="14">
        <f>+C37+E37+G37+J37+L37+N37+Q37+S37+U37+X37+Z37+AB37</f>
        <v>0</v>
      </c>
      <c r="AF37" s="14">
        <f t="shared" si="2"/>
        <v>4917639.88</v>
      </c>
    </row>
    <row r="38" spans="1:32" x14ac:dyDescent="0.25">
      <c r="B38" s="10"/>
      <c r="C38" s="10"/>
      <c r="D38" s="10"/>
      <c r="E38" s="10"/>
      <c r="F38" s="10"/>
      <c r="G38" s="10"/>
      <c r="I38" s="10"/>
      <c r="J38" s="10"/>
      <c r="K38" s="10"/>
      <c r="L38" s="10"/>
      <c r="M38" s="10"/>
      <c r="N38" s="10"/>
      <c r="P38" s="10"/>
      <c r="Q38" s="10"/>
      <c r="R38" s="10"/>
      <c r="S38" s="10"/>
      <c r="T38" s="10"/>
      <c r="U38" s="10"/>
      <c r="W38" s="10"/>
      <c r="X38" s="10"/>
      <c r="Y38" s="10"/>
      <c r="Z38" s="10"/>
      <c r="AA38" s="10"/>
      <c r="AB38" s="10"/>
      <c r="AD38" s="32"/>
      <c r="AE38" s="32"/>
      <c r="AF38" s="32"/>
    </row>
    <row r="39" spans="1:32" ht="21" x14ac:dyDescent="0.25">
      <c r="A39" s="25" t="s">
        <v>110</v>
      </c>
      <c r="B39" s="26">
        <f>+B37+B35+B27+B25</f>
        <v>0</v>
      </c>
      <c r="C39" s="26">
        <f t="shared" ref="C39:AB39" si="6">+C37+C35+C27+C25</f>
        <v>15212208.43</v>
      </c>
      <c r="D39" s="26">
        <f t="shared" si="6"/>
        <v>19461459.380000003</v>
      </c>
      <c r="E39" s="26">
        <f t="shared" si="6"/>
        <v>0</v>
      </c>
      <c r="F39" s="26">
        <f t="shared" si="6"/>
        <v>34624555.649999999</v>
      </c>
      <c r="G39" s="26">
        <f t="shared" si="6"/>
        <v>0</v>
      </c>
      <c r="H39" s="25" t="s">
        <v>110</v>
      </c>
      <c r="I39" s="26">
        <f t="shared" si="6"/>
        <v>14409623.470000001</v>
      </c>
      <c r="J39" s="26">
        <f t="shared" si="6"/>
        <v>23468728.129999999</v>
      </c>
      <c r="K39" s="26">
        <f t="shared" si="6"/>
        <v>1416952.48</v>
      </c>
      <c r="L39" s="26">
        <f t="shared" si="6"/>
        <v>0</v>
      </c>
      <c r="M39" s="26">
        <f t="shared" si="6"/>
        <v>503255.50000000006</v>
      </c>
      <c r="N39" s="26">
        <f t="shared" si="6"/>
        <v>23166172.140000001</v>
      </c>
      <c r="O39" s="25" t="s">
        <v>110</v>
      </c>
      <c r="P39" s="26">
        <f t="shared" si="6"/>
        <v>1284858.4300000002</v>
      </c>
      <c r="Q39" s="26">
        <f t="shared" si="6"/>
        <v>40686219.659999996</v>
      </c>
      <c r="R39" s="26">
        <f t="shared" si="6"/>
        <v>5362409.6099999994</v>
      </c>
      <c r="S39" s="26">
        <f t="shared" si="6"/>
        <v>2228701.9699999997</v>
      </c>
      <c r="T39" s="26">
        <f t="shared" si="6"/>
        <v>5401938.7699999996</v>
      </c>
      <c r="U39" s="26">
        <f t="shared" si="6"/>
        <v>3109287.95</v>
      </c>
      <c r="V39" s="25" t="s">
        <v>110</v>
      </c>
      <c r="W39" s="26">
        <f t="shared" si="6"/>
        <v>3669898.0200000005</v>
      </c>
      <c r="X39" s="26">
        <f t="shared" si="6"/>
        <v>54059219.250000007</v>
      </c>
      <c r="Y39" s="26">
        <f t="shared" si="6"/>
        <v>18257221.539999999</v>
      </c>
      <c r="Z39" s="26">
        <f t="shared" si="6"/>
        <v>464815349.58999997</v>
      </c>
      <c r="AA39" s="26">
        <f t="shared" si="6"/>
        <v>89550820.199999988</v>
      </c>
      <c r="AB39" s="26">
        <f t="shared" si="6"/>
        <v>10322284.07</v>
      </c>
      <c r="AC39" s="25" t="s">
        <v>110</v>
      </c>
      <c r="AD39" s="26">
        <f>+B39+D39+F39+I39+K39+M39+P39+R39+T39+W39+Y39+AA39</f>
        <v>193942993.04999998</v>
      </c>
      <c r="AE39" s="26">
        <f>+C39+E39+G39+J39+L39+N39+Q39+S39+U39+X39+Z39+AB39</f>
        <v>637068171.19000006</v>
      </c>
      <c r="AF39" s="26">
        <f>+AD39+AE39</f>
        <v>831011164.24000001</v>
      </c>
    </row>
    <row r="41" spans="1:32" ht="15.75" x14ac:dyDescent="0.25">
      <c r="A41" s="4" t="s">
        <v>142</v>
      </c>
      <c r="H41" s="4" t="s">
        <v>142</v>
      </c>
      <c r="O41" s="4" t="s">
        <v>142</v>
      </c>
      <c r="V41" s="4" t="s">
        <v>142</v>
      </c>
      <c r="AC41" s="4" t="s">
        <v>142</v>
      </c>
    </row>
  </sheetData>
  <mergeCells count="1">
    <mergeCell ref="AD10:AF10"/>
  </mergeCells>
  <pageMargins left="0.31496062992125984" right="0.19685039370078741" top="0.15748031496062992" bottom="0.74803149606299213" header="0.31496062992125984" footer="0.31496062992125984"/>
  <pageSetup paperSize="9" scale="85" fitToWidth="0" orientation="landscape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6"/>
  <sheetViews>
    <sheetView showGridLines="0" view="pageBreakPreview" zoomScale="60" zoomScaleNormal="85" workbookViewId="0">
      <selection activeCell="B59" sqref="B59"/>
    </sheetView>
  </sheetViews>
  <sheetFormatPr baseColWidth="10" defaultRowHeight="15" x14ac:dyDescent="0.25"/>
  <cols>
    <col min="1" max="1" width="42.7109375" bestFit="1" customWidth="1"/>
    <col min="2" max="2" width="22.5703125" bestFit="1" customWidth="1"/>
    <col min="3" max="3" width="20.42578125" bestFit="1" customWidth="1"/>
    <col min="4" max="4" width="21.28515625" bestFit="1" customWidth="1"/>
    <col min="5" max="5" width="19.42578125" bestFit="1" customWidth="1"/>
    <col min="6" max="6" width="21.28515625" bestFit="1" customWidth="1"/>
    <col min="7" max="7" width="20.85546875" bestFit="1" customWidth="1"/>
    <col min="8" max="8" width="42.7109375" bestFit="1" customWidth="1"/>
    <col min="9" max="9" width="20.42578125" bestFit="1" customWidth="1"/>
    <col min="10" max="10" width="19" bestFit="1" customWidth="1"/>
    <col min="11" max="11" width="21.28515625" bestFit="1" customWidth="1"/>
    <col min="12" max="12" width="18" bestFit="1" customWidth="1"/>
    <col min="13" max="13" width="20.85546875" bestFit="1" customWidth="1"/>
    <col min="14" max="14" width="20.42578125" bestFit="1" customWidth="1"/>
    <col min="15" max="15" width="42.7109375" bestFit="1" customWidth="1"/>
    <col min="16" max="16" width="20.42578125" bestFit="1" customWidth="1"/>
    <col min="17" max="17" width="19.85546875" bestFit="1" customWidth="1"/>
    <col min="18" max="19" width="21.28515625" bestFit="1" customWidth="1"/>
    <col min="20" max="20" width="20.85546875" bestFit="1" customWidth="1"/>
    <col min="21" max="21" width="19.42578125" bestFit="1" customWidth="1"/>
    <col min="22" max="22" width="42.7109375" bestFit="1" customWidth="1"/>
    <col min="23" max="23" width="21.28515625" bestFit="1" customWidth="1"/>
    <col min="24" max="24" width="20.42578125" bestFit="1" customWidth="1"/>
    <col min="25" max="25" width="22" bestFit="1" customWidth="1"/>
    <col min="26" max="26" width="19.85546875" bestFit="1" customWidth="1"/>
    <col min="27" max="27" width="22.5703125" bestFit="1" customWidth="1"/>
    <col min="28" max="28" width="18" bestFit="1" customWidth="1"/>
    <col min="29" max="29" width="42.7109375" bestFit="1" customWidth="1"/>
    <col min="30" max="30" width="23" bestFit="1" customWidth="1"/>
    <col min="31" max="31" width="22" bestFit="1" customWidth="1"/>
    <col min="32" max="32" width="22.5703125" bestFit="1" customWidth="1"/>
    <col min="33" max="33" width="19" customWidth="1"/>
  </cols>
  <sheetData>
    <row r="1" spans="1:32" x14ac:dyDescent="0.25">
      <c r="AD1" s="31"/>
      <c r="AE1" s="31"/>
      <c r="AF1" s="31"/>
    </row>
    <row r="2" spans="1:32" x14ac:dyDescent="0.25">
      <c r="AD2" s="31"/>
      <c r="AE2" s="31"/>
      <c r="AF2" s="31"/>
    </row>
    <row r="3" spans="1:32" x14ac:dyDescent="0.25">
      <c r="AD3" s="31"/>
      <c r="AE3" s="31"/>
      <c r="AF3" s="31"/>
    </row>
    <row r="4" spans="1:32" ht="18.75" x14ac:dyDescent="0.3">
      <c r="A4" s="1"/>
      <c r="H4" s="1"/>
      <c r="O4" s="1"/>
      <c r="V4" s="1"/>
      <c r="AC4" s="1"/>
      <c r="AD4" s="31"/>
      <c r="AE4" s="31"/>
      <c r="AF4" s="31"/>
    </row>
    <row r="5" spans="1:32" ht="18.75" x14ac:dyDescent="0.3">
      <c r="A5" s="2" t="s">
        <v>129</v>
      </c>
      <c r="H5" s="2" t="s">
        <v>129</v>
      </c>
      <c r="O5" s="2" t="s">
        <v>129</v>
      </c>
      <c r="V5" s="2" t="s">
        <v>129</v>
      </c>
      <c r="AC5" s="2" t="s">
        <v>129</v>
      </c>
      <c r="AD5" s="31"/>
      <c r="AE5" s="31"/>
      <c r="AF5" s="31"/>
    </row>
    <row r="6" spans="1:32" x14ac:dyDescent="0.25">
      <c r="A6" s="15" t="s">
        <v>1</v>
      </c>
      <c r="B6" s="15"/>
      <c r="H6" s="15" t="s">
        <v>1</v>
      </c>
      <c r="O6" s="15" t="s">
        <v>1</v>
      </c>
      <c r="V6" s="15" t="s">
        <v>1</v>
      </c>
      <c r="AC6" s="15" t="s">
        <v>1</v>
      </c>
      <c r="AD6" s="31"/>
      <c r="AE6" s="31"/>
      <c r="AF6" s="31"/>
    </row>
    <row r="7" spans="1:32" s="39" customFormat="1" ht="11.25" x14ac:dyDescent="0.2">
      <c r="A7" s="38"/>
      <c r="B7" s="38"/>
      <c r="H7" s="38"/>
      <c r="O7" s="38"/>
      <c r="V7" s="38"/>
      <c r="AC7" s="38"/>
      <c r="AD7" s="40"/>
      <c r="AE7" s="40"/>
      <c r="AF7" s="40"/>
    </row>
    <row r="8" spans="1:32" ht="16.5" customHeight="1" x14ac:dyDescent="0.35">
      <c r="A8" s="34" t="s">
        <v>140</v>
      </c>
      <c r="H8" s="34" t="s">
        <v>140</v>
      </c>
      <c r="O8" s="34" t="s">
        <v>140</v>
      </c>
      <c r="V8" s="34" t="s">
        <v>140</v>
      </c>
      <c r="AC8" s="34" t="s">
        <v>140</v>
      </c>
      <c r="AD8" s="31"/>
      <c r="AE8" s="31"/>
    </row>
    <row r="9" spans="1:32" x14ac:dyDescent="0.25">
      <c r="AD9" s="31"/>
      <c r="AE9" s="31"/>
      <c r="AF9" s="31"/>
    </row>
    <row r="10" spans="1:32" x14ac:dyDescent="0.25">
      <c r="A10" s="6" t="s">
        <v>2</v>
      </c>
      <c r="B10" s="44" t="s">
        <v>3</v>
      </c>
      <c r="C10" s="45"/>
      <c r="D10" s="44">
        <v>2007</v>
      </c>
      <c r="E10" s="45"/>
      <c r="F10" s="44">
        <v>2008</v>
      </c>
      <c r="G10" s="45"/>
      <c r="H10" s="6" t="s">
        <v>2</v>
      </c>
      <c r="I10" s="44">
        <v>2009</v>
      </c>
      <c r="J10" s="45"/>
      <c r="K10" s="44">
        <v>2010</v>
      </c>
      <c r="L10" s="45"/>
      <c r="M10" s="44">
        <v>2011</v>
      </c>
      <c r="N10" s="45"/>
      <c r="O10" s="6" t="s">
        <v>2</v>
      </c>
      <c r="P10" s="44">
        <v>2012</v>
      </c>
      <c r="Q10" s="45"/>
      <c r="R10" s="44">
        <v>2013</v>
      </c>
      <c r="S10" s="45"/>
      <c r="T10" s="44">
        <v>2014</v>
      </c>
      <c r="U10" s="45"/>
      <c r="V10" s="6" t="s">
        <v>2</v>
      </c>
      <c r="W10" s="44">
        <v>2015</v>
      </c>
      <c r="X10" s="45"/>
      <c r="Y10" s="44">
        <v>2016</v>
      </c>
      <c r="Z10" s="45"/>
      <c r="AA10" s="44">
        <v>2017</v>
      </c>
      <c r="AB10" s="45"/>
      <c r="AC10" s="6" t="s">
        <v>2</v>
      </c>
      <c r="AD10" s="43" t="s">
        <v>4</v>
      </c>
      <c r="AE10" s="43"/>
      <c r="AF10" s="43"/>
    </row>
    <row r="11" spans="1:32" x14ac:dyDescent="0.25">
      <c r="A11" s="6" t="s">
        <v>5</v>
      </c>
      <c r="B11" s="3" t="s">
        <v>6</v>
      </c>
      <c r="C11" s="3" t="s">
        <v>7</v>
      </c>
      <c r="D11" s="3" t="s">
        <v>6</v>
      </c>
      <c r="E11" s="3" t="s">
        <v>7</v>
      </c>
      <c r="F11" s="3" t="s">
        <v>6</v>
      </c>
      <c r="G11" s="3" t="s">
        <v>7</v>
      </c>
      <c r="H11" s="6" t="s">
        <v>5</v>
      </c>
      <c r="I11" s="3" t="s">
        <v>6</v>
      </c>
      <c r="J11" s="3" t="s">
        <v>7</v>
      </c>
      <c r="K11" s="3" t="s">
        <v>6</v>
      </c>
      <c r="L11" s="3" t="s">
        <v>7</v>
      </c>
      <c r="M11" s="3" t="s">
        <v>6</v>
      </c>
      <c r="N11" s="3" t="s">
        <v>7</v>
      </c>
      <c r="O11" s="6" t="s">
        <v>5</v>
      </c>
      <c r="P11" s="3" t="s">
        <v>6</v>
      </c>
      <c r="Q11" s="3" t="s">
        <v>7</v>
      </c>
      <c r="R11" s="3" t="s">
        <v>6</v>
      </c>
      <c r="S11" s="3" t="s">
        <v>7</v>
      </c>
      <c r="T11" s="3" t="s">
        <v>6</v>
      </c>
      <c r="U11" s="3" t="s">
        <v>7</v>
      </c>
      <c r="V11" s="6" t="s">
        <v>5</v>
      </c>
      <c r="W11" s="3" t="s">
        <v>6</v>
      </c>
      <c r="X11" s="3" t="s">
        <v>7</v>
      </c>
      <c r="Y11" s="3" t="s">
        <v>6</v>
      </c>
      <c r="Z11" s="3" t="s">
        <v>7</v>
      </c>
      <c r="AA11" s="3" t="s">
        <v>6</v>
      </c>
      <c r="AB11" s="3" t="s">
        <v>7</v>
      </c>
      <c r="AC11" s="6" t="s">
        <v>5</v>
      </c>
      <c r="AD11" s="3" t="s">
        <v>6</v>
      </c>
      <c r="AE11" s="3" t="s">
        <v>7</v>
      </c>
      <c r="AF11" s="3" t="s">
        <v>137</v>
      </c>
    </row>
    <row r="12" spans="1:32" x14ac:dyDescent="0.25">
      <c r="A12" s="20" t="s">
        <v>29</v>
      </c>
      <c r="B12" s="13">
        <v>0</v>
      </c>
      <c r="C12" s="13">
        <v>8797.6200000000008</v>
      </c>
      <c r="D12" s="13">
        <v>5784670.9699999997</v>
      </c>
      <c r="E12" s="13">
        <v>6299445.0700000003</v>
      </c>
      <c r="F12" s="13">
        <v>0</v>
      </c>
      <c r="G12" s="13">
        <v>0</v>
      </c>
      <c r="H12" s="20" t="s">
        <v>29</v>
      </c>
      <c r="I12" s="13">
        <v>0</v>
      </c>
      <c r="J12" s="13">
        <v>0</v>
      </c>
      <c r="K12" s="13">
        <f>1961463.43+327678.552+52135.45</f>
        <v>2341277.432</v>
      </c>
      <c r="L12" s="13">
        <v>0</v>
      </c>
      <c r="M12" s="13">
        <f>2623068.99+0</f>
        <v>2623068.9900000002</v>
      </c>
      <c r="N12" s="13">
        <v>0</v>
      </c>
      <c r="O12" s="20" t="s">
        <v>29</v>
      </c>
      <c r="P12" s="13">
        <v>0</v>
      </c>
      <c r="Q12" s="13">
        <v>0</v>
      </c>
      <c r="R12" s="13">
        <f>2802029.27+0</f>
        <v>2802029.27</v>
      </c>
      <c r="S12" s="13">
        <v>0</v>
      </c>
      <c r="T12" s="13">
        <f>62799.07+0</f>
        <v>62799.07</v>
      </c>
      <c r="U12" s="13">
        <v>0</v>
      </c>
      <c r="V12" s="20" t="s">
        <v>29</v>
      </c>
      <c r="W12" s="13">
        <f>8818451.9+0</f>
        <v>8818451.9000000004</v>
      </c>
      <c r="X12" s="13">
        <v>0</v>
      </c>
      <c r="Y12" s="13">
        <f>10271522.92+0</f>
        <v>10271522.92</v>
      </c>
      <c r="Z12" s="13">
        <v>0</v>
      </c>
      <c r="AA12" s="13">
        <f>11589654.14+0</f>
        <v>11589654.140000001</v>
      </c>
      <c r="AB12" s="13">
        <v>0</v>
      </c>
      <c r="AC12" s="20" t="s">
        <v>29</v>
      </c>
      <c r="AD12" s="14">
        <f t="shared" ref="AD12:AD50" si="0">+B12+D12+F12+I12+K12+M12+P12+R12+T12+W12+Y12+AA12</f>
        <v>44293474.692000002</v>
      </c>
      <c r="AE12" s="14">
        <f t="shared" ref="AE12:AE50" si="1">+C12+E12+G12+J12+L12+N12+Q12+S12+U12+X12+Z12+AB12</f>
        <v>6308242.6900000004</v>
      </c>
      <c r="AF12" s="14">
        <f>+AD12+AE12</f>
        <v>50601717.381999999</v>
      </c>
    </row>
    <row r="13" spans="1:32" x14ac:dyDescent="0.25">
      <c r="A13" s="20" t="s">
        <v>30</v>
      </c>
      <c r="B13" s="13">
        <v>0</v>
      </c>
      <c r="C13" s="13">
        <v>1202447.56</v>
      </c>
      <c r="D13" s="13">
        <v>8889.56</v>
      </c>
      <c r="E13" s="13">
        <v>0</v>
      </c>
      <c r="F13" s="13">
        <v>17926.41</v>
      </c>
      <c r="G13" s="13">
        <v>0</v>
      </c>
      <c r="H13" s="20" t="s">
        <v>30</v>
      </c>
      <c r="I13" s="13">
        <f>201732.28+8348.93</f>
        <v>210081.21</v>
      </c>
      <c r="J13" s="13">
        <v>0</v>
      </c>
      <c r="K13" s="13">
        <v>87342.69</v>
      </c>
      <c r="L13" s="13">
        <v>0</v>
      </c>
      <c r="M13" s="13">
        <v>73411.94</v>
      </c>
      <c r="N13" s="13">
        <v>0</v>
      </c>
      <c r="O13" s="20" t="s">
        <v>30</v>
      </c>
      <c r="P13" s="13">
        <f>520313.6+133451.8</f>
        <v>653765.39999999991</v>
      </c>
      <c r="Q13" s="13">
        <v>0</v>
      </c>
      <c r="R13" s="13">
        <f>933563.69+170421.05</f>
        <v>1103984.74</v>
      </c>
      <c r="S13" s="13">
        <v>0</v>
      </c>
      <c r="T13" s="13">
        <f>1080696.9+313540.19</f>
        <v>1394237.0899999999</v>
      </c>
      <c r="U13" s="13">
        <v>0</v>
      </c>
      <c r="V13" s="20" t="s">
        <v>30</v>
      </c>
      <c r="W13" s="13">
        <f>586652.76+130053.87</f>
        <v>716706.63</v>
      </c>
      <c r="X13" s="13">
        <v>364349.98</v>
      </c>
      <c r="Y13" s="13">
        <f>624051.55+37597.1</f>
        <v>661648.65</v>
      </c>
      <c r="Z13" s="13">
        <v>0</v>
      </c>
      <c r="AA13" s="13">
        <f>2433918.15+152318.69</f>
        <v>2586236.84</v>
      </c>
      <c r="AB13" s="13">
        <v>0</v>
      </c>
      <c r="AC13" s="20" t="s">
        <v>30</v>
      </c>
      <c r="AD13" s="14">
        <f t="shared" si="0"/>
        <v>7514231.1600000001</v>
      </c>
      <c r="AE13" s="14">
        <f t="shared" si="1"/>
        <v>1566797.54</v>
      </c>
      <c r="AF13" s="14">
        <f t="shared" ref="AF13:AF52" si="2">+AD13+AE13</f>
        <v>9081028.6999999993</v>
      </c>
    </row>
    <row r="14" spans="1:32" x14ac:dyDescent="0.25">
      <c r="A14" s="20" t="s">
        <v>31</v>
      </c>
      <c r="B14" s="13">
        <f>422909.87+0</f>
        <v>422909.87</v>
      </c>
      <c r="C14" s="13">
        <v>83067.58</v>
      </c>
      <c r="D14" s="13">
        <f>7187169.61+0</f>
        <v>7187169.6100000003</v>
      </c>
      <c r="E14" s="13">
        <v>0</v>
      </c>
      <c r="F14" s="13">
        <v>3123356.07</v>
      </c>
      <c r="G14" s="13">
        <v>0</v>
      </c>
      <c r="H14" s="20" t="s">
        <v>31</v>
      </c>
      <c r="I14" s="13">
        <v>2152727.96</v>
      </c>
      <c r="J14" s="13">
        <v>0</v>
      </c>
      <c r="K14" s="13">
        <v>1261695.1200000001</v>
      </c>
      <c r="L14" s="13">
        <v>0</v>
      </c>
      <c r="M14" s="13">
        <v>1596787.51</v>
      </c>
      <c r="N14" s="13">
        <v>0</v>
      </c>
      <c r="O14" s="20" t="s">
        <v>31</v>
      </c>
      <c r="P14" s="13">
        <v>333113.99</v>
      </c>
      <c r="Q14" s="13">
        <v>0</v>
      </c>
      <c r="R14" s="13">
        <v>137472.38</v>
      </c>
      <c r="S14" s="13">
        <v>0</v>
      </c>
      <c r="T14" s="13">
        <v>346746.82</v>
      </c>
      <c r="U14" s="13">
        <v>0</v>
      </c>
      <c r="V14" s="20" t="s">
        <v>31</v>
      </c>
      <c r="W14" s="13">
        <v>1400269.34</v>
      </c>
      <c r="X14" s="13">
        <v>0</v>
      </c>
      <c r="Y14" s="13">
        <v>1297516.6100000001</v>
      </c>
      <c r="Z14" s="13">
        <v>0</v>
      </c>
      <c r="AA14" s="13">
        <v>976298.49</v>
      </c>
      <c r="AB14" s="13">
        <v>0</v>
      </c>
      <c r="AC14" s="20" t="s">
        <v>31</v>
      </c>
      <c r="AD14" s="14">
        <f t="shared" si="0"/>
        <v>20236063.770000003</v>
      </c>
      <c r="AE14" s="14">
        <f t="shared" si="1"/>
        <v>83067.58</v>
      </c>
      <c r="AF14" s="14">
        <f t="shared" si="2"/>
        <v>20319131.350000001</v>
      </c>
    </row>
    <row r="15" spans="1:32" x14ac:dyDescent="0.25">
      <c r="A15" s="20" t="s">
        <v>32</v>
      </c>
      <c r="B15" s="13">
        <f>67485.22+33490.82+13720.77</f>
        <v>114696.81000000001</v>
      </c>
      <c r="C15" s="13">
        <v>0</v>
      </c>
      <c r="D15" s="13">
        <v>0</v>
      </c>
      <c r="E15" s="13">
        <v>0</v>
      </c>
      <c r="F15" s="13">
        <f>97385.01+24092.13+13874.24+13874.27</f>
        <v>149225.65</v>
      </c>
      <c r="G15" s="13">
        <v>0</v>
      </c>
      <c r="H15" s="20" t="s">
        <v>32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20" t="s">
        <v>32</v>
      </c>
      <c r="P15" s="13">
        <f>847877.21+1588440.5+26122.85</f>
        <v>2462440.56</v>
      </c>
      <c r="Q15" s="13">
        <v>0</v>
      </c>
      <c r="R15" s="13">
        <f>438479.71+32444.82</f>
        <v>470924.53</v>
      </c>
      <c r="S15" s="13">
        <v>0</v>
      </c>
      <c r="T15" s="13">
        <f>2436905.76+50102.84</f>
        <v>2487008.5999999996</v>
      </c>
      <c r="U15" s="13">
        <v>0</v>
      </c>
      <c r="V15" s="20" t="s">
        <v>32</v>
      </c>
      <c r="W15" s="13">
        <f>3768907.86+223617.23</f>
        <v>3992525.09</v>
      </c>
      <c r="X15" s="13">
        <v>0</v>
      </c>
      <c r="Y15" s="13">
        <f>11588594.66+40793</f>
        <v>11629387.66</v>
      </c>
      <c r="Z15" s="13">
        <v>0</v>
      </c>
      <c r="AA15" s="13">
        <f>7437474.15+226210.59</f>
        <v>7663684.7400000002</v>
      </c>
      <c r="AB15" s="13">
        <v>0</v>
      </c>
      <c r="AC15" s="20" t="s">
        <v>32</v>
      </c>
      <c r="AD15" s="14">
        <f t="shared" si="0"/>
        <v>28969893.640000001</v>
      </c>
      <c r="AE15" s="14">
        <f t="shared" si="1"/>
        <v>0</v>
      </c>
      <c r="AF15" s="14">
        <f t="shared" si="2"/>
        <v>28969893.640000001</v>
      </c>
    </row>
    <row r="16" spans="1:32" x14ac:dyDescent="0.25">
      <c r="A16" s="20" t="s">
        <v>33</v>
      </c>
      <c r="B16" s="13">
        <f>210982.97+858880.15+36062.38</f>
        <v>1105925.5</v>
      </c>
      <c r="C16" s="13">
        <v>239731.04</v>
      </c>
      <c r="D16" s="13">
        <v>823797.42</v>
      </c>
      <c r="E16" s="13">
        <v>0</v>
      </c>
      <c r="F16" s="13">
        <v>208109.86</v>
      </c>
      <c r="G16" s="13">
        <v>0</v>
      </c>
      <c r="H16" s="20" t="s">
        <v>33</v>
      </c>
      <c r="I16" s="13">
        <f>226889.17+15198.75</f>
        <v>242087.92</v>
      </c>
      <c r="J16" s="13">
        <v>0</v>
      </c>
      <c r="K16" s="13">
        <f>228009.8+60463.22</f>
        <v>288473.02</v>
      </c>
      <c r="L16" s="13">
        <v>0</v>
      </c>
      <c r="M16" s="13">
        <v>155455.32999999999</v>
      </c>
      <c r="N16" s="13">
        <v>483887.42</v>
      </c>
      <c r="O16" s="20" t="s">
        <v>33</v>
      </c>
      <c r="P16" s="13">
        <f>112768.15+20806.92</f>
        <v>133575.07</v>
      </c>
      <c r="Q16" s="13">
        <v>0</v>
      </c>
      <c r="R16" s="13">
        <f>104819.49+6518989.49+2086052.98</f>
        <v>8709861.9600000009</v>
      </c>
      <c r="S16" s="13">
        <v>0</v>
      </c>
      <c r="T16" s="13">
        <f>139759.32+12447306.14</f>
        <v>12587065.460000001</v>
      </c>
      <c r="U16" s="13">
        <v>0</v>
      </c>
      <c r="V16" s="20" t="s">
        <v>33</v>
      </c>
      <c r="W16" s="13">
        <f>139759.32+16620250.9</f>
        <v>16760010.220000001</v>
      </c>
      <c r="X16" s="13">
        <v>0</v>
      </c>
      <c r="Y16" s="13">
        <f>88431.66+25756029.11</f>
        <v>25844460.77</v>
      </c>
      <c r="Z16" s="13">
        <v>0</v>
      </c>
      <c r="AA16" s="13">
        <v>11540810.35</v>
      </c>
      <c r="AB16" s="13">
        <v>0</v>
      </c>
      <c r="AC16" s="20" t="s">
        <v>33</v>
      </c>
      <c r="AD16" s="14">
        <f t="shared" si="0"/>
        <v>78399632.879999995</v>
      </c>
      <c r="AE16" s="14">
        <f t="shared" si="1"/>
        <v>723618.46</v>
      </c>
      <c r="AF16" s="14">
        <f t="shared" si="2"/>
        <v>79123251.339999989</v>
      </c>
    </row>
    <row r="17" spans="1:32" x14ac:dyDescent="0.25">
      <c r="A17" s="20" t="s">
        <v>34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20" t="s">
        <v>34</v>
      </c>
      <c r="I17" s="13">
        <v>83708.39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20" t="s">
        <v>34</v>
      </c>
      <c r="P17" s="13">
        <v>183874.19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20" t="s">
        <v>34</v>
      </c>
      <c r="W17" s="13">
        <v>0</v>
      </c>
      <c r="X17" s="13">
        <v>0</v>
      </c>
      <c r="Y17" s="13">
        <f>3058028.21+270367.06</f>
        <v>3328395.27</v>
      </c>
      <c r="Z17" s="13">
        <v>0</v>
      </c>
      <c r="AA17" s="13">
        <v>6596169.9299999997</v>
      </c>
      <c r="AB17" s="13">
        <v>0</v>
      </c>
      <c r="AC17" s="20" t="s">
        <v>34</v>
      </c>
      <c r="AD17" s="14">
        <f t="shared" si="0"/>
        <v>10192147.779999999</v>
      </c>
      <c r="AE17" s="14">
        <f t="shared" si="1"/>
        <v>0</v>
      </c>
      <c r="AF17" s="14">
        <f t="shared" si="2"/>
        <v>10192147.779999999</v>
      </c>
    </row>
    <row r="18" spans="1:32" x14ac:dyDescent="0.25">
      <c r="A18" s="20" t="s">
        <v>35</v>
      </c>
      <c r="B18" s="13">
        <v>0</v>
      </c>
      <c r="C18" s="13">
        <v>2949737.5</v>
      </c>
      <c r="D18" s="13">
        <f>294736.39+0</f>
        <v>294736.39</v>
      </c>
      <c r="E18" s="13">
        <v>0</v>
      </c>
      <c r="F18" s="13">
        <f>169157.93+0</f>
        <v>169157.93</v>
      </c>
      <c r="G18" s="13">
        <v>0</v>
      </c>
      <c r="H18" s="20" t="s">
        <v>35</v>
      </c>
      <c r="I18" s="13">
        <f>34002.07+0</f>
        <v>34002.07</v>
      </c>
      <c r="J18" s="13">
        <v>0</v>
      </c>
      <c r="K18" s="13">
        <f>44156.79+0</f>
        <v>44156.79</v>
      </c>
      <c r="L18" s="13">
        <v>0</v>
      </c>
      <c r="M18" s="13">
        <f>62658.13+84277.32</f>
        <v>146935.45000000001</v>
      </c>
      <c r="N18" s="13">
        <v>2630196.89</v>
      </c>
      <c r="O18" s="20" t="s">
        <v>35</v>
      </c>
      <c r="P18" s="13">
        <f>105266.34+99933.27</f>
        <v>205199.61</v>
      </c>
      <c r="Q18" s="13">
        <v>0</v>
      </c>
      <c r="R18" s="13">
        <f>317688.68+75684.68</f>
        <v>393373.36</v>
      </c>
      <c r="S18" s="13">
        <v>0</v>
      </c>
      <c r="T18" s="13">
        <v>0</v>
      </c>
      <c r="U18" s="13">
        <v>0</v>
      </c>
      <c r="V18" s="20" t="s">
        <v>35</v>
      </c>
      <c r="W18" s="13">
        <f>379567.29+0</f>
        <v>379567.29</v>
      </c>
      <c r="X18" s="13">
        <v>0</v>
      </c>
      <c r="Y18" s="13">
        <f>2265680.55+2213.86+221403.93</f>
        <v>2489298.34</v>
      </c>
      <c r="Z18" s="13">
        <v>0</v>
      </c>
      <c r="AA18" s="13">
        <f>3084696.76+231401.1</f>
        <v>3316097.86</v>
      </c>
      <c r="AB18" s="13">
        <v>0</v>
      </c>
      <c r="AC18" s="20" t="s">
        <v>35</v>
      </c>
      <c r="AD18" s="14">
        <f t="shared" si="0"/>
        <v>7472525.0899999999</v>
      </c>
      <c r="AE18" s="14">
        <f t="shared" si="1"/>
        <v>5579934.3900000006</v>
      </c>
      <c r="AF18" s="14">
        <f t="shared" si="2"/>
        <v>13052459.48</v>
      </c>
    </row>
    <row r="19" spans="1:32" x14ac:dyDescent="0.25">
      <c r="A19" s="20" t="s">
        <v>36</v>
      </c>
      <c r="B19" s="13">
        <v>33929.75</v>
      </c>
      <c r="C19" s="13">
        <v>2575899.4699999997</v>
      </c>
      <c r="D19" s="13">
        <v>417900.42</v>
      </c>
      <c r="E19" s="13">
        <v>0</v>
      </c>
      <c r="F19" s="13">
        <f>8400079+380892.07</f>
        <v>8780971.0700000003</v>
      </c>
      <c r="G19" s="13">
        <v>0</v>
      </c>
      <c r="H19" s="20" t="s">
        <v>36</v>
      </c>
      <c r="I19" s="13">
        <v>13098020.279999999</v>
      </c>
      <c r="J19" s="13">
        <v>0</v>
      </c>
      <c r="K19" s="13">
        <v>2397762.9900000002</v>
      </c>
      <c r="L19" s="13">
        <v>0</v>
      </c>
      <c r="M19" s="13">
        <v>672185.93</v>
      </c>
      <c r="N19" s="13">
        <v>0</v>
      </c>
      <c r="O19" s="20" t="s">
        <v>36</v>
      </c>
      <c r="P19" s="13">
        <v>557480.75</v>
      </c>
      <c r="Q19" s="13">
        <v>0</v>
      </c>
      <c r="R19" s="13">
        <v>1260627.2</v>
      </c>
      <c r="S19" s="13">
        <v>0</v>
      </c>
      <c r="T19" s="13">
        <v>1567846.36</v>
      </c>
      <c r="U19" s="13">
        <v>0</v>
      </c>
      <c r="V19" s="20" t="s">
        <v>36</v>
      </c>
      <c r="W19" s="13">
        <v>1233363.1499999999</v>
      </c>
      <c r="X19" s="13">
        <v>0</v>
      </c>
      <c r="Y19" s="13">
        <v>1757872.92</v>
      </c>
      <c r="Z19" s="13">
        <v>0</v>
      </c>
      <c r="AA19" s="13">
        <v>2908370.24</v>
      </c>
      <c r="AB19" s="13">
        <v>0</v>
      </c>
      <c r="AC19" s="20" t="s">
        <v>36</v>
      </c>
      <c r="AD19" s="14">
        <f t="shared" si="0"/>
        <v>34686331.059999995</v>
      </c>
      <c r="AE19" s="14">
        <f t="shared" si="1"/>
        <v>2575899.4699999997</v>
      </c>
      <c r="AF19" s="14">
        <f t="shared" si="2"/>
        <v>37262230.529999994</v>
      </c>
    </row>
    <row r="20" spans="1:32" x14ac:dyDescent="0.25">
      <c r="A20" s="20" t="s">
        <v>37</v>
      </c>
      <c r="B20" s="13">
        <v>0</v>
      </c>
      <c r="C20" s="13">
        <v>283760.67</v>
      </c>
      <c r="D20" s="13">
        <v>0</v>
      </c>
      <c r="E20" s="13">
        <v>0</v>
      </c>
      <c r="F20" s="13">
        <v>0</v>
      </c>
      <c r="G20" s="13">
        <v>0</v>
      </c>
      <c r="H20" s="20" t="s">
        <v>37</v>
      </c>
      <c r="I20" s="13">
        <v>0</v>
      </c>
      <c r="J20" s="13">
        <v>0</v>
      </c>
      <c r="K20" s="13">
        <v>0</v>
      </c>
      <c r="L20" s="13">
        <v>0</v>
      </c>
      <c r="M20" s="13">
        <v>682456.45</v>
      </c>
      <c r="N20" s="13">
        <v>0</v>
      </c>
      <c r="O20" s="20" t="s">
        <v>37</v>
      </c>
      <c r="P20" s="13">
        <v>0</v>
      </c>
      <c r="Q20" s="13">
        <v>0</v>
      </c>
      <c r="R20" s="13">
        <v>301435.25</v>
      </c>
      <c r="S20" s="13">
        <v>0</v>
      </c>
      <c r="T20" s="13">
        <v>133373.62</v>
      </c>
      <c r="U20" s="13">
        <v>0</v>
      </c>
      <c r="V20" s="20" t="s">
        <v>37</v>
      </c>
      <c r="W20" s="13">
        <v>714539.37</v>
      </c>
      <c r="X20" s="13">
        <v>0</v>
      </c>
      <c r="Y20" s="13">
        <v>794553.16</v>
      </c>
      <c r="Z20" s="13">
        <v>0</v>
      </c>
      <c r="AA20" s="13">
        <v>1313272.1100000001</v>
      </c>
      <c r="AB20" s="13">
        <v>0</v>
      </c>
      <c r="AC20" s="20" t="s">
        <v>37</v>
      </c>
      <c r="AD20" s="14">
        <f t="shared" si="0"/>
        <v>3939629.96</v>
      </c>
      <c r="AE20" s="14">
        <f t="shared" si="1"/>
        <v>283760.67</v>
      </c>
      <c r="AF20" s="14">
        <f t="shared" si="2"/>
        <v>4223390.63</v>
      </c>
    </row>
    <row r="21" spans="1:32" x14ac:dyDescent="0.25">
      <c r="A21" s="20" t="s">
        <v>38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20" t="s">
        <v>38</v>
      </c>
      <c r="I21" s="13">
        <f>793324.84+23093.8</f>
        <v>816418.64</v>
      </c>
      <c r="J21" s="13">
        <v>1038709.39</v>
      </c>
      <c r="K21" s="13">
        <f>37500.8+80828.3</f>
        <v>118329.1</v>
      </c>
      <c r="L21" s="13">
        <v>0</v>
      </c>
      <c r="M21" s="13">
        <f>573257.77+23093.8</f>
        <v>596351.57000000007</v>
      </c>
      <c r="N21" s="13">
        <v>0</v>
      </c>
      <c r="O21" s="20" t="s">
        <v>38</v>
      </c>
      <c r="P21" s="13">
        <f>330162.42+23093.8</f>
        <v>353256.22</v>
      </c>
      <c r="Q21" s="13">
        <v>0</v>
      </c>
      <c r="R21" s="13">
        <f>2324877.85+69281.4</f>
        <v>2394159.25</v>
      </c>
      <c r="S21" s="13">
        <v>0</v>
      </c>
      <c r="T21" s="13">
        <f>8305350.55+127015.9</f>
        <v>8432366.4499999993</v>
      </c>
      <c r="U21" s="13">
        <v>39061.109999999993</v>
      </c>
      <c r="V21" s="20" t="s">
        <v>38</v>
      </c>
      <c r="W21" s="13">
        <f>13900671.23+213061.68</f>
        <v>14113732.91</v>
      </c>
      <c r="X21" s="13">
        <v>0</v>
      </c>
      <c r="Y21" s="13">
        <f>34280401.12+114043.28</f>
        <v>34394444.399999999</v>
      </c>
      <c r="Z21" s="13">
        <v>0</v>
      </c>
      <c r="AA21" s="13">
        <f>16796126.29+110134.14</f>
        <v>16906260.43</v>
      </c>
      <c r="AB21" s="13">
        <v>0</v>
      </c>
      <c r="AC21" s="20" t="s">
        <v>38</v>
      </c>
      <c r="AD21" s="14">
        <f t="shared" si="0"/>
        <v>78125318.969999999</v>
      </c>
      <c r="AE21" s="14">
        <f t="shared" si="1"/>
        <v>1077770.5</v>
      </c>
      <c r="AF21" s="14">
        <f t="shared" si="2"/>
        <v>79203089.469999999</v>
      </c>
    </row>
    <row r="22" spans="1:32" x14ac:dyDescent="0.25">
      <c r="A22" s="20" t="s">
        <v>39</v>
      </c>
      <c r="B22" s="13">
        <f>45940.21+90.97</f>
        <v>46031.18</v>
      </c>
      <c r="C22" s="13">
        <v>1647931.04</v>
      </c>
      <c r="D22" s="13">
        <v>1345719.63</v>
      </c>
      <c r="E22" s="13">
        <v>0</v>
      </c>
      <c r="F22" s="13">
        <v>14738655.26</v>
      </c>
      <c r="G22" s="13">
        <v>0</v>
      </c>
      <c r="H22" s="20" t="s">
        <v>39</v>
      </c>
      <c r="I22" s="13">
        <v>42672504.600000001</v>
      </c>
      <c r="J22" s="13">
        <v>0</v>
      </c>
      <c r="K22" s="13">
        <v>40528484.07</v>
      </c>
      <c r="L22" s="13">
        <v>59160.07</v>
      </c>
      <c r="M22" s="13">
        <v>6847861.5999999996</v>
      </c>
      <c r="N22" s="13">
        <v>870027.48</v>
      </c>
      <c r="O22" s="20" t="s">
        <v>39</v>
      </c>
      <c r="P22" s="13">
        <v>1659320.06</v>
      </c>
      <c r="Q22" s="13">
        <v>0</v>
      </c>
      <c r="R22" s="13">
        <v>257425.94</v>
      </c>
      <c r="S22" s="13">
        <v>0</v>
      </c>
      <c r="T22" s="13">
        <v>6475771.1699999999</v>
      </c>
      <c r="U22" s="13">
        <v>0</v>
      </c>
      <c r="V22" s="20" t="s">
        <v>39</v>
      </c>
      <c r="W22" s="13">
        <f>1261743.17+203482.37</f>
        <v>1465225.54</v>
      </c>
      <c r="X22" s="13">
        <v>0</v>
      </c>
      <c r="Y22" s="13">
        <f>11288380.73+599145.2</f>
        <v>11887525.93</v>
      </c>
      <c r="Z22" s="13">
        <v>0</v>
      </c>
      <c r="AA22" s="13">
        <f>14940575+318289.95</f>
        <v>15258864.949999999</v>
      </c>
      <c r="AB22" s="13">
        <v>0</v>
      </c>
      <c r="AC22" s="20" t="s">
        <v>39</v>
      </c>
      <c r="AD22" s="14">
        <f t="shared" si="0"/>
        <v>143183389.93000001</v>
      </c>
      <c r="AE22" s="14">
        <f t="shared" si="1"/>
        <v>2577118.59</v>
      </c>
      <c r="AF22" s="14">
        <f t="shared" si="2"/>
        <v>145760508.52000001</v>
      </c>
    </row>
    <row r="23" spans="1:32" x14ac:dyDescent="0.25">
      <c r="A23" s="20" t="s">
        <v>40</v>
      </c>
      <c r="B23" s="13">
        <v>0</v>
      </c>
      <c r="C23" s="13">
        <v>10490.02</v>
      </c>
      <c r="D23" s="13">
        <v>0</v>
      </c>
      <c r="E23" s="13">
        <v>0</v>
      </c>
      <c r="F23" s="13">
        <v>2745727.94</v>
      </c>
      <c r="G23" s="13">
        <v>0</v>
      </c>
      <c r="H23" s="20" t="s">
        <v>40</v>
      </c>
      <c r="I23" s="13">
        <v>1468506.98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20" t="s">
        <v>40</v>
      </c>
      <c r="P23" s="13">
        <v>0</v>
      </c>
      <c r="Q23" s="13">
        <v>0</v>
      </c>
      <c r="R23" s="13">
        <v>0</v>
      </c>
      <c r="S23" s="13">
        <v>54015.55</v>
      </c>
      <c r="T23" s="13">
        <v>0</v>
      </c>
      <c r="U23" s="13">
        <v>0</v>
      </c>
      <c r="V23" s="20" t="s">
        <v>40</v>
      </c>
      <c r="W23" s="13">
        <v>255473.55</v>
      </c>
      <c r="X23" s="13">
        <v>0</v>
      </c>
      <c r="Y23" s="13">
        <v>850974.92</v>
      </c>
      <c r="Z23" s="13">
        <v>0</v>
      </c>
      <c r="AA23" s="13">
        <v>3086658.29</v>
      </c>
      <c r="AB23" s="13">
        <v>0</v>
      </c>
      <c r="AC23" s="20" t="s">
        <v>40</v>
      </c>
      <c r="AD23" s="14">
        <f t="shared" si="0"/>
        <v>8407341.6799999997</v>
      </c>
      <c r="AE23" s="14">
        <f t="shared" si="1"/>
        <v>64505.570000000007</v>
      </c>
      <c r="AF23" s="14">
        <f t="shared" si="2"/>
        <v>8471847.25</v>
      </c>
    </row>
    <row r="24" spans="1:32" x14ac:dyDescent="0.25">
      <c r="A24" s="20" t="s">
        <v>41</v>
      </c>
      <c r="B24" s="13">
        <v>0</v>
      </c>
      <c r="C24" s="13">
        <v>83180.58</v>
      </c>
      <c r="D24" s="13">
        <v>0</v>
      </c>
      <c r="E24" s="13">
        <v>0</v>
      </c>
      <c r="F24" s="13">
        <v>158147.43</v>
      </c>
      <c r="G24" s="13">
        <v>0</v>
      </c>
      <c r="H24" s="20" t="s">
        <v>41</v>
      </c>
      <c r="I24" s="13">
        <v>0</v>
      </c>
      <c r="J24" s="13">
        <v>0</v>
      </c>
      <c r="K24" s="13">
        <v>0</v>
      </c>
      <c r="L24" s="13">
        <v>0</v>
      </c>
      <c r="M24" s="13">
        <v>285.01</v>
      </c>
      <c r="N24" s="13">
        <v>0</v>
      </c>
      <c r="O24" s="20" t="s">
        <v>41</v>
      </c>
      <c r="P24" s="13">
        <v>0</v>
      </c>
      <c r="Q24" s="13">
        <v>0</v>
      </c>
      <c r="R24" s="13">
        <v>280.55</v>
      </c>
      <c r="S24" s="13">
        <v>0</v>
      </c>
      <c r="T24" s="13">
        <v>0</v>
      </c>
      <c r="U24" s="13">
        <v>0</v>
      </c>
      <c r="V24" s="20" t="s">
        <v>41</v>
      </c>
      <c r="W24" s="13">
        <v>0</v>
      </c>
      <c r="X24" s="13">
        <v>0</v>
      </c>
      <c r="Y24" s="13">
        <v>1261638.28</v>
      </c>
      <c r="Z24" s="13">
        <v>0</v>
      </c>
      <c r="AA24" s="13">
        <v>1106631.53</v>
      </c>
      <c r="AB24" s="13">
        <v>0</v>
      </c>
      <c r="AC24" s="20" t="s">
        <v>41</v>
      </c>
      <c r="AD24" s="14">
        <f t="shared" si="0"/>
        <v>2526982.7999999998</v>
      </c>
      <c r="AE24" s="14">
        <f t="shared" si="1"/>
        <v>83180.58</v>
      </c>
      <c r="AF24" s="14">
        <f t="shared" si="2"/>
        <v>2610163.38</v>
      </c>
    </row>
    <row r="25" spans="1:32" x14ac:dyDescent="0.25">
      <c r="A25" s="20" t="s">
        <v>42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20" t="s">
        <v>42</v>
      </c>
      <c r="I25" s="13">
        <v>0</v>
      </c>
      <c r="J25" s="13">
        <v>0</v>
      </c>
      <c r="K25" s="13">
        <v>789993.13</v>
      </c>
      <c r="L25" s="13">
        <v>0</v>
      </c>
      <c r="M25" s="13">
        <v>0</v>
      </c>
      <c r="N25" s="13">
        <v>0</v>
      </c>
      <c r="O25" s="20" t="s">
        <v>42</v>
      </c>
      <c r="P25" s="13">
        <v>0</v>
      </c>
      <c r="Q25" s="13">
        <v>0</v>
      </c>
      <c r="R25" s="13">
        <v>31106.02</v>
      </c>
      <c r="S25" s="13">
        <v>0</v>
      </c>
      <c r="T25" s="13">
        <v>0</v>
      </c>
      <c r="U25" s="13">
        <v>0</v>
      </c>
      <c r="V25" s="20" t="s">
        <v>42</v>
      </c>
      <c r="W25" s="13">
        <v>23496.720000000001</v>
      </c>
      <c r="X25" s="13">
        <v>0</v>
      </c>
      <c r="Y25" s="13">
        <v>4487858.8600000003</v>
      </c>
      <c r="Z25" s="13">
        <v>0</v>
      </c>
      <c r="AA25" s="13">
        <v>3096326.07</v>
      </c>
      <c r="AB25" s="13">
        <v>0</v>
      </c>
      <c r="AC25" s="20" t="s">
        <v>42</v>
      </c>
      <c r="AD25" s="14">
        <f t="shared" si="0"/>
        <v>8428780.8000000007</v>
      </c>
      <c r="AE25" s="14">
        <f t="shared" si="1"/>
        <v>0</v>
      </c>
      <c r="AF25" s="14">
        <f t="shared" si="2"/>
        <v>8428780.8000000007</v>
      </c>
    </row>
    <row r="26" spans="1:32" x14ac:dyDescent="0.25">
      <c r="A26" s="20" t="s">
        <v>43</v>
      </c>
      <c r="B26" s="13">
        <v>7305154.1299999999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20" t="s">
        <v>43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20" t="s">
        <v>43</v>
      </c>
      <c r="P26" s="13">
        <v>64333.19</v>
      </c>
      <c r="Q26" s="13">
        <v>0</v>
      </c>
      <c r="R26" s="13">
        <v>112866.76</v>
      </c>
      <c r="S26" s="13">
        <v>0</v>
      </c>
      <c r="T26" s="13">
        <v>1466292.34</v>
      </c>
      <c r="U26" s="13">
        <v>0</v>
      </c>
      <c r="V26" s="20" t="s">
        <v>43</v>
      </c>
      <c r="W26" s="13">
        <v>3750836.85</v>
      </c>
      <c r="X26" s="13">
        <v>0</v>
      </c>
      <c r="Y26" s="13">
        <v>3278717.02</v>
      </c>
      <c r="Z26" s="13">
        <v>0</v>
      </c>
      <c r="AA26" s="13">
        <v>3584032.81</v>
      </c>
      <c r="AB26" s="13">
        <v>0</v>
      </c>
      <c r="AC26" s="20" t="s">
        <v>43</v>
      </c>
      <c r="AD26" s="14">
        <f t="shared" si="0"/>
        <v>19562233.099999998</v>
      </c>
      <c r="AE26" s="14">
        <f t="shared" si="1"/>
        <v>0</v>
      </c>
      <c r="AF26" s="14">
        <f t="shared" si="2"/>
        <v>19562233.099999998</v>
      </c>
    </row>
    <row r="27" spans="1:32" x14ac:dyDescent="0.25">
      <c r="A27" s="20" t="s">
        <v>44</v>
      </c>
      <c r="B27" s="13">
        <f>2248089.3+48543.73</f>
        <v>2296633.0299999998</v>
      </c>
      <c r="C27" s="13">
        <v>0</v>
      </c>
      <c r="D27" s="13">
        <f>1700576.59+429908.61+41860.03</f>
        <v>2172345.23</v>
      </c>
      <c r="E27" s="13">
        <v>0</v>
      </c>
      <c r="F27" s="13">
        <f>55591029.34+1099069.87</f>
        <v>56690099.210000001</v>
      </c>
      <c r="G27" s="13">
        <v>0</v>
      </c>
      <c r="H27" s="20" t="s">
        <v>44</v>
      </c>
      <c r="I27" s="13">
        <f>1388163.84+240036.07</f>
        <v>1628199.9100000001</v>
      </c>
      <c r="J27" s="13">
        <v>0</v>
      </c>
      <c r="K27" s="13">
        <f>9850914.82+1020748.33</f>
        <v>10871663.15</v>
      </c>
      <c r="L27" s="13">
        <v>0</v>
      </c>
      <c r="M27" s="13">
        <f>7338503.14+1643704.98</f>
        <v>8982208.1199999992</v>
      </c>
      <c r="N27" s="13">
        <v>0</v>
      </c>
      <c r="O27" s="20" t="s">
        <v>44</v>
      </c>
      <c r="P27" s="13">
        <f>1346436.65+314334.39</f>
        <v>1660771.04</v>
      </c>
      <c r="Q27" s="13">
        <v>0</v>
      </c>
      <c r="R27" s="13">
        <f>4509501.14+1832059.7</f>
        <v>6341560.8399999999</v>
      </c>
      <c r="S27" s="13">
        <v>0</v>
      </c>
      <c r="T27" s="13">
        <f>1435315.96+145940.31+858992.77</f>
        <v>2440249.04</v>
      </c>
      <c r="U27" s="13">
        <v>0</v>
      </c>
      <c r="V27" s="20" t="s">
        <v>44</v>
      </c>
      <c r="W27" s="13">
        <f>8372553.05+1695741.95</f>
        <v>10068295</v>
      </c>
      <c r="X27" s="13">
        <v>0</v>
      </c>
      <c r="Y27" s="13">
        <f>4654886.34+454507.41</f>
        <v>5109393.75</v>
      </c>
      <c r="Z27" s="13">
        <v>0</v>
      </c>
      <c r="AA27" s="13">
        <f>4926654.46+990412.17</f>
        <v>5917066.6299999999</v>
      </c>
      <c r="AB27" s="13">
        <v>0</v>
      </c>
      <c r="AC27" s="20" t="s">
        <v>44</v>
      </c>
      <c r="AD27" s="14">
        <f t="shared" si="0"/>
        <v>114178484.95000002</v>
      </c>
      <c r="AE27" s="14">
        <f t="shared" si="1"/>
        <v>0</v>
      </c>
      <c r="AF27" s="14">
        <f t="shared" si="2"/>
        <v>114178484.95000002</v>
      </c>
    </row>
    <row r="28" spans="1:32" x14ac:dyDescent="0.25">
      <c r="A28" s="20" t="s">
        <v>45</v>
      </c>
      <c r="B28" s="13">
        <f>1150.67+218970.23</f>
        <v>220120.90000000002</v>
      </c>
      <c r="C28" s="13">
        <v>0</v>
      </c>
      <c r="D28" s="13">
        <v>10197572.66</v>
      </c>
      <c r="E28" s="13">
        <v>0</v>
      </c>
      <c r="F28" s="13">
        <v>2690609.46</v>
      </c>
      <c r="G28" s="13">
        <v>0</v>
      </c>
      <c r="H28" s="20" t="s">
        <v>45</v>
      </c>
      <c r="I28" s="13">
        <v>4898693.59</v>
      </c>
      <c r="J28" s="13">
        <v>0</v>
      </c>
      <c r="K28" s="13">
        <v>3480159.56</v>
      </c>
      <c r="L28" s="13">
        <v>0</v>
      </c>
      <c r="M28" s="13">
        <v>2613207.4500000002</v>
      </c>
      <c r="N28" s="13">
        <v>0</v>
      </c>
      <c r="O28" s="20" t="s">
        <v>45</v>
      </c>
      <c r="P28" s="13">
        <v>3844260.04</v>
      </c>
      <c r="Q28" s="13">
        <v>0</v>
      </c>
      <c r="R28" s="13">
        <v>4832446.01</v>
      </c>
      <c r="S28" s="13">
        <v>0</v>
      </c>
      <c r="T28" s="13">
        <v>2463666.94</v>
      </c>
      <c r="U28" s="13">
        <v>0</v>
      </c>
      <c r="V28" s="20" t="s">
        <v>45</v>
      </c>
      <c r="W28" s="13">
        <v>8879171.9199999999</v>
      </c>
      <c r="X28" s="13">
        <v>0</v>
      </c>
      <c r="Y28" s="13">
        <v>18250099.75</v>
      </c>
      <c r="Z28" s="13">
        <v>0</v>
      </c>
      <c r="AA28" s="13">
        <v>9482205.4000000004</v>
      </c>
      <c r="AB28" s="13">
        <v>0</v>
      </c>
      <c r="AC28" s="20" t="s">
        <v>45</v>
      </c>
      <c r="AD28" s="14">
        <f t="shared" si="0"/>
        <v>71852213.679999992</v>
      </c>
      <c r="AE28" s="14">
        <f t="shared" si="1"/>
        <v>0</v>
      </c>
      <c r="AF28" s="14">
        <f t="shared" si="2"/>
        <v>71852213.679999992</v>
      </c>
    </row>
    <row r="29" spans="1:32" x14ac:dyDescent="0.25">
      <c r="A29" s="20" t="s">
        <v>46</v>
      </c>
      <c r="B29" s="13">
        <v>1400569.57</v>
      </c>
      <c r="C29" s="13">
        <v>1685052.19</v>
      </c>
      <c r="D29" s="13">
        <v>729300.17</v>
      </c>
      <c r="E29" s="13">
        <v>0</v>
      </c>
      <c r="F29" s="13">
        <v>284195.31</v>
      </c>
      <c r="G29" s="13">
        <v>99719.94</v>
      </c>
      <c r="H29" s="20" t="s">
        <v>46</v>
      </c>
      <c r="I29" s="13">
        <v>495947.65</v>
      </c>
      <c r="J29" s="13">
        <v>0</v>
      </c>
      <c r="K29" s="13">
        <v>129880.44</v>
      </c>
      <c r="L29" s="13">
        <v>0</v>
      </c>
      <c r="M29" s="13">
        <v>7674.48</v>
      </c>
      <c r="N29" s="13">
        <v>3454210.57</v>
      </c>
      <c r="O29" s="20" t="s">
        <v>46</v>
      </c>
      <c r="P29" s="13">
        <v>1156756.71</v>
      </c>
      <c r="Q29" s="13">
        <v>0</v>
      </c>
      <c r="R29" s="13">
        <v>1909597.25</v>
      </c>
      <c r="S29" s="13">
        <v>0</v>
      </c>
      <c r="T29" s="13">
        <v>1710752.57</v>
      </c>
      <c r="U29" s="13">
        <v>0</v>
      </c>
      <c r="V29" s="20" t="s">
        <v>46</v>
      </c>
      <c r="W29" s="13">
        <v>1688994.79</v>
      </c>
      <c r="X29" s="13">
        <v>0</v>
      </c>
      <c r="Y29" s="13">
        <v>3862562.39</v>
      </c>
      <c r="Z29" s="13">
        <v>0</v>
      </c>
      <c r="AA29" s="13">
        <v>28122892.440000001</v>
      </c>
      <c r="AB29" s="13">
        <v>0</v>
      </c>
      <c r="AC29" s="20" t="s">
        <v>46</v>
      </c>
      <c r="AD29" s="14">
        <f t="shared" si="0"/>
        <v>41499123.770000003</v>
      </c>
      <c r="AE29" s="14">
        <f t="shared" si="1"/>
        <v>5238982.6999999993</v>
      </c>
      <c r="AF29" s="14">
        <f t="shared" si="2"/>
        <v>46738106.469999999</v>
      </c>
    </row>
    <row r="30" spans="1:32" x14ac:dyDescent="0.25">
      <c r="A30" s="20" t="s">
        <v>47</v>
      </c>
      <c r="B30" s="13">
        <f>21008.12</f>
        <v>21008.12</v>
      </c>
      <c r="C30" s="13">
        <v>2606940.9</v>
      </c>
      <c r="D30" s="13">
        <f>1488016.76+95613.68</f>
        <v>1583630.44</v>
      </c>
      <c r="E30" s="13">
        <v>0</v>
      </c>
      <c r="F30" s="13">
        <f>2429600.12+123915.13</f>
        <v>2553515.25</v>
      </c>
      <c r="G30" s="13">
        <v>24137.709999999992</v>
      </c>
      <c r="H30" s="20" t="s">
        <v>47</v>
      </c>
      <c r="I30" s="13">
        <f>735137.16+80103.59</f>
        <v>815240.75</v>
      </c>
      <c r="J30" s="13">
        <v>0</v>
      </c>
      <c r="K30" s="13">
        <f>486728.26+0</f>
        <v>486728.26</v>
      </c>
      <c r="L30" s="13">
        <v>0</v>
      </c>
      <c r="M30" s="13">
        <f>88878.29+0</f>
        <v>88878.29</v>
      </c>
      <c r="N30" s="13">
        <v>0</v>
      </c>
      <c r="O30" s="20" t="s">
        <v>47</v>
      </c>
      <c r="P30" s="13">
        <f>555882.67+26452.69</f>
        <v>582335.36</v>
      </c>
      <c r="Q30" s="13">
        <v>0</v>
      </c>
      <c r="R30" s="13">
        <f>1857768+129560.33</f>
        <v>1987328.33</v>
      </c>
      <c r="S30" s="13">
        <v>0</v>
      </c>
      <c r="T30" s="13">
        <f>2736579.53+308599.46</f>
        <v>3045178.9899999998</v>
      </c>
      <c r="U30" s="13">
        <v>0</v>
      </c>
      <c r="V30" s="20" t="s">
        <v>47</v>
      </c>
      <c r="W30" s="13">
        <f>6316231.01+173979.36</f>
        <v>6490210.3700000001</v>
      </c>
      <c r="X30" s="13">
        <v>0</v>
      </c>
      <c r="Y30" s="13">
        <f>1673576.17+136069.13</f>
        <v>1809645.2999999998</v>
      </c>
      <c r="Z30" s="13">
        <v>0</v>
      </c>
      <c r="AA30" s="13">
        <f>3249146.42+294600.4</f>
        <v>3543746.82</v>
      </c>
      <c r="AB30" s="13">
        <v>0</v>
      </c>
      <c r="AC30" s="20" t="s">
        <v>47</v>
      </c>
      <c r="AD30" s="14">
        <f t="shared" si="0"/>
        <v>23007446.280000001</v>
      </c>
      <c r="AE30" s="14">
        <f t="shared" si="1"/>
        <v>2631078.61</v>
      </c>
      <c r="AF30" s="14">
        <f t="shared" si="2"/>
        <v>25638524.890000001</v>
      </c>
    </row>
    <row r="31" spans="1:32" x14ac:dyDescent="0.25">
      <c r="A31" s="20" t="s">
        <v>48</v>
      </c>
      <c r="B31" s="13">
        <v>0</v>
      </c>
      <c r="C31" s="13">
        <v>563639.74</v>
      </c>
      <c r="D31" s="13">
        <v>0</v>
      </c>
      <c r="E31" s="13">
        <v>0</v>
      </c>
      <c r="F31" s="13">
        <v>0</v>
      </c>
      <c r="G31" s="13">
        <v>0</v>
      </c>
      <c r="H31" s="20" t="s">
        <v>48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20" t="s">
        <v>48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20" t="s">
        <v>48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20" t="s">
        <v>48</v>
      </c>
      <c r="AD31" s="14">
        <f t="shared" si="0"/>
        <v>0</v>
      </c>
      <c r="AE31" s="14">
        <f t="shared" si="1"/>
        <v>563639.74</v>
      </c>
      <c r="AF31" s="14">
        <f t="shared" si="2"/>
        <v>563639.74</v>
      </c>
    </row>
    <row r="32" spans="1:32" x14ac:dyDescent="0.25">
      <c r="A32" s="20" t="s">
        <v>49</v>
      </c>
      <c r="B32" s="13">
        <v>0</v>
      </c>
      <c r="C32" s="13">
        <v>506906.49</v>
      </c>
      <c r="D32" s="13">
        <v>0</v>
      </c>
      <c r="E32" s="13">
        <v>0</v>
      </c>
      <c r="F32" s="13">
        <v>0</v>
      </c>
      <c r="G32" s="13">
        <v>0</v>
      </c>
      <c r="H32" s="20" t="s">
        <v>49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20" t="s">
        <v>49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20" t="s">
        <v>49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20" t="s">
        <v>49</v>
      </c>
      <c r="AD32" s="14">
        <f t="shared" si="0"/>
        <v>0</v>
      </c>
      <c r="AE32" s="14">
        <f t="shared" si="1"/>
        <v>506906.49</v>
      </c>
      <c r="AF32" s="14">
        <f t="shared" si="2"/>
        <v>506906.49</v>
      </c>
    </row>
    <row r="33" spans="1:32" x14ac:dyDescent="0.25">
      <c r="A33" s="20" t="s">
        <v>50</v>
      </c>
      <c r="B33" s="13">
        <v>0</v>
      </c>
      <c r="C33" s="13">
        <v>166281.14000000001</v>
      </c>
      <c r="D33" s="13">
        <v>0</v>
      </c>
      <c r="E33" s="13">
        <v>0</v>
      </c>
      <c r="F33" s="13">
        <v>0</v>
      </c>
      <c r="G33" s="13">
        <v>0</v>
      </c>
      <c r="H33" s="20" t="s">
        <v>50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20" t="s">
        <v>50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20" t="s">
        <v>50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20" t="s">
        <v>50</v>
      </c>
      <c r="AD33" s="14">
        <f t="shared" si="0"/>
        <v>0</v>
      </c>
      <c r="AE33" s="14">
        <f t="shared" si="1"/>
        <v>166281.14000000001</v>
      </c>
      <c r="AF33" s="14">
        <f t="shared" si="2"/>
        <v>166281.14000000001</v>
      </c>
    </row>
    <row r="34" spans="1:32" x14ac:dyDescent="0.25">
      <c r="A34" s="20" t="s">
        <v>51</v>
      </c>
      <c r="B34" s="13">
        <v>0</v>
      </c>
      <c r="C34" s="13">
        <v>805342.2899999998</v>
      </c>
      <c r="D34" s="13">
        <v>0</v>
      </c>
      <c r="E34" s="13">
        <v>0</v>
      </c>
      <c r="F34" s="13">
        <v>0</v>
      </c>
      <c r="G34" s="13">
        <v>0</v>
      </c>
      <c r="H34" s="20" t="s">
        <v>51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20" t="s">
        <v>51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20" t="s">
        <v>51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20" t="s">
        <v>51</v>
      </c>
      <c r="AD34" s="14">
        <f t="shared" si="0"/>
        <v>0</v>
      </c>
      <c r="AE34" s="14">
        <f t="shared" si="1"/>
        <v>805342.2899999998</v>
      </c>
      <c r="AF34" s="14">
        <f t="shared" si="2"/>
        <v>805342.2899999998</v>
      </c>
    </row>
    <row r="35" spans="1:32" x14ac:dyDescent="0.25">
      <c r="A35" s="20" t="s">
        <v>52</v>
      </c>
      <c r="B35" s="13">
        <v>0</v>
      </c>
      <c r="C35" s="13">
        <v>23972.21</v>
      </c>
      <c r="D35" s="13">
        <v>0</v>
      </c>
      <c r="E35" s="13">
        <v>0</v>
      </c>
      <c r="F35" s="13">
        <v>0</v>
      </c>
      <c r="G35" s="13">
        <v>0</v>
      </c>
      <c r="H35" s="20" t="s">
        <v>52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20" t="s">
        <v>52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20" t="s">
        <v>52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20" t="s">
        <v>52</v>
      </c>
      <c r="AD35" s="14">
        <f t="shared" si="0"/>
        <v>0</v>
      </c>
      <c r="AE35" s="14">
        <f t="shared" si="1"/>
        <v>23972.21</v>
      </c>
      <c r="AF35" s="14">
        <f t="shared" si="2"/>
        <v>23972.21</v>
      </c>
    </row>
    <row r="36" spans="1:32" ht="15.75" x14ac:dyDescent="0.25">
      <c r="A36" s="23" t="s">
        <v>107</v>
      </c>
      <c r="B36" s="27">
        <f>SUM(B12:B35)</f>
        <v>12966978.859999999</v>
      </c>
      <c r="C36" s="27">
        <f t="shared" ref="C36:AB36" si="3">SUM(C12:C35)</f>
        <v>15443178.040000001</v>
      </c>
      <c r="D36" s="27">
        <f t="shared" si="3"/>
        <v>30545732.500000004</v>
      </c>
      <c r="E36" s="27">
        <f t="shared" si="3"/>
        <v>6299445.0700000003</v>
      </c>
      <c r="F36" s="27">
        <f t="shared" si="3"/>
        <v>92309696.849999994</v>
      </c>
      <c r="G36" s="27">
        <f t="shared" si="3"/>
        <v>123857.65</v>
      </c>
      <c r="H36" s="23" t="s">
        <v>107</v>
      </c>
      <c r="I36" s="27">
        <f t="shared" si="3"/>
        <v>68616139.950000003</v>
      </c>
      <c r="J36" s="27">
        <f t="shared" si="3"/>
        <v>1038709.39</v>
      </c>
      <c r="K36" s="27">
        <f t="shared" si="3"/>
        <v>62825945.751999997</v>
      </c>
      <c r="L36" s="27">
        <f t="shared" si="3"/>
        <v>59160.07</v>
      </c>
      <c r="M36" s="27">
        <f t="shared" si="3"/>
        <v>25086768.119999997</v>
      </c>
      <c r="N36" s="27">
        <f t="shared" si="3"/>
        <v>7438322.3599999994</v>
      </c>
      <c r="O36" s="23" t="s">
        <v>107</v>
      </c>
      <c r="P36" s="27">
        <f t="shared" si="3"/>
        <v>13850482.190000001</v>
      </c>
      <c r="Q36" s="27">
        <f t="shared" si="3"/>
        <v>0</v>
      </c>
      <c r="R36" s="27">
        <f t="shared" si="3"/>
        <v>33046479.640000001</v>
      </c>
      <c r="S36" s="27">
        <f t="shared" si="3"/>
        <v>54015.55</v>
      </c>
      <c r="T36" s="27">
        <f t="shared" si="3"/>
        <v>44613354.520000003</v>
      </c>
      <c r="U36" s="27">
        <f t="shared" si="3"/>
        <v>39061.109999999993</v>
      </c>
      <c r="V36" s="23" t="s">
        <v>107</v>
      </c>
      <c r="W36" s="27">
        <f t="shared" si="3"/>
        <v>80750870.640000001</v>
      </c>
      <c r="X36" s="27">
        <f t="shared" si="3"/>
        <v>364349.98</v>
      </c>
      <c r="Y36" s="27">
        <f t="shared" si="3"/>
        <v>143267516.89999998</v>
      </c>
      <c r="Z36" s="27">
        <f t="shared" si="3"/>
        <v>0</v>
      </c>
      <c r="AA36" s="27">
        <f t="shared" si="3"/>
        <v>138595280.06999999</v>
      </c>
      <c r="AB36" s="27">
        <f t="shared" si="3"/>
        <v>0</v>
      </c>
      <c r="AC36" s="23" t="s">
        <v>107</v>
      </c>
      <c r="AD36" s="27">
        <f t="shared" si="0"/>
        <v>746475245.99199986</v>
      </c>
      <c r="AE36" s="27">
        <f t="shared" si="1"/>
        <v>30860099.219999999</v>
      </c>
      <c r="AF36" s="27">
        <f t="shared" si="2"/>
        <v>777335345.21199989</v>
      </c>
    </row>
    <row r="37" spans="1:32" x14ac:dyDescent="0.25">
      <c r="A37" s="20" t="s">
        <v>53</v>
      </c>
      <c r="B37" s="13">
        <v>675908.86</v>
      </c>
      <c r="C37" s="13">
        <v>0</v>
      </c>
      <c r="D37" s="13">
        <v>260353</v>
      </c>
      <c r="E37" s="13">
        <v>0</v>
      </c>
      <c r="F37" s="13">
        <v>388788.19</v>
      </c>
      <c r="G37" s="13">
        <v>0</v>
      </c>
      <c r="H37" s="20" t="s">
        <v>53</v>
      </c>
      <c r="I37" s="13">
        <v>467028.04000000004</v>
      </c>
      <c r="J37" s="13">
        <v>0</v>
      </c>
      <c r="K37" s="13">
        <v>228076.45</v>
      </c>
      <c r="L37" s="13">
        <v>0</v>
      </c>
      <c r="M37" s="13">
        <v>362221.27</v>
      </c>
      <c r="N37" s="13">
        <v>0</v>
      </c>
      <c r="O37" s="20" t="s">
        <v>53</v>
      </c>
      <c r="P37" s="13">
        <v>755419.73</v>
      </c>
      <c r="Q37" s="13">
        <v>0</v>
      </c>
      <c r="R37" s="13">
        <v>279076.68</v>
      </c>
      <c r="S37" s="13">
        <v>0</v>
      </c>
      <c r="T37" s="13">
        <v>272698.46000000002</v>
      </c>
      <c r="U37" s="13">
        <v>0</v>
      </c>
      <c r="V37" s="20" t="s">
        <v>53</v>
      </c>
      <c r="W37" s="13">
        <v>620814.84</v>
      </c>
      <c r="X37" s="13">
        <v>0</v>
      </c>
      <c r="Y37" s="13">
        <v>955480.54999999993</v>
      </c>
      <c r="Z37" s="13">
        <v>0</v>
      </c>
      <c r="AA37" s="13">
        <v>243494.53</v>
      </c>
      <c r="AB37" s="13">
        <v>0</v>
      </c>
      <c r="AC37" s="20" t="s">
        <v>53</v>
      </c>
      <c r="AD37" s="14">
        <f t="shared" si="0"/>
        <v>5509360.6000000006</v>
      </c>
      <c r="AE37" s="14">
        <f t="shared" si="1"/>
        <v>0</v>
      </c>
      <c r="AF37" s="14">
        <f t="shared" si="2"/>
        <v>5509360.6000000006</v>
      </c>
    </row>
    <row r="38" spans="1:32" x14ac:dyDescent="0.25">
      <c r="A38" s="20" t="s">
        <v>54</v>
      </c>
      <c r="B38" s="13">
        <v>6772344.6899999995</v>
      </c>
      <c r="C38" s="13">
        <v>0</v>
      </c>
      <c r="D38" s="13">
        <v>1101161.96</v>
      </c>
      <c r="E38" s="13">
        <v>0</v>
      </c>
      <c r="F38" s="13">
        <v>284096.65000000002</v>
      </c>
      <c r="G38" s="13">
        <v>0</v>
      </c>
      <c r="H38" s="20" t="s">
        <v>54</v>
      </c>
      <c r="I38" s="13">
        <v>6560.48</v>
      </c>
      <c r="J38" s="13">
        <v>0</v>
      </c>
      <c r="K38" s="13">
        <v>5854.54</v>
      </c>
      <c r="L38" s="13">
        <v>0</v>
      </c>
      <c r="M38" s="13">
        <v>4644.3999999999996</v>
      </c>
      <c r="N38" s="13">
        <v>0</v>
      </c>
      <c r="O38" s="20" t="s">
        <v>54</v>
      </c>
      <c r="P38" s="13">
        <v>3483.3</v>
      </c>
      <c r="Q38" s="13">
        <v>0</v>
      </c>
      <c r="R38" s="13">
        <v>0</v>
      </c>
      <c r="S38" s="13">
        <v>0</v>
      </c>
      <c r="T38" s="13">
        <v>2322.1999999999998</v>
      </c>
      <c r="U38" s="13">
        <v>0</v>
      </c>
      <c r="V38" s="20" t="s">
        <v>54</v>
      </c>
      <c r="W38" s="13">
        <v>1741.65</v>
      </c>
      <c r="X38" s="13">
        <v>0</v>
      </c>
      <c r="Y38" s="13">
        <v>18145.23</v>
      </c>
      <c r="Z38" s="13">
        <v>0</v>
      </c>
      <c r="AA38" s="13">
        <v>228083.99</v>
      </c>
      <c r="AB38" s="13">
        <v>0</v>
      </c>
      <c r="AC38" s="20" t="s">
        <v>54</v>
      </c>
      <c r="AD38" s="14">
        <f t="shared" si="0"/>
        <v>8428439.0900000017</v>
      </c>
      <c r="AE38" s="14">
        <f t="shared" si="1"/>
        <v>0</v>
      </c>
      <c r="AF38" s="14">
        <f t="shared" si="2"/>
        <v>8428439.0900000017</v>
      </c>
    </row>
    <row r="39" spans="1:32" x14ac:dyDescent="0.25">
      <c r="A39" s="20" t="s">
        <v>55</v>
      </c>
      <c r="B39" s="13">
        <v>5521899.9900000002</v>
      </c>
      <c r="C39" s="13">
        <v>0</v>
      </c>
      <c r="D39" s="13">
        <v>1591802.1099999999</v>
      </c>
      <c r="E39" s="13">
        <v>0</v>
      </c>
      <c r="F39" s="13">
        <v>1258470.21</v>
      </c>
      <c r="G39" s="13">
        <v>0</v>
      </c>
      <c r="H39" s="20" t="s">
        <v>55</v>
      </c>
      <c r="I39" s="13">
        <v>371603.97</v>
      </c>
      <c r="J39" s="13">
        <v>0</v>
      </c>
      <c r="K39" s="13">
        <v>824043.14</v>
      </c>
      <c r="L39" s="13">
        <v>0</v>
      </c>
      <c r="M39" s="13">
        <v>290967.33</v>
      </c>
      <c r="N39" s="13">
        <v>0</v>
      </c>
      <c r="O39" s="20" t="s">
        <v>55</v>
      </c>
      <c r="P39" s="13">
        <v>216382.74</v>
      </c>
      <c r="Q39" s="13">
        <v>0</v>
      </c>
      <c r="R39" s="13">
        <v>201420.14</v>
      </c>
      <c r="S39" s="13">
        <v>0</v>
      </c>
      <c r="T39" s="13">
        <v>135913.56</v>
      </c>
      <c r="U39" s="13">
        <v>0</v>
      </c>
      <c r="V39" s="20" t="s">
        <v>55</v>
      </c>
      <c r="W39" s="13">
        <v>525314.86</v>
      </c>
      <c r="X39" s="13">
        <v>0</v>
      </c>
      <c r="Y39" s="13">
        <v>461600.75</v>
      </c>
      <c r="Z39" s="13">
        <v>0</v>
      </c>
      <c r="AA39" s="13">
        <v>249885.58</v>
      </c>
      <c r="AB39" s="13">
        <v>0</v>
      </c>
      <c r="AC39" s="20" t="s">
        <v>55</v>
      </c>
      <c r="AD39" s="14">
        <f t="shared" si="0"/>
        <v>11649304.380000001</v>
      </c>
      <c r="AE39" s="14">
        <f t="shared" si="1"/>
        <v>0</v>
      </c>
      <c r="AF39" s="14">
        <f t="shared" si="2"/>
        <v>11649304.380000001</v>
      </c>
    </row>
    <row r="40" spans="1:32" x14ac:dyDescent="0.25">
      <c r="A40" s="20" t="s">
        <v>56</v>
      </c>
      <c r="B40" s="13">
        <v>902651.51</v>
      </c>
      <c r="C40" s="13">
        <v>0</v>
      </c>
      <c r="D40" s="13">
        <v>965864.2</v>
      </c>
      <c r="E40" s="13">
        <v>0</v>
      </c>
      <c r="F40" s="13">
        <v>2433599.75</v>
      </c>
      <c r="G40" s="13">
        <v>0</v>
      </c>
      <c r="H40" s="20" t="s">
        <v>56</v>
      </c>
      <c r="I40" s="13">
        <v>1194602.3500000001</v>
      </c>
      <c r="J40" s="13">
        <v>0</v>
      </c>
      <c r="K40" s="13">
        <v>618350</v>
      </c>
      <c r="L40" s="13">
        <v>0</v>
      </c>
      <c r="M40" s="13">
        <v>296777.49</v>
      </c>
      <c r="N40" s="13">
        <v>0</v>
      </c>
      <c r="O40" s="20" t="s">
        <v>56</v>
      </c>
      <c r="P40" s="13">
        <v>29291.13</v>
      </c>
      <c r="Q40" s="13">
        <v>0</v>
      </c>
      <c r="R40" s="13">
        <v>302759.09000000003</v>
      </c>
      <c r="S40" s="13">
        <v>0</v>
      </c>
      <c r="T40" s="13">
        <v>290768.31</v>
      </c>
      <c r="U40" s="13">
        <v>0</v>
      </c>
      <c r="V40" s="20" t="s">
        <v>56</v>
      </c>
      <c r="W40" s="13">
        <v>528050.78</v>
      </c>
      <c r="X40" s="13">
        <v>0</v>
      </c>
      <c r="Y40" s="13">
        <v>1298753.78</v>
      </c>
      <c r="Z40" s="13">
        <v>0</v>
      </c>
      <c r="AA40" s="13">
        <v>395025.65</v>
      </c>
      <c r="AB40" s="13">
        <v>0</v>
      </c>
      <c r="AC40" s="20" t="s">
        <v>56</v>
      </c>
      <c r="AD40" s="14">
        <f t="shared" si="0"/>
        <v>9256494.040000001</v>
      </c>
      <c r="AE40" s="14">
        <f t="shared" si="1"/>
        <v>0</v>
      </c>
      <c r="AF40" s="14">
        <f t="shared" si="2"/>
        <v>9256494.040000001</v>
      </c>
    </row>
    <row r="41" spans="1:32" ht="15.75" x14ac:dyDescent="0.25">
      <c r="A41" s="24" t="s">
        <v>108</v>
      </c>
      <c r="B41" s="27">
        <f>SUM(B37:B40)</f>
        <v>13872805.049999999</v>
      </c>
      <c r="C41" s="27">
        <f t="shared" ref="C41:AB41" si="4">SUM(C37:C40)</f>
        <v>0</v>
      </c>
      <c r="D41" s="27">
        <f t="shared" si="4"/>
        <v>3919181.2699999996</v>
      </c>
      <c r="E41" s="27">
        <f t="shared" si="4"/>
        <v>0</v>
      </c>
      <c r="F41" s="27">
        <f t="shared" si="4"/>
        <v>4364954.8</v>
      </c>
      <c r="G41" s="27">
        <f t="shared" si="4"/>
        <v>0</v>
      </c>
      <c r="H41" s="24" t="s">
        <v>108</v>
      </c>
      <c r="I41" s="27">
        <f t="shared" si="4"/>
        <v>2039794.84</v>
      </c>
      <c r="J41" s="27">
        <f t="shared" si="4"/>
        <v>0</v>
      </c>
      <c r="K41" s="27">
        <f t="shared" si="4"/>
        <v>1676324.1300000001</v>
      </c>
      <c r="L41" s="27">
        <f t="shared" si="4"/>
        <v>0</v>
      </c>
      <c r="M41" s="27">
        <f t="shared" si="4"/>
        <v>954610.49</v>
      </c>
      <c r="N41" s="27">
        <f t="shared" si="4"/>
        <v>0</v>
      </c>
      <c r="O41" s="24" t="s">
        <v>108</v>
      </c>
      <c r="P41" s="27">
        <f t="shared" si="4"/>
        <v>1004576.9</v>
      </c>
      <c r="Q41" s="27">
        <f t="shared" si="4"/>
        <v>0</v>
      </c>
      <c r="R41" s="27">
        <f t="shared" si="4"/>
        <v>783255.91</v>
      </c>
      <c r="S41" s="27">
        <f t="shared" si="4"/>
        <v>0</v>
      </c>
      <c r="T41" s="27">
        <f t="shared" si="4"/>
        <v>701702.53</v>
      </c>
      <c r="U41" s="27">
        <f t="shared" si="4"/>
        <v>0</v>
      </c>
      <c r="V41" s="24" t="s">
        <v>108</v>
      </c>
      <c r="W41" s="27">
        <f t="shared" si="4"/>
        <v>1675922.1300000001</v>
      </c>
      <c r="X41" s="27">
        <f t="shared" si="4"/>
        <v>0</v>
      </c>
      <c r="Y41" s="27">
        <f t="shared" si="4"/>
        <v>2733980.3099999996</v>
      </c>
      <c r="Z41" s="27">
        <f t="shared" si="4"/>
        <v>0</v>
      </c>
      <c r="AA41" s="27">
        <f t="shared" si="4"/>
        <v>1116489.75</v>
      </c>
      <c r="AB41" s="27">
        <f t="shared" si="4"/>
        <v>0</v>
      </c>
      <c r="AC41" s="24" t="s">
        <v>108</v>
      </c>
      <c r="AD41" s="27">
        <f t="shared" si="0"/>
        <v>34843598.109999999</v>
      </c>
      <c r="AE41" s="27">
        <f t="shared" si="1"/>
        <v>0</v>
      </c>
      <c r="AF41" s="27">
        <f>+AD41+AE41</f>
        <v>34843598.109999999</v>
      </c>
    </row>
    <row r="42" spans="1:32" x14ac:dyDescent="0.25">
      <c r="A42" s="20" t="s">
        <v>57</v>
      </c>
      <c r="B42" s="13">
        <f>818409.45+3400133.74</f>
        <v>4218543.1900000004</v>
      </c>
      <c r="C42" s="13">
        <v>0</v>
      </c>
      <c r="D42" s="13">
        <v>846541.19</v>
      </c>
      <c r="E42" s="13">
        <v>0</v>
      </c>
      <c r="F42" s="13">
        <v>1340882.1399999999</v>
      </c>
      <c r="G42" s="13">
        <v>0</v>
      </c>
      <c r="H42" s="20" t="s">
        <v>57</v>
      </c>
      <c r="I42" s="13">
        <v>1456761.93</v>
      </c>
      <c r="J42" s="13">
        <v>0</v>
      </c>
      <c r="K42" s="13">
        <f>829674.93+2169648.93</f>
        <v>2999323.8600000003</v>
      </c>
      <c r="L42" s="13">
        <v>0</v>
      </c>
      <c r="M42" s="13">
        <v>91424.2</v>
      </c>
      <c r="N42" s="13">
        <v>0</v>
      </c>
      <c r="O42" s="20" t="s">
        <v>57</v>
      </c>
      <c r="P42" s="13">
        <v>175674.09</v>
      </c>
      <c r="Q42" s="13">
        <v>0</v>
      </c>
      <c r="R42" s="13">
        <v>116084.22</v>
      </c>
      <c r="S42" s="13">
        <v>0</v>
      </c>
      <c r="T42" s="13">
        <v>279643.52000000002</v>
      </c>
      <c r="U42" s="13">
        <v>0</v>
      </c>
      <c r="V42" s="20" t="s">
        <v>57</v>
      </c>
      <c r="W42" s="13">
        <v>680751.81</v>
      </c>
      <c r="X42" s="13">
        <v>0</v>
      </c>
      <c r="Y42" s="13">
        <v>918772.61</v>
      </c>
      <c r="Z42" s="13">
        <v>0</v>
      </c>
      <c r="AA42" s="13">
        <v>875486.77</v>
      </c>
      <c r="AB42" s="13">
        <v>0</v>
      </c>
      <c r="AC42" s="20" t="s">
        <v>57</v>
      </c>
      <c r="AD42" s="14">
        <f t="shared" si="0"/>
        <v>13999889.529999999</v>
      </c>
      <c r="AE42" s="14">
        <f t="shared" si="1"/>
        <v>0</v>
      </c>
      <c r="AF42" s="14">
        <f t="shared" si="2"/>
        <v>13999889.529999999</v>
      </c>
    </row>
    <row r="43" spans="1:32" x14ac:dyDescent="0.25">
      <c r="A43" s="20" t="s">
        <v>58</v>
      </c>
      <c r="B43" s="13">
        <v>119560660.40000001</v>
      </c>
      <c r="C43" s="13">
        <v>9559.2000000000007</v>
      </c>
      <c r="D43" s="13">
        <v>76151146</v>
      </c>
      <c r="E43" s="13">
        <v>0</v>
      </c>
      <c r="F43" s="13">
        <v>81454175.260000005</v>
      </c>
      <c r="G43" s="13">
        <v>0</v>
      </c>
      <c r="H43" s="20" t="s">
        <v>58</v>
      </c>
      <c r="I43" s="13">
        <v>12518438.310000001</v>
      </c>
      <c r="J43" s="13">
        <v>0</v>
      </c>
      <c r="K43" s="13">
        <v>18416170.449999999</v>
      </c>
      <c r="L43" s="13">
        <v>0</v>
      </c>
      <c r="M43" s="13">
        <v>2701758.79</v>
      </c>
      <c r="N43" s="13">
        <v>0</v>
      </c>
      <c r="O43" s="20" t="s">
        <v>58</v>
      </c>
      <c r="P43" s="13">
        <v>2747196.97</v>
      </c>
      <c r="Q43" s="13">
        <v>0</v>
      </c>
      <c r="R43" s="13">
        <v>25015228.199999999</v>
      </c>
      <c r="S43" s="13">
        <v>0</v>
      </c>
      <c r="T43" s="13">
        <v>23936282.77</v>
      </c>
      <c r="U43" s="13">
        <v>0</v>
      </c>
      <c r="V43" s="20" t="s">
        <v>58</v>
      </c>
      <c r="W43" s="13">
        <v>4556457.91</v>
      </c>
      <c r="X43" s="13">
        <v>0</v>
      </c>
      <c r="Y43" s="13">
        <v>1906173.58</v>
      </c>
      <c r="Z43" s="13">
        <v>0</v>
      </c>
      <c r="AA43" s="13">
        <v>25618504.600000001</v>
      </c>
      <c r="AB43" s="13">
        <v>0</v>
      </c>
      <c r="AC43" s="20" t="s">
        <v>58</v>
      </c>
      <c r="AD43" s="14">
        <f t="shared" si="0"/>
        <v>394582193.24000007</v>
      </c>
      <c r="AE43" s="14">
        <f t="shared" si="1"/>
        <v>9559.2000000000007</v>
      </c>
      <c r="AF43" s="14">
        <f t="shared" si="2"/>
        <v>394591752.44000006</v>
      </c>
    </row>
    <row r="44" spans="1:32" x14ac:dyDescent="0.25">
      <c r="A44" s="20" t="s">
        <v>59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20" t="s">
        <v>59</v>
      </c>
      <c r="I44" s="13">
        <f>861.1+0</f>
        <v>861.1</v>
      </c>
      <c r="J44" s="13">
        <v>0</v>
      </c>
      <c r="K44" s="13">
        <f>235461.2+0</f>
        <v>235461.2</v>
      </c>
      <c r="L44" s="13">
        <v>0</v>
      </c>
      <c r="M44" s="13">
        <f>79097.75+0</f>
        <v>79097.75</v>
      </c>
      <c r="N44" s="13">
        <v>0</v>
      </c>
      <c r="O44" s="20" t="s">
        <v>59</v>
      </c>
      <c r="P44" s="13">
        <f>70904.21+0</f>
        <v>70904.210000000006</v>
      </c>
      <c r="Q44" s="13">
        <v>0</v>
      </c>
      <c r="R44" s="13">
        <f>231979.78+0</f>
        <v>231979.78</v>
      </c>
      <c r="S44" s="13">
        <v>0</v>
      </c>
      <c r="T44" s="13">
        <f>94643.19+0</f>
        <v>94643.19</v>
      </c>
      <c r="U44" s="13">
        <v>0</v>
      </c>
      <c r="V44" s="20" t="s">
        <v>59</v>
      </c>
      <c r="W44" s="13">
        <f>351724.99+0</f>
        <v>351724.99</v>
      </c>
      <c r="X44" s="13">
        <v>0</v>
      </c>
      <c r="Y44" s="13">
        <f>863798.94+0</f>
        <v>863798.94</v>
      </c>
      <c r="Z44" s="13">
        <v>0</v>
      </c>
      <c r="AA44" s="13">
        <f>1314705.35+0</f>
        <v>1314705.3500000001</v>
      </c>
      <c r="AB44" s="13">
        <v>0</v>
      </c>
      <c r="AC44" s="20" t="s">
        <v>59</v>
      </c>
      <c r="AD44" s="14">
        <f t="shared" si="0"/>
        <v>3243176.51</v>
      </c>
      <c r="AE44" s="14">
        <f t="shared" si="1"/>
        <v>0</v>
      </c>
      <c r="AF44" s="14">
        <f t="shared" si="2"/>
        <v>3243176.51</v>
      </c>
    </row>
    <row r="45" spans="1:32" x14ac:dyDescent="0.25">
      <c r="A45" s="21" t="s">
        <v>136</v>
      </c>
      <c r="B45" s="13">
        <v>0</v>
      </c>
      <c r="C45" s="13">
        <v>4485294.2</v>
      </c>
      <c r="D45" s="13">
        <v>0</v>
      </c>
      <c r="E45" s="13">
        <v>1077792.8899999999</v>
      </c>
      <c r="F45" s="13">
        <v>0</v>
      </c>
      <c r="G45" s="13">
        <v>7359111.3200000003</v>
      </c>
      <c r="H45" s="21" t="s">
        <v>136</v>
      </c>
      <c r="I45" s="13">
        <v>0</v>
      </c>
      <c r="J45" s="13">
        <v>378974.3</v>
      </c>
      <c r="K45" s="13">
        <v>0</v>
      </c>
      <c r="L45" s="13">
        <v>0</v>
      </c>
      <c r="M45" s="13">
        <v>0</v>
      </c>
      <c r="N45" s="13">
        <v>0</v>
      </c>
      <c r="O45" s="21" t="s">
        <v>136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21" t="s">
        <v>136</v>
      </c>
      <c r="W45" s="13">
        <v>0</v>
      </c>
      <c r="X45" s="13">
        <v>5876081.1900000004</v>
      </c>
      <c r="Y45" s="13">
        <v>0</v>
      </c>
      <c r="Z45" s="13">
        <v>11830512.43</v>
      </c>
      <c r="AA45" s="13">
        <v>0</v>
      </c>
      <c r="AB45" s="13">
        <v>0</v>
      </c>
      <c r="AC45" s="21" t="s">
        <v>136</v>
      </c>
      <c r="AD45" s="14">
        <f t="shared" si="0"/>
        <v>0</v>
      </c>
      <c r="AE45" s="14">
        <f t="shared" si="1"/>
        <v>31007766.330000002</v>
      </c>
      <c r="AF45" s="14">
        <f t="shared" si="2"/>
        <v>31007766.330000002</v>
      </c>
    </row>
    <row r="46" spans="1:32" x14ac:dyDescent="0.25">
      <c r="A46" s="20" t="s">
        <v>60</v>
      </c>
      <c r="B46" s="13">
        <v>0</v>
      </c>
      <c r="C46" s="13">
        <v>489307.65</v>
      </c>
      <c r="D46" s="13">
        <v>0</v>
      </c>
      <c r="E46" s="13">
        <v>3546442.42</v>
      </c>
      <c r="F46" s="13">
        <v>0</v>
      </c>
      <c r="G46" s="13">
        <v>801487.45</v>
      </c>
      <c r="H46" s="20" t="s">
        <v>60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6517688.8399999999</v>
      </c>
      <c r="O46" s="20" t="s">
        <v>60</v>
      </c>
      <c r="P46" s="13">
        <v>0</v>
      </c>
      <c r="Q46" s="13">
        <v>4702360.04</v>
      </c>
      <c r="R46" s="13">
        <v>0</v>
      </c>
      <c r="S46" s="13">
        <v>0</v>
      </c>
      <c r="T46" s="13">
        <v>0</v>
      </c>
      <c r="U46" s="13">
        <v>4038878.38</v>
      </c>
      <c r="V46" s="20" t="s">
        <v>60</v>
      </c>
      <c r="W46" s="13">
        <v>0</v>
      </c>
      <c r="X46" s="13">
        <v>23094.03</v>
      </c>
      <c r="Y46" s="13">
        <v>0</v>
      </c>
      <c r="Z46" s="13">
        <v>0</v>
      </c>
      <c r="AA46" s="13">
        <v>0</v>
      </c>
      <c r="AB46" s="13">
        <v>0</v>
      </c>
      <c r="AC46" s="20" t="s">
        <v>60</v>
      </c>
      <c r="AD46" s="14">
        <f t="shared" si="0"/>
        <v>0</v>
      </c>
      <c r="AE46" s="14">
        <f t="shared" si="1"/>
        <v>20119258.809999999</v>
      </c>
      <c r="AF46" s="14">
        <f t="shared" si="2"/>
        <v>20119258.809999999</v>
      </c>
    </row>
    <row r="47" spans="1:32" x14ac:dyDescent="0.25">
      <c r="A47" s="20" t="s">
        <v>27</v>
      </c>
      <c r="B47" s="13">
        <v>0</v>
      </c>
      <c r="C47" s="13">
        <v>2584296.87</v>
      </c>
      <c r="D47" s="13">
        <v>0</v>
      </c>
      <c r="E47" s="13"/>
      <c r="F47" s="13">
        <v>0</v>
      </c>
      <c r="G47" s="13">
        <v>51847439.840000004</v>
      </c>
      <c r="H47" s="20" t="s">
        <v>27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20" t="s">
        <v>27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20" t="s">
        <v>27</v>
      </c>
      <c r="W47" s="13">
        <v>0</v>
      </c>
      <c r="X47" s="13">
        <v>11710710.439999999</v>
      </c>
      <c r="Y47" s="13">
        <v>0</v>
      </c>
      <c r="Z47" s="13">
        <v>0</v>
      </c>
      <c r="AA47" s="13">
        <v>0</v>
      </c>
      <c r="AB47" s="13">
        <v>0</v>
      </c>
      <c r="AC47" s="20" t="s">
        <v>27</v>
      </c>
      <c r="AD47" s="14">
        <f t="shared" si="0"/>
        <v>0</v>
      </c>
      <c r="AE47" s="14">
        <f t="shared" si="1"/>
        <v>66142447.149999999</v>
      </c>
      <c r="AF47" s="14">
        <f t="shared" si="2"/>
        <v>66142447.149999999</v>
      </c>
    </row>
    <row r="48" spans="1:32" x14ac:dyDescent="0.25">
      <c r="A48" s="22" t="s">
        <v>26</v>
      </c>
      <c r="B48" s="13">
        <v>0</v>
      </c>
      <c r="C48" s="13">
        <v>22257172.640000001</v>
      </c>
      <c r="D48" s="13">
        <v>0</v>
      </c>
      <c r="E48" s="13">
        <v>1077792.8899999999</v>
      </c>
      <c r="F48" s="13">
        <v>0</v>
      </c>
      <c r="G48" s="13">
        <v>11564935.210000001</v>
      </c>
      <c r="H48" s="22" t="s">
        <v>26</v>
      </c>
      <c r="I48" s="13">
        <v>0</v>
      </c>
      <c r="J48" s="13">
        <v>6711337.7999999998</v>
      </c>
      <c r="K48" s="13">
        <v>0</v>
      </c>
      <c r="L48" s="13">
        <v>0</v>
      </c>
      <c r="M48" s="13">
        <v>0</v>
      </c>
      <c r="N48" s="13">
        <v>18627494.449999999</v>
      </c>
      <c r="O48" s="22" t="s">
        <v>26</v>
      </c>
      <c r="P48" s="13">
        <v>0</v>
      </c>
      <c r="Q48" s="13">
        <v>26411549.789999999</v>
      </c>
      <c r="R48" s="13">
        <v>0</v>
      </c>
      <c r="S48" s="13">
        <v>65839208.950000003</v>
      </c>
      <c r="T48" s="13">
        <v>0</v>
      </c>
      <c r="U48" s="13">
        <v>0</v>
      </c>
      <c r="V48" s="22" t="s">
        <v>26</v>
      </c>
      <c r="W48" s="13">
        <v>0</v>
      </c>
      <c r="X48" s="13">
        <v>28902677.530000001</v>
      </c>
      <c r="Y48" s="13">
        <v>0</v>
      </c>
      <c r="Z48" s="13">
        <v>0</v>
      </c>
      <c r="AA48" s="13">
        <v>0</v>
      </c>
      <c r="AB48" s="13">
        <v>0</v>
      </c>
      <c r="AC48" s="22" t="s">
        <v>26</v>
      </c>
      <c r="AD48" s="14">
        <f t="shared" si="0"/>
        <v>0</v>
      </c>
      <c r="AE48" s="14">
        <f t="shared" si="1"/>
        <v>181392169.26000002</v>
      </c>
      <c r="AF48" s="14">
        <f t="shared" si="2"/>
        <v>181392169.26000002</v>
      </c>
    </row>
    <row r="49" spans="1:32" x14ac:dyDescent="0.25">
      <c r="A49" s="20" t="s">
        <v>61</v>
      </c>
      <c r="B49" s="13">
        <v>0</v>
      </c>
      <c r="C49" s="13">
        <v>41432925.569999993</v>
      </c>
      <c r="D49" s="13">
        <v>0</v>
      </c>
      <c r="E49" s="13"/>
      <c r="F49" s="13">
        <v>0</v>
      </c>
      <c r="G49" s="13">
        <v>0</v>
      </c>
      <c r="H49" s="20" t="s">
        <v>61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20" t="s">
        <v>61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20" t="s">
        <v>61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20" t="s">
        <v>61</v>
      </c>
      <c r="AD49" s="14">
        <f t="shared" si="0"/>
        <v>0</v>
      </c>
      <c r="AE49" s="14">
        <f t="shared" si="1"/>
        <v>41432925.569999993</v>
      </c>
      <c r="AF49" s="14">
        <f t="shared" si="2"/>
        <v>41432925.569999993</v>
      </c>
    </row>
    <row r="50" spans="1:32" ht="15.75" x14ac:dyDescent="0.25">
      <c r="A50" s="24" t="s">
        <v>109</v>
      </c>
      <c r="B50" s="27">
        <f>SUM(B42:B49)</f>
        <v>123779203.59</v>
      </c>
      <c r="C50" s="27">
        <f t="shared" ref="C50:AB50" si="5">SUM(C42:C49)</f>
        <v>71258556.129999995</v>
      </c>
      <c r="D50" s="27">
        <f t="shared" si="5"/>
        <v>76997687.189999998</v>
      </c>
      <c r="E50" s="27">
        <f t="shared" si="5"/>
        <v>5702028.1999999993</v>
      </c>
      <c r="F50" s="27">
        <f t="shared" si="5"/>
        <v>82795057.400000006</v>
      </c>
      <c r="G50" s="27">
        <f t="shared" si="5"/>
        <v>71572973.820000008</v>
      </c>
      <c r="H50" s="24" t="s">
        <v>109</v>
      </c>
      <c r="I50" s="27">
        <f t="shared" si="5"/>
        <v>13976061.34</v>
      </c>
      <c r="J50" s="27">
        <f t="shared" si="5"/>
        <v>7090312.0999999996</v>
      </c>
      <c r="K50" s="27">
        <f t="shared" si="5"/>
        <v>21650955.509999998</v>
      </c>
      <c r="L50" s="27">
        <f t="shared" si="5"/>
        <v>0</v>
      </c>
      <c r="M50" s="27">
        <f t="shared" si="5"/>
        <v>2872280.74</v>
      </c>
      <c r="N50" s="27">
        <f t="shared" si="5"/>
        <v>25145183.289999999</v>
      </c>
      <c r="O50" s="24" t="s">
        <v>109</v>
      </c>
      <c r="P50" s="27">
        <f t="shared" si="5"/>
        <v>2993775.27</v>
      </c>
      <c r="Q50" s="27">
        <f t="shared" si="5"/>
        <v>31113909.829999998</v>
      </c>
      <c r="R50" s="27">
        <f t="shared" si="5"/>
        <v>25363292.199999999</v>
      </c>
      <c r="S50" s="27">
        <f t="shared" si="5"/>
        <v>65839208.950000003</v>
      </c>
      <c r="T50" s="27">
        <f t="shared" si="5"/>
        <v>24310569.48</v>
      </c>
      <c r="U50" s="27">
        <f t="shared" si="5"/>
        <v>4038878.38</v>
      </c>
      <c r="V50" s="24" t="s">
        <v>109</v>
      </c>
      <c r="W50" s="27">
        <f t="shared" si="5"/>
        <v>5588934.7100000009</v>
      </c>
      <c r="X50" s="27">
        <f t="shared" si="5"/>
        <v>46512563.189999998</v>
      </c>
      <c r="Y50" s="27">
        <f t="shared" si="5"/>
        <v>3688745.13</v>
      </c>
      <c r="Z50" s="27">
        <f t="shared" si="5"/>
        <v>11830512.43</v>
      </c>
      <c r="AA50" s="27">
        <f t="shared" si="5"/>
        <v>27808696.720000003</v>
      </c>
      <c r="AB50" s="27">
        <f t="shared" si="5"/>
        <v>0</v>
      </c>
      <c r="AC50" s="24" t="s">
        <v>109</v>
      </c>
      <c r="AD50" s="27">
        <f t="shared" si="0"/>
        <v>411825259.27999997</v>
      </c>
      <c r="AE50" s="27">
        <f t="shared" si="1"/>
        <v>340104126.31999999</v>
      </c>
      <c r="AF50" s="27">
        <f t="shared" si="2"/>
        <v>751929385.5999999</v>
      </c>
    </row>
    <row r="51" spans="1:32" x14ac:dyDescent="0.25">
      <c r="A51" s="5"/>
      <c r="B51" s="33"/>
      <c r="C51" s="33"/>
      <c r="D51" s="33"/>
      <c r="E51" s="33"/>
      <c r="F51" s="33"/>
      <c r="G51" s="33"/>
      <c r="H51" s="5"/>
      <c r="I51" s="33"/>
      <c r="J51" s="33"/>
      <c r="K51" s="33"/>
      <c r="L51" s="33"/>
      <c r="M51" s="33"/>
      <c r="N51" s="33"/>
      <c r="O51" s="5"/>
      <c r="P51" s="33"/>
      <c r="Q51" s="33"/>
      <c r="R51" s="33"/>
      <c r="S51" s="33"/>
      <c r="T51" s="33"/>
      <c r="U51" s="33"/>
      <c r="V51" s="5"/>
      <c r="W51" s="33"/>
      <c r="X51" s="33"/>
      <c r="Y51" s="33"/>
      <c r="Z51" s="33"/>
      <c r="AA51" s="33"/>
      <c r="AB51" s="33"/>
      <c r="AC51" s="5"/>
    </row>
    <row r="52" spans="1:32" x14ac:dyDescent="0.25">
      <c r="A52" s="19" t="s">
        <v>8</v>
      </c>
      <c r="B52" s="13">
        <v>0</v>
      </c>
      <c r="C52" s="13">
        <v>0</v>
      </c>
      <c r="D52" s="13">
        <v>0</v>
      </c>
      <c r="E52" s="13">
        <v>0</v>
      </c>
      <c r="F52" s="13">
        <v>26659.26</v>
      </c>
      <c r="G52" s="13">
        <v>0</v>
      </c>
      <c r="H52" s="19" t="s">
        <v>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9" t="s">
        <v>8</v>
      </c>
      <c r="P52" s="13">
        <v>0</v>
      </c>
      <c r="Q52" s="13">
        <v>0</v>
      </c>
      <c r="R52" s="13"/>
      <c r="S52" s="13">
        <v>0</v>
      </c>
      <c r="T52" s="13">
        <v>0</v>
      </c>
      <c r="U52" s="13">
        <v>0</v>
      </c>
      <c r="V52" s="19" t="s">
        <v>8</v>
      </c>
      <c r="W52" s="13">
        <v>0</v>
      </c>
      <c r="X52" s="13">
        <v>0</v>
      </c>
      <c r="Y52" s="13">
        <v>0</v>
      </c>
      <c r="Z52" s="13">
        <v>0</v>
      </c>
      <c r="AA52" s="13">
        <v>648585.5</v>
      </c>
      <c r="AB52" s="13">
        <v>0</v>
      </c>
      <c r="AC52" s="19" t="s">
        <v>8</v>
      </c>
      <c r="AD52" s="14">
        <f>+B52+D52+F52+I52+K52+M52+P52+R52+T52+W52+Y52+AA52</f>
        <v>675244.76</v>
      </c>
      <c r="AE52" s="14">
        <f>+C52+E52+G52+J52+L52+N52+Q52+S52+U52+X52+Z52+AB52</f>
        <v>0</v>
      </c>
      <c r="AF52" s="14">
        <f t="shared" si="2"/>
        <v>675244.76</v>
      </c>
    </row>
    <row r="53" spans="1:32" x14ac:dyDescent="0.25">
      <c r="A53" s="5"/>
      <c r="B53" s="33"/>
      <c r="C53" s="33"/>
      <c r="D53" s="33"/>
      <c r="E53" s="33"/>
      <c r="F53" s="33"/>
      <c r="G53" s="33"/>
      <c r="H53" s="5"/>
      <c r="I53" s="33"/>
      <c r="J53" s="33"/>
      <c r="K53" s="33"/>
      <c r="L53" s="33"/>
      <c r="M53" s="33"/>
      <c r="N53" s="33"/>
      <c r="O53" s="5"/>
      <c r="P53" s="33"/>
      <c r="Q53" s="33"/>
      <c r="R53" s="33"/>
      <c r="S53" s="33"/>
      <c r="T53" s="33"/>
      <c r="U53" s="33"/>
      <c r="V53" s="5"/>
      <c r="W53" s="33"/>
      <c r="X53" s="33"/>
      <c r="Y53" s="33"/>
      <c r="Z53" s="33"/>
      <c r="AA53" s="33"/>
      <c r="AB53" s="33"/>
      <c r="AC53" s="5"/>
    </row>
    <row r="54" spans="1:32" ht="21" x14ac:dyDescent="0.25">
      <c r="A54" s="25" t="s">
        <v>110</v>
      </c>
      <c r="B54" s="26">
        <f t="shared" ref="B54:G54" si="6">+B52+B50+B41+B36</f>
        <v>150618987.5</v>
      </c>
      <c r="C54" s="26">
        <f t="shared" si="6"/>
        <v>86701734.170000002</v>
      </c>
      <c r="D54" s="26">
        <f t="shared" si="6"/>
        <v>111462600.95999999</v>
      </c>
      <c r="E54" s="26">
        <f t="shared" si="6"/>
        <v>12001473.27</v>
      </c>
      <c r="F54" s="26">
        <f t="shared" si="6"/>
        <v>179496368.31</v>
      </c>
      <c r="G54" s="26">
        <f t="shared" si="6"/>
        <v>71696831.470000014</v>
      </c>
      <c r="H54" s="25" t="s">
        <v>110</v>
      </c>
      <c r="I54" s="26">
        <f t="shared" ref="I54:N54" si="7">+I52+I50+I41+I36</f>
        <v>84631996.129999995</v>
      </c>
      <c r="J54" s="26">
        <f t="shared" si="7"/>
        <v>8129021.4899999993</v>
      </c>
      <c r="K54" s="26">
        <f t="shared" si="7"/>
        <v>86153225.39199999</v>
      </c>
      <c r="L54" s="26">
        <f t="shared" si="7"/>
        <v>59160.07</v>
      </c>
      <c r="M54" s="26">
        <f t="shared" si="7"/>
        <v>28913659.349999998</v>
      </c>
      <c r="N54" s="26">
        <f t="shared" si="7"/>
        <v>32583505.649999999</v>
      </c>
      <c r="O54" s="25" t="s">
        <v>110</v>
      </c>
      <c r="P54" s="26">
        <f t="shared" ref="P54:U54" si="8">+P52+P50+P41+P36</f>
        <v>17848834.359999999</v>
      </c>
      <c r="Q54" s="26">
        <f t="shared" si="8"/>
        <v>31113909.829999998</v>
      </c>
      <c r="R54" s="26">
        <f t="shared" si="8"/>
        <v>59193027.75</v>
      </c>
      <c r="S54" s="26">
        <f t="shared" si="8"/>
        <v>65893224.5</v>
      </c>
      <c r="T54" s="26">
        <f t="shared" si="8"/>
        <v>69625626.530000001</v>
      </c>
      <c r="U54" s="26">
        <f t="shared" si="8"/>
        <v>4077939.4899999998</v>
      </c>
      <c r="V54" s="25" t="s">
        <v>110</v>
      </c>
      <c r="W54" s="26">
        <f t="shared" ref="W54:AB54" si="9">+W52+W50+W41+W36</f>
        <v>88015727.480000004</v>
      </c>
      <c r="X54" s="26">
        <f t="shared" si="9"/>
        <v>46876913.169999994</v>
      </c>
      <c r="Y54" s="26">
        <f t="shared" si="9"/>
        <v>149690242.33999997</v>
      </c>
      <c r="Z54" s="26">
        <f t="shared" si="9"/>
        <v>11830512.43</v>
      </c>
      <c r="AA54" s="26">
        <f t="shared" si="9"/>
        <v>168169052.03999999</v>
      </c>
      <c r="AB54" s="26">
        <f t="shared" si="9"/>
        <v>0</v>
      </c>
      <c r="AC54" s="25" t="s">
        <v>110</v>
      </c>
      <c r="AD54" s="26">
        <f>+B54+D54+F54+I54+K54+M54+P54+R54+T54+W54+Y54+AA54</f>
        <v>1193819348.142</v>
      </c>
      <c r="AE54" s="26">
        <f>+C54+E54+G54+J54+L54+N54+Q54+S54+U54+X54+Z54+AB54</f>
        <v>370964225.54000008</v>
      </c>
      <c r="AF54" s="26">
        <f>+AD54+AE54</f>
        <v>1564783573.6820002</v>
      </c>
    </row>
    <row r="55" spans="1:32" x14ac:dyDescent="0.25">
      <c r="AD55" s="7"/>
    </row>
    <row r="56" spans="1:32" ht="15.75" x14ac:dyDescent="0.25">
      <c r="A56" s="4" t="s">
        <v>142</v>
      </c>
      <c r="H56" s="4" t="s">
        <v>142</v>
      </c>
      <c r="O56" s="4" t="s">
        <v>142</v>
      </c>
      <c r="V56" s="4" t="s">
        <v>142</v>
      </c>
      <c r="AC56" s="4" t="s">
        <v>142</v>
      </c>
      <c r="AD56" s="31"/>
      <c r="AE56" s="31"/>
      <c r="AF56" s="31"/>
    </row>
  </sheetData>
  <mergeCells count="13">
    <mergeCell ref="B10:C10"/>
    <mergeCell ref="D10:E10"/>
    <mergeCell ref="F10:G10"/>
    <mergeCell ref="I10:J10"/>
    <mergeCell ref="K10:L10"/>
    <mergeCell ref="AD10:AF10"/>
    <mergeCell ref="AA10:AB10"/>
    <mergeCell ref="M10:N10"/>
    <mergeCell ref="P10:Q10"/>
    <mergeCell ref="R10:S10"/>
    <mergeCell ref="T10:U10"/>
    <mergeCell ref="W10:X10"/>
    <mergeCell ref="Y10:Z10"/>
  </mergeCells>
  <pageMargins left="0.9055118110236221" right="0.70866141732283472" top="0.15748031496062992" bottom="0.15748031496062992" header="0.15748031496062992" footer="0.31496062992125984"/>
  <pageSetup paperSize="9" scale="69" fitToWidth="0" orientation="landscape" horizontalDpi="4294967294" r:id="rId1"/>
  <colBreaks count="4" manualBreakCount="4">
    <brk id="7" max="1048575" man="1"/>
    <brk id="14" max="1048575" man="1"/>
    <brk id="21" max="1048575" man="1"/>
    <brk id="2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1"/>
  <sheetViews>
    <sheetView showGridLines="0" tabSelected="1" view="pageBreakPreview" zoomScale="60" zoomScaleNormal="85" workbookViewId="0">
      <selection activeCell="B49" sqref="B49"/>
    </sheetView>
  </sheetViews>
  <sheetFormatPr baseColWidth="10" defaultRowHeight="15" x14ac:dyDescent="0.25"/>
  <cols>
    <col min="1" max="1" width="45.140625" bestFit="1" customWidth="1"/>
    <col min="2" max="2" width="21.28515625" bestFit="1" customWidth="1"/>
    <col min="3" max="3" width="18" bestFit="1" customWidth="1"/>
    <col min="4" max="4" width="19.42578125" bestFit="1" customWidth="1"/>
    <col min="5" max="5" width="18" bestFit="1" customWidth="1"/>
    <col min="6" max="6" width="20.85546875" bestFit="1" customWidth="1"/>
    <col min="7" max="7" width="18" bestFit="1" customWidth="1"/>
    <col min="8" max="8" width="45.140625" bestFit="1" customWidth="1"/>
    <col min="9" max="9" width="19.42578125" bestFit="1" customWidth="1"/>
    <col min="10" max="10" width="18" bestFit="1" customWidth="1"/>
    <col min="11" max="11" width="19.42578125" bestFit="1" customWidth="1"/>
    <col min="12" max="12" width="18" bestFit="1" customWidth="1"/>
    <col min="13" max="13" width="19.42578125" bestFit="1" customWidth="1"/>
    <col min="14" max="14" width="18" bestFit="1" customWidth="1"/>
    <col min="15" max="15" width="56.7109375" customWidth="1"/>
    <col min="16" max="16" width="19" bestFit="1" customWidth="1"/>
    <col min="17" max="17" width="20.42578125" bestFit="1" customWidth="1"/>
    <col min="18" max="18" width="19" bestFit="1" customWidth="1"/>
    <col min="19" max="19" width="18" bestFit="1" customWidth="1"/>
    <col min="20" max="20" width="18.42578125" bestFit="1" customWidth="1"/>
    <col min="21" max="21" width="19.42578125" bestFit="1" customWidth="1"/>
    <col min="22" max="22" width="45.140625" bestFit="1" customWidth="1"/>
    <col min="23" max="23" width="20.85546875" bestFit="1" customWidth="1"/>
    <col min="24" max="24" width="18" bestFit="1" customWidth="1"/>
    <col min="25" max="25" width="20.42578125" bestFit="1" customWidth="1"/>
    <col min="26" max="26" width="18" bestFit="1" customWidth="1"/>
    <col min="27" max="27" width="20.85546875" bestFit="1" customWidth="1"/>
    <col min="28" max="28" width="18" bestFit="1" customWidth="1"/>
    <col min="29" max="29" width="45.140625" bestFit="1" customWidth="1"/>
    <col min="30" max="30" width="23" customWidth="1"/>
    <col min="31" max="31" width="20.42578125" bestFit="1" customWidth="1"/>
    <col min="32" max="32" width="22" bestFit="1" customWidth="1"/>
  </cols>
  <sheetData>
    <row r="1" spans="1:32" x14ac:dyDescent="0.25">
      <c r="AD1" s="31"/>
      <c r="AE1" s="31"/>
      <c r="AF1" s="31"/>
    </row>
    <row r="2" spans="1:32" x14ac:dyDescent="0.25">
      <c r="AD2" s="31"/>
      <c r="AE2" s="31"/>
      <c r="AF2" s="31"/>
    </row>
    <row r="3" spans="1:32" x14ac:dyDescent="0.25">
      <c r="AD3" s="31"/>
      <c r="AE3" s="31"/>
      <c r="AF3" s="31"/>
    </row>
    <row r="4" spans="1:32" ht="18.75" x14ac:dyDescent="0.3">
      <c r="A4" s="1"/>
      <c r="H4" s="1"/>
      <c r="O4" s="1"/>
      <c r="V4" s="1"/>
      <c r="AC4" s="1"/>
      <c r="AD4" s="31"/>
      <c r="AE4" s="31"/>
      <c r="AF4" s="31"/>
    </row>
    <row r="5" spans="1:32" ht="18.75" x14ac:dyDescent="0.3">
      <c r="A5" s="2" t="s">
        <v>128</v>
      </c>
      <c r="H5" s="2" t="s">
        <v>128</v>
      </c>
      <c r="O5" s="2" t="s">
        <v>128</v>
      </c>
      <c r="V5" s="2" t="s">
        <v>128</v>
      </c>
      <c r="AC5" s="2" t="s">
        <v>128</v>
      </c>
      <c r="AD5" s="31"/>
      <c r="AE5" s="31"/>
      <c r="AF5" s="31"/>
    </row>
    <row r="6" spans="1:32" x14ac:dyDescent="0.25">
      <c r="A6" s="15" t="s">
        <v>1</v>
      </c>
      <c r="B6" s="15"/>
      <c r="H6" s="15" t="s">
        <v>1</v>
      </c>
      <c r="O6" s="15" t="s">
        <v>1</v>
      </c>
      <c r="V6" s="15" t="s">
        <v>1</v>
      </c>
      <c r="AC6" s="15" t="s">
        <v>1</v>
      </c>
      <c r="AD6" s="31"/>
      <c r="AE6" s="31"/>
      <c r="AF6" s="31"/>
    </row>
    <row r="7" spans="1:32" x14ac:dyDescent="0.25">
      <c r="A7" s="15"/>
      <c r="B7" s="15"/>
      <c r="H7" s="15"/>
      <c r="O7" s="15"/>
      <c r="V7" s="15"/>
      <c r="AC7" s="15"/>
      <c r="AD7" s="31"/>
      <c r="AE7" s="31"/>
      <c r="AF7" s="31"/>
    </row>
    <row r="8" spans="1:32" ht="16.5" customHeight="1" x14ac:dyDescent="0.35">
      <c r="A8" s="34" t="s">
        <v>140</v>
      </c>
      <c r="H8" s="34" t="s">
        <v>140</v>
      </c>
      <c r="O8" s="34" t="s">
        <v>140</v>
      </c>
      <c r="V8" s="34" t="s">
        <v>140</v>
      </c>
      <c r="AC8" s="34" t="s">
        <v>140</v>
      </c>
      <c r="AD8" s="31"/>
      <c r="AE8" s="31"/>
    </row>
    <row r="9" spans="1:32" x14ac:dyDescent="0.25">
      <c r="AD9" s="31"/>
      <c r="AE9" s="31"/>
      <c r="AF9" s="31"/>
    </row>
    <row r="10" spans="1:32" x14ac:dyDescent="0.25">
      <c r="A10" s="6" t="s">
        <v>2</v>
      </c>
      <c r="B10" s="44" t="s">
        <v>3</v>
      </c>
      <c r="C10" s="45"/>
      <c r="D10" s="44">
        <v>2007</v>
      </c>
      <c r="E10" s="45"/>
      <c r="F10" s="44">
        <v>2008</v>
      </c>
      <c r="G10" s="45"/>
      <c r="H10" s="6" t="s">
        <v>2</v>
      </c>
      <c r="I10" s="44">
        <v>2009</v>
      </c>
      <c r="J10" s="45"/>
      <c r="K10" s="44">
        <v>2010</v>
      </c>
      <c r="L10" s="45"/>
      <c r="M10" s="44">
        <v>2011</v>
      </c>
      <c r="N10" s="45"/>
      <c r="O10" s="6" t="s">
        <v>2</v>
      </c>
      <c r="P10" s="44">
        <v>2012</v>
      </c>
      <c r="Q10" s="45"/>
      <c r="R10" s="44">
        <v>2013</v>
      </c>
      <c r="S10" s="45"/>
      <c r="T10" s="44">
        <v>2014</v>
      </c>
      <c r="U10" s="45"/>
      <c r="V10" s="6" t="s">
        <v>2</v>
      </c>
      <c r="W10" s="44">
        <v>2015</v>
      </c>
      <c r="X10" s="45"/>
      <c r="Y10" s="44">
        <v>2016</v>
      </c>
      <c r="Z10" s="45"/>
      <c r="AA10" s="46">
        <v>42887</v>
      </c>
      <c r="AB10" s="45"/>
      <c r="AC10" s="6" t="s">
        <v>2</v>
      </c>
      <c r="AD10" s="43" t="s">
        <v>4</v>
      </c>
      <c r="AE10" s="43"/>
      <c r="AF10" s="43"/>
    </row>
    <row r="11" spans="1:32" x14ac:dyDescent="0.25">
      <c r="A11" s="6" t="s">
        <v>5</v>
      </c>
      <c r="B11" s="3" t="s">
        <v>6</v>
      </c>
      <c r="C11" s="3" t="s">
        <v>7</v>
      </c>
      <c r="D11" s="3" t="s">
        <v>6</v>
      </c>
      <c r="E11" s="3" t="s">
        <v>7</v>
      </c>
      <c r="F11" s="3" t="s">
        <v>6</v>
      </c>
      <c r="G11" s="3" t="s">
        <v>7</v>
      </c>
      <c r="H11" s="6" t="s">
        <v>5</v>
      </c>
      <c r="I11" s="3" t="s">
        <v>6</v>
      </c>
      <c r="J11" s="3" t="s">
        <v>7</v>
      </c>
      <c r="K11" s="3" t="s">
        <v>6</v>
      </c>
      <c r="L11" s="3" t="s">
        <v>7</v>
      </c>
      <c r="M11" s="3" t="s">
        <v>6</v>
      </c>
      <c r="N11" s="3" t="s">
        <v>7</v>
      </c>
      <c r="O11" s="6" t="s">
        <v>5</v>
      </c>
      <c r="P11" s="3" t="s">
        <v>6</v>
      </c>
      <c r="Q11" s="3" t="s">
        <v>7</v>
      </c>
      <c r="R11" s="3" t="s">
        <v>6</v>
      </c>
      <c r="S11" s="3" t="s">
        <v>7</v>
      </c>
      <c r="T11" s="3" t="s">
        <v>6</v>
      </c>
      <c r="U11" s="3" t="s">
        <v>7</v>
      </c>
      <c r="V11" s="6" t="s">
        <v>5</v>
      </c>
      <c r="W11" s="3" t="s">
        <v>6</v>
      </c>
      <c r="X11" s="3" t="s">
        <v>7</v>
      </c>
      <c r="Y11" s="3" t="s">
        <v>6</v>
      </c>
      <c r="Z11" s="3" t="s">
        <v>7</v>
      </c>
      <c r="AA11" s="3" t="s">
        <v>6</v>
      </c>
      <c r="AB11" s="3" t="s">
        <v>7</v>
      </c>
      <c r="AC11" s="6" t="s">
        <v>5</v>
      </c>
      <c r="AD11" s="3" t="s">
        <v>6</v>
      </c>
      <c r="AE11" s="3" t="s">
        <v>7</v>
      </c>
      <c r="AF11" s="3" t="s">
        <v>137</v>
      </c>
    </row>
    <row r="12" spans="1:32" x14ac:dyDescent="0.25">
      <c r="A12" s="20" t="s">
        <v>64</v>
      </c>
      <c r="B12" s="13">
        <v>59191297.909999996</v>
      </c>
      <c r="C12" s="13">
        <v>0</v>
      </c>
      <c r="D12" s="13">
        <v>5780.46</v>
      </c>
      <c r="E12" s="13">
        <v>0</v>
      </c>
      <c r="F12" s="13">
        <v>34459.75</v>
      </c>
      <c r="G12" s="13">
        <v>0</v>
      </c>
      <c r="H12" s="20" t="s">
        <v>64</v>
      </c>
      <c r="I12" s="13">
        <v>0</v>
      </c>
      <c r="J12" s="13">
        <v>0</v>
      </c>
      <c r="K12" s="13">
        <v>2577625.2599999998</v>
      </c>
      <c r="L12" s="13">
        <v>114392.8</v>
      </c>
      <c r="M12" s="13">
        <v>0</v>
      </c>
      <c r="N12" s="13">
        <v>51309.66</v>
      </c>
      <c r="O12" s="20" t="s">
        <v>64</v>
      </c>
      <c r="P12" s="13">
        <v>0</v>
      </c>
      <c r="Q12" s="13">
        <v>0</v>
      </c>
      <c r="R12" s="13">
        <v>283754.78999999998</v>
      </c>
      <c r="S12" s="13">
        <v>0</v>
      </c>
      <c r="T12" s="13">
        <v>0</v>
      </c>
      <c r="U12" s="13">
        <v>942959.03</v>
      </c>
      <c r="V12" s="20" t="s">
        <v>64</v>
      </c>
      <c r="W12" s="13">
        <v>2201935.14</v>
      </c>
      <c r="X12" s="13">
        <v>221000</v>
      </c>
      <c r="Y12" s="13">
        <v>16621335.18</v>
      </c>
      <c r="Z12" s="13">
        <v>0</v>
      </c>
      <c r="AA12" s="13">
        <v>16642652.41</v>
      </c>
      <c r="AB12" s="13">
        <v>0</v>
      </c>
      <c r="AC12" s="20" t="s">
        <v>64</v>
      </c>
      <c r="AD12" s="14">
        <f>+B12+D12+F12+I12+K12+M12+P12+R12+T12+W12+Y12+AA12</f>
        <v>97558840.899999991</v>
      </c>
      <c r="AE12" s="14">
        <f>+C12+E12+G12+J12+L12+N12+Q12+S12+U12+X12+Z12+AB12</f>
        <v>1329661.49</v>
      </c>
      <c r="AF12" s="14">
        <f>+AD12+AE12</f>
        <v>98888502.389999986</v>
      </c>
    </row>
    <row r="13" spans="1:32" x14ac:dyDescent="0.25">
      <c r="A13" s="20" t="s">
        <v>65</v>
      </c>
      <c r="B13" s="13">
        <v>902942.71</v>
      </c>
      <c r="C13" s="13">
        <v>0</v>
      </c>
      <c r="D13" s="13">
        <v>477636.71</v>
      </c>
      <c r="E13" s="13">
        <v>0</v>
      </c>
      <c r="F13" s="13">
        <v>623897.03</v>
      </c>
      <c r="G13" s="13">
        <v>0</v>
      </c>
      <c r="H13" s="20" t="s">
        <v>65</v>
      </c>
      <c r="I13" s="13">
        <v>76279.73</v>
      </c>
      <c r="J13" s="13">
        <v>0</v>
      </c>
      <c r="K13" s="13">
        <v>516918.18</v>
      </c>
      <c r="L13" s="13">
        <v>0</v>
      </c>
      <c r="M13" s="13">
        <v>826337.53</v>
      </c>
      <c r="N13" s="13">
        <v>0</v>
      </c>
      <c r="O13" s="20" t="s">
        <v>65</v>
      </c>
      <c r="P13" s="13">
        <v>865048.69</v>
      </c>
      <c r="Q13" s="13">
        <v>0</v>
      </c>
      <c r="R13" s="13">
        <v>448032.5</v>
      </c>
      <c r="S13" s="13">
        <v>0</v>
      </c>
      <c r="T13" s="13">
        <v>19030.77</v>
      </c>
      <c r="U13" s="13">
        <v>0</v>
      </c>
      <c r="V13" s="20" t="s">
        <v>65</v>
      </c>
      <c r="W13" s="13">
        <v>300853.7</v>
      </c>
      <c r="X13" s="13">
        <v>0</v>
      </c>
      <c r="Y13" s="13">
        <v>2936225.8</v>
      </c>
      <c r="Z13" s="13">
        <v>0</v>
      </c>
      <c r="AA13" s="13">
        <v>6118591.3799999999</v>
      </c>
      <c r="AB13" s="13">
        <v>0</v>
      </c>
      <c r="AC13" s="20" t="s">
        <v>65</v>
      </c>
      <c r="AD13" s="14">
        <f t="shared" ref="AD13:AD37" si="0">+B13+D13+F13+I13+K13+M13+P13+R13+T13+W13+Y13+AA13</f>
        <v>14111794.73</v>
      </c>
      <c r="AE13" s="14">
        <f t="shared" ref="AE13:AE37" si="1">+C13+E13+G13+J13+L13+N13+Q13+S13+U13+X13+Z13+AB13</f>
        <v>0</v>
      </c>
      <c r="AF13" s="14">
        <f t="shared" ref="AF13:AF37" si="2">+AD13+AE13</f>
        <v>14111794.73</v>
      </c>
    </row>
    <row r="14" spans="1:32" x14ac:dyDescent="0.25">
      <c r="A14" s="20" t="s">
        <v>66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20" t="s">
        <v>66</v>
      </c>
      <c r="I14" s="13">
        <v>554093.21</v>
      </c>
      <c r="J14" s="13">
        <v>0</v>
      </c>
      <c r="K14" s="13">
        <v>0</v>
      </c>
      <c r="L14" s="13">
        <v>104771.24</v>
      </c>
      <c r="M14" s="13">
        <v>1012649.29</v>
      </c>
      <c r="N14" s="13">
        <v>0</v>
      </c>
      <c r="O14" s="20" t="s">
        <v>66</v>
      </c>
      <c r="P14" s="13">
        <v>0</v>
      </c>
      <c r="Q14" s="13">
        <v>0</v>
      </c>
      <c r="R14" s="13">
        <v>0</v>
      </c>
      <c r="S14" s="13">
        <v>0</v>
      </c>
      <c r="T14" s="13">
        <v>154.5</v>
      </c>
      <c r="U14" s="13">
        <v>0</v>
      </c>
      <c r="V14" s="20" t="s">
        <v>66</v>
      </c>
      <c r="W14" s="13">
        <v>31681.01</v>
      </c>
      <c r="X14" s="13">
        <v>0</v>
      </c>
      <c r="Y14" s="13">
        <v>1053115.1000000001</v>
      </c>
      <c r="Z14" s="13">
        <v>0</v>
      </c>
      <c r="AA14" s="13">
        <v>17109603.969999999</v>
      </c>
      <c r="AB14" s="13">
        <v>0</v>
      </c>
      <c r="AC14" s="20" t="s">
        <v>66</v>
      </c>
      <c r="AD14" s="14">
        <f t="shared" si="0"/>
        <v>19761297.079999998</v>
      </c>
      <c r="AE14" s="14">
        <f t="shared" si="1"/>
        <v>104771.24</v>
      </c>
      <c r="AF14" s="14">
        <f t="shared" si="2"/>
        <v>19866068.319999997</v>
      </c>
    </row>
    <row r="15" spans="1:32" x14ac:dyDescent="0.25">
      <c r="A15" s="20" t="s">
        <v>67</v>
      </c>
      <c r="B15" s="13">
        <v>276516.65999999997</v>
      </c>
      <c r="C15" s="13">
        <v>0</v>
      </c>
      <c r="D15" s="13">
        <v>774.06</v>
      </c>
      <c r="E15" s="13">
        <v>45000</v>
      </c>
      <c r="F15" s="13">
        <v>280.52</v>
      </c>
      <c r="G15" s="13">
        <v>0</v>
      </c>
      <c r="H15" s="20" t="s">
        <v>67</v>
      </c>
      <c r="I15" s="13">
        <v>60418.55</v>
      </c>
      <c r="J15" s="13">
        <v>0</v>
      </c>
      <c r="K15" s="13">
        <v>126297.19</v>
      </c>
      <c r="L15" s="13">
        <v>0</v>
      </c>
      <c r="M15" s="13">
        <v>0</v>
      </c>
      <c r="N15" s="13">
        <v>0</v>
      </c>
      <c r="O15" s="20" t="s">
        <v>67</v>
      </c>
      <c r="P15" s="13">
        <v>374.07</v>
      </c>
      <c r="Q15" s="13">
        <v>0</v>
      </c>
      <c r="R15" s="13">
        <v>36180.1</v>
      </c>
      <c r="S15" s="13">
        <v>0</v>
      </c>
      <c r="T15" s="13">
        <v>1923873.78</v>
      </c>
      <c r="U15" s="13">
        <v>1422511.61</v>
      </c>
      <c r="V15" s="20" t="s">
        <v>67</v>
      </c>
      <c r="W15" s="13">
        <v>354230.18</v>
      </c>
      <c r="X15" s="13">
        <v>0</v>
      </c>
      <c r="Y15" s="13">
        <v>6474133.0599999996</v>
      </c>
      <c r="Z15" s="13">
        <v>0</v>
      </c>
      <c r="AA15" s="13">
        <v>5959677.8300000001</v>
      </c>
      <c r="AB15" s="13">
        <v>0</v>
      </c>
      <c r="AC15" s="20" t="s">
        <v>67</v>
      </c>
      <c r="AD15" s="14">
        <f t="shared" si="0"/>
        <v>15212756</v>
      </c>
      <c r="AE15" s="14">
        <f t="shared" si="1"/>
        <v>1467511.61</v>
      </c>
      <c r="AF15" s="14">
        <f t="shared" si="2"/>
        <v>16680267.609999999</v>
      </c>
    </row>
    <row r="16" spans="1:32" x14ac:dyDescent="0.25">
      <c r="A16" s="20" t="s">
        <v>68</v>
      </c>
      <c r="B16" s="13">
        <v>0</v>
      </c>
      <c r="C16" s="13">
        <v>0</v>
      </c>
      <c r="D16" s="13">
        <v>483679.94</v>
      </c>
      <c r="E16" s="13">
        <v>0</v>
      </c>
      <c r="F16" s="13">
        <v>55271.41</v>
      </c>
      <c r="G16" s="13">
        <v>0</v>
      </c>
      <c r="H16" s="20" t="s">
        <v>68</v>
      </c>
      <c r="I16" s="13">
        <v>17009.77</v>
      </c>
      <c r="J16" s="13">
        <v>136245.12</v>
      </c>
      <c r="K16" s="13">
        <v>0</v>
      </c>
      <c r="L16" s="13">
        <v>88985.63</v>
      </c>
      <c r="M16" s="13">
        <v>5473.03</v>
      </c>
      <c r="N16" s="13">
        <v>118079.57</v>
      </c>
      <c r="O16" s="20" t="s">
        <v>68</v>
      </c>
      <c r="P16" s="13">
        <v>647974.51</v>
      </c>
      <c r="Q16" s="13">
        <v>1392512.45</v>
      </c>
      <c r="R16" s="13">
        <v>85803.01</v>
      </c>
      <c r="S16" s="13">
        <v>0</v>
      </c>
      <c r="T16" s="13">
        <v>248.02</v>
      </c>
      <c r="U16" s="13">
        <v>0</v>
      </c>
      <c r="V16" s="20" t="s">
        <v>68</v>
      </c>
      <c r="W16" s="13">
        <v>5222.21</v>
      </c>
      <c r="X16" s="13">
        <v>0</v>
      </c>
      <c r="Y16" s="13">
        <v>4363187.72</v>
      </c>
      <c r="Z16" s="13">
        <v>0</v>
      </c>
      <c r="AA16" s="13">
        <v>6294221.9900000002</v>
      </c>
      <c r="AB16" s="13">
        <v>0</v>
      </c>
      <c r="AC16" s="20" t="s">
        <v>68</v>
      </c>
      <c r="AD16" s="14">
        <f t="shared" si="0"/>
        <v>11958091.609999999</v>
      </c>
      <c r="AE16" s="14">
        <f t="shared" si="1"/>
        <v>1735822.77</v>
      </c>
      <c r="AF16" s="14">
        <f t="shared" si="2"/>
        <v>13693914.379999999</v>
      </c>
    </row>
    <row r="17" spans="1:32" x14ac:dyDescent="0.25">
      <c r="A17" s="20" t="s">
        <v>69</v>
      </c>
      <c r="B17" s="13">
        <v>9686247.0399999991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20" t="s">
        <v>69</v>
      </c>
      <c r="I17" s="13">
        <v>0</v>
      </c>
      <c r="J17" s="13">
        <v>0</v>
      </c>
      <c r="K17" s="13">
        <v>118056.2</v>
      </c>
      <c r="L17" s="13">
        <v>0</v>
      </c>
      <c r="M17" s="13">
        <v>0</v>
      </c>
      <c r="N17" s="13">
        <v>0</v>
      </c>
      <c r="O17" s="20" t="s">
        <v>69</v>
      </c>
      <c r="P17" s="13">
        <v>0</v>
      </c>
      <c r="Q17" s="13">
        <v>0</v>
      </c>
      <c r="R17" s="13">
        <v>0</v>
      </c>
      <c r="S17" s="13">
        <v>0</v>
      </c>
      <c r="T17" s="13">
        <v>23930.5</v>
      </c>
      <c r="U17" s="13">
        <v>0</v>
      </c>
      <c r="V17" s="20" t="s">
        <v>69</v>
      </c>
      <c r="W17" s="13">
        <v>128019.56</v>
      </c>
      <c r="X17" s="13">
        <v>165090.15</v>
      </c>
      <c r="Y17" s="13">
        <v>5049538.2</v>
      </c>
      <c r="Z17" s="13">
        <v>0</v>
      </c>
      <c r="AA17" s="13">
        <v>4547881.76</v>
      </c>
      <c r="AB17" s="13">
        <v>0</v>
      </c>
      <c r="AC17" s="20" t="s">
        <v>69</v>
      </c>
      <c r="AD17" s="14">
        <f t="shared" si="0"/>
        <v>19553673.259999998</v>
      </c>
      <c r="AE17" s="14">
        <f t="shared" si="1"/>
        <v>165090.15</v>
      </c>
      <c r="AF17" s="14">
        <f t="shared" si="2"/>
        <v>19718763.409999996</v>
      </c>
    </row>
    <row r="18" spans="1:32" x14ac:dyDescent="0.25">
      <c r="A18" s="20" t="s">
        <v>70</v>
      </c>
      <c r="B18" s="13">
        <v>337434.9</v>
      </c>
      <c r="C18" s="13">
        <v>0</v>
      </c>
      <c r="D18" s="13">
        <v>0</v>
      </c>
      <c r="E18" s="13">
        <v>0</v>
      </c>
      <c r="F18" s="13">
        <v>8127924.3700000001</v>
      </c>
      <c r="G18" s="13">
        <v>0</v>
      </c>
      <c r="H18" s="20" t="s">
        <v>70</v>
      </c>
      <c r="I18" s="13">
        <v>2546566.16</v>
      </c>
      <c r="J18" s="13">
        <v>0</v>
      </c>
      <c r="K18" s="13">
        <v>167660.79999999999</v>
      </c>
      <c r="L18" s="13">
        <v>0</v>
      </c>
      <c r="M18" s="13">
        <v>1505067.35</v>
      </c>
      <c r="N18" s="13">
        <v>0</v>
      </c>
      <c r="O18" s="20" t="s">
        <v>70</v>
      </c>
      <c r="P18" s="13">
        <v>540634.17000000004</v>
      </c>
      <c r="Q18" s="13">
        <v>0</v>
      </c>
      <c r="R18" s="13">
        <v>3677.49</v>
      </c>
      <c r="S18" s="13">
        <v>0</v>
      </c>
      <c r="T18" s="13">
        <v>280.55</v>
      </c>
      <c r="U18" s="13">
        <v>0</v>
      </c>
      <c r="V18" s="20" t="s">
        <v>70</v>
      </c>
      <c r="W18" s="13">
        <v>2878656.07</v>
      </c>
      <c r="X18" s="13">
        <v>0</v>
      </c>
      <c r="Y18" s="13">
        <v>280.52999999999997</v>
      </c>
      <c r="Z18" s="13">
        <v>0</v>
      </c>
      <c r="AA18" s="13">
        <v>697334.13</v>
      </c>
      <c r="AB18" s="13">
        <v>0</v>
      </c>
      <c r="AC18" s="20" t="s">
        <v>70</v>
      </c>
      <c r="AD18" s="14">
        <f t="shared" si="0"/>
        <v>16805516.52</v>
      </c>
      <c r="AE18" s="14">
        <f t="shared" si="1"/>
        <v>0</v>
      </c>
      <c r="AF18" s="14">
        <f t="shared" si="2"/>
        <v>16805516.52</v>
      </c>
    </row>
    <row r="19" spans="1:32" x14ac:dyDescent="0.25">
      <c r="A19" s="20" t="s">
        <v>71</v>
      </c>
      <c r="B19" s="13">
        <v>0</v>
      </c>
      <c r="C19" s="13">
        <v>0</v>
      </c>
      <c r="D19" s="13">
        <v>351013.5</v>
      </c>
      <c r="E19" s="13">
        <v>0</v>
      </c>
      <c r="F19" s="13">
        <v>1000631.62</v>
      </c>
      <c r="G19" s="13">
        <v>0</v>
      </c>
      <c r="H19" s="20" t="s">
        <v>71</v>
      </c>
      <c r="I19" s="13">
        <v>500497.56</v>
      </c>
      <c r="J19" s="13">
        <v>0</v>
      </c>
      <c r="K19" s="13">
        <v>302188.21000000002</v>
      </c>
      <c r="L19" s="13">
        <v>0</v>
      </c>
      <c r="M19" s="13">
        <v>626445.26</v>
      </c>
      <c r="N19" s="13">
        <v>0</v>
      </c>
      <c r="O19" s="20" t="s">
        <v>71</v>
      </c>
      <c r="P19" s="13">
        <v>5734.13</v>
      </c>
      <c r="Q19" s="13">
        <v>0</v>
      </c>
      <c r="R19" s="13">
        <v>25560.639999999999</v>
      </c>
      <c r="S19" s="13">
        <v>0</v>
      </c>
      <c r="T19" s="13">
        <v>2498110.7400000002</v>
      </c>
      <c r="U19" s="13">
        <v>0</v>
      </c>
      <c r="V19" s="20" t="s">
        <v>71</v>
      </c>
      <c r="W19" s="13">
        <v>3284908.26</v>
      </c>
      <c r="X19" s="13">
        <v>0</v>
      </c>
      <c r="Y19" s="13">
        <v>2869063.9</v>
      </c>
      <c r="Z19" s="13">
        <v>0</v>
      </c>
      <c r="AA19" s="13">
        <v>4209429.03</v>
      </c>
      <c r="AB19" s="13">
        <v>0</v>
      </c>
      <c r="AC19" s="20" t="s">
        <v>71</v>
      </c>
      <c r="AD19" s="14">
        <f t="shared" si="0"/>
        <v>15673582.850000001</v>
      </c>
      <c r="AE19" s="14">
        <f t="shared" si="1"/>
        <v>0</v>
      </c>
      <c r="AF19" s="14">
        <f t="shared" si="2"/>
        <v>15673582.850000001</v>
      </c>
    </row>
    <row r="20" spans="1:32" x14ac:dyDescent="0.25">
      <c r="A20" s="20" t="s">
        <v>72</v>
      </c>
      <c r="B20" s="13">
        <v>0</v>
      </c>
      <c r="C20" s="13">
        <v>0</v>
      </c>
      <c r="D20" s="13">
        <v>2109614.13</v>
      </c>
      <c r="E20" s="13">
        <v>0</v>
      </c>
      <c r="F20" s="13">
        <v>140.27000000000001</v>
      </c>
      <c r="G20" s="13">
        <v>0</v>
      </c>
      <c r="H20" s="20" t="s">
        <v>72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20" t="s">
        <v>72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361952.85</v>
      </c>
      <c r="V20" s="20" t="s">
        <v>72</v>
      </c>
      <c r="W20" s="13">
        <v>0</v>
      </c>
      <c r="X20" s="13">
        <v>0</v>
      </c>
      <c r="Y20" s="13">
        <v>5266643.43</v>
      </c>
      <c r="Z20" s="13">
        <v>0</v>
      </c>
      <c r="AA20" s="13">
        <v>14517407.99</v>
      </c>
      <c r="AB20" s="13">
        <v>0</v>
      </c>
      <c r="AC20" s="20" t="s">
        <v>72</v>
      </c>
      <c r="AD20" s="14">
        <f t="shared" si="0"/>
        <v>21893805.82</v>
      </c>
      <c r="AE20" s="14">
        <f t="shared" si="1"/>
        <v>361952.85</v>
      </c>
      <c r="AF20" s="14">
        <f t="shared" si="2"/>
        <v>22255758.670000002</v>
      </c>
    </row>
    <row r="21" spans="1:32" x14ac:dyDescent="0.25">
      <c r="A21" s="20" t="s">
        <v>73</v>
      </c>
      <c r="B21" s="13">
        <v>402233.57</v>
      </c>
      <c r="C21" s="13">
        <v>0</v>
      </c>
      <c r="D21" s="13">
        <v>53576.4</v>
      </c>
      <c r="E21" s="13">
        <v>307727.15999999997</v>
      </c>
      <c r="F21" s="13">
        <v>11823341.41</v>
      </c>
      <c r="G21" s="13">
        <v>0</v>
      </c>
      <c r="H21" s="20" t="s">
        <v>73</v>
      </c>
      <c r="I21" s="13">
        <v>0</v>
      </c>
      <c r="J21" s="13">
        <v>0</v>
      </c>
      <c r="K21" s="13">
        <v>0</v>
      </c>
      <c r="L21" s="13">
        <v>0</v>
      </c>
      <c r="M21" s="13">
        <v>88123.74</v>
      </c>
      <c r="N21" s="13">
        <v>96469.73</v>
      </c>
      <c r="O21" s="20" t="s">
        <v>73</v>
      </c>
      <c r="P21" s="13">
        <v>4284569.74</v>
      </c>
      <c r="Q21" s="13">
        <v>0</v>
      </c>
      <c r="R21" s="13">
        <v>4018977.34</v>
      </c>
      <c r="S21" s="13">
        <v>0</v>
      </c>
      <c r="T21" s="13">
        <v>688533.43</v>
      </c>
      <c r="U21" s="13">
        <v>0</v>
      </c>
      <c r="V21" s="20" t="s">
        <v>73</v>
      </c>
      <c r="W21" s="13">
        <v>7575423.9000000004</v>
      </c>
      <c r="X21" s="13">
        <v>0</v>
      </c>
      <c r="Y21" s="13">
        <v>6601283.2300000004</v>
      </c>
      <c r="Z21" s="13">
        <v>0</v>
      </c>
      <c r="AA21" s="13">
        <v>6220549.8600000003</v>
      </c>
      <c r="AB21" s="13">
        <v>0</v>
      </c>
      <c r="AC21" s="20" t="s">
        <v>73</v>
      </c>
      <c r="AD21" s="14">
        <f t="shared" si="0"/>
        <v>41756612.620000005</v>
      </c>
      <c r="AE21" s="14">
        <f t="shared" si="1"/>
        <v>404196.88999999996</v>
      </c>
      <c r="AF21" s="14">
        <f t="shared" si="2"/>
        <v>42160809.510000005</v>
      </c>
    </row>
    <row r="22" spans="1:32" x14ac:dyDescent="0.25">
      <c r="A22" s="20" t="s">
        <v>74</v>
      </c>
      <c r="B22" s="13">
        <v>0</v>
      </c>
      <c r="C22" s="13">
        <v>50874.22</v>
      </c>
      <c r="D22" s="13">
        <v>0</v>
      </c>
      <c r="E22" s="13">
        <v>0</v>
      </c>
      <c r="F22" s="13">
        <v>0</v>
      </c>
      <c r="G22" s="13">
        <v>0</v>
      </c>
      <c r="H22" s="20" t="s">
        <v>74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30000</v>
      </c>
      <c r="O22" s="20" t="s">
        <v>74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20" t="s">
        <v>74</v>
      </c>
      <c r="W22" s="13">
        <v>3441977.58</v>
      </c>
      <c r="X22" s="13">
        <v>0</v>
      </c>
      <c r="Y22" s="13">
        <v>9512376.0199999996</v>
      </c>
      <c r="Z22" s="13">
        <v>0</v>
      </c>
      <c r="AA22" s="13">
        <v>816973.98</v>
      </c>
      <c r="AB22" s="13">
        <v>0</v>
      </c>
      <c r="AC22" s="20" t="s">
        <v>74</v>
      </c>
      <c r="AD22" s="14">
        <f t="shared" si="0"/>
        <v>13771327.58</v>
      </c>
      <c r="AE22" s="14">
        <f t="shared" si="1"/>
        <v>80874.22</v>
      </c>
      <c r="AF22" s="14">
        <f t="shared" si="2"/>
        <v>13852201.800000001</v>
      </c>
    </row>
    <row r="23" spans="1:32" ht="15.75" x14ac:dyDescent="0.25">
      <c r="A23" s="23" t="s">
        <v>107</v>
      </c>
      <c r="B23" s="27">
        <f>SUM(B12:B22)</f>
        <v>70796672.789999992</v>
      </c>
      <c r="C23" s="27">
        <f t="shared" ref="C23:AB23" si="3">SUM(C12:C22)</f>
        <v>50874.22</v>
      </c>
      <c r="D23" s="27">
        <f t="shared" si="3"/>
        <v>3482075.1999999997</v>
      </c>
      <c r="E23" s="27">
        <f t="shared" si="3"/>
        <v>352727.16</v>
      </c>
      <c r="F23" s="27">
        <f t="shared" si="3"/>
        <v>21665946.379999999</v>
      </c>
      <c r="G23" s="27">
        <f t="shared" si="3"/>
        <v>0</v>
      </c>
      <c r="H23" s="23" t="s">
        <v>107</v>
      </c>
      <c r="I23" s="27">
        <f t="shared" si="3"/>
        <v>3754864.98</v>
      </c>
      <c r="J23" s="27">
        <f t="shared" si="3"/>
        <v>136245.12</v>
      </c>
      <c r="K23" s="27">
        <f t="shared" si="3"/>
        <v>3808745.84</v>
      </c>
      <c r="L23" s="27">
        <f t="shared" si="3"/>
        <v>308149.67000000004</v>
      </c>
      <c r="M23" s="27">
        <f t="shared" si="3"/>
        <v>4064096.2</v>
      </c>
      <c r="N23" s="27">
        <f t="shared" si="3"/>
        <v>295858.96000000002</v>
      </c>
      <c r="O23" s="23" t="s">
        <v>107</v>
      </c>
      <c r="P23" s="27">
        <f t="shared" si="3"/>
        <v>6344335.3100000005</v>
      </c>
      <c r="Q23" s="27">
        <f t="shared" si="3"/>
        <v>1392512.45</v>
      </c>
      <c r="R23" s="27">
        <f t="shared" si="3"/>
        <v>4901985.87</v>
      </c>
      <c r="S23" s="27">
        <f t="shared" si="3"/>
        <v>0</v>
      </c>
      <c r="T23" s="27">
        <f t="shared" si="3"/>
        <v>5154162.29</v>
      </c>
      <c r="U23" s="27">
        <f t="shared" si="3"/>
        <v>2727423.49</v>
      </c>
      <c r="V23" s="23" t="s">
        <v>107</v>
      </c>
      <c r="W23" s="27">
        <f t="shared" si="3"/>
        <v>20202907.609999999</v>
      </c>
      <c r="X23" s="27">
        <f t="shared" si="3"/>
        <v>386090.15</v>
      </c>
      <c r="Y23" s="27">
        <f t="shared" si="3"/>
        <v>60747182.170000002</v>
      </c>
      <c r="Z23" s="27">
        <f t="shared" si="3"/>
        <v>0</v>
      </c>
      <c r="AA23" s="27">
        <f t="shared" si="3"/>
        <v>83134324.329999998</v>
      </c>
      <c r="AB23" s="27">
        <f t="shared" si="3"/>
        <v>0</v>
      </c>
      <c r="AC23" s="23" t="s">
        <v>107</v>
      </c>
      <c r="AD23" s="27">
        <f t="shared" si="0"/>
        <v>288057298.97000003</v>
      </c>
      <c r="AE23" s="27">
        <f t="shared" si="1"/>
        <v>5649881.2200000007</v>
      </c>
      <c r="AF23" s="27">
        <f>+AD23+AE23</f>
        <v>293707180.19000006</v>
      </c>
    </row>
    <row r="24" spans="1:32" x14ac:dyDescent="0.25">
      <c r="A24" s="20" t="s">
        <v>75</v>
      </c>
      <c r="B24" s="13">
        <v>58724.84</v>
      </c>
      <c r="C24" s="13">
        <v>0</v>
      </c>
      <c r="D24" s="13">
        <v>57173.84</v>
      </c>
      <c r="E24" s="13">
        <v>0</v>
      </c>
      <c r="F24" s="13">
        <v>0</v>
      </c>
      <c r="G24" s="13">
        <v>0</v>
      </c>
      <c r="H24" s="20" t="s">
        <v>75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20" t="s">
        <v>75</v>
      </c>
      <c r="P24" s="13">
        <v>95619.98</v>
      </c>
      <c r="Q24" s="13">
        <v>0</v>
      </c>
      <c r="R24" s="13">
        <v>38653.46</v>
      </c>
      <c r="S24" s="13">
        <v>0</v>
      </c>
      <c r="T24" s="13">
        <v>27742.84</v>
      </c>
      <c r="U24" s="13">
        <v>0</v>
      </c>
      <c r="V24" s="20" t="s">
        <v>75</v>
      </c>
      <c r="W24" s="13">
        <v>0</v>
      </c>
      <c r="X24" s="13">
        <v>0</v>
      </c>
      <c r="Y24" s="13">
        <v>0</v>
      </c>
      <c r="Z24" s="13">
        <v>0</v>
      </c>
      <c r="AA24" s="13">
        <v>522654.48</v>
      </c>
      <c r="AB24" s="13">
        <v>0</v>
      </c>
      <c r="AC24" s="20" t="s">
        <v>75</v>
      </c>
      <c r="AD24" s="14">
        <f t="shared" si="0"/>
        <v>800569.44</v>
      </c>
      <c r="AE24" s="14">
        <f t="shared" si="1"/>
        <v>0</v>
      </c>
      <c r="AF24" s="14">
        <f t="shared" si="2"/>
        <v>800569.44</v>
      </c>
    </row>
    <row r="25" spans="1:32" x14ac:dyDescent="0.25">
      <c r="A25" s="20" t="s">
        <v>76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20" t="s">
        <v>76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20" t="s">
        <v>76</v>
      </c>
      <c r="P25" s="13">
        <v>0</v>
      </c>
      <c r="Q25" s="13">
        <v>0</v>
      </c>
      <c r="R25" s="13">
        <v>207949.04</v>
      </c>
      <c r="S25" s="13">
        <v>0</v>
      </c>
      <c r="T25" s="13">
        <v>176441.48</v>
      </c>
      <c r="U25" s="13">
        <v>0</v>
      </c>
      <c r="V25" s="20" t="s">
        <v>76</v>
      </c>
      <c r="W25" s="13">
        <v>190974.62</v>
      </c>
      <c r="X25" s="13">
        <v>0</v>
      </c>
      <c r="Y25" s="13">
        <v>67383.45</v>
      </c>
      <c r="Z25" s="13">
        <v>0</v>
      </c>
      <c r="AA25" s="13">
        <v>219810.06</v>
      </c>
      <c r="AB25" s="13">
        <v>0</v>
      </c>
      <c r="AC25" s="20" t="s">
        <v>76</v>
      </c>
      <c r="AD25" s="14">
        <f t="shared" si="0"/>
        <v>862558.64999999991</v>
      </c>
      <c r="AE25" s="14">
        <f t="shared" si="1"/>
        <v>0</v>
      </c>
      <c r="AF25" s="14">
        <f t="shared" si="2"/>
        <v>862558.64999999991</v>
      </c>
    </row>
    <row r="26" spans="1:32" x14ac:dyDescent="0.25">
      <c r="A26" s="20" t="s">
        <v>77</v>
      </c>
      <c r="B26" s="13">
        <v>20947.419999999998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20" t="s">
        <v>77</v>
      </c>
      <c r="I26" s="13">
        <v>0</v>
      </c>
      <c r="J26" s="13">
        <v>0</v>
      </c>
      <c r="K26" s="13">
        <v>28439.77</v>
      </c>
      <c r="L26" s="13">
        <v>914090.43</v>
      </c>
      <c r="M26" s="13">
        <v>99444.83</v>
      </c>
      <c r="N26" s="13">
        <v>0</v>
      </c>
      <c r="O26" s="20" t="s">
        <v>77</v>
      </c>
      <c r="P26" s="13">
        <v>109699.5</v>
      </c>
      <c r="Q26" s="13">
        <v>468469.1</v>
      </c>
      <c r="R26" s="13">
        <v>29636.94</v>
      </c>
      <c r="S26" s="13">
        <v>0</v>
      </c>
      <c r="T26" s="13">
        <v>280.55</v>
      </c>
      <c r="U26" s="13">
        <v>2268017.73</v>
      </c>
      <c r="V26" s="20" t="s">
        <v>77</v>
      </c>
      <c r="W26" s="13">
        <v>15391.17</v>
      </c>
      <c r="X26" s="13"/>
      <c r="Y26" s="13">
        <v>131356.45000000001</v>
      </c>
      <c r="Z26" s="13">
        <v>0</v>
      </c>
      <c r="AA26" s="13">
        <v>529013.18999999994</v>
      </c>
      <c r="AB26" s="13">
        <v>0</v>
      </c>
      <c r="AC26" s="20" t="s">
        <v>77</v>
      </c>
      <c r="AD26" s="14">
        <f t="shared" si="0"/>
        <v>964209.82</v>
      </c>
      <c r="AE26" s="14">
        <f t="shared" si="1"/>
        <v>3650577.26</v>
      </c>
      <c r="AF26" s="14">
        <f t="shared" si="2"/>
        <v>4614787.08</v>
      </c>
    </row>
    <row r="27" spans="1:32" ht="15.75" x14ac:dyDescent="0.25">
      <c r="A27" s="24" t="s">
        <v>108</v>
      </c>
      <c r="B27" s="27">
        <f>SUM(B24:B26)</f>
        <v>79672.259999999995</v>
      </c>
      <c r="C27" s="27">
        <f t="shared" ref="C27:AB27" si="4">SUM(C24:C26)</f>
        <v>0</v>
      </c>
      <c r="D27" s="27">
        <f t="shared" si="4"/>
        <v>57173.84</v>
      </c>
      <c r="E27" s="27">
        <f t="shared" si="4"/>
        <v>0</v>
      </c>
      <c r="F27" s="27">
        <f t="shared" si="4"/>
        <v>0</v>
      </c>
      <c r="G27" s="27">
        <f t="shared" si="4"/>
        <v>0</v>
      </c>
      <c r="H27" s="24" t="s">
        <v>108</v>
      </c>
      <c r="I27" s="27">
        <f t="shared" si="4"/>
        <v>0</v>
      </c>
      <c r="J27" s="27">
        <f t="shared" si="4"/>
        <v>0</v>
      </c>
      <c r="K27" s="27">
        <f t="shared" si="4"/>
        <v>28439.77</v>
      </c>
      <c r="L27" s="27">
        <f t="shared" si="4"/>
        <v>914090.43</v>
      </c>
      <c r="M27" s="27">
        <f t="shared" si="4"/>
        <v>99444.83</v>
      </c>
      <c r="N27" s="27">
        <f t="shared" si="4"/>
        <v>0</v>
      </c>
      <c r="O27" s="24" t="s">
        <v>108</v>
      </c>
      <c r="P27" s="27">
        <f t="shared" si="4"/>
        <v>205319.47999999998</v>
      </c>
      <c r="Q27" s="27">
        <f t="shared" si="4"/>
        <v>468469.1</v>
      </c>
      <c r="R27" s="27">
        <f t="shared" si="4"/>
        <v>276239.44</v>
      </c>
      <c r="S27" s="27">
        <f t="shared" si="4"/>
        <v>0</v>
      </c>
      <c r="T27" s="27">
        <f t="shared" si="4"/>
        <v>204464.87</v>
      </c>
      <c r="U27" s="27">
        <f t="shared" si="4"/>
        <v>2268017.73</v>
      </c>
      <c r="V27" s="24" t="s">
        <v>108</v>
      </c>
      <c r="W27" s="27">
        <f t="shared" si="4"/>
        <v>206365.79</v>
      </c>
      <c r="X27" s="27">
        <f t="shared" si="4"/>
        <v>0</v>
      </c>
      <c r="Y27" s="27">
        <f t="shared" si="4"/>
        <v>198739.90000000002</v>
      </c>
      <c r="Z27" s="27">
        <f t="shared" si="4"/>
        <v>0</v>
      </c>
      <c r="AA27" s="27">
        <f t="shared" si="4"/>
        <v>1271477.73</v>
      </c>
      <c r="AB27" s="27">
        <f t="shared" si="4"/>
        <v>0</v>
      </c>
      <c r="AC27" s="24" t="s">
        <v>108</v>
      </c>
      <c r="AD27" s="27">
        <f t="shared" si="0"/>
        <v>2627337.9099999997</v>
      </c>
      <c r="AE27" s="27">
        <f t="shared" si="1"/>
        <v>3650577.26</v>
      </c>
      <c r="AF27" s="27">
        <f t="shared" si="2"/>
        <v>6277915.1699999999</v>
      </c>
    </row>
    <row r="28" spans="1:32" x14ac:dyDescent="0.25">
      <c r="A28" s="20" t="s">
        <v>62</v>
      </c>
      <c r="B28" s="13">
        <v>58564050.969999999</v>
      </c>
      <c r="C28" s="13">
        <v>0</v>
      </c>
      <c r="D28" s="13">
        <v>2258931.42</v>
      </c>
      <c r="E28" s="13">
        <v>0</v>
      </c>
      <c r="F28" s="13">
        <v>439833.07</v>
      </c>
      <c r="G28" s="13">
        <v>0</v>
      </c>
      <c r="H28" s="20" t="s">
        <v>62</v>
      </c>
      <c r="I28" s="13">
        <v>0</v>
      </c>
      <c r="J28" s="13">
        <v>0</v>
      </c>
      <c r="K28" s="13">
        <v>27169.01</v>
      </c>
      <c r="L28" s="13">
        <v>0</v>
      </c>
      <c r="M28" s="13">
        <v>111895.16</v>
      </c>
      <c r="N28" s="13">
        <v>0</v>
      </c>
      <c r="O28" s="20" t="s">
        <v>62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20" t="s">
        <v>62</v>
      </c>
      <c r="W28" s="13">
        <v>1247922.75</v>
      </c>
      <c r="X28" s="13">
        <v>0</v>
      </c>
      <c r="Y28" s="13">
        <v>20088079.989999998</v>
      </c>
      <c r="Z28" s="13">
        <v>0</v>
      </c>
      <c r="AA28" s="13">
        <v>15967083.369999999</v>
      </c>
      <c r="AB28" s="13">
        <v>0</v>
      </c>
      <c r="AC28" s="20" t="s">
        <v>62</v>
      </c>
      <c r="AD28" s="14">
        <f t="shared" si="0"/>
        <v>98704965.739999995</v>
      </c>
      <c r="AE28" s="14">
        <f t="shared" si="1"/>
        <v>0</v>
      </c>
      <c r="AF28" s="14">
        <f t="shared" si="2"/>
        <v>98704965.739999995</v>
      </c>
    </row>
    <row r="29" spans="1:32" x14ac:dyDescent="0.25">
      <c r="A29" s="20" t="s">
        <v>63</v>
      </c>
      <c r="B29" s="13">
        <v>22095209.440000001</v>
      </c>
      <c r="C29" s="13">
        <v>0</v>
      </c>
      <c r="D29" s="13">
        <v>3550278.62</v>
      </c>
      <c r="E29" s="13">
        <v>0</v>
      </c>
      <c r="F29" s="13">
        <v>3206651.9</v>
      </c>
      <c r="G29" s="13">
        <v>0</v>
      </c>
      <c r="H29" s="20" t="s">
        <v>63</v>
      </c>
      <c r="I29" s="13">
        <v>694292.14</v>
      </c>
      <c r="J29" s="13">
        <v>0</v>
      </c>
      <c r="K29" s="13">
        <v>89337.7</v>
      </c>
      <c r="L29" s="13">
        <v>0</v>
      </c>
      <c r="M29" s="13">
        <v>1389510.93</v>
      </c>
      <c r="N29" s="13">
        <v>0</v>
      </c>
      <c r="O29" s="20" t="s">
        <v>63</v>
      </c>
      <c r="P29" s="13">
        <v>374757.08</v>
      </c>
      <c r="Q29" s="13">
        <v>0</v>
      </c>
      <c r="R29" s="13">
        <v>44124.66</v>
      </c>
      <c r="S29" s="13">
        <v>0</v>
      </c>
      <c r="T29" s="13">
        <v>0</v>
      </c>
      <c r="U29" s="13">
        <v>0</v>
      </c>
      <c r="V29" s="20" t="s">
        <v>63</v>
      </c>
      <c r="W29" s="13">
        <v>0</v>
      </c>
      <c r="X29" s="13">
        <v>0</v>
      </c>
      <c r="Y29" s="13">
        <v>1401663.22</v>
      </c>
      <c r="Z29" s="13">
        <v>0</v>
      </c>
      <c r="AA29" s="13">
        <v>7076617.9400000004</v>
      </c>
      <c r="AB29" s="13">
        <v>0</v>
      </c>
      <c r="AC29" s="20" t="s">
        <v>63</v>
      </c>
      <c r="AD29" s="14">
        <f t="shared" si="0"/>
        <v>39922443.629999995</v>
      </c>
      <c r="AE29" s="14">
        <f t="shared" si="1"/>
        <v>0</v>
      </c>
      <c r="AF29" s="14">
        <f t="shared" si="2"/>
        <v>39922443.629999995</v>
      </c>
    </row>
    <row r="30" spans="1:32" x14ac:dyDescent="0.25">
      <c r="A30" s="20" t="s">
        <v>78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20" t="s">
        <v>78</v>
      </c>
      <c r="I30" s="13">
        <v>0</v>
      </c>
      <c r="J30" s="13">
        <v>466215.08</v>
      </c>
      <c r="K30" s="13">
        <v>0</v>
      </c>
      <c r="L30" s="13">
        <v>0</v>
      </c>
      <c r="M30" s="13">
        <v>0</v>
      </c>
      <c r="N30" s="13">
        <v>0</v>
      </c>
      <c r="O30" s="20" t="s">
        <v>78</v>
      </c>
      <c r="P30" s="13">
        <v>0</v>
      </c>
      <c r="Q30" s="13">
        <v>11378780.199999999</v>
      </c>
      <c r="R30" s="13">
        <v>0</v>
      </c>
      <c r="S30" s="13">
        <v>0</v>
      </c>
      <c r="T30" s="13">
        <v>0</v>
      </c>
      <c r="U30" s="13">
        <v>3116911.25</v>
      </c>
      <c r="V30" s="20" t="s">
        <v>78</v>
      </c>
      <c r="W30" s="13">
        <v>4921.72</v>
      </c>
      <c r="X30" s="13">
        <v>0</v>
      </c>
      <c r="Y30" s="13">
        <v>30852.13</v>
      </c>
      <c r="Z30" s="13">
        <v>0</v>
      </c>
      <c r="AA30" s="13">
        <v>43629.53</v>
      </c>
      <c r="AB30" s="13">
        <v>0</v>
      </c>
      <c r="AC30" s="20" t="s">
        <v>78</v>
      </c>
      <c r="AD30" s="14">
        <f t="shared" si="0"/>
        <v>79403.38</v>
      </c>
      <c r="AE30" s="14">
        <f t="shared" si="1"/>
        <v>14961906.529999999</v>
      </c>
      <c r="AF30" s="14">
        <f t="shared" si="2"/>
        <v>15041309.91</v>
      </c>
    </row>
    <row r="31" spans="1:32" x14ac:dyDescent="0.25">
      <c r="A31" s="20" t="s">
        <v>79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20" t="s">
        <v>79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20" t="s">
        <v>79</v>
      </c>
      <c r="P31" s="13">
        <v>6239.25</v>
      </c>
      <c r="Q31" s="13">
        <v>0</v>
      </c>
      <c r="R31" s="13">
        <v>10406.42</v>
      </c>
      <c r="S31" s="13">
        <v>0</v>
      </c>
      <c r="T31" s="13">
        <v>0</v>
      </c>
      <c r="U31" s="13">
        <v>0</v>
      </c>
      <c r="V31" s="20" t="s">
        <v>79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20" t="s">
        <v>79</v>
      </c>
      <c r="AD31" s="14">
        <f t="shared" si="0"/>
        <v>16645.669999999998</v>
      </c>
      <c r="AE31" s="14">
        <f t="shared" si="1"/>
        <v>0</v>
      </c>
      <c r="AF31" s="14">
        <f t="shared" si="2"/>
        <v>16645.669999999998</v>
      </c>
    </row>
    <row r="32" spans="1:32" x14ac:dyDescent="0.25">
      <c r="A32" s="20" t="s">
        <v>80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20" t="s">
        <v>80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20" t="s">
        <v>80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20" t="s">
        <v>80</v>
      </c>
      <c r="W32" s="13">
        <v>0</v>
      </c>
      <c r="X32" s="13">
        <v>0</v>
      </c>
      <c r="Y32" s="13">
        <v>0</v>
      </c>
      <c r="Z32" s="13">
        <v>0</v>
      </c>
      <c r="AA32" s="13">
        <v>275.66000000000003</v>
      </c>
      <c r="AB32" s="13">
        <v>0</v>
      </c>
      <c r="AC32" s="20" t="s">
        <v>80</v>
      </c>
      <c r="AD32" s="14">
        <f t="shared" si="0"/>
        <v>275.66000000000003</v>
      </c>
      <c r="AE32" s="14">
        <f t="shared" si="1"/>
        <v>0</v>
      </c>
      <c r="AF32" s="14">
        <f t="shared" si="2"/>
        <v>275.66000000000003</v>
      </c>
    </row>
    <row r="33" spans="1:32" x14ac:dyDescent="0.25">
      <c r="A33" s="20" t="s">
        <v>81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20" t="s">
        <v>81</v>
      </c>
      <c r="I33" s="13">
        <v>0</v>
      </c>
      <c r="J33" s="13">
        <v>0</v>
      </c>
      <c r="K33" s="13">
        <v>7661.46</v>
      </c>
      <c r="L33" s="13">
        <v>0</v>
      </c>
      <c r="M33" s="13">
        <v>306.75</v>
      </c>
      <c r="N33" s="13">
        <v>0</v>
      </c>
      <c r="O33" s="20" t="s">
        <v>81</v>
      </c>
      <c r="P33" s="13">
        <v>13554.27</v>
      </c>
      <c r="Q33" s="13">
        <v>0</v>
      </c>
      <c r="R33" s="13">
        <v>4688.6499999999996</v>
      </c>
      <c r="S33" s="13">
        <v>0</v>
      </c>
      <c r="T33" s="13">
        <v>10415.07</v>
      </c>
      <c r="U33" s="13">
        <v>0</v>
      </c>
      <c r="V33" s="20" t="s">
        <v>81</v>
      </c>
      <c r="W33" s="13">
        <v>36281.26</v>
      </c>
      <c r="X33" s="13">
        <v>0</v>
      </c>
      <c r="Y33" s="13">
        <v>35064.9</v>
      </c>
      <c r="Z33" s="13">
        <v>0</v>
      </c>
      <c r="AA33" s="13">
        <v>10538.42</v>
      </c>
      <c r="AB33" s="13">
        <v>0</v>
      </c>
      <c r="AC33" s="20" t="s">
        <v>81</v>
      </c>
      <c r="AD33" s="14">
        <f t="shared" si="0"/>
        <v>118510.77999999998</v>
      </c>
      <c r="AE33" s="14">
        <f t="shared" si="1"/>
        <v>0</v>
      </c>
      <c r="AF33" s="14">
        <f t="shared" si="2"/>
        <v>118510.77999999998</v>
      </c>
    </row>
    <row r="34" spans="1:32" x14ac:dyDescent="0.25">
      <c r="A34" s="20" t="s">
        <v>82</v>
      </c>
      <c r="B34" s="13">
        <v>160141.56</v>
      </c>
      <c r="C34" s="13">
        <v>0</v>
      </c>
      <c r="D34" s="13">
        <v>20671.830000000002</v>
      </c>
      <c r="E34" s="13">
        <v>0</v>
      </c>
      <c r="F34" s="13">
        <v>25101.05</v>
      </c>
      <c r="G34" s="13">
        <v>0</v>
      </c>
      <c r="H34" s="20" t="s">
        <v>82</v>
      </c>
      <c r="I34" s="13">
        <v>26493.74</v>
      </c>
      <c r="J34" s="13">
        <v>0</v>
      </c>
      <c r="K34" s="13">
        <v>26047.29</v>
      </c>
      <c r="L34" s="13">
        <v>0</v>
      </c>
      <c r="M34" s="13">
        <v>11221.42</v>
      </c>
      <c r="N34" s="13">
        <v>0</v>
      </c>
      <c r="O34" s="20" t="s">
        <v>82</v>
      </c>
      <c r="P34" s="13">
        <v>8323.81</v>
      </c>
      <c r="Q34" s="13">
        <v>0</v>
      </c>
      <c r="R34" s="13">
        <v>95359.209999999992</v>
      </c>
      <c r="S34" s="13">
        <v>0</v>
      </c>
      <c r="T34" s="13">
        <v>6265.66</v>
      </c>
      <c r="U34" s="13">
        <v>0</v>
      </c>
      <c r="V34" s="20" t="s">
        <v>82</v>
      </c>
      <c r="W34" s="13">
        <v>51921.599999999999</v>
      </c>
      <c r="X34" s="13">
        <v>0</v>
      </c>
      <c r="Y34" s="13">
        <v>8295.52</v>
      </c>
      <c r="Z34" s="13">
        <v>0</v>
      </c>
      <c r="AA34" s="13">
        <v>773.26</v>
      </c>
      <c r="AB34" s="13">
        <v>0</v>
      </c>
      <c r="AC34" s="20" t="s">
        <v>82</v>
      </c>
      <c r="AD34" s="14">
        <f t="shared" si="0"/>
        <v>440615.95</v>
      </c>
      <c r="AE34" s="14">
        <f t="shared" si="1"/>
        <v>0</v>
      </c>
      <c r="AF34" s="14">
        <f t="shared" si="2"/>
        <v>440615.95</v>
      </c>
    </row>
    <row r="35" spans="1:32" x14ac:dyDescent="0.25">
      <c r="A35" s="20" t="s">
        <v>83</v>
      </c>
      <c r="B35" s="13">
        <v>22093.97</v>
      </c>
      <c r="C35" s="13">
        <v>0</v>
      </c>
      <c r="D35" s="13">
        <v>18066.11</v>
      </c>
      <c r="E35" s="13">
        <v>0</v>
      </c>
      <c r="F35" s="13">
        <v>12966.1</v>
      </c>
      <c r="G35" s="13">
        <v>0</v>
      </c>
      <c r="H35" s="20" t="s">
        <v>83</v>
      </c>
      <c r="I35" s="13">
        <v>2752.17</v>
      </c>
      <c r="J35" s="13">
        <v>0</v>
      </c>
      <c r="K35" s="13">
        <v>2687.11</v>
      </c>
      <c r="L35" s="13">
        <v>0</v>
      </c>
      <c r="M35" s="13">
        <v>12366.66</v>
      </c>
      <c r="N35" s="13">
        <v>0</v>
      </c>
      <c r="O35" s="20" t="s">
        <v>83</v>
      </c>
      <c r="P35" s="13">
        <v>5669.11</v>
      </c>
      <c r="Q35" s="13">
        <v>0</v>
      </c>
      <c r="R35" s="13">
        <v>5465.6</v>
      </c>
      <c r="S35" s="13">
        <v>0</v>
      </c>
      <c r="T35" s="13">
        <v>8509.4</v>
      </c>
      <c r="U35" s="13">
        <v>0</v>
      </c>
      <c r="V35" s="20" t="s">
        <v>83</v>
      </c>
      <c r="W35" s="13">
        <v>29420.9</v>
      </c>
      <c r="X35" s="13">
        <v>0</v>
      </c>
      <c r="Y35" s="13">
        <v>37351.57</v>
      </c>
      <c r="Z35" s="13">
        <v>0</v>
      </c>
      <c r="AA35" s="13">
        <v>17951.21</v>
      </c>
      <c r="AB35" s="13">
        <v>0</v>
      </c>
      <c r="AC35" s="20" t="s">
        <v>83</v>
      </c>
      <c r="AD35" s="14">
        <f t="shared" si="0"/>
        <v>175299.91</v>
      </c>
      <c r="AE35" s="14">
        <f t="shared" si="1"/>
        <v>0</v>
      </c>
      <c r="AF35" s="14">
        <f t="shared" si="2"/>
        <v>175299.91</v>
      </c>
    </row>
    <row r="36" spans="1:32" x14ac:dyDescent="0.25">
      <c r="A36" s="20" t="s">
        <v>84</v>
      </c>
      <c r="B36" s="13">
        <v>13708.53</v>
      </c>
      <c r="C36" s="13">
        <v>0</v>
      </c>
      <c r="D36" s="13">
        <v>13059.09</v>
      </c>
      <c r="E36" s="13">
        <v>0</v>
      </c>
      <c r="F36" s="13">
        <v>15869.12</v>
      </c>
      <c r="G36" s="13">
        <v>0</v>
      </c>
      <c r="H36" s="20" t="s">
        <v>84</v>
      </c>
      <c r="I36" s="13">
        <v>3902.84</v>
      </c>
      <c r="J36" s="13">
        <v>0</v>
      </c>
      <c r="K36" s="13">
        <v>11421.52</v>
      </c>
      <c r="L36" s="13">
        <v>0</v>
      </c>
      <c r="M36" s="13">
        <v>26979.16</v>
      </c>
      <c r="N36" s="13">
        <v>0</v>
      </c>
      <c r="O36" s="20" t="s">
        <v>84</v>
      </c>
      <c r="P36" s="13">
        <v>29616.05</v>
      </c>
      <c r="Q36" s="13">
        <v>0</v>
      </c>
      <c r="R36" s="13">
        <v>116970.02</v>
      </c>
      <c r="S36" s="13">
        <v>0</v>
      </c>
      <c r="T36" s="13">
        <v>44436.99</v>
      </c>
      <c r="U36" s="13">
        <v>0</v>
      </c>
      <c r="V36" s="20" t="s">
        <v>84</v>
      </c>
      <c r="W36" s="13">
        <v>92255.679999999993</v>
      </c>
      <c r="X36" s="13">
        <v>0</v>
      </c>
      <c r="Y36" s="13">
        <v>12781.62</v>
      </c>
      <c r="Z36" s="13">
        <v>0</v>
      </c>
      <c r="AA36" s="13">
        <v>0</v>
      </c>
      <c r="AB36" s="13">
        <v>0</v>
      </c>
      <c r="AC36" s="20" t="s">
        <v>84</v>
      </c>
      <c r="AD36" s="14">
        <f t="shared" si="0"/>
        <v>381000.62</v>
      </c>
      <c r="AE36" s="14">
        <f t="shared" si="1"/>
        <v>0</v>
      </c>
      <c r="AF36" s="14">
        <f t="shared" si="2"/>
        <v>381000.62</v>
      </c>
    </row>
    <row r="37" spans="1:32" ht="15.75" x14ac:dyDescent="0.25">
      <c r="A37" s="24" t="s">
        <v>109</v>
      </c>
      <c r="B37" s="27">
        <f>SUM(B28:B36)</f>
        <v>80855204.469999999</v>
      </c>
      <c r="C37" s="27">
        <f t="shared" ref="C37:AB37" si="5">SUM(C28:C36)</f>
        <v>0</v>
      </c>
      <c r="D37" s="27">
        <f t="shared" si="5"/>
        <v>5861007.0700000003</v>
      </c>
      <c r="E37" s="27">
        <f t="shared" si="5"/>
        <v>0</v>
      </c>
      <c r="F37" s="27">
        <f t="shared" si="5"/>
        <v>3700421.2399999998</v>
      </c>
      <c r="G37" s="27">
        <f t="shared" si="5"/>
        <v>0</v>
      </c>
      <c r="H37" s="24" t="s">
        <v>109</v>
      </c>
      <c r="I37" s="27">
        <f t="shared" si="5"/>
        <v>727440.89</v>
      </c>
      <c r="J37" s="27">
        <f t="shared" si="5"/>
        <v>466215.08</v>
      </c>
      <c r="K37" s="27">
        <f t="shared" si="5"/>
        <v>164324.08999999997</v>
      </c>
      <c r="L37" s="27">
        <f t="shared" si="5"/>
        <v>0</v>
      </c>
      <c r="M37" s="27">
        <f t="shared" si="5"/>
        <v>1552280.0799999996</v>
      </c>
      <c r="N37" s="27">
        <f t="shared" si="5"/>
        <v>0</v>
      </c>
      <c r="O37" s="24" t="s">
        <v>109</v>
      </c>
      <c r="P37" s="27">
        <f t="shared" si="5"/>
        <v>438159.57</v>
      </c>
      <c r="Q37" s="27">
        <f t="shared" si="5"/>
        <v>11378780.199999999</v>
      </c>
      <c r="R37" s="27">
        <f t="shared" si="5"/>
        <v>277014.56</v>
      </c>
      <c r="S37" s="27">
        <f t="shared" si="5"/>
        <v>0</v>
      </c>
      <c r="T37" s="27">
        <f t="shared" si="5"/>
        <v>69627.12</v>
      </c>
      <c r="U37" s="27">
        <f t="shared" si="5"/>
        <v>3116911.25</v>
      </c>
      <c r="V37" s="24" t="s">
        <v>109</v>
      </c>
      <c r="W37" s="27">
        <f t="shared" si="5"/>
        <v>1462723.91</v>
      </c>
      <c r="X37" s="27">
        <f t="shared" si="5"/>
        <v>0</v>
      </c>
      <c r="Y37" s="27">
        <f t="shared" si="5"/>
        <v>21614088.949999996</v>
      </c>
      <c r="Z37" s="27">
        <f t="shared" si="5"/>
        <v>0</v>
      </c>
      <c r="AA37" s="27">
        <f t="shared" si="5"/>
        <v>23116869.390000004</v>
      </c>
      <c r="AB37" s="27">
        <f t="shared" si="5"/>
        <v>0</v>
      </c>
      <c r="AC37" s="24" t="s">
        <v>109</v>
      </c>
      <c r="AD37" s="27">
        <f t="shared" si="0"/>
        <v>139839161.34</v>
      </c>
      <c r="AE37" s="27">
        <f t="shared" si="1"/>
        <v>14961906.529999999</v>
      </c>
      <c r="AF37" s="27">
        <f t="shared" si="2"/>
        <v>154801067.87</v>
      </c>
    </row>
    <row r="39" spans="1:32" ht="21" x14ac:dyDescent="0.25">
      <c r="A39" s="25" t="s">
        <v>110</v>
      </c>
      <c r="B39" s="26">
        <f>+B37+B27+B23</f>
        <v>151731549.51999998</v>
      </c>
      <c r="C39" s="26">
        <f t="shared" ref="C39:AB39" si="6">+C37+C27+C23</f>
        <v>50874.22</v>
      </c>
      <c r="D39" s="26">
        <f t="shared" si="6"/>
        <v>9400256.1099999994</v>
      </c>
      <c r="E39" s="26">
        <f t="shared" si="6"/>
        <v>352727.16</v>
      </c>
      <c r="F39" s="26">
        <f t="shared" si="6"/>
        <v>25366367.619999997</v>
      </c>
      <c r="G39" s="26">
        <f t="shared" si="6"/>
        <v>0</v>
      </c>
      <c r="H39" s="25" t="s">
        <v>110</v>
      </c>
      <c r="I39" s="26">
        <f t="shared" si="6"/>
        <v>4482305.87</v>
      </c>
      <c r="J39" s="26">
        <f t="shared" si="6"/>
        <v>602460.19999999995</v>
      </c>
      <c r="K39" s="26">
        <f t="shared" si="6"/>
        <v>4001509.6999999997</v>
      </c>
      <c r="L39" s="26">
        <f t="shared" si="6"/>
        <v>1222240.1000000001</v>
      </c>
      <c r="M39" s="26">
        <f t="shared" si="6"/>
        <v>5715821.1099999994</v>
      </c>
      <c r="N39" s="26">
        <f t="shared" si="6"/>
        <v>295858.96000000002</v>
      </c>
      <c r="O39" s="25" t="s">
        <v>110</v>
      </c>
      <c r="P39" s="26">
        <f t="shared" si="6"/>
        <v>6987814.3600000003</v>
      </c>
      <c r="Q39" s="26">
        <f t="shared" si="6"/>
        <v>13239761.749999998</v>
      </c>
      <c r="R39" s="26">
        <f t="shared" si="6"/>
        <v>5455239.8700000001</v>
      </c>
      <c r="S39" s="26">
        <f t="shared" si="6"/>
        <v>0</v>
      </c>
      <c r="T39" s="26">
        <f t="shared" si="6"/>
        <v>5428254.2800000003</v>
      </c>
      <c r="U39" s="26">
        <f t="shared" si="6"/>
        <v>8112352.4700000007</v>
      </c>
      <c r="V39" s="25" t="s">
        <v>110</v>
      </c>
      <c r="W39" s="26">
        <f t="shared" si="6"/>
        <v>21871997.309999999</v>
      </c>
      <c r="X39" s="26">
        <f t="shared" si="6"/>
        <v>386090.15</v>
      </c>
      <c r="Y39" s="26">
        <f t="shared" si="6"/>
        <v>82560011.019999996</v>
      </c>
      <c r="Z39" s="26">
        <f t="shared" si="6"/>
        <v>0</v>
      </c>
      <c r="AA39" s="26">
        <f t="shared" si="6"/>
        <v>107522671.45</v>
      </c>
      <c r="AB39" s="26">
        <f t="shared" si="6"/>
        <v>0</v>
      </c>
      <c r="AC39" s="25" t="s">
        <v>110</v>
      </c>
      <c r="AD39" s="26">
        <f>+B39+D39+F39+I39+K39+M39+P39+R39+T39+W39+Y39+AA39</f>
        <v>430523798.22000003</v>
      </c>
      <c r="AE39" s="26">
        <f>+C39+E39+G39+J39+L39+N39+Q39+S39+U39+X39+Z39+AB39</f>
        <v>24262365.009999998</v>
      </c>
      <c r="AF39" s="26">
        <f>+AD39+AE39</f>
        <v>454786163.23000002</v>
      </c>
    </row>
    <row r="41" spans="1:32" ht="15.75" x14ac:dyDescent="0.25">
      <c r="A41" s="4" t="s">
        <v>142</v>
      </c>
      <c r="H41" s="4" t="s">
        <v>142</v>
      </c>
      <c r="O41" s="4" t="s">
        <v>142</v>
      </c>
      <c r="V41" s="4" t="s">
        <v>142</v>
      </c>
      <c r="AC41" s="4" t="s">
        <v>142</v>
      </c>
      <c r="AD41" s="31"/>
      <c r="AE41" s="31"/>
      <c r="AF41" s="31"/>
    </row>
  </sheetData>
  <mergeCells count="13">
    <mergeCell ref="M10:N10"/>
    <mergeCell ref="B10:C10"/>
    <mergeCell ref="D10:E10"/>
    <mergeCell ref="F10:G10"/>
    <mergeCell ref="I10:J10"/>
    <mergeCell ref="K10:L10"/>
    <mergeCell ref="AD10:AF10"/>
    <mergeCell ref="P10:Q10"/>
    <mergeCell ref="R10:S10"/>
    <mergeCell ref="T10:U10"/>
    <mergeCell ref="W10:X10"/>
    <mergeCell ref="Y10:Z10"/>
    <mergeCell ref="AA10:AB10"/>
  </mergeCells>
  <pageMargins left="0.7" right="0.18" top="0.75" bottom="0.75" header="0.3" footer="0.3"/>
  <pageSetup paperSize="9" scale="79" fitToWidth="0" orientation="landscape" r:id="rId1"/>
  <colBreaks count="4" manualBreakCount="4">
    <brk id="7" max="40" man="1"/>
    <brk id="14" max="40" man="1"/>
    <brk id="21" max="1048575" man="1"/>
    <brk id="2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view="pageBreakPreview" zoomScale="60" zoomScaleNormal="85" workbookViewId="0">
      <selection activeCell="B56" sqref="B56"/>
    </sheetView>
  </sheetViews>
  <sheetFormatPr baseColWidth="10" defaultRowHeight="15" x14ac:dyDescent="0.25"/>
  <cols>
    <col min="1" max="1" width="49.5703125" bestFit="1" customWidth="1"/>
    <col min="2" max="2" width="24.140625" bestFit="1" customWidth="1"/>
    <col min="3" max="3" width="18" bestFit="1" customWidth="1"/>
    <col min="4" max="4" width="18.42578125" bestFit="1" customWidth="1"/>
    <col min="5" max="5" width="18" bestFit="1" customWidth="1"/>
    <col min="6" max="6" width="20.42578125" bestFit="1" customWidth="1"/>
    <col min="7" max="7" width="18" bestFit="1" customWidth="1"/>
    <col min="8" max="8" width="49.5703125" bestFit="1" customWidth="1"/>
    <col min="9" max="9" width="19.85546875" bestFit="1" customWidth="1"/>
    <col min="10" max="10" width="18" bestFit="1" customWidth="1"/>
    <col min="11" max="11" width="21.28515625" bestFit="1" customWidth="1"/>
    <col min="12" max="12" width="19" bestFit="1" customWidth="1"/>
    <col min="13" max="13" width="20.42578125" bestFit="1" customWidth="1"/>
    <col min="14" max="14" width="18.42578125" bestFit="1" customWidth="1"/>
    <col min="15" max="15" width="49.5703125" bestFit="1" customWidth="1"/>
    <col min="16" max="16" width="17.5703125" bestFit="1" customWidth="1"/>
    <col min="17" max="17" width="12.28515625" bestFit="1" customWidth="1"/>
    <col min="18" max="18" width="17.5703125" bestFit="1" customWidth="1"/>
    <col min="19" max="19" width="12.28515625" bestFit="1" customWidth="1"/>
    <col min="20" max="21" width="17.5703125" bestFit="1" customWidth="1"/>
    <col min="22" max="22" width="49.5703125" bestFit="1" customWidth="1"/>
    <col min="23" max="23" width="21.28515625" bestFit="1" customWidth="1"/>
    <col min="24" max="25" width="20.85546875" bestFit="1" customWidth="1"/>
    <col min="26" max="26" width="18" bestFit="1" customWidth="1"/>
    <col min="27" max="27" width="22.5703125" bestFit="1" customWidth="1"/>
    <col min="28" max="28" width="18" bestFit="1" customWidth="1"/>
    <col min="29" max="29" width="49.5703125" bestFit="1" customWidth="1"/>
    <col min="30" max="30" width="23" bestFit="1" customWidth="1"/>
    <col min="31" max="31" width="21.28515625" bestFit="1" customWidth="1"/>
    <col min="32" max="32" width="22.5703125" bestFit="1" customWidth="1"/>
  </cols>
  <sheetData>
    <row r="1" spans="1:32" x14ac:dyDescent="0.25">
      <c r="AD1" s="31"/>
      <c r="AE1" s="31"/>
      <c r="AF1" s="31"/>
    </row>
    <row r="2" spans="1:32" x14ac:dyDescent="0.25">
      <c r="AD2" s="31"/>
      <c r="AE2" s="31"/>
      <c r="AF2" s="31"/>
    </row>
    <row r="3" spans="1:32" x14ac:dyDescent="0.25">
      <c r="AD3" s="31"/>
      <c r="AE3" s="31"/>
      <c r="AF3" s="31"/>
    </row>
    <row r="4" spans="1:32" ht="18.75" x14ac:dyDescent="0.3">
      <c r="A4" s="1"/>
      <c r="H4" s="1"/>
      <c r="O4" s="1"/>
      <c r="V4" s="1"/>
      <c r="AC4" s="1"/>
      <c r="AD4" s="31"/>
      <c r="AE4" s="31"/>
      <c r="AF4" s="31"/>
    </row>
    <row r="5" spans="1:32" ht="18.75" x14ac:dyDescent="0.3">
      <c r="A5" s="2" t="s">
        <v>127</v>
      </c>
      <c r="H5" s="2" t="s">
        <v>127</v>
      </c>
      <c r="O5" s="2" t="s">
        <v>127</v>
      </c>
      <c r="V5" s="2" t="s">
        <v>127</v>
      </c>
      <c r="AC5" s="2" t="s">
        <v>127</v>
      </c>
      <c r="AD5" s="31"/>
      <c r="AE5" s="31"/>
      <c r="AF5" s="31"/>
    </row>
    <row r="6" spans="1:32" x14ac:dyDescent="0.25">
      <c r="A6" s="15" t="s">
        <v>1</v>
      </c>
      <c r="B6" s="15"/>
      <c r="H6" s="15" t="s">
        <v>1</v>
      </c>
      <c r="O6" s="15" t="s">
        <v>1</v>
      </c>
      <c r="V6" s="15" t="s">
        <v>1</v>
      </c>
      <c r="AC6" s="15" t="s">
        <v>1</v>
      </c>
      <c r="AD6" s="31"/>
      <c r="AE6" s="31"/>
      <c r="AF6" s="31"/>
    </row>
    <row r="7" spans="1:32" x14ac:dyDescent="0.25">
      <c r="A7" s="15"/>
      <c r="B7" s="15"/>
      <c r="H7" s="15"/>
      <c r="O7" s="15"/>
      <c r="V7" s="15"/>
      <c r="AC7" s="15"/>
      <c r="AD7" s="31"/>
      <c r="AE7" s="31"/>
      <c r="AF7" s="31"/>
    </row>
    <row r="8" spans="1:32" ht="16.5" customHeight="1" x14ac:dyDescent="0.35">
      <c r="A8" s="34" t="s">
        <v>140</v>
      </c>
      <c r="H8" s="34" t="s">
        <v>140</v>
      </c>
      <c r="O8" s="34" t="s">
        <v>140</v>
      </c>
      <c r="V8" s="34" t="s">
        <v>140</v>
      </c>
      <c r="AC8" s="34" t="s">
        <v>140</v>
      </c>
      <c r="AD8" s="31"/>
      <c r="AE8" s="31"/>
    </row>
    <row r="9" spans="1:32" x14ac:dyDescent="0.25">
      <c r="A9" s="16" t="s">
        <v>2</v>
      </c>
      <c r="B9" s="16" t="s">
        <v>3</v>
      </c>
      <c r="C9" s="17"/>
      <c r="D9" s="16">
        <v>2007</v>
      </c>
      <c r="E9" s="17"/>
      <c r="F9" s="16">
        <v>2008</v>
      </c>
      <c r="G9" s="17"/>
      <c r="H9" s="16" t="s">
        <v>2</v>
      </c>
      <c r="I9" s="16">
        <v>2009</v>
      </c>
      <c r="J9" s="17"/>
      <c r="K9" s="16">
        <v>2010</v>
      </c>
      <c r="L9" s="17"/>
      <c r="M9" s="16">
        <v>2011</v>
      </c>
      <c r="N9" s="17"/>
      <c r="O9" s="16" t="s">
        <v>2</v>
      </c>
      <c r="P9" s="16">
        <v>2012</v>
      </c>
      <c r="Q9" s="17"/>
      <c r="R9" s="16">
        <v>2013</v>
      </c>
      <c r="S9" s="17"/>
      <c r="T9" s="16">
        <v>2014</v>
      </c>
      <c r="U9" s="17"/>
      <c r="V9" s="16" t="s">
        <v>2</v>
      </c>
      <c r="W9" s="16">
        <v>2015</v>
      </c>
      <c r="X9" s="17"/>
      <c r="Y9" s="16">
        <v>2016</v>
      </c>
      <c r="Z9" s="17"/>
      <c r="AA9" s="16">
        <v>2017</v>
      </c>
      <c r="AB9" s="17"/>
      <c r="AC9" s="16" t="s">
        <v>2</v>
      </c>
      <c r="AD9" s="43" t="s">
        <v>4</v>
      </c>
      <c r="AE9" s="43"/>
      <c r="AF9" s="43"/>
    </row>
    <row r="10" spans="1:32" x14ac:dyDescent="0.25">
      <c r="A10" s="16" t="s">
        <v>5</v>
      </c>
      <c r="B10" s="3" t="s">
        <v>6</v>
      </c>
      <c r="C10" s="3" t="s">
        <v>7</v>
      </c>
      <c r="D10" s="3" t="s">
        <v>6</v>
      </c>
      <c r="E10" s="3" t="s">
        <v>7</v>
      </c>
      <c r="F10" s="3" t="s">
        <v>6</v>
      </c>
      <c r="G10" s="3" t="s">
        <v>7</v>
      </c>
      <c r="H10" s="16" t="s">
        <v>5</v>
      </c>
      <c r="I10" s="3" t="s">
        <v>6</v>
      </c>
      <c r="J10" s="3" t="s">
        <v>7</v>
      </c>
      <c r="K10" s="3" t="s">
        <v>6</v>
      </c>
      <c r="L10" s="3" t="s">
        <v>7</v>
      </c>
      <c r="M10" s="3" t="s">
        <v>6</v>
      </c>
      <c r="N10" s="3" t="s">
        <v>7</v>
      </c>
      <c r="O10" s="16" t="s">
        <v>5</v>
      </c>
      <c r="P10" s="3" t="s">
        <v>6</v>
      </c>
      <c r="Q10" s="3" t="s">
        <v>7</v>
      </c>
      <c r="R10" s="3" t="s">
        <v>6</v>
      </c>
      <c r="S10" s="3" t="s">
        <v>7</v>
      </c>
      <c r="T10" s="3" t="s">
        <v>6</v>
      </c>
      <c r="U10" s="3" t="s">
        <v>7</v>
      </c>
      <c r="V10" s="16" t="s">
        <v>5</v>
      </c>
      <c r="W10" s="3" t="s">
        <v>6</v>
      </c>
      <c r="X10" s="3" t="s">
        <v>7</v>
      </c>
      <c r="Y10" s="3" t="s">
        <v>6</v>
      </c>
      <c r="Z10" s="3" t="s">
        <v>7</v>
      </c>
      <c r="AA10" s="3" t="s">
        <v>6</v>
      </c>
      <c r="AB10" s="3" t="s">
        <v>7</v>
      </c>
      <c r="AC10" s="16" t="s">
        <v>5</v>
      </c>
      <c r="AD10" s="3" t="s">
        <v>6</v>
      </c>
      <c r="AE10" s="3" t="s">
        <v>7</v>
      </c>
      <c r="AF10" s="3" t="s">
        <v>137</v>
      </c>
    </row>
    <row r="11" spans="1:32" x14ac:dyDescent="0.25">
      <c r="A11" s="20" t="s">
        <v>85</v>
      </c>
      <c r="B11" s="13">
        <v>0</v>
      </c>
      <c r="C11" s="13">
        <v>0</v>
      </c>
      <c r="D11" s="13">
        <v>0</v>
      </c>
      <c r="E11" s="13">
        <v>0</v>
      </c>
      <c r="F11" s="13">
        <v>268383.78999999998</v>
      </c>
      <c r="G11" s="13">
        <v>0</v>
      </c>
      <c r="H11" s="20" t="s">
        <v>85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20" t="s">
        <v>85</v>
      </c>
      <c r="P11" s="13">
        <v>0</v>
      </c>
      <c r="Q11" s="13">
        <v>0</v>
      </c>
      <c r="R11" s="13">
        <v>0</v>
      </c>
      <c r="S11" s="13">
        <v>0</v>
      </c>
      <c r="T11" s="13">
        <v>295073.6399999999</v>
      </c>
      <c r="U11" s="13">
        <v>1323753.83</v>
      </c>
      <c r="V11" s="20" t="s">
        <v>85</v>
      </c>
      <c r="W11" s="13">
        <v>612277.32999999996</v>
      </c>
      <c r="X11" s="13">
        <v>0</v>
      </c>
      <c r="Y11" s="13">
        <v>3488916.24</v>
      </c>
      <c r="Z11" s="13">
        <v>0</v>
      </c>
      <c r="AA11" s="13">
        <v>9384871.4900000002</v>
      </c>
      <c r="AB11" s="13">
        <v>0</v>
      </c>
      <c r="AC11" s="20" t="s">
        <v>85</v>
      </c>
      <c r="AD11" s="14">
        <f>+B11+D11+F11+I11+K11+M11+P11+R11+T11+W11+Y11+AA11</f>
        <v>14049522.49</v>
      </c>
      <c r="AE11" s="14">
        <f>+C11+E11+G11+J11+L11+N11+Q11+S11+U11+X11+Z11+AB11</f>
        <v>1323753.83</v>
      </c>
      <c r="AF11" s="14">
        <f>+AD11+AE11</f>
        <v>15373276.32</v>
      </c>
    </row>
    <row r="12" spans="1:32" x14ac:dyDescent="0.25">
      <c r="A12" s="20" t="s">
        <v>86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20" t="s">
        <v>86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20" t="s">
        <v>86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20" t="s">
        <v>86</v>
      </c>
      <c r="W12" s="13">
        <v>0</v>
      </c>
      <c r="X12" s="13">
        <v>0</v>
      </c>
      <c r="Y12" s="13">
        <v>1249325.33</v>
      </c>
      <c r="Z12" s="13">
        <v>0</v>
      </c>
      <c r="AA12" s="13">
        <v>6670749.8899999997</v>
      </c>
      <c r="AB12" s="13">
        <v>0</v>
      </c>
      <c r="AC12" s="20" t="s">
        <v>86</v>
      </c>
      <c r="AD12" s="14">
        <f t="shared" ref="AD12:AD48" si="0">+B12+D12+F12+I12+K12+M12+P12+R12+T12+W12+Y12+AA12</f>
        <v>7920075.2199999997</v>
      </c>
      <c r="AE12" s="14">
        <f t="shared" ref="AE12:AE47" si="1">+C12+E12+G12+J12+L12+N12+Q12+S12+U12+X12+Z12+AB12</f>
        <v>0</v>
      </c>
      <c r="AF12" s="14">
        <f t="shared" ref="AF12:AF47" si="2">+AD12+AE12</f>
        <v>7920075.2199999997</v>
      </c>
    </row>
    <row r="13" spans="1:32" x14ac:dyDescent="0.25">
      <c r="A13" s="20" t="s">
        <v>87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20" t="s">
        <v>87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20" t="s">
        <v>87</v>
      </c>
      <c r="P13" s="13">
        <v>0</v>
      </c>
      <c r="Q13" s="13">
        <v>0</v>
      </c>
      <c r="R13" s="13">
        <v>0</v>
      </c>
      <c r="S13" s="13">
        <v>0</v>
      </c>
      <c r="T13" s="13">
        <v>4079854.12</v>
      </c>
      <c r="U13" s="13">
        <v>0</v>
      </c>
      <c r="V13" s="20" t="s">
        <v>87</v>
      </c>
      <c r="W13" s="13">
        <v>579498.41</v>
      </c>
      <c r="X13" s="13">
        <v>0</v>
      </c>
      <c r="Y13" s="13">
        <v>2356837.5</v>
      </c>
      <c r="Z13" s="13">
        <v>0</v>
      </c>
      <c r="AA13" s="13">
        <v>4188042.8</v>
      </c>
      <c r="AB13" s="13">
        <v>0</v>
      </c>
      <c r="AC13" s="20" t="s">
        <v>87</v>
      </c>
      <c r="AD13" s="14">
        <f t="shared" si="0"/>
        <v>11204232.83</v>
      </c>
      <c r="AE13" s="14">
        <f t="shared" si="1"/>
        <v>0</v>
      </c>
      <c r="AF13" s="14">
        <f t="shared" si="2"/>
        <v>11204232.83</v>
      </c>
    </row>
    <row r="14" spans="1:32" x14ac:dyDescent="0.25">
      <c r="A14" s="20" t="s">
        <v>88</v>
      </c>
      <c r="B14" s="13">
        <v>2014671.41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20" t="s">
        <v>88</v>
      </c>
      <c r="I14" s="13">
        <v>547127.48999999987</v>
      </c>
      <c r="J14" s="13">
        <v>0</v>
      </c>
      <c r="K14" s="13">
        <v>509756.31</v>
      </c>
      <c r="L14" s="13">
        <v>0</v>
      </c>
      <c r="M14" s="13">
        <v>0</v>
      </c>
      <c r="N14" s="13">
        <v>0</v>
      </c>
      <c r="O14" s="20" t="s">
        <v>88</v>
      </c>
      <c r="P14" s="13">
        <v>0</v>
      </c>
      <c r="Q14" s="13">
        <v>0</v>
      </c>
      <c r="R14" s="13">
        <v>0</v>
      </c>
      <c r="S14" s="13">
        <v>0</v>
      </c>
      <c r="T14" s="13">
        <v>51280.170000000013</v>
      </c>
      <c r="U14" s="13">
        <v>0</v>
      </c>
      <c r="V14" s="20" t="s">
        <v>88</v>
      </c>
      <c r="W14" s="13">
        <v>598094.41</v>
      </c>
      <c r="X14" s="13">
        <v>0</v>
      </c>
      <c r="Y14" s="13">
        <v>184581.78</v>
      </c>
      <c r="Z14" s="13">
        <v>0</v>
      </c>
      <c r="AA14" s="13">
        <v>20178902.620000001</v>
      </c>
      <c r="AB14" s="13">
        <v>0</v>
      </c>
      <c r="AC14" s="20" t="s">
        <v>88</v>
      </c>
      <c r="AD14" s="14">
        <f t="shared" si="0"/>
        <v>24084414.190000001</v>
      </c>
      <c r="AE14" s="14">
        <f t="shared" si="1"/>
        <v>0</v>
      </c>
      <c r="AF14" s="14">
        <f t="shared" si="2"/>
        <v>24084414.190000001</v>
      </c>
    </row>
    <row r="15" spans="1:32" x14ac:dyDescent="0.25">
      <c r="A15" s="20" t="s">
        <v>89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20" t="s">
        <v>89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20" t="s">
        <v>89</v>
      </c>
      <c r="P15" s="13">
        <v>0</v>
      </c>
      <c r="Q15" s="13">
        <v>0</v>
      </c>
      <c r="R15" s="13">
        <v>0</v>
      </c>
      <c r="S15" s="13">
        <v>0</v>
      </c>
      <c r="T15" s="13">
        <v>406153.07</v>
      </c>
      <c r="U15" s="13">
        <v>3466909.99</v>
      </c>
      <c r="V15" s="20" t="s">
        <v>89</v>
      </c>
      <c r="W15" s="13">
        <v>1291755.1299999999</v>
      </c>
      <c r="X15" s="13">
        <v>0</v>
      </c>
      <c r="Y15" s="13">
        <v>3459598.73</v>
      </c>
      <c r="Z15" s="13">
        <v>0</v>
      </c>
      <c r="AA15" s="13">
        <v>8992064.2400000002</v>
      </c>
      <c r="AB15" s="13">
        <v>0</v>
      </c>
      <c r="AC15" s="20" t="s">
        <v>89</v>
      </c>
      <c r="AD15" s="14">
        <f t="shared" si="0"/>
        <v>14149571.17</v>
      </c>
      <c r="AE15" s="14">
        <f t="shared" si="1"/>
        <v>3466909.99</v>
      </c>
      <c r="AF15" s="14">
        <f t="shared" si="2"/>
        <v>17616481.16</v>
      </c>
    </row>
    <row r="16" spans="1:32" x14ac:dyDescent="0.25">
      <c r="A16" s="20" t="s">
        <v>90</v>
      </c>
      <c r="B16" s="13">
        <v>35436696.919999994</v>
      </c>
      <c r="C16" s="13">
        <v>0</v>
      </c>
      <c r="D16" s="13">
        <v>789493.67</v>
      </c>
      <c r="E16" s="13">
        <v>0</v>
      </c>
      <c r="F16" s="13">
        <v>229031.31</v>
      </c>
      <c r="G16" s="13">
        <v>0</v>
      </c>
      <c r="H16" s="20" t="s">
        <v>90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20" t="s">
        <v>90</v>
      </c>
      <c r="P16" s="13">
        <v>162854.59</v>
      </c>
      <c r="Q16" s="13">
        <v>0</v>
      </c>
      <c r="R16" s="13">
        <v>28710.780000000006</v>
      </c>
      <c r="S16" s="13">
        <v>0</v>
      </c>
      <c r="T16" s="13">
        <v>570727.61</v>
      </c>
      <c r="U16" s="13">
        <v>8087411.4199999999</v>
      </c>
      <c r="V16" s="20" t="s">
        <v>90</v>
      </c>
      <c r="W16" s="13">
        <v>197719.78</v>
      </c>
      <c r="X16" s="13">
        <v>0</v>
      </c>
      <c r="Y16" s="13">
        <v>2243550.4</v>
      </c>
      <c r="Z16" s="13">
        <v>0</v>
      </c>
      <c r="AA16" s="13">
        <v>15123428.59</v>
      </c>
      <c r="AB16" s="13">
        <v>0</v>
      </c>
      <c r="AC16" s="20" t="s">
        <v>90</v>
      </c>
      <c r="AD16" s="14">
        <f t="shared" si="0"/>
        <v>54782213.650000006</v>
      </c>
      <c r="AE16" s="14">
        <f t="shared" si="1"/>
        <v>8087411.4199999999</v>
      </c>
      <c r="AF16" s="14">
        <f t="shared" si="2"/>
        <v>62869625.070000008</v>
      </c>
    </row>
    <row r="17" spans="1:32" x14ac:dyDescent="0.25">
      <c r="A17" s="20" t="s">
        <v>91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20" t="s">
        <v>91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20" t="s">
        <v>91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394147.46</v>
      </c>
      <c r="V17" s="20" t="s">
        <v>91</v>
      </c>
      <c r="W17" s="13">
        <v>0</v>
      </c>
      <c r="X17" s="13">
        <v>0</v>
      </c>
      <c r="Y17" s="13">
        <v>685468.25</v>
      </c>
      <c r="Z17" s="13">
        <v>0</v>
      </c>
      <c r="AA17" s="13">
        <v>8179294.4400000004</v>
      </c>
      <c r="AB17" s="13">
        <v>0</v>
      </c>
      <c r="AC17" s="20" t="s">
        <v>91</v>
      </c>
      <c r="AD17" s="14">
        <f t="shared" si="0"/>
        <v>8864762.6900000013</v>
      </c>
      <c r="AE17" s="14">
        <f t="shared" si="1"/>
        <v>394147.46</v>
      </c>
      <c r="AF17" s="14">
        <f t="shared" si="2"/>
        <v>9258910.1500000022</v>
      </c>
    </row>
    <row r="18" spans="1:32" x14ac:dyDescent="0.25">
      <c r="A18" s="20" t="s">
        <v>92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20" t="s">
        <v>92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20" t="s">
        <v>92</v>
      </c>
      <c r="P18" s="13">
        <v>229867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20" t="s">
        <v>92</v>
      </c>
      <c r="W18" s="13">
        <v>938421.59</v>
      </c>
      <c r="X18" s="13">
        <v>0</v>
      </c>
      <c r="Y18" s="13">
        <v>1865687.22</v>
      </c>
      <c r="Z18" s="13">
        <v>0</v>
      </c>
      <c r="AA18" s="13">
        <v>6375508.2599999998</v>
      </c>
      <c r="AB18" s="13">
        <v>0</v>
      </c>
      <c r="AC18" s="20" t="s">
        <v>92</v>
      </c>
      <c r="AD18" s="14">
        <f t="shared" si="0"/>
        <v>9409484.0700000003</v>
      </c>
      <c r="AE18" s="14">
        <f t="shared" si="1"/>
        <v>0</v>
      </c>
      <c r="AF18" s="14">
        <f t="shared" si="2"/>
        <v>9409484.0700000003</v>
      </c>
    </row>
    <row r="19" spans="1:32" x14ac:dyDescent="0.25">
      <c r="A19" s="20" t="s">
        <v>93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20" t="s">
        <v>93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20" t="s">
        <v>93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14702121.23</v>
      </c>
      <c r="V19" s="20" t="s">
        <v>93</v>
      </c>
      <c r="W19" s="13">
        <v>114988.36</v>
      </c>
      <c r="X19" s="13">
        <v>0</v>
      </c>
      <c r="Y19" s="13">
        <v>1689691.17</v>
      </c>
      <c r="Z19" s="13">
        <v>0</v>
      </c>
      <c r="AA19" s="13">
        <v>21404301.949999999</v>
      </c>
      <c r="AB19" s="13">
        <v>0</v>
      </c>
      <c r="AC19" s="20" t="s">
        <v>93</v>
      </c>
      <c r="AD19" s="14">
        <f t="shared" si="0"/>
        <v>23208981.48</v>
      </c>
      <c r="AE19" s="14">
        <f t="shared" si="1"/>
        <v>14702121.23</v>
      </c>
      <c r="AF19" s="14">
        <f t="shared" si="2"/>
        <v>37911102.710000001</v>
      </c>
    </row>
    <row r="20" spans="1:32" x14ac:dyDescent="0.25">
      <c r="A20" s="20" t="s">
        <v>94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20" t="s">
        <v>94</v>
      </c>
      <c r="I20" s="13">
        <v>6035556.6699999999</v>
      </c>
      <c r="J20" s="13">
        <v>0</v>
      </c>
      <c r="K20" s="13">
        <v>2257040.77</v>
      </c>
      <c r="L20" s="13">
        <v>0</v>
      </c>
      <c r="M20" s="13">
        <v>894085.96</v>
      </c>
      <c r="N20" s="13">
        <v>0</v>
      </c>
      <c r="O20" s="20" t="s">
        <v>94</v>
      </c>
      <c r="P20" s="13">
        <v>17598755.690000001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20" t="s">
        <v>94</v>
      </c>
      <c r="W20" s="13">
        <v>335700.37</v>
      </c>
      <c r="X20" s="13">
        <v>0</v>
      </c>
      <c r="Y20" s="13">
        <v>6286695.2400000002</v>
      </c>
      <c r="Z20" s="13">
        <v>0</v>
      </c>
      <c r="AA20" s="13">
        <v>33407834.699999999</v>
      </c>
      <c r="AB20" s="13">
        <v>0</v>
      </c>
      <c r="AC20" s="20" t="s">
        <v>94</v>
      </c>
      <c r="AD20" s="14">
        <f t="shared" si="0"/>
        <v>66815669.400000006</v>
      </c>
      <c r="AE20" s="14">
        <f t="shared" si="1"/>
        <v>0</v>
      </c>
      <c r="AF20" s="14">
        <f t="shared" si="2"/>
        <v>66815669.400000006</v>
      </c>
    </row>
    <row r="21" spans="1:32" x14ac:dyDescent="0.25">
      <c r="A21" s="20" t="s">
        <v>95</v>
      </c>
      <c r="B21" s="13">
        <v>3102350.71</v>
      </c>
      <c r="C21" s="13">
        <v>0</v>
      </c>
      <c r="D21" s="13">
        <v>260236.49</v>
      </c>
      <c r="E21" s="13">
        <v>0</v>
      </c>
      <c r="F21" s="13">
        <v>939491.05</v>
      </c>
      <c r="G21" s="13">
        <v>0</v>
      </c>
      <c r="H21" s="20" t="s">
        <v>95</v>
      </c>
      <c r="I21" s="13">
        <v>12522654.01</v>
      </c>
      <c r="J21" s="13">
        <v>0</v>
      </c>
      <c r="K21" s="13">
        <v>20027101.719999999</v>
      </c>
      <c r="L21" s="13">
        <v>0</v>
      </c>
      <c r="M21" s="13">
        <v>38270791.619999997</v>
      </c>
      <c r="N21" s="13">
        <v>0</v>
      </c>
      <c r="O21" s="20" t="s">
        <v>95</v>
      </c>
      <c r="P21" s="13">
        <v>48622435.149999999</v>
      </c>
      <c r="Q21" s="13">
        <v>0</v>
      </c>
      <c r="R21" s="13">
        <v>9663631.0399999991</v>
      </c>
      <c r="S21" s="13">
        <v>0</v>
      </c>
      <c r="T21" s="13">
        <v>36118798.93</v>
      </c>
      <c r="U21" s="13">
        <v>8438722.3100000005</v>
      </c>
      <c r="V21" s="20" t="s">
        <v>95</v>
      </c>
      <c r="W21" s="13">
        <v>10963794.029999999</v>
      </c>
      <c r="X21" s="13">
        <v>0</v>
      </c>
      <c r="Y21" s="13">
        <v>19970937.170000002</v>
      </c>
      <c r="Z21" s="13">
        <v>0</v>
      </c>
      <c r="AA21" s="13">
        <v>8325678.2400000002</v>
      </c>
      <c r="AB21" s="13">
        <v>0</v>
      </c>
      <c r="AC21" s="20" t="s">
        <v>95</v>
      </c>
      <c r="AD21" s="14">
        <f t="shared" si="0"/>
        <v>208787900.16000003</v>
      </c>
      <c r="AE21" s="14">
        <f t="shared" si="1"/>
        <v>8438722.3100000005</v>
      </c>
      <c r="AF21" s="14">
        <f t="shared" si="2"/>
        <v>217226622.47000003</v>
      </c>
    </row>
    <row r="22" spans="1:32" x14ac:dyDescent="0.25">
      <c r="A22" s="20" t="s">
        <v>96</v>
      </c>
      <c r="B22" s="13">
        <v>33396.33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20" t="s">
        <v>96</v>
      </c>
      <c r="I22" s="13">
        <v>0</v>
      </c>
      <c r="J22" s="13">
        <v>0</v>
      </c>
      <c r="K22" s="13">
        <v>4959.55</v>
      </c>
      <c r="L22" s="13">
        <v>0</v>
      </c>
      <c r="M22" s="13">
        <v>6703.26</v>
      </c>
      <c r="N22" s="13">
        <v>0</v>
      </c>
      <c r="O22" s="20" t="s">
        <v>96</v>
      </c>
      <c r="P22" s="13">
        <v>6040.81</v>
      </c>
      <c r="Q22" s="13">
        <v>0</v>
      </c>
      <c r="R22" s="13">
        <v>6910277.4100000001</v>
      </c>
      <c r="S22" s="13">
        <v>0</v>
      </c>
      <c r="T22" s="13">
        <v>0</v>
      </c>
      <c r="U22" s="13">
        <v>8701239.5500000007</v>
      </c>
      <c r="V22" s="20" t="s">
        <v>96</v>
      </c>
      <c r="W22" s="13">
        <v>9034871.7899999991</v>
      </c>
      <c r="X22" s="13">
        <v>0</v>
      </c>
      <c r="Y22" s="13">
        <v>1101451.71</v>
      </c>
      <c r="Z22" s="13">
        <v>0</v>
      </c>
      <c r="AA22" s="13">
        <v>3776087.52</v>
      </c>
      <c r="AB22" s="13">
        <v>0</v>
      </c>
      <c r="AC22" s="20" t="s">
        <v>96</v>
      </c>
      <c r="AD22" s="14">
        <f t="shared" si="0"/>
        <v>20873788.379999999</v>
      </c>
      <c r="AE22" s="14">
        <f t="shared" si="1"/>
        <v>8701239.5500000007</v>
      </c>
      <c r="AF22" s="14">
        <f t="shared" si="2"/>
        <v>29575027.93</v>
      </c>
    </row>
    <row r="23" spans="1:32" x14ac:dyDescent="0.25">
      <c r="A23" s="20" t="s">
        <v>97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20" t="s">
        <v>97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20" t="s">
        <v>97</v>
      </c>
      <c r="P23" s="13">
        <v>0</v>
      </c>
      <c r="Q23" s="13">
        <v>0</v>
      </c>
      <c r="R23" s="13">
        <v>0</v>
      </c>
      <c r="S23" s="13">
        <v>0</v>
      </c>
      <c r="T23" s="13">
        <v>248686.59</v>
      </c>
      <c r="U23" s="13">
        <v>4112931.43</v>
      </c>
      <c r="V23" s="20" t="s">
        <v>97</v>
      </c>
      <c r="W23" s="13">
        <v>145448.14000000001</v>
      </c>
      <c r="X23" s="13">
        <v>0</v>
      </c>
      <c r="Y23" s="13">
        <v>2448790.4700000002</v>
      </c>
      <c r="Z23" s="13">
        <v>0</v>
      </c>
      <c r="AA23" s="13">
        <v>7356472.0499999998</v>
      </c>
      <c r="AB23" s="13">
        <v>0</v>
      </c>
      <c r="AC23" s="20" t="s">
        <v>97</v>
      </c>
      <c r="AD23" s="14">
        <f t="shared" si="0"/>
        <v>10199397.25</v>
      </c>
      <c r="AE23" s="14">
        <f t="shared" si="1"/>
        <v>4112931.43</v>
      </c>
      <c r="AF23" s="14">
        <f t="shared" si="2"/>
        <v>14312328.68</v>
      </c>
    </row>
    <row r="24" spans="1:32" x14ac:dyDescent="0.25">
      <c r="A24" s="20" t="s">
        <v>98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20" t="s">
        <v>98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20" t="s">
        <v>98</v>
      </c>
      <c r="P24" s="13">
        <v>0</v>
      </c>
      <c r="Q24" s="13">
        <v>0</v>
      </c>
      <c r="R24" s="13">
        <v>980568.53</v>
      </c>
      <c r="S24" s="13">
        <v>0</v>
      </c>
      <c r="T24" s="13">
        <v>0</v>
      </c>
      <c r="U24" s="13">
        <v>7842449.8200000003</v>
      </c>
      <c r="V24" s="20" t="s">
        <v>98</v>
      </c>
      <c r="W24" s="13">
        <v>850890.36</v>
      </c>
      <c r="X24" s="13">
        <v>0</v>
      </c>
      <c r="Y24" s="13">
        <v>830045.75</v>
      </c>
      <c r="Z24" s="13">
        <v>0</v>
      </c>
      <c r="AA24" s="13">
        <v>17423410.829999998</v>
      </c>
      <c r="AB24" s="13">
        <v>0</v>
      </c>
      <c r="AC24" s="20" t="s">
        <v>98</v>
      </c>
      <c r="AD24" s="14">
        <f t="shared" si="0"/>
        <v>20084915.469999999</v>
      </c>
      <c r="AE24" s="14">
        <f t="shared" si="1"/>
        <v>7842449.8200000003</v>
      </c>
      <c r="AF24" s="14">
        <f t="shared" si="2"/>
        <v>27927365.289999999</v>
      </c>
    </row>
    <row r="25" spans="1:32" ht="15.75" x14ac:dyDescent="0.25">
      <c r="A25" s="23" t="s">
        <v>107</v>
      </c>
      <c r="B25" s="27">
        <f>SUM(B11:B24)</f>
        <v>40587115.36999999</v>
      </c>
      <c r="C25" s="27">
        <f t="shared" ref="C25:Z25" si="3">SUM(C11:C24)</f>
        <v>0</v>
      </c>
      <c r="D25" s="27">
        <f t="shared" si="3"/>
        <v>1049730.1600000001</v>
      </c>
      <c r="E25" s="27">
        <f t="shared" si="3"/>
        <v>0</v>
      </c>
      <c r="F25" s="27">
        <f t="shared" si="3"/>
        <v>1436906.15</v>
      </c>
      <c r="G25" s="27">
        <f t="shared" si="3"/>
        <v>0</v>
      </c>
      <c r="H25" s="23" t="s">
        <v>107</v>
      </c>
      <c r="I25" s="27">
        <f t="shared" si="3"/>
        <v>19105338.170000002</v>
      </c>
      <c r="J25" s="27">
        <f t="shared" si="3"/>
        <v>0</v>
      </c>
      <c r="K25" s="27">
        <f t="shared" si="3"/>
        <v>22798858.349999998</v>
      </c>
      <c r="L25" s="27">
        <f t="shared" si="3"/>
        <v>0</v>
      </c>
      <c r="M25" s="27">
        <f t="shared" si="3"/>
        <v>39171580.839999996</v>
      </c>
      <c r="N25" s="27">
        <f t="shared" si="3"/>
        <v>0</v>
      </c>
      <c r="O25" s="23" t="s">
        <v>107</v>
      </c>
      <c r="P25" s="27">
        <f t="shared" si="3"/>
        <v>66619953.240000002</v>
      </c>
      <c r="Q25" s="27">
        <f t="shared" si="3"/>
        <v>0</v>
      </c>
      <c r="R25" s="27">
        <f t="shared" si="3"/>
        <v>17583187.759999998</v>
      </c>
      <c r="S25" s="27">
        <f t="shared" si="3"/>
        <v>0</v>
      </c>
      <c r="T25" s="27">
        <f t="shared" si="3"/>
        <v>41770574.130000003</v>
      </c>
      <c r="U25" s="27">
        <f t="shared" si="3"/>
        <v>57069687.040000007</v>
      </c>
      <c r="V25" s="23" t="s">
        <v>107</v>
      </c>
      <c r="W25" s="27">
        <f t="shared" si="3"/>
        <v>25663459.699999999</v>
      </c>
      <c r="X25" s="27">
        <f t="shared" si="3"/>
        <v>0</v>
      </c>
      <c r="Y25" s="27">
        <f t="shared" si="3"/>
        <v>47861576.960000001</v>
      </c>
      <c r="Z25" s="27">
        <f t="shared" si="3"/>
        <v>0</v>
      </c>
      <c r="AA25" s="27">
        <f>SUM(AA11:AA24)</f>
        <v>170786647.62</v>
      </c>
      <c r="AB25" s="27">
        <f>SUM(AB11:AB24)</f>
        <v>0</v>
      </c>
      <c r="AC25" s="23" t="s">
        <v>107</v>
      </c>
      <c r="AD25" s="27">
        <f>+B25+D25+F25+I25+K25+M25+P25+R25+T25+W25+Y25+AA25</f>
        <v>494434928.44999999</v>
      </c>
      <c r="AE25" s="27">
        <f t="shared" si="1"/>
        <v>57069687.040000007</v>
      </c>
      <c r="AF25" s="27">
        <f t="shared" si="2"/>
        <v>551504615.49000001</v>
      </c>
    </row>
    <row r="26" spans="1:32" x14ac:dyDescent="0.25">
      <c r="A26" s="20" t="s">
        <v>112</v>
      </c>
      <c r="B26" s="13">
        <v>103325.09999999999</v>
      </c>
      <c r="C26" s="13">
        <v>0</v>
      </c>
      <c r="D26" s="13">
        <v>192179.18</v>
      </c>
      <c r="E26" s="13">
        <v>0</v>
      </c>
      <c r="F26" s="13">
        <v>81249.75999999998</v>
      </c>
      <c r="G26" s="13">
        <v>0</v>
      </c>
      <c r="H26" s="20" t="s">
        <v>112</v>
      </c>
      <c r="I26" s="13">
        <v>0</v>
      </c>
      <c r="J26" s="13">
        <v>0</v>
      </c>
      <c r="K26" s="13">
        <v>93329.18</v>
      </c>
      <c r="L26" s="13">
        <v>0</v>
      </c>
      <c r="M26" s="13">
        <v>15695.45</v>
      </c>
      <c r="N26" s="13">
        <v>0</v>
      </c>
      <c r="O26" s="20" t="s">
        <v>112</v>
      </c>
      <c r="P26" s="13">
        <v>122953.88</v>
      </c>
      <c r="Q26" s="13">
        <v>0</v>
      </c>
      <c r="R26" s="13">
        <v>374708.72</v>
      </c>
      <c r="S26" s="13">
        <v>0</v>
      </c>
      <c r="T26" s="13">
        <v>117579.64</v>
      </c>
      <c r="U26" s="13">
        <v>0</v>
      </c>
      <c r="V26" s="20" t="s">
        <v>112</v>
      </c>
      <c r="W26" s="13">
        <v>214395.04</v>
      </c>
      <c r="X26" s="13">
        <v>0</v>
      </c>
      <c r="Y26" s="13">
        <v>158651.24</v>
      </c>
      <c r="Z26" s="13">
        <v>0</v>
      </c>
      <c r="AA26" s="13">
        <v>573115.68000000005</v>
      </c>
      <c r="AB26" s="13">
        <v>0</v>
      </c>
      <c r="AC26" s="20" t="s">
        <v>112</v>
      </c>
      <c r="AD26" s="14">
        <f t="shared" si="0"/>
        <v>2047182.87</v>
      </c>
      <c r="AE26" s="14">
        <f t="shared" si="1"/>
        <v>0</v>
      </c>
      <c r="AF26" s="14">
        <f t="shared" si="2"/>
        <v>2047182.87</v>
      </c>
    </row>
    <row r="27" spans="1:32" x14ac:dyDescent="0.25">
      <c r="A27" s="20" t="s">
        <v>111</v>
      </c>
      <c r="B27" s="13">
        <v>16058.87</v>
      </c>
      <c r="C27" s="13">
        <v>0</v>
      </c>
      <c r="D27" s="13">
        <v>0</v>
      </c>
      <c r="E27" s="13">
        <v>0</v>
      </c>
      <c r="F27" s="13">
        <v>40310.089999999997</v>
      </c>
      <c r="G27" s="13">
        <v>0</v>
      </c>
      <c r="H27" s="20" t="s">
        <v>111</v>
      </c>
      <c r="I27" s="13">
        <v>124413.59</v>
      </c>
      <c r="J27" s="13">
        <v>0</v>
      </c>
      <c r="K27" s="13">
        <v>208737.84</v>
      </c>
      <c r="L27" s="13">
        <v>0</v>
      </c>
      <c r="M27" s="13">
        <v>671002.63</v>
      </c>
      <c r="N27" s="13">
        <v>0</v>
      </c>
      <c r="O27" s="20" t="s">
        <v>111</v>
      </c>
      <c r="P27" s="13">
        <v>1148420.7999999998</v>
      </c>
      <c r="Q27" s="13">
        <v>0</v>
      </c>
      <c r="R27" s="13">
        <v>976483.51</v>
      </c>
      <c r="S27" s="13">
        <v>0</v>
      </c>
      <c r="T27" s="13">
        <v>860997.59000000008</v>
      </c>
      <c r="U27" s="13">
        <v>0</v>
      </c>
      <c r="V27" s="20" t="s">
        <v>111</v>
      </c>
      <c r="W27" s="13">
        <v>478734.56999999995</v>
      </c>
      <c r="X27" s="13">
        <v>0</v>
      </c>
      <c r="Y27" s="13">
        <v>524742.05999999994</v>
      </c>
      <c r="Z27" s="13">
        <v>0</v>
      </c>
      <c r="AA27" s="13">
        <v>491561.57999999996</v>
      </c>
      <c r="AB27" s="13">
        <v>0</v>
      </c>
      <c r="AC27" s="20" t="s">
        <v>111</v>
      </c>
      <c r="AD27" s="14">
        <f t="shared" si="0"/>
        <v>5541463.1299999999</v>
      </c>
      <c r="AE27" s="14">
        <f t="shared" si="1"/>
        <v>0</v>
      </c>
      <c r="AF27" s="14">
        <f t="shared" si="2"/>
        <v>5541463.1299999999</v>
      </c>
    </row>
    <row r="28" spans="1:32" x14ac:dyDescent="0.25">
      <c r="A28" s="20" t="s">
        <v>113</v>
      </c>
      <c r="B28" s="13">
        <v>0</v>
      </c>
      <c r="C28" s="13">
        <v>0</v>
      </c>
      <c r="D28" s="13">
        <v>50046.020000000004</v>
      </c>
      <c r="E28" s="13">
        <v>0</v>
      </c>
      <c r="F28" s="13">
        <v>13964.82</v>
      </c>
      <c r="G28" s="13">
        <v>0</v>
      </c>
      <c r="H28" s="20" t="s">
        <v>113</v>
      </c>
      <c r="I28" s="13">
        <v>277385.03000000003</v>
      </c>
      <c r="J28" s="13">
        <v>0</v>
      </c>
      <c r="K28" s="13">
        <v>2322.1999999999998</v>
      </c>
      <c r="L28" s="13">
        <v>0</v>
      </c>
      <c r="M28" s="13">
        <v>156538.51</v>
      </c>
      <c r="N28" s="13">
        <v>0</v>
      </c>
      <c r="O28" s="20" t="s">
        <v>113</v>
      </c>
      <c r="P28" s="13">
        <v>24545.7</v>
      </c>
      <c r="Q28" s="13">
        <v>0</v>
      </c>
      <c r="R28" s="13">
        <v>44882.99</v>
      </c>
      <c r="S28" s="13">
        <v>0</v>
      </c>
      <c r="T28" s="13">
        <v>1933.01</v>
      </c>
      <c r="U28" s="13">
        <v>0</v>
      </c>
      <c r="V28" s="20" t="s">
        <v>113</v>
      </c>
      <c r="W28" s="13">
        <v>51376.480000000003</v>
      </c>
      <c r="X28" s="13">
        <v>0</v>
      </c>
      <c r="Y28" s="13">
        <v>744.08</v>
      </c>
      <c r="Z28" s="13">
        <v>0</v>
      </c>
      <c r="AA28" s="13">
        <v>345595.75</v>
      </c>
      <c r="AB28" s="13">
        <v>0</v>
      </c>
      <c r="AC28" s="20" t="s">
        <v>113</v>
      </c>
      <c r="AD28" s="14">
        <f t="shared" si="0"/>
        <v>969334.59</v>
      </c>
      <c r="AE28" s="14">
        <f t="shared" si="1"/>
        <v>0</v>
      </c>
      <c r="AF28" s="14">
        <f t="shared" si="2"/>
        <v>969334.59</v>
      </c>
    </row>
    <row r="29" spans="1:32" x14ac:dyDescent="0.25">
      <c r="A29" s="20" t="s">
        <v>114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20" t="s">
        <v>114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20" t="s">
        <v>114</v>
      </c>
      <c r="P29" s="13">
        <v>0</v>
      </c>
      <c r="Q29" s="13">
        <v>0</v>
      </c>
      <c r="R29" s="13">
        <v>0</v>
      </c>
      <c r="S29" s="13">
        <v>0</v>
      </c>
      <c r="T29" s="13">
        <v>76597.920000000013</v>
      </c>
      <c r="U29" s="13">
        <v>0</v>
      </c>
      <c r="V29" s="20" t="s">
        <v>114</v>
      </c>
      <c r="W29" s="13">
        <v>6879.37</v>
      </c>
      <c r="X29" s="13">
        <v>0</v>
      </c>
      <c r="Y29" s="13">
        <v>9809.2200000000012</v>
      </c>
      <c r="Z29" s="13">
        <v>0</v>
      </c>
      <c r="AA29" s="13">
        <v>21539.26</v>
      </c>
      <c r="AB29" s="13">
        <v>0</v>
      </c>
      <c r="AC29" s="20" t="s">
        <v>114</v>
      </c>
      <c r="AD29" s="14">
        <f t="shared" si="0"/>
        <v>114825.77</v>
      </c>
      <c r="AE29" s="14">
        <f t="shared" si="1"/>
        <v>0</v>
      </c>
      <c r="AF29" s="14">
        <f>+AD29+AE29</f>
        <v>114825.77</v>
      </c>
    </row>
    <row r="30" spans="1:32" ht="15.75" x14ac:dyDescent="0.25">
      <c r="A30" s="23" t="s">
        <v>108</v>
      </c>
      <c r="B30" s="27">
        <f>SUM(B26:B29)</f>
        <v>119383.96999999999</v>
      </c>
      <c r="C30" s="27">
        <f t="shared" ref="C30:Z30" si="4">SUM(C26:C29)</f>
        <v>0</v>
      </c>
      <c r="D30" s="27">
        <f t="shared" si="4"/>
        <v>242225.2</v>
      </c>
      <c r="E30" s="27">
        <f t="shared" si="4"/>
        <v>0</v>
      </c>
      <c r="F30" s="27">
        <f t="shared" si="4"/>
        <v>135524.66999999998</v>
      </c>
      <c r="G30" s="27">
        <f t="shared" si="4"/>
        <v>0</v>
      </c>
      <c r="H30" s="23" t="s">
        <v>108</v>
      </c>
      <c r="I30" s="27">
        <f t="shared" si="4"/>
        <v>401798.62</v>
      </c>
      <c r="J30" s="27">
        <f t="shared" si="4"/>
        <v>0</v>
      </c>
      <c r="K30" s="27">
        <f t="shared" si="4"/>
        <v>304389.22000000003</v>
      </c>
      <c r="L30" s="27">
        <f t="shared" si="4"/>
        <v>0</v>
      </c>
      <c r="M30" s="27">
        <f t="shared" si="4"/>
        <v>843236.59</v>
      </c>
      <c r="N30" s="27">
        <f t="shared" si="4"/>
        <v>0</v>
      </c>
      <c r="O30" s="23" t="s">
        <v>108</v>
      </c>
      <c r="P30" s="27">
        <f t="shared" si="4"/>
        <v>1295920.3799999997</v>
      </c>
      <c r="Q30" s="27">
        <f t="shared" si="4"/>
        <v>0</v>
      </c>
      <c r="R30" s="27">
        <f t="shared" si="4"/>
        <v>1396075.22</v>
      </c>
      <c r="S30" s="27">
        <f t="shared" si="4"/>
        <v>0</v>
      </c>
      <c r="T30" s="27">
        <f t="shared" si="4"/>
        <v>1057108.1600000001</v>
      </c>
      <c r="U30" s="27">
        <f t="shared" si="4"/>
        <v>0</v>
      </c>
      <c r="V30" s="23" t="s">
        <v>108</v>
      </c>
      <c r="W30" s="27">
        <f t="shared" si="4"/>
        <v>751385.46</v>
      </c>
      <c r="X30" s="27">
        <f t="shared" si="4"/>
        <v>0</v>
      </c>
      <c r="Y30" s="27">
        <f t="shared" si="4"/>
        <v>693946.59999999986</v>
      </c>
      <c r="Z30" s="27">
        <f t="shared" si="4"/>
        <v>0</v>
      </c>
      <c r="AA30" s="27">
        <f>SUM(AA26:AA29)</f>
        <v>1431812.27</v>
      </c>
      <c r="AB30" s="27">
        <f>SUM(AB26:AB29)</f>
        <v>0</v>
      </c>
      <c r="AC30" s="23" t="s">
        <v>108</v>
      </c>
      <c r="AD30" s="27">
        <f t="shared" si="0"/>
        <v>8672806.3599999994</v>
      </c>
      <c r="AE30" s="27">
        <f t="shared" si="1"/>
        <v>0</v>
      </c>
      <c r="AF30" s="27">
        <f>+AD30+AE30</f>
        <v>8672806.3599999994</v>
      </c>
    </row>
    <row r="31" spans="1:32" x14ac:dyDescent="0.25">
      <c r="A31" s="20" t="s">
        <v>23</v>
      </c>
      <c r="B31" s="13">
        <v>1190768.6099999999</v>
      </c>
      <c r="C31" s="13">
        <v>0</v>
      </c>
      <c r="D31" s="13">
        <v>1160753.58</v>
      </c>
      <c r="E31" s="13">
        <v>0</v>
      </c>
      <c r="F31" s="13">
        <v>14541604.82</v>
      </c>
      <c r="G31" s="13">
        <v>0</v>
      </c>
      <c r="H31" s="20" t="s">
        <v>23</v>
      </c>
      <c r="I31" s="13">
        <v>4461992.75</v>
      </c>
      <c r="J31" s="13">
        <v>0</v>
      </c>
      <c r="K31" s="13">
        <v>6314238.4100000001</v>
      </c>
      <c r="L31" s="13">
        <v>0</v>
      </c>
      <c r="M31" s="13">
        <v>1928587.22</v>
      </c>
      <c r="N31" s="13">
        <v>0</v>
      </c>
      <c r="O31" s="20" t="s">
        <v>23</v>
      </c>
      <c r="P31" s="13">
        <v>4229.4799999999996</v>
      </c>
      <c r="Q31" s="13">
        <v>0</v>
      </c>
      <c r="R31" s="13">
        <v>108323.06</v>
      </c>
      <c r="S31" s="13">
        <v>0</v>
      </c>
      <c r="T31" s="13">
        <v>412885.68</v>
      </c>
      <c r="U31" s="13">
        <v>0</v>
      </c>
      <c r="V31" s="20" t="s">
        <v>23</v>
      </c>
      <c r="W31" s="13">
        <v>6301556.8900000006</v>
      </c>
      <c r="X31" s="13">
        <v>0</v>
      </c>
      <c r="Y31" s="13">
        <v>1122676.07</v>
      </c>
      <c r="Z31" s="13">
        <v>0</v>
      </c>
      <c r="AA31" s="13">
        <v>26582167.32</v>
      </c>
      <c r="AB31" s="13">
        <v>0</v>
      </c>
      <c r="AC31" s="20" t="s">
        <v>23</v>
      </c>
      <c r="AD31" s="14">
        <f t="shared" si="0"/>
        <v>64129783.890000001</v>
      </c>
      <c r="AE31" s="14">
        <f t="shared" si="1"/>
        <v>0</v>
      </c>
      <c r="AF31" s="14">
        <f t="shared" si="2"/>
        <v>64129783.890000001</v>
      </c>
    </row>
    <row r="32" spans="1:32" x14ac:dyDescent="0.25">
      <c r="A32" s="20" t="s">
        <v>105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20" t="s">
        <v>105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20" t="s">
        <v>105</v>
      </c>
      <c r="P32" s="13">
        <v>0</v>
      </c>
      <c r="Q32" s="13">
        <v>0</v>
      </c>
      <c r="R32" s="13">
        <v>0</v>
      </c>
      <c r="S32" s="13">
        <v>0</v>
      </c>
      <c r="T32" s="13">
        <v>376999.55</v>
      </c>
      <c r="U32" s="13">
        <v>0</v>
      </c>
      <c r="V32" s="20" t="s">
        <v>105</v>
      </c>
      <c r="W32" s="13">
        <v>30.49</v>
      </c>
      <c r="X32" s="13">
        <v>0</v>
      </c>
      <c r="Y32" s="13">
        <v>16254.83</v>
      </c>
      <c r="Z32" s="13">
        <v>0</v>
      </c>
      <c r="AA32" s="13">
        <v>8623.65</v>
      </c>
      <c r="AB32" s="13">
        <v>0</v>
      </c>
      <c r="AC32" s="20" t="s">
        <v>105</v>
      </c>
      <c r="AD32" s="14">
        <f t="shared" si="0"/>
        <v>401908.52</v>
      </c>
      <c r="AE32" s="14">
        <f t="shared" si="1"/>
        <v>0</v>
      </c>
      <c r="AF32" s="14">
        <f t="shared" si="2"/>
        <v>401908.52</v>
      </c>
    </row>
    <row r="33" spans="1:32" x14ac:dyDescent="0.25">
      <c r="A33" s="20" t="s">
        <v>116</v>
      </c>
      <c r="B33" s="13">
        <v>0</v>
      </c>
      <c r="C33" s="13">
        <v>0</v>
      </c>
      <c r="D33" s="13">
        <v>0</v>
      </c>
      <c r="E33" s="13">
        <v>0</v>
      </c>
      <c r="F33" s="13"/>
      <c r="G33" s="13">
        <v>0</v>
      </c>
      <c r="H33" s="20" t="s">
        <v>116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20" t="s">
        <v>116</v>
      </c>
      <c r="P33" s="13">
        <v>0</v>
      </c>
      <c r="Q33" s="13">
        <v>0</v>
      </c>
      <c r="R33" s="13">
        <v>0</v>
      </c>
      <c r="S33" s="13">
        <v>0</v>
      </c>
      <c r="T33" s="13">
        <v>29646.65</v>
      </c>
      <c r="U33" s="13">
        <v>0</v>
      </c>
      <c r="V33" s="20" t="s">
        <v>116</v>
      </c>
      <c r="W33" s="13">
        <v>9505</v>
      </c>
      <c r="X33" s="13">
        <v>0</v>
      </c>
      <c r="Y33" s="13">
        <v>0</v>
      </c>
      <c r="Z33" s="13">
        <v>0</v>
      </c>
      <c r="AA33" s="13">
        <v>35928.93</v>
      </c>
      <c r="AB33" s="13">
        <v>0</v>
      </c>
      <c r="AC33" s="20" t="s">
        <v>116</v>
      </c>
      <c r="AD33" s="14">
        <f t="shared" si="0"/>
        <v>75080.58</v>
      </c>
      <c r="AE33" s="14">
        <f t="shared" si="1"/>
        <v>0</v>
      </c>
      <c r="AF33" s="14">
        <f t="shared" si="2"/>
        <v>75080.58</v>
      </c>
    </row>
    <row r="34" spans="1:32" x14ac:dyDescent="0.25">
      <c r="A34" s="35" t="s">
        <v>117</v>
      </c>
      <c r="B34" s="13">
        <v>98355.989999999991</v>
      </c>
      <c r="C34" s="13">
        <v>0</v>
      </c>
      <c r="D34" s="13">
        <v>90365.47</v>
      </c>
      <c r="E34" s="13">
        <v>0</v>
      </c>
      <c r="F34" s="13">
        <v>96148.200000000012</v>
      </c>
      <c r="G34" s="13">
        <v>0</v>
      </c>
      <c r="H34" s="35" t="s">
        <v>117</v>
      </c>
      <c r="I34" s="13">
        <v>400955.49</v>
      </c>
      <c r="J34" s="13">
        <v>0</v>
      </c>
      <c r="K34" s="13">
        <v>269756.07</v>
      </c>
      <c r="L34" s="13">
        <v>0</v>
      </c>
      <c r="M34" s="13">
        <v>214707.33</v>
      </c>
      <c r="N34" s="13">
        <v>0</v>
      </c>
      <c r="O34" s="35" t="s">
        <v>117</v>
      </c>
      <c r="P34" s="13">
        <v>184545.69</v>
      </c>
      <c r="Q34" s="13">
        <v>0</v>
      </c>
      <c r="R34" s="13">
        <v>1033163.0299999998</v>
      </c>
      <c r="S34" s="13">
        <v>0</v>
      </c>
      <c r="T34" s="13">
        <v>1119862.49</v>
      </c>
      <c r="U34" s="13">
        <v>0</v>
      </c>
      <c r="V34" s="35" t="s">
        <v>117</v>
      </c>
      <c r="W34" s="13">
        <v>378215.54000000004</v>
      </c>
      <c r="X34" s="13">
        <v>0</v>
      </c>
      <c r="Y34" s="13">
        <v>659983.1</v>
      </c>
      <c r="Z34" s="13">
        <v>0</v>
      </c>
      <c r="AA34" s="13">
        <v>458182.27999999997</v>
      </c>
      <c r="AB34" s="13">
        <v>0</v>
      </c>
      <c r="AC34" s="35" t="s">
        <v>117</v>
      </c>
      <c r="AD34" s="14">
        <f t="shared" si="0"/>
        <v>5004240.68</v>
      </c>
      <c r="AE34" s="14">
        <f t="shared" si="1"/>
        <v>0</v>
      </c>
      <c r="AF34" s="14">
        <f t="shared" si="2"/>
        <v>5004240.68</v>
      </c>
    </row>
    <row r="35" spans="1:32" x14ac:dyDescent="0.25">
      <c r="A35" s="20" t="s">
        <v>115</v>
      </c>
      <c r="B35" s="13">
        <v>0</v>
      </c>
      <c r="C35" s="13">
        <v>0</v>
      </c>
      <c r="D35" s="13">
        <v>52828.06</v>
      </c>
      <c r="E35" s="13">
        <v>0</v>
      </c>
      <c r="F35" s="13">
        <v>111115.97</v>
      </c>
      <c r="G35" s="13">
        <v>0</v>
      </c>
      <c r="H35" s="20" t="s">
        <v>115</v>
      </c>
      <c r="I35" s="13">
        <v>13873.28</v>
      </c>
      <c r="J35" s="13">
        <v>0</v>
      </c>
      <c r="K35" s="13">
        <v>16390.739999999998</v>
      </c>
      <c r="L35" s="13">
        <v>0</v>
      </c>
      <c r="M35" s="13">
        <v>23792.3</v>
      </c>
      <c r="N35" s="13">
        <v>0</v>
      </c>
      <c r="O35" s="20" t="s">
        <v>115</v>
      </c>
      <c r="P35" s="13">
        <v>1533821.96</v>
      </c>
      <c r="Q35" s="13">
        <v>0</v>
      </c>
      <c r="R35" s="13">
        <v>26819.519999999997</v>
      </c>
      <c r="S35" s="13">
        <v>0</v>
      </c>
      <c r="T35" s="13">
        <v>19633.769999999997</v>
      </c>
      <c r="U35" s="13">
        <v>0</v>
      </c>
      <c r="V35" s="20" t="s">
        <v>115</v>
      </c>
      <c r="W35" s="13">
        <v>26694.32</v>
      </c>
      <c r="X35" s="13">
        <v>0</v>
      </c>
      <c r="Y35" s="13">
        <v>27945.070000000003</v>
      </c>
      <c r="Z35" s="13">
        <v>0</v>
      </c>
      <c r="AA35" s="13">
        <v>15518.12</v>
      </c>
      <c r="AB35" s="13">
        <v>0</v>
      </c>
      <c r="AC35" s="20" t="s">
        <v>115</v>
      </c>
      <c r="AD35" s="14">
        <f t="shared" si="0"/>
        <v>1868433.1100000003</v>
      </c>
      <c r="AE35" s="14">
        <f t="shared" si="1"/>
        <v>0</v>
      </c>
      <c r="AF35" s="14">
        <f t="shared" si="2"/>
        <v>1868433.1100000003</v>
      </c>
    </row>
    <row r="36" spans="1:32" x14ac:dyDescent="0.25">
      <c r="A36" s="20" t="s">
        <v>118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20" t="s">
        <v>118</v>
      </c>
      <c r="I36" s="13">
        <v>0</v>
      </c>
      <c r="J36" s="13">
        <v>0</v>
      </c>
      <c r="K36" s="13">
        <v>0</v>
      </c>
      <c r="L36" s="13">
        <v>6173377.5499999998</v>
      </c>
      <c r="M36" s="13">
        <v>0</v>
      </c>
      <c r="N36" s="13">
        <v>0</v>
      </c>
      <c r="O36" s="20" t="s">
        <v>118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20" t="s">
        <v>118</v>
      </c>
      <c r="W36" s="13">
        <v>0</v>
      </c>
      <c r="X36" s="13">
        <v>0</v>
      </c>
      <c r="Y36" s="13">
        <v>0</v>
      </c>
      <c r="Z36" s="13">
        <v>0</v>
      </c>
      <c r="AA36" s="13">
        <v>170279</v>
      </c>
      <c r="AB36" s="13">
        <v>0</v>
      </c>
      <c r="AC36" s="20" t="s">
        <v>118</v>
      </c>
      <c r="AD36" s="14">
        <f t="shared" si="0"/>
        <v>170279</v>
      </c>
      <c r="AE36" s="14">
        <f t="shared" si="1"/>
        <v>6173377.5499999998</v>
      </c>
      <c r="AF36" s="14">
        <f t="shared" si="2"/>
        <v>6343656.5499999998</v>
      </c>
    </row>
    <row r="37" spans="1:32" x14ac:dyDescent="0.25">
      <c r="A37" s="35" t="s">
        <v>119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35" t="s">
        <v>119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35" t="s">
        <v>119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35" t="s">
        <v>119</v>
      </c>
      <c r="W37" s="13">
        <v>0</v>
      </c>
      <c r="X37" s="13">
        <v>0</v>
      </c>
      <c r="Y37" s="13">
        <v>0</v>
      </c>
      <c r="Z37" s="13">
        <v>0</v>
      </c>
      <c r="AA37" s="13">
        <v>145142.12</v>
      </c>
      <c r="AB37" s="13">
        <v>0</v>
      </c>
      <c r="AC37" s="35" t="s">
        <v>119</v>
      </c>
      <c r="AD37" s="14">
        <f t="shared" si="0"/>
        <v>145142.12</v>
      </c>
      <c r="AE37" s="14">
        <f t="shared" si="1"/>
        <v>0</v>
      </c>
      <c r="AF37" s="14">
        <f t="shared" si="2"/>
        <v>145142.12</v>
      </c>
    </row>
    <row r="38" spans="1:32" x14ac:dyDescent="0.25">
      <c r="A38" s="20" t="s">
        <v>99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20" t="s">
        <v>99</v>
      </c>
      <c r="I38" s="13">
        <v>0</v>
      </c>
      <c r="J38" s="13">
        <v>0</v>
      </c>
      <c r="K38" s="13">
        <v>0</v>
      </c>
      <c r="L38" s="13">
        <v>0</v>
      </c>
      <c r="M38" s="13">
        <v>23976.06</v>
      </c>
      <c r="N38" s="13">
        <v>0</v>
      </c>
      <c r="O38" s="20" t="s">
        <v>99</v>
      </c>
      <c r="P38" s="13">
        <v>0</v>
      </c>
      <c r="Q38" s="13">
        <v>0</v>
      </c>
      <c r="R38" s="13">
        <v>39119.5</v>
      </c>
      <c r="S38" s="13">
        <v>0</v>
      </c>
      <c r="T38" s="13">
        <v>0</v>
      </c>
      <c r="U38" s="13">
        <v>0</v>
      </c>
      <c r="V38" s="20" t="s">
        <v>99</v>
      </c>
      <c r="W38" s="13">
        <v>0</v>
      </c>
      <c r="X38" s="13">
        <v>0</v>
      </c>
      <c r="Y38" s="13">
        <v>0</v>
      </c>
      <c r="Z38" s="13">
        <v>0</v>
      </c>
      <c r="AA38" s="13">
        <v>202087.97999999998</v>
      </c>
      <c r="AB38" s="13">
        <v>0</v>
      </c>
      <c r="AC38" s="20" t="s">
        <v>99</v>
      </c>
      <c r="AD38" s="14">
        <f t="shared" si="0"/>
        <v>265183.53999999998</v>
      </c>
      <c r="AE38" s="14">
        <f t="shared" si="1"/>
        <v>0</v>
      </c>
      <c r="AF38" s="14">
        <f t="shared" si="2"/>
        <v>265183.53999999998</v>
      </c>
    </row>
    <row r="39" spans="1:32" x14ac:dyDescent="0.25">
      <c r="A39" s="20" t="s">
        <v>27</v>
      </c>
      <c r="B39" s="13">
        <v>6385.4</v>
      </c>
      <c r="C39" s="13">
        <v>0</v>
      </c>
      <c r="D39" s="13">
        <v>0</v>
      </c>
      <c r="E39" s="13">
        <v>0</v>
      </c>
      <c r="F39" s="13">
        <v>13312.1</v>
      </c>
      <c r="G39" s="13">
        <v>0</v>
      </c>
      <c r="H39" s="20" t="s">
        <v>27</v>
      </c>
      <c r="I39" s="13">
        <v>17200.07</v>
      </c>
      <c r="J39" s="13">
        <v>0</v>
      </c>
      <c r="K39" s="13">
        <v>24452.83</v>
      </c>
      <c r="L39" s="13">
        <v>0</v>
      </c>
      <c r="M39" s="13">
        <v>106872.81000000001</v>
      </c>
      <c r="N39" s="13">
        <v>0</v>
      </c>
      <c r="O39" s="20" t="s">
        <v>27</v>
      </c>
      <c r="P39" s="13">
        <v>214512.32</v>
      </c>
      <c r="Q39" s="13">
        <v>0</v>
      </c>
      <c r="R39" s="13">
        <v>53077.32</v>
      </c>
      <c r="S39" s="13">
        <v>0</v>
      </c>
      <c r="T39" s="13">
        <v>127791.98000000001</v>
      </c>
      <c r="U39" s="13">
        <v>0</v>
      </c>
      <c r="V39" s="20" t="s">
        <v>27</v>
      </c>
      <c r="W39" s="13">
        <v>73432.61</v>
      </c>
      <c r="X39" s="13">
        <v>18000000</v>
      </c>
      <c r="Y39" s="13">
        <v>88701.87</v>
      </c>
      <c r="Z39" s="13">
        <v>0</v>
      </c>
      <c r="AA39" s="13">
        <v>137718.38</v>
      </c>
      <c r="AB39" s="13">
        <v>0</v>
      </c>
      <c r="AC39" s="20" t="s">
        <v>27</v>
      </c>
      <c r="AD39" s="14">
        <f t="shared" si="0"/>
        <v>863457.69000000006</v>
      </c>
      <c r="AE39" s="14">
        <f t="shared" si="1"/>
        <v>18000000</v>
      </c>
      <c r="AF39" s="14">
        <f t="shared" si="2"/>
        <v>18863457.690000001</v>
      </c>
    </row>
    <row r="40" spans="1:32" x14ac:dyDescent="0.25">
      <c r="A40" s="20" t="s">
        <v>26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20" t="s">
        <v>26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20" t="s">
        <v>26</v>
      </c>
      <c r="P40" s="13">
        <v>149872.16000000003</v>
      </c>
      <c r="Q40" s="13">
        <v>0</v>
      </c>
      <c r="R40" s="13">
        <v>13574.86</v>
      </c>
      <c r="S40" s="13">
        <v>0</v>
      </c>
      <c r="T40" s="13">
        <v>18399.62</v>
      </c>
      <c r="U40" s="13">
        <v>0</v>
      </c>
      <c r="V40" s="20" t="s">
        <v>26</v>
      </c>
      <c r="W40" s="13">
        <v>13503.310000000001</v>
      </c>
      <c r="X40" s="13">
        <v>0</v>
      </c>
      <c r="Y40" s="13">
        <v>13497.83</v>
      </c>
      <c r="Z40" s="13">
        <v>0</v>
      </c>
      <c r="AA40" s="13">
        <v>44170885.400000006</v>
      </c>
      <c r="AB40" s="13">
        <v>0</v>
      </c>
      <c r="AC40" s="20" t="s">
        <v>26</v>
      </c>
      <c r="AD40" s="14">
        <f t="shared" si="0"/>
        <v>44379733.180000007</v>
      </c>
      <c r="AE40" s="14">
        <f t="shared" si="1"/>
        <v>0</v>
      </c>
      <c r="AF40" s="14">
        <f t="shared" si="2"/>
        <v>44379733.180000007</v>
      </c>
    </row>
    <row r="41" spans="1:32" x14ac:dyDescent="0.25">
      <c r="A41" s="20" t="s">
        <v>120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20" t="s">
        <v>120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3613418.04</v>
      </c>
      <c r="O41" s="20" t="s">
        <v>120</v>
      </c>
      <c r="P41" s="13">
        <v>0</v>
      </c>
      <c r="Q41" s="13">
        <v>0</v>
      </c>
      <c r="R41" s="13">
        <v>0</v>
      </c>
      <c r="S41" s="13">
        <v>0</v>
      </c>
      <c r="T41" s="13">
        <v>8428.0299999999988</v>
      </c>
      <c r="U41" s="13">
        <v>0</v>
      </c>
      <c r="V41" s="20" t="s">
        <v>120</v>
      </c>
      <c r="W41" s="13">
        <v>53654.259999999995</v>
      </c>
      <c r="X41" s="13">
        <v>0</v>
      </c>
      <c r="Y41" s="13">
        <v>76753.510000000009</v>
      </c>
      <c r="Z41" s="13">
        <v>0</v>
      </c>
      <c r="AA41" s="13">
        <v>89661.39</v>
      </c>
      <c r="AB41" s="13">
        <v>0</v>
      </c>
      <c r="AC41" s="20" t="s">
        <v>120</v>
      </c>
      <c r="AD41" s="14">
        <f t="shared" si="0"/>
        <v>228497.19</v>
      </c>
      <c r="AE41" s="14">
        <f t="shared" si="1"/>
        <v>3613418.04</v>
      </c>
      <c r="AF41" s="14">
        <f t="shared" si="2"/>
        <v>3841915.23</v>
      </c>
    </row>
    <row r="42" spans="1:32" x14ac:dyDescent="0.25">
      <c r="A42" s="20" t="s">
        <v>100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20" t="s">
        <v>100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20" t="s">
        <v>100</v>
      </c>
      <c r="P42" s="13">
        <v>0</v>
      </c>
      <c r="Q42" s="13">
        <v>0</v>
      </c>
      <c r="R42" s="13">
        <v>14106.09</v>
      </c>
      <c r="S42" s="13">
        <v>0</v>
      </c>
      <c r="T42" s="13">
        <v>0</v>
      </c>
      <c r="U42" s="13">
        <v>0</v>
      </c>
      <c r="V42" s="20" t="s">
        <v>100</v>
      </c>
      <c r="W42" s="13">
        <v>2264.31</v>
      </c>
      <c r="X42" s="13">
        <v>0</v>
      </c>
      <c r="Y42" s="13">
        <v>18622.29</v>
      </c>
      <c r="Z42" s="13">
        <v>0</v>
      </c>
      <c r="AA42" s="13">
        <v>8151.08</v>
      </c>
      <c r="AB42" s="13">
        <v>0</v>
      </c>
      <c r="AC42" s="20" t="s">
        <v>100</v>
      </c>
      <c r="AD42" s="14">
        <f t="shared" si="0"/>
        <v>43143.770000000004</v>
      </c>
      <c r="AE42" s="14">
        <f t="shared" si="1"/>
        <v>0</v>
      </c>
      <c r="AF42" s="14">
        <f t="shared" si="2"/>
        <v>43143.770000000004</v>
      </c>
    </row>
    <row r="43" spans="1:32" x14ac:dyDescent="0.25">
      <c r="A43" s="20" t="s">
        <v>101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20" t="s">
        <v>101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20" t="s">
        <v>101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20" t="s">
        <v>101</v>
      </c>
      <c r="W43" s="13">
        <v>0</v>
      </c>
      <c r="X43" s="13">
        <v>0</v>
      </c>
      <c r="Y43" s="13">
        <v>32610.54</v>
      </c>
      <c r="Z43" s="13">
        <v>0</v>
      </c>
      <c r="AA43" s="13">
        <v>571.6</v>
      </c>
      <c r="AB43" s="13">
        <v>0</v>
      </c>
      <c r="AC43" s="20" t="s">
        <v>101</v>
      </c>
      <c r="AD43" s="14">
        <f t="shared" si="0"/>
        <v>33182.14</v>
      </c>
      <c r="AE43" s="14">
        <f t="shared" si="1"/>
        <v>0</v>
      </c>
      <c r="AF43" s="14">
        <f t="shared" si="2"/>
        <v>33182.14</v>
      </c>
    </row>
    <row r="44" spans="1:32" x14ac:dyDescent="0.25">
      <c r="A44" s="20" t="s">
        <v>102</v>
      </c>
      <c r="B44" s="13">
        <v>0</v>
      </c>
      <c r="C44" s="13">
        <v>0</v>
      </c>
      <c r="D44" s="13">
        <v>5572.48</v>
      </c>
      <c r="E44" s="13">
        <v>0</v>
      </c>
      <c r="F44" s="13">
        <v>28257.07</v>
      </c>
      <c r="G44" s="13">
        <v>0</v>
      </c>
      <c r="H44" s="20" t="s">
        <v>102</v>
      </c>
      <c r="I44" s="13">
        <v>1741.6499999999999</v>
      </c>
      <c r="J44" s="13">
        <v>0</v>
      </c>
      <c r="K44" s="13">
        <v>106813.66</v>
      </c>
      <c r="L44" s="13">
        <v>0</v>
      </c>
      <c r="M44" s="13">
        <v>46090.26</v>
      </c>
      <c r="N44" s="13">
        <v>0</v>
      </c>
      <c r="O44" s="20" t="s">
        <v>102</v>
      </c>
      <c r="P44" s="13">
        <v>61189.880000000005</v>
      </c>
      <c r="Q44" s="13">
        <v>0</v>
      </c>
      <c r="R44" s="13">
        <v>41846.79</v>
      </c>
      <c r="S44" s="13">
        <v>0</v>
      </c>
      <c r="T44" s="13">
        <v>30874.41</v>
      </c>
      <c r="U44" s="13">
        <v>0</v>
      </c>
      <c r="V44" s="20" t="s">
        <v>102</v>
      </c>
      <c r="W44" s="13">
        <v>16151.710000000001</v>
      </c>
      <c r="X44" s="13">
        <v>0</v>
      </c>
      <c r="Y44" s="13">
        <v>61986.21</v>
      </c>
      <c r="Z44" s="13">
        <v>0</v>
      </c>
      <c r="AA44" s="13">
        <v>31533.74</v>
      </c>
      <c r="AB44" s="13">
        <v>0</v>
      </c>
      <c r="AC44" s="20" t="s">
        <v>102</v>
      </c>
      <c r="AD44" s="14">
        <f t="shared" si="0"/>
        <v>432057.86000000004</v>
      </c>
      <c r="AE44" s="14">
        <f t="shared" si="1"/>
        <v>0</v>
      </c>
      <c r="AF44" s="14">
        <f t="shared" si="2"/>
        <v>432057.86000000004</v>
      </c>
    </row>
    <row r="45" spans="1:32" x14ac:dyDescent="0.25">
      <c r="A45" s="20" t="s">
        <v>103</v>
      </c>
      <c r="B45" s="13">
        <v>16030.43</v>
      </c>
      <c r="C45" s="13">
        <v>0</v>
      </c>
      <c r="D45" s="13">
        <v>0</v>
      </c>
      <c r="E45" s="13">
        <v>0</v>
      </c>
      <c r="F45" s="13">
        <v>120057.87</v>
      </c>
      <c r="G45" s="13">
        <v>0</v>
      </c>
      <c r="H45" s="20" t="s">
        <v>103</v>
      </c>
      <c r="I45" s="13">
        <v>157230.91</v>
      </c>
      <c r="J45" s="13">
        <v>0</v>
      </c>
      <c r="K45" s="13">
        <v>0</v>
      </c>
      <c r="L45" s="13">
        <v>0</v>
      </c>
      <c r="M45" s="13">
        <v>48933.04</v>
      </c>
      <c r="N45" s="13">
        <v>0</v>
      </c>
      <c r="O45" s="20" t="s">
        <v>103</v>
      </c>
      <c r="P45" s="13">
        <v>0</v>
      </c>
      <c r="Q45" s="13">
        <v>0</v>
      </c>
      <c r="R45" s="13">
        <v>126161.53</v>
      </c>
      <c r="S45" s="13">
        <v>0</v>
      </c>
      <c r="T45" s="13">
        <v>0</v>
      </c>
      <c r="U45" s="13">
        <v>0</v>
      </c>
      <c r="V45" s="20" t="s">
        <v>103</v>
      </c>
      <c r="W45" s="13">
        <v>0</v>
      </c>
      <c r="X45" s="13">
        <v>0</v>
      </c>
      <c r="Y45" s="13">
        <v>160592.42000000001</v>
      </c>
      <c r="Z45" s="13">
        <v>0</v>
      </c>
      <c r="AA45" s="13">
        <v>301912.78000000003</v>
      </c>
      <c r="AB45" s="13">
        <v>0</v>
      </c>
      <c r="AC45" s="20" t="s">
        <v>103</v>
      </c>
      <c r="AD45" s="14">
        <f t="shared" si="0"/>
        <v>930918.98</v>
      </c>
      <c r="AE45" s="14">
        <f t="shared" si="1"/>
        <v>0</v>
      </c>
      <c r="AF45" s="14">
        <f t="shared" si="2"/>
        <v>930918.98</v>
      </c>
    </row>
    <row r="46" spans="1:32" x14ac:dyDescent="0.25">
      <c r="A46" s="20" t="s">
        <v>104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20" t="s">
        <v>104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20" t="s">
        <v>104</v>
      </c>
      <c r="P46" s="13">
        <v>0</v>
      </c>
      <c r="Q46" s="13">
        <v>0</v>
      </c>
      <c r="R46" s="13">
        <v>3437.1800000000003</v>
      </c>
      <c r="S46" s="13">
        <v>0</v>
      </c>
      <c r="T46" s="13">
        <v>2169.58</v>
      </c>
      <c r="U46" s="13">
        <v>0</v>
      </c>
      <c r="V46" s="20" t="s">
        <v>104</v>
      </c>
      <c r="W46" s="13">
        <v>16231.570000000002</v>
      </c>
      <c r="X46" s="13">
        <v>0</v>
      </c>
      <c r="Y46" s="13">
        <v>21469.850000000002</v>
      </c>
      <c r="Z46" s="13">
        <v>0</v>
      </c>
      <c r="AA46" s="13">
        <v>27381.87</v>
      </c>
      <c r="AB46" s="13">
        <v>0</v>
      </c>
      <c r="AC46" s="20" t="s">
        <v>104</v>
      </c>
      <c r="AD46" s="14">
        <f t="shared" si="0"/>
        <v>70690.05</v>
      </c>
      <c r="AE46" s="14">
        <f t="shared" si="1"/>
        <v>0</v>
      </c>
      <c r="AF46" s="14">
        <f t="shared" si="2"/>
        <v>70690.05</v>
      </c>
    </row>
    <row r="47" spans="1:32" x14ac:dyDescent="0.25">
      <c r="A47" s="20" t="s">
        <v>125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20" t="s">
        <v>125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20" t="s">
        <v>125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20" t="s">
        <v>125</v>
      </c>
      <c r="W47" s="13">
        <v>0</v>
      </c>
      <c r="X47" s="13">
        <v>0</v>
      </c>
      <c r="Y47" s="13">
        <v>26200.47</v>
      </c>
      <c r="Z47" s="13">
        <v>0</v>
      </c>
      <c r="AA47" s="13">
        <v>217368.91999999998</v>
      </c>
      <c r="AB47" s="13">
        <v>0</v>
      </c>
      <c r="AC47" s="20" t="s">
        <v>125</v>
      </c>
      <c r="AD47" s="14">
        <f t="shared" si="0"/>
        <v>243569.38999999998</v>
      </c>
      <c r="AE47" s="14">
        <f t="shared" si="1"/>
        <v>0</v>
      </c>
      <c r="AF47" s="14">
        <f t="shared" si="2"/>
        <v>243569.38999999998</v>
      </c>
    </row>
    <row r="48" spans="1:32" ht="15.75" x14ac:dyDescent="0.25">
      <c r="A48" s="24" t="s">
        <v>109</v>
      </c>
      <c r="B48" s="27">
        <f t="shared" ref="B48:G48" si="5">SUM(B31:B47)</f>
        <v>1311540.4299999997</v>
      </c>
      <c r="C48" s="27">
        <f t="shared" si="5"/>
        <v>0</v>
      </c>
      <c r="D48" s="27">
        <f t="shared" si="5"/>
        <v>1309519.5900000001</v>
      </c>
      <c r="E48" s="27">
        <f t="shared" si="5"/>
        <v>0</v>
      </c>
      <c r="F48" s="27">
        <f t="shared" si="5"/>
        <v>14910496.029999999</v>
      </c>
      <c r="G48" s="27">
        <f t="shared" si="5"/>
        <v>0</v>
      </c>
      <c r="H48" s="24" t="s">
        <v>109</v>
      </c>
      <c r="I48" s="27">
        <f t="shared" ref="I48:N48" si="6">SUM(I31:I47)</f>
        <v>5052994.1500000013</v>
      </c>
      <c r="J48" s="27">
        <f t="shared" si="6"/>
        <v>0</v>
      </c>
      <c r="K48" s="27">
        <f t="shared" si="6"/>
        <v>6731651.7100000009</v>
      </c>
      <c r="L48" s="27">
        <f t="shared" si="6"/>
        <v>6173377.5499999998</v>
      </c>
      <c r="M48" s="27">
        <f t="shared" si="6"/>
        <v>2392959.0199999996</v>
      </c>
      <c r="N48" s="27">
        <f t="shared" si="6"/>
        <v>3613418.04</v>
      </c>
      <c r="O48" s="24" t="s">
        <v>109</v>
      </c>
      <c r="P48" s="27">
        <f>SUM(P31:P47)</f>
        <v>2148171.4899999998</v>
      </c>
      <c r="Q48" s="27">
        <f>SUM(Q31:Q47)</f>
        <v>0</v>
      </c>
      <c r="R48" s="27">
        <f>SUM(R31:R47)</f>
        <v>1459628.8800000001</v>
      </c>
      <c r="S48" s="27">
        <v>0</v>
      </c>
      <c r="T48" s="27">
        <f>SUM(T31:T47)</f>
        <v>2146691.7600000002</v>
      </c>
      <c r="U48" s="27">
        <f>SUM(U31:U47)</f>
        <v>0</v>
      </c>
      <c r="V48" s="24" t="s">
        <v>109</v>
      </c>
      <c r="W48" s="27">
        <f t="shared" ref="W48:AB48" si="7">SUM(W31:W47)</f>
        <v>6891240.0100000007</v>
      </c>
      <c r="X48" s="27">
        <f t="shared" si="7"/>
        <v>18000000</v>
      </c>
      <c r="Y48" s="27">
        <f t="shared" si="7"/>
        <v>2327294.0600000005</v>
      </c>
      <c r="Z48" s="27">
        <f t="shared" si="7"/>
        <v>0</v>
      </c>
      <c r="AA48" s="27">
        <f t="shared" si="7"/>
        <v>72603114.560000002</v>
      </c>
      <c r="AB48" s="27">
        <f t="shared" si="7"/>
        <v>0</v>
      </c>
      <c r="AC48" s="24" t="s">
        <v>109</v>
      </c>
      <c r="AD48" s="27">
        <f t="shared" si="0"/>
        <v>119285301.69</v>
      </c>
      <c r="AE48" s="27">
        <f>+C48+E48+G48+J48+L48+N48+Q48+S48+U48+X48+Z48+AB48</f>
        <v>27786795.59</v>
      </c>
      <c r="AF48" s="27">
        <f>+AD48+AE48</f>
        <v>147072097.28</v>
      </c>
    </row>
    <row r="49" spans="1:3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32" ht="21" x14ac:dyDescent="0.25">
      <c r="A50" s="25" t="s">
        <v>110</v>
      </c>
      <c r="B50" s="26">
        <f t="shared" ref="B50:G50" si="8">+B48+B30+B25</f>
        <v>42018039.769999988</v>
      </c>
      <c r="C50" s="26">
        <f t="shared" si="8"/>
        <v>0</v>
      </c>
      <c r="D50" s="26">
        <f t="shared" si="8"/>
        <v>2601474.9500000002</v>
      </c>
      <c r="E50" s="26">
        <f t="shared" si="8"/>
        <v>0</v>
      </c>
      <c r="F50" s="26">
        <f t="shared" si="8"/>
        <v>16482926.85</v>
      </c>
      <c r="G50" s="26">
        <f t="shared" si="8"/>
        <v>0</v>
      </c>
      <c r="H50" s="25" t="s">
        <v>110</v>
      </c>
      <c r="I50" s="26">
        <f t="shared" ref="I50:N50" si="9">+I48+I30+I25</f>
        <v>24560130.940000005</v>
      </c>
      <c r="J50" s="26">
        <f t="shared" si="9"/>
        <v>0</v>
      </c>
      <c r="K50" s="26">
        <f t="shared" si="9"/>
        <v>29834899.279999997</v>
      </c>
      <c r="L50" s="26">
        <f t="shared" si="9"/>
        <v>6173377.5499999998</v>
      </c>
      <c r="M50" s="26">
        <f t="shared" si="9"/>
        <v>42407776.449999996</v>
      </c>
      <c r="N50" s="26">
        <f t="shared" si="9"/>
        <v>3613418.04</v>
      </c>
      <c r="O50" s="25" t="s">
        <v>110</v>
      </c>
      <c r="P50" s="26">
        <f t="shared" ref="P50:U50" si="10">+P48+P30+P25</f>
        <v>70064045.109999999</v>
      </c>
      <c r="Q50" s="26">
        <f t="shared" si="10"/>
        <v>0</v>
      </c>
      <c r="R50" s="26">
        <f t="shared" si="10"/>
        <v>20438891.859999999</v>
      </c>
      <c r="S50" s="26">
        <f t="shared" si="10"/>
        <v>0</v>
      </c>
      <c r="T50" s="26">
        <f t="shared" si="10"/>
        <v>44974374.050000004</v>
      </c>
      <c r="U50" s="26">
        <f t="shared" si="10"/>
        <v>57069687.040000007</v>
      </c>
      <c r="V50" s="25" t="s">
        <v>110</v>
      </c>
      <c r="W50" s="26">
        <f t="shared" ref="W50:AB50" si="11">+W48+W30+W25</f>
        <v>33306085.170000002</v>
      </c>
      <c r="X50" s="26">
        <f t="shared" si="11"/>
        <v>18000000</v>
      </c>
      <c r="Y50" s="26">
        <f t="shared" si="11"/>
        <v>50882817.620000005</v>
      </c>
      <c r="Z50" s="26">
        <f t="shared" si="11"/>
        <v>0</v>
      </c>
      <c r="AA50" s="26">
        <f t="shared" si="11"/>
        <v>244821574.44999999</v>
      </c>
      <c r="AB50" s="26">
        <f t="shared" si="11"/>
        <v>0</v>
      </c>
      <c r="AC50" s="25" t="s">
        <v>110</v>
      </c>
      <c r="AD50" s="26">
        <f>+B50+D50+F50+I50+K50+M50+P50+R50+T50+W50+Y50+AA50</f>
        <v>622393036.5</v>
      </c>
      <c r="AE50" s="26">
        <f>+C50+E50+G50+J50+L50+N50+Q50+S50+U50+X50+Z50+AB50</f>
        <v>84856482.63000001</v>
      </c>
      <c r="AF50" s="26">
        <f>+AD50+AE50</f>
        <v>707249519.13</v>
      </c>
    </row>
    <row r="51" spans="1:32" ht="15.75" x14ac:dyDescent="0.25">
      <c r="A51" s="4" t="s">
        <v>142</v>
      </c>
      <c r="H51" s="4" t="s">
        <v>142</v>
      </c>
      <c r="O51" s="4" t="s">
        <v>142</v>
      </c>
      <c r="V51" s="4" t="s">
        <v>142</v>
      </c>
      <c r="AC51" s="4" t="s">
        <v>142</v>
      </c>
      <c r="AD51" s="31"/>
      <c r="AE51" s="31"/>
      <c r="AF51" s="31"/>
    </row>
    <row r="54" spans="1:32" x14ac:dyDescent="0.25">
      <c r="AD54" s="7"/>
      <c r="AE54" s="7"/>
      <c r="AF54" s="7"/>
    </row>
    <row r="57" spans="1:32" x14ac:dyDescent="0.25">
      <c r="AE57" s="7"/>
      <c r="AF57" s="7"/>
    </row>
  </sheetData>
  <mergeCells count="1">
    <mergeCell ref="AD9:AF9"/>
  </mergeCells>
  <pageMargins left="0.70866141732283472" right="0.70866141732283472" top="0.23622047244094491" bottom="0.15748031496062992" header="0.2" footer="0.15748031496062992"/>
  <pageSetup paperSize="9" scale="72" fitToWidth="0" orientation="landscape" r:id="rId1"/>
  <colBreaks count="1" manualBreakCount="1">
    <brk id="7" max="5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F50"/>
  <sheetViews>
    <sheetView showGridLines="0" view="pageBreakPreview" zoomScale="60" zoomScaleNormal="91" workbookViewId="0">
      <selection activeCell="M12" sqref="M12"/>
    </sheetView>
  </sheetViews>
  <sheetFormatPr baseColWidth="10" defaultRowHeight="16.5" customHeight="1" x14ac:dyDescent="0.25"/>
  <cols>
    <col min="1" max="1" width="46.28515625" bestFit="1" customWidth="1"/>
    <col min="2" max="2" width="24.140625" bestFit="1" customWidth="1"/>
    <col min="3" max="3" width="21.28515625" bestFit="1" customWidth="1"/>
    <col min="4" max="4" width="22.5703125" bestFit="1" customWidth="1"/>
    <col min="5" max="5" width="19.42578125" bestFit="1" customWidth="1"/>
    <col min="6" max="6" width="22.5703125" bestFit="1" customWidth="1"/>
    <col min="7" max="7" width="20.85546875" bestFit="1" customWidth="1"/>
    <col min="8" max="8" width="46.28515625" bestFit="1" customWidth="1"/>
    <col min="9" max="9" width="20.42578125" bestFit="1" customWidth="1"/>
    <col min="10" max="10" width="20.85546875" bestFit="1" customWidth="1"/>
    <col min="11" max="11" width="21.28515625" bestFit="1" customWidth="1"/>
    <col min="12" max="12" width="19" bestFit="1" customWidth="1"/>
    <col min="13" max="14" width="20.85546875" bestFit="1" customWidth="1"/>
    <col min="15" max="15" width="46.28515625" bestFit="1" customWidth="1"/>
    <col min="16" max="17" width="20.42578125" bestFit="1" customWidth="1"/>
    <col min="18" max="20" width="21.28515625" bestFit="1" customWidth="1"/>
    <col min="21" max="21" width="20.42578125" bestFit="1" customWidth="1"/>
    <col min="22" max="22" width="46.28515625" bestFit="1" customWidth="1"/>
    <col min="23" max="23" width="21.140625" bestFit="1" customWidth="1"/>
    <col min="24" max="24" width="21.28515625" bestFit="1" customWidth="1"/>
    <col min="25" max="27" width="22.5703125" bestFit="1" customWidth="1"/>
    <col min="28" max="28" width="20.42578125" bestFit="1" customWidth="1"/>
    <col min="29" max="29" width="46.28515625" bestFit="1" customWidth="1"/>
    <col min="30" max="30" width="24.85546875" style="31" bestFit="1" customWidth="1"/>
    <col min="31" max="31" width="23" style="31" bestFit="1" customWidth="1"/>
    <col min="32" max="32" width="24" bestFit="1" customWidth="1"/>
  </cols>
  <sheetData>
    <row r="4" spans="1:32" ht="16.5" customHeight="1" x14ac:dyDescent="0.3">
      <c r="A4" s="1"/>
      <c r="H4" s="1"/>
      <c r="O4" s="1"/>
      <c r="V4" s="1"/>
      <c r="AC4" s="1"/>
    </row>
    <row r="5" spans="1:32" ht="16.5" customHeight="1" x14ac:dyDescent="0.35">
      <c r="A5" s="34" t="s">
        <v>0</v>
      </c>
      <c r="H5" s="34" t="s">
        <v>0</v>
      </c>
      <c r="O5" s="34" t="s">
        <v>0</v>
      </c>
      <c r="V5" s="34" t="s">
        <v>0</v>
      </c>
      <c r="AC5" s="34" t="s">
        <v>0</v>
      </c>
    </row>
    <row r="6" spans="1:32" ht="16.5" customHeight="1" x14ac:dyDescent="0.25">
      <c r="A6" s="15" t="s">
        <v>1</v>
      </c>
      <c r="B6" s="15"/>
      <c r="H6" s="15" t="s">
        <v>1</v>
      </c>
      <c r="O6" s="15" t="s">
        <v>1</v>
      </c>
      <c r="V6" s="15" t="s">
        <v>1</v>
      </c>
      <c r="AC6" s="15" t="s">
        <v>1</v>
      </c>
    </row>
    <row r="7" spans="1:32" ht="9" customHeight="1" x14ac:dyDescent="0.25"/>
    <row r="8" spans="1:32" ht="16.5" customHeight="1" x14ac:dyDescent="0.35">
      <c r="A8" s="34" t="s">
        <v>140</v>
      </c>
      <c r="H8" s="34" t="s">
        <v>140</v>
      </c>
      <c r="O8" s="34" t="s">
        <v>140</v>
      </c>
      <c r="V8" s="34" t="s">
        <v>140</v>
      </c>
      <c r="AC8" s="34" t="s">
        <v>140</v>
      </c>
    </row>
    <row r="9" spans="1:32" ht="16.5" customHeight="1" x14ac:dyDescent="0.25">
      <c r="A9" s="29" t="s">
        <v>2</v>
      </c>
      <c r="B9" s="29" t="s">
        <v>3</v>
      </c>
      <c r="C9" s="17"/>
      <c r="D9" s="16">
        <v>2007</v>
      </c>
      <c r="E9" s="17"/>
      <c r="F9" s="16">
        <v>2008</v>
      </c>
      <c r="G9" s="17"/>
      <c r="H9" s="29" t="s">
        <v>2</v>
      </c>
      <c r="I9" s="16">
        <v>2009</v>
      </c>
      <c r="J9" s="17"/>
      <c r="K9" s="16">
        <v>2010</v>
      </c>
      <c r="L9" s="17"/>
      <c r="M9" s="16">
        <v>2011</v>
      </c>
      <c r="N9" s="17"/>
      <c r="O9" s="29" t="s">
        <v>2</v>
      </c>
      <c r="P9" s="16">
        <v>2012</v>
      </c>
      <c r="Q9" s="17"/>
      <c r="R9" s="16">
        <v>2013</v>
      </c>
      <c r="S9" s="17"/>
      <c r="T9" s="16">
        <v>2014</v>
      </c>
      <c r="U9" s="17"/>
      <c r="V9" s="29" t="s">
        <v>2</v>
      </c>
      <c r="W9" s="16">
        <v>2015</v>
      </c>
      <c r="X9" s="17"/>
      <c r="Y9" s="16">
        <v>2016</v>
      </c>
      <c r="Z9" s="17"/>
      <c r="AA9" s="18">
        <v>42887</v>
      </c>
      <c r="AB9" s="17"/>
      <c r="AC9" s="29" t="s">
        <v>2</v>
      </c>
      <c r="AD9" s="42" t="s">
        <v>4</v>
      </c>
      <c r="AE9" s="42"/>
      <c r="AF9" s="42"/>
    </row>
    <row r="10" spans="1:32" ht="18" customHeight="1" x14ac:dyDescent="0.25">
      <c r="A10" s="29" t="s">
        <v>5</v>
      </c>
      <c r="B10" s="3" t="s">
        <v>6</v>
      </c>
      <c r="C10" s="3" t="s">
        <v>7</v>
      </c>
      <c r="D10" s="3" t="s">
        <v>6</v>
      </c>
      <c r="E10" s="3" t="s">
        <v>7</v>
      </c>
      <c r="F10" s="3" t="s">
        <v>6</v>
      </c>
      <c r="G10" s="3" t="s">
        <v>7</v>
      </c>
      <c r="H10" s="29" t="s">
        <v>5</v>
      </c>
      <c r="I10" s="3" t="s">
        <v>6</v>
      </c>
      <c r="J10" s="3" t="s">
        <v>7</v>
      </c>
      <c r="K10" s="3" t="s">
        <v>6</v>
      </c>
      <c r="L10" s="3" t="s">
        <v>7</v>
      </c>
      <c r="M10" s="3" t="s">
        <v>6</v>
      </c>
      <c r="N10" s="3" t="s">
        <v>7</v>
      </c>
      <c r="O10" s="29" t="s">
        <v>5</v>
      </c>
      <c r="P10" s="3" t="s">
        <v>6</v>
      </c>
      <c r="Q10" s="3" t="s">
        <v>7</v>
      </c>
      <c r="R10" s="3" t="s">
        <v>6</v>
      </c>
      <c r="S10" s="3" t="s">
        <v>7</v>
      </c>
      <c r="T10" s="3" t="s">
        <v>6</v>
      </c>
      <c r="U10" s="3" t="s">
        <v>7</v>
      </c>
      <c r="V10" s="29" t="s">
        <v>5</v>
      </c>
      <c r="W10" s="3" t="s">
        <v>6</v>
      </c>
      <c r="X10" s="3" t="s">
        <v>7</v>
      </c>
      <c r="Y10" s="3" t="s">
        <v>6</v>
      </c>
      <c r="Z10" s="3" t="s">
        <v>7</v>
      </c>
      <c r="AA10" s="3" t="s">
        <v>6</v>
      </c>
      <c r="AB10" s="3" t="s">
        <v>7</v>
      </c>
      <c r="AC10" s="29" t="s">
        <v>5</v>
      </c>
      <c r="AD10" s="30" t="s">
        <v>6</v>
      </c>
      <c r="AE10" s="30" t="s">
        <v>7</v>
      </c>
      <c r="AF10" s="37" t="s">
        <v>137</v>
      </c>
    </row>
    <row r="11" spans="1:32" ht="16.5" customHeight="1" x14ac:dyDescent="0.25">
      <c r="A11" s="23" t="s">
        <v>107</v>
      </c>
      <c r="B11" s="27">
        <f>+BELOUIZDAD!B25+BOLOGHINE!B36+'GUE DE CONS'!B23+'EL HARRACH'!B25</f>
        <v>124350767.01999998</v>
      </c>
      <c r="C11" s="27">
        <f>+BELOUIZDAD!C25+BOLOGHINE!C36+'GUE DE CONS'!C23+'EL HARRACH'!C25</f>
        <v>22688930.66</v>
      </c>
      <c r="D11" s="27">
        <f>+BELOUIZDAD!D25+BOLOGHINE!D36+'GUE DE CONS'!D23+'EL HARRACH'!D25</f>
        <v>35077537.859999999</v>
      </c>
      <c r="E11" s="27">
        <f>+BELOUIZDAD!E25+BOLOGHINE!E36+'GUE DE CONS'!E23+'EL HARRACH'!E25</f>
        <v>6652172.2300000004</v>
      </c>
      <c r="F11" s="27">
        <f>+BELOUIZDAD!F25+BOLOGHINE!F36+'GUE DE CONS'!F23+'EL HARRACH'!F25</f>
        <v>115412549.38</v>
      </c>
      <c r="G11" s="27">
        <f>+BELOUIZDAD!G25+BOLOGHINE!G36+'GUE DE CONS'!G23+'EL HARRACH'!G25</f>
        <v>123857.65</v>
      </c>
      <c r="H11" s="23" t="s">
        <v>107</v>
      </c>
      <c r="I11" s="27">
        <f>+BELOUIZDAD!I25+BOLOGHINE!I36+'GUE DE CONS'!I23+'EL HARRACH'!I25</f>
        <v>91614051.570000008</v>
      </c>
      <c r="J11" s="27">
        <f>+BELOUIZDAD!J25+BOLOGHINE!J36+'GUE DE CONS'!J23+'EL HARRACH'!J25</f>
        <v>1174954.51</v>
      </c>
      <c r="K11" s="27">
        <f>+BELOUIZDAD!K25+BOLOGHINE!K36+'GUE DE CONS'!K23+'EL HARRACH'!K25</f>
        <v>89433549.941999987</v>
      </c>
      <c r="L11" s="27">
        <f>+BELOUIZDAD!L25+BOLOGHINE!L36+'GUE DE CONS'!L23+'EL HARRACH'!L25</f>
        <v>367309.74000000005</v>
      </c>
      <c r="M11" s="27">
        <f>+BELOUIZDAD!M25+BOLOGHINE!M36+'GUE DE CONS'!M23+'EL HARRACH'!M25</f>
        <v>68322445.159999996</v>
      </c>
      <c r="N11" s="27">
        <f>+BELOUIZDAD!N25+BOLOGHINE!N36+'GUE DE CONS'!N23+'EL HARRACH'!N25</f>
        <v>7734181.3199999994</v>
      </c>
      <c r="O11" s="23" t="s">
        <v>107</v>
      </c>
      <c r="P11" s="27">
        <f>+BELOUIZDAD!P25+BOLOGHINE!P36+'GUE DE CONS'!P23+'EL HARRACH'!P25</f>
        <v>86980717.310000002</v>
      </c>
      <c r="Q11" s="27">
        <f>+BELOUIZDAD!Q25+BOLOGHINE!Q36+'GUE DE CONS'!Q23+'EL HARRACH'!Q25</f>
        <v>30561138.959999997</v>
      </c>
      <c r="R11" s="27">
        <f>+BELOUIZDAD!R25+BOLOGHINE!R36+'GUE DE CONS'!R23+'EL HARRACH'!R25</f>
        <v>58396395.459999993</v>
      </c>
      <c r="S11" s="27">
        <f>+BELOUIZDAD!S25+BOLOGHINE!S36+'GUE DE CONS'!S23+'EL HARRACH'!S25</f>
        <v>2282717.5199999996</v>
      </c>
      <c r="T11" s="27">
        <f>+BELOUIZDAD!T25+BOLOGHINE!T36+'GUE DE CONS'!T23+'EL HARRACH'!T25</f>
        <v>93795171.469999999</v>
      </c>
      <c r="U11" s="27">
        <f>+BELOUIZDAD!U25+BOLOGHINE!U36+'GUE DE CONS'!U23+'EL HARRACH'!U25</f>
        <v>60621781.090000004</v>
      </c>
      <c r="V11" s="23" t="s">
        <v>107</v>
      </c>
      <c r="W11" s="27">
        <f>+BELOUIZDAD!W25+BOLOGHINE!W36+'GUE DE CONS'!W23+'EL HARRACH'!W25</f>
        <v>128978171.51000001</v>
      </c>
      <c r="X11" s="27">
        <f>+BELOUIZDAD!X25+BOLOGHINE!X36+'GUE DE CONS'!X23+'EL HARRACH'!X25</f>
        <v>54737688.460000001</v>
      </c>
      <c r="Y11" s="27">
        <f>+BELOUIZDAD!Y25+BOLOGHINE!Y36+'GUE DE CONS'!Y23+'EL HARRACH'!Y25</f>
        <v>264907915.73999998</v>
      </c>
      <c r="Z11" s="27">
        <f>+BELOUIZDAD!Z25+BOLOGHINE!Z36+'GUE DE CONS'!Z23+'EL HARRACH'!Z25</f>
        <v>130579.69</v>
      </c>
      <c r="AA11" s="27">
        <f>+BELOUIZDAD!AA25+BOLOGHINE!AA36+'GUE DE CONS'!AA23+'EL HARRACH'!AA25</f>
        <v>431662978.25999999</v>
      </c>
      <c r="AB11" s="27">
        <f>+BELOUIZDAD!AB25+BOLOGHINE!AB36+'GUE DE CONS'!AB23+'EL HARRACH'!AB25</f>
        <v>129637.5</v>
      </c>
      <c r="AC11" s="23" t="s">
        <v>107</v>
      </c>
      <c r="AD11" s="27">
        <f>+B11+D11+F11+I11+K11+M11+P11+R11+T11+W11+Y11+AA11</f>
        <v>1588932250.6819999</v>
      </c>
      <c r="AE11" s="27">
        <f>+C11+E11+G11+J11+L11+N11+Q11+S11+U11+X11+Z11+AB11</f>
        <v>187204949.32999998</v>
      </c>
      <c r="AF11" s="27">
        <f>+AD11+AE11</f>
        <v>1776137200.0119998</v>
      </c>
    </row>
    <row r="12" spans="1:32" ht="16.5" customHeight="1" x14ac:dyDescent="0.25">
      <c r="A12" s="24" t="s">
        <v>108</v>
      </c>
      <c r="B12" s="27">
        <f>+BELOUIZDAD!B27+BOLOGHINE!B41+'GUE DE CONS'!B27+'EL HARRACH'!B30</f>
        <v>14071861.279999999</v>
      </c>
      <c r="C12" s="27">
        <f>+BELOUIZDAD!C27+BOLOGHINE!C41+'GUE DE CONS'!C27+'EL HARRACH'!C30</f>
        <v>397063.9</v>
      </c>
      <c r="D12" s="27">
        <f>+BELOUIZDAD!D27+BOLOGHINE!D41+'GUE DE CONS'!D27+'EL HARRACH'!D30</f>
        <v>4218580.3099999996</v>
      </c>
      <c r="E12" s="27">
        <f>+BELOUIZDAD!E27+BOLOGHINE!E41+'GUE DE CONS'!E27+'EL HARRACH'!E30</f>
        <v>0</v>
      </c>
      <c r="F12" s="27">
        <f>+BELOUIZDAD!F27+BOLOGHINE!F41+'GUE DE CONS'!F27+'EL HARRACH'!F30</f>
        <v>4500479.47</v>
      </c>
      <c r="G12" s="27">
        <f>+BELOUIZDAD!G27+BOLOGHINE!G41+'GUE DE CONS'!G27+'EL HARRACH'!G30</f>
        <v>0</v>
      </c>
      <c r="H12" s="24" t="s">
        <v>108</v>
      </c>
      <c r="I12" s="27">
        <f>+BELOUIZDAD!I27+BOLOGHINE!I41+'GUE DE CONS'!I27+'EL HARRACH'!I30</f>
        <v>2441593.46</v>
      </c>
      <c r="J12" s="27">
        <f>+BELOUIZDAD!J27+BOLOGHINE!J41+'GUE DE CONS'!J27+'EL HARRACH'!J30</f>
        <v>23468728.129999999</v>
      </c>
      <c r="K12" s="27">
        <f>+BELOUIZDAD!K27+BOLOGHINE!K41+'GUE DE CONS'!K27+'EL HARRACH'!K30</f>
        <v>2009153.12</v>
      </c>
      <c r="L12" s="27">
        <f>+BELOUIZDAD!L27+BOLOGHINE!L41+'GUE DE CONS'!L27+'EL HARRACH'!L30</f>
        <v>914090.43</v>
      </c>
      <c r="M12" s="27">
        <f>+BELOUIZDAD!M27+BOLOGHINE!M41+'GUE DE CONS'!M27+'EL HARRACH'!M30</f>
        <v>1897291.9100000001</v>
      </c>
      <c r="N12" s="27">
        <f>+BELOUIZDAD!N27+BOLOGHINE!N41+'GUE DE CONS'!N27+'EL HARRACH'!N30</f>
        <v>0</v>
      </c>
      <c r="O12" s="24" t="s">
        <v>108</v>
      </c>
      <c r="P12" s="27">
        <f>+BELOUIZDAD!P27+BOLOGHINE!P41+'GUE DE CONS'!P27+'EL HARRACH'!P30</f>
        <v>2899194.2399999993</v>
      </c>
      <c r="Q12" s="27">
        <f>+BELOUIZDAD!Q27+BOLOGHINE!Q41+'GUE DE CONS'!Q27+'EL HARRACH'!Q30</f>
        <v>468469.1</v>
      </c>
      <c r="R12" s="27">
        <f>+BELOUIZDAD!R27+BOLOGHINE!R41+'GUE DE CONS'!R27+'EL HARRACH'!R30</f>
        <v>2852627.3200000003</v>
      </c>
      <c r="S12" s="27">
        <f>+BELOUIZDAD!S27+BOLOGHINE!S41+'GUE DE CONS'!S27+'EL HARRACH'!S30</f>
        <v>0</v>
      </c>
      <c r="T12" s="27">
        <f>+BELOUIZDAD!T27+BOLOGHINE!T41+'GUE DE CONS'!T27+'EL HARRACH'!T30</f>
        <v>1983633.6800000002</v>
      </c>
      <c r="U12" s="27">
        <f>+BELOUIZDAD!U27+BOLOGHINE!U41+'GUE DE CONS'!U27+'EL HARRACH'!U30</f>
        <v>2268017.73</v>
      </c>
      <c r="V12" s="24" t="s">
        <v>108</v>
      </c>
      <c r="W12" s="27">
        <f>+BELOUIZDAD!W27+BOLOGHINE!W41+'GUE DE CONS'!W27+'EL HARRACH'!W30</f>
        <v>2721883.71</v>
      </c>
      <c r="X12" s="27">
        <f>+BELOUIZDAD!X27+BOLOGHINE!X41+'GUE DE CONS'!X27+'EL HARRACH'!X30</f>
        <v>0</v>
      </c>
      <c r="Y12" s="27">
        <f>+BELOUIZDAD!Y27+BOLOGHINE!Y41+'GUE DE CONS'!Y27+'EL HARRACH'!Y30</f>
        <v>3784336.9999999991</v>
      </c>
      <c r="Z12" s="27">
        <f>+BELOUIZDAD!Z27+BOLOGHINE!Z41+'GUE DE CONS'!Z27+'EL HARRACH'!Z30</f>
        <v>0</v>
      </c>
      <c r="AA12" s="27">
        <f>+BELOUIZDAD!AA27+BOLOGHINE!AA41+'GUE DE CONS'!AA27+'EL HARRACH'!AA30</f>
        <v>4026355.19</v>
      </c>
      <c r="AB12" s="27">
        <f>+BELOUIZDAD!AB27+BOLOGHINE!AB41+'GUE DE CONS'!AB27+'EL HARRACH'!AB30</f>
        <v>0</v>
      </c>
      <c r="AC12" s="24" t="s">
        <v>108</v>
      </c>
      <c r="AD12" s="27">
        <f t="shared" ref="AD12:AD39" si="0">+B12+D12+F12+I12+K12+M12+P12+R12+T12+W12+Y12+AA12</f>
        <v>47406990.689999998</v>
      </c>
      <c r="AE12" s="27">
        <f t="shared" ref="AE12:AE39" si="1">+C12+E12+G12+J12+L12+N12+Q12+S12+U12+X12+Z12+AB12</f>
        <v>27516369.289999999</v>
      </c>
      <c r="AF12" s="27">
        <f t="shared" ref="AF12:AF43" si="2">+AD12+AE12</f>
        <v>74923359.979999989</v>
      </c>
    </row>
    <row r="13" spans="1:32" ht="15" x14ac:dyDescent="0.25">
      <c r="A13" s="20" t="s">
        <v>115</v>
      </c>
      <c r="B13" s="13">
        <f>+BELOUIZDAD!B29+BOLOGHINE!B45+'GUE DE CONS'!B28+'EL HARRACH'!B35</f>
        <v>58564050.969999999</v>
      </c>
      <c r="C13" s="13">
        <f>+BELOUIZDAD!C29+BOLOGHINE!C45+'GUE DE CONS'!C28+'EL HARRACH'!C35</f>
        <v>9130699.0599999987</v>
      </c>
      <c r="D13" s="13">
        <f>+BELOUIZDAD!D29+BOLOGHINE!D45+'GUE DE CONS'!D28+'EL HARRACH'!D35</f>
        <v>2311759.48</v>
      </c>
      <c r="E13" s="13">
        <f>+BELOUIZDAD!E29+BOLOGHINE!E45+'GUE DE CONS'!E28+'EL HARRACH'!E35</f>
        <v>1077792.8899999999</v>
      </c>
      <c r="F13" s="13">
        <f>+BELOUIZDAD!F29+BOLOGHINE!F45+'GUE DE CONS'!F28+'EL HARRACH'!F35</f>
        <v>550949.04</v>
      </c>
      <c r="G13" s="13">
        <f>+BELOUIZDAD!G29+BOLOGHINE!G45+'GUE DE CONS'!G28+'EL HARRACH'!G35</f>
        <v>7359111.3200000003</v>
      </c>
      <c r="H13" s="20" t="s">
        <v>115</v>
      </c>
      <c r="I13" s="13">
        <f>+BELOUIZDAD!I29+BOLOGHINE!I45+'GUE DE CONS'!I28+'EL HARRACH'!I35</f>
        <v>13873.28</v>
      </c>
      <c r="J13" s="13">
        <f>+BELOUIZDAD!J29+BOLOGHINE!J45+'GUE DE CONS'!J28+'EL HARRACH'!J35</f>
        <v>378974.3</v>
      </c>
      <c r="K13" s="13">
        <f>+BELOUIZDAD!K29+BOLOGHINE!K45+'GUE DE CONS'!K28+'EL HARRACH'!K35</f>
        <v>43559.75</v>
      </c>
      <c r="L13" s="13">
        <f>+BELOUIZDAD!L29+BOLOGHINE!L45+'GUE DE CONS'!L28+'EL HARRACH'!L35</f>
        <v>0</v>
      </c>
      <c r="M13" s="13">
        <f>+BELOUIZDAD!M29+BOLOGHINE!M45+'GUE DE CONS'!M28+'EL HARRACH'!M35</f>
        <v>135687.46</v>
      </c>
      <c r="N13" s="13">
        <f>+BELOUIZDAD!N29+BOLOGHINE!N45+'GUE DE CONS'!N28+'EL HARRACH'!N35</f>
        <v>0</v>
      </c>
      <c r="O13" s="20" t="s">
        <v>115</v>
      </c>
      <c r="P13" s="13">
        <f>+BELOUIZDAD!P29+BOLOGHINE!P45+'GUE DE CONS'!P28+'EL HARRACH'!P35</f>
        <v>1533821.96</v>
      </c>
      <c r="Q13" s="13">
        <f>+BELOUIZDAD!Q29+BOLOGHINE!Q45+'GUE DE CONS'!Q28+'EL HARRACH'!Q35</f>
        <v>0</v>
      </c>
      <c r="R13" s="13">
        <f>+BELOUIZDAD!R29+BOLOGHINE!R45+'GUE DE CONS'!R28+'EL HARRACH'!R35</f>
        <v>26819.519999999997</v>
      </c>
      <c r="S13" s="13">
        <f>+BELOUIZDAD!S29+BOLOGHINE!S45+'GUE DE CONS'!S28+'EL HARRACH'!S35</f>
        <v>0</v>
      </c>
      <c r="T13" s="13">
        <f>+BELOUIZDAD!T29+BOLOGHINE!T45+'GUE DE CONS'!T28+'EL HARRACH'!T35</f>
        <v>19633.769999999997</v>
      </c>
      <c r="U13" s="13">
        <f>+BELOUIZDAD!U29+BOLOGHINE!U45+'GUE DE CONS'!U28+'EL HARRACH'!U35</f>
        <v>0</v>
      </c>
      <c r="V13" s="20" t="s">
        <v>115</v>
      </c>
      <c r="W13" s="13">
        <f>+BELOUIZDAD!W29+BOLOGHINE!W45+'GUE DE CONS'!W28+'EL HARRACH'!W35</f>
        <v>1274617.07</v>
      </c>
      <c r="X13" s="13">
        <f>+BELOUIZDAD!X29+BOLOGHINE!X45+'GUE DE CONS'!X28+'EL HARRACH'!X35</f>
        <v>5948052.1100000003</v>
      </c>
      <c r="Y13" s="13">
        <f>+BELOUIZDAD!Y29+BOLOGHINE!Y45+'GUE DE CONS'!Y28+'EL HARRACH'!Y35</f>
        <v>20116025.059999999</v>
      </c>
      <c r="Z13" s="13">
        <f>+BELOUIZDAD!Z29+BOLOGHINE!Z45+'GUE DE CONS'!Z28+'EL HARRACH'!Z35</f>
        <v>11830512.43</v>
      </c>
      <c r="AA13" s="13">
        <f>+BELOUIZDAD!AA29+BOLOGHINE!AA45+'GUE DE CONS'!AA28+'EL HARRACH'!AA35</f>
        <v>15982601.489999998</v>
      </c>
      <c r="AB13" s="13">
        <f>+BELOUIZDAD!AB29+BOLOGHINE!AB45+'GUE DE CONS'!AB28+'EL HARRACH'!AB35</f>
        <v>0</v>
      </c>
      <c r="AC13" s="20" t="s">
        <v>115</v>
      </c>
      <c r="AD13" s="14">
        <f t="shared" si="0"/>
        <v>100573398.84999999</v>
      </c>
      <c r="AE13" s="14">
        <f t="shared" si="1"/>
        <v>35725142.109999999</v>
      </c>
      <c r="AF13" s="36">
        <f t="shared" si="2"/>
        <v>136298540.95999998</v>
      </c>
    </row>
    <row r="14" spans="1:32" ht="15" x14ac:dyDescent="0.25">
      <c r="A14" s="20" t="s">
        <v>23</v>
      </c>
      <c r="B14" s="13">
        <f>+BELOUIZDAD!B28+BOLOGHINE!B43+'GUE DE CONS'!B34+'EL HARRACH'!B31</f>
        <v>120911570.57000001</v>
      </c>
      <c r="C14" s="13">
        <f>+BELOUIZDAD!C28+BOLOGHINE!C43+'GUE DE CONS'!C34+'EL HARRACH'!C31</f>
        <v>9559.2000000000007</v>
      </c>
      <c r="D14" s="13">
        <f>+BELOUIZDAD!D28+BOLOGHINE!D43+'GUE DE CONS'!D34+'EL HARRACH'!D31</f>
        <v>77332571.409999996</v>
      </c>
      <c r="E14" s="13">
        <f>+BELOUIZDAD!E28+BOLOGHINE!E43+'GUE DE CONS'!E34+'EL HARRACH'!E31</f>
        <v>0</v>
      </c>
      <c r="F14" s="13">
        <f>+BELOUIZDAD!F28+BOLOGHINE!F43+'GUE DE CONS'!F34+'EL HARRACH'!F31</f>
        <v>96020881.129999995</v>
      </c>
      <c r="G14" s="13">
        <f>+BELOUIZDAD!G28+BOLOGHINE!G43+'GUE DE CONS'!G34+'EL HARRACH'!G31</f>
        <v>0</v>
      </c>
      <c r="H14" s="20" t="s">
        <v>23</v>
      </c>
      <c r="I14" s="13">
        <f>+BELOUIZDAD!I28+BOLOGHINE!I43+'GUE DE CONS'!I34+'EL HARRACH'!I31</f>
        <v>18519616.950000003</v>
      </c>
      <c r="J14" s="13">
        <f>+BELOUIZDAD!J28+BOLOGHINE!J43+'GUE DE CONS'!J34+'EL HARRACH'!J31</f>
        <v>0</v>
      </c>
      <c r="K14" s="13">
        <f>+BELOUIZDAD!K28+BOLOGHINE!K43+'GUE DE CONS'!K34+'EL HARRACH'!K31</f>
        <v>25593233.569999997</v>
      </c>
      <c r="L14" s="13">
        <f>+BELOUIZDAD!L28+BOLOGHINE!L43+'GUE DE CONS'!L34+'EL HARRACH'!L31</f>
        <v>0</v>
      </c>
      <c r="M14" s="13">
        <f>+BELOUIZDAD!M28+BOLOGHINE!M43+'GUE DE CONS'!M34+'EL HARRACH'!M31</f>
        <v>5144822.93</v>
      </c>
      <c r="N14" s="13">
        <f>+BELOUIZDAD!N28+BOLOGHINE!N43+'GUE DE CONS'!N34+'EL HARRACH'!N31</f>
        <v>11583086.07</v>
      </c>
      <c r="O14" s="20" t="s">
        <v>23</v>
      </c>
      <c r="P14" s="13">
        <f>+BELOUIZDAD!P28+BOLOGHINE!P43+'GUE DE CONS'!P34+'EL HARRACH'!P31</f>
        <v>3485284.6400000006</v>
      </c>
      <c r="Q14" s="13">
        <f>+BELOUIZDAD!Q28+BOLOGHINE!Q43+'GUE DE CONS'!Q34+'EL HARRACH'!Q31</f>
        <v>0</v>
      </c>
      <c r="R14" s="13">
        <f>+BELOUIZDAD!R28+BOLOGHINE!R43+'GUE DE CONS'!R34+'EL HARRACH'!R31</f>
        <v>26836742.66</v>
      </c>
      <c r="S14" s="13">
        <f>+BELOUIZDAD!S28+BOLOGHINE!S43+'GUE DE CONS'!S34+'EL HARRACH'!S31</f>
        <v>0</v>
      </c>
      <c r="T14" s="13">
        <f>+BELOUIZDAD!T28+BOLOGHINE!T43+'GUE DE CONS'!T34+'EL HARRACH'!T31</f>
        <v>25803542.640000001</v>
      </c>
      <c r="U14" s="13">
        <f>+BELOUIZDAD!U28+BOLOGHINE!U43+'GUE DE CONS'!U34+'EL HARRACH'!U31</f>
        <v>0</v>
      </c>
      <c r="V14" s="20" t="s">
        <v>23</v>
      </c>
      <c r="W14" s="13">
        <f>+BELOUIZDAD!W28+BOLOGHINE!W43+'GUE DE CONS'!W34+'EL HARRACH'!W31</f>
        <v>11756363.27</v>
      </c>
      <c r="X14" s="13">
        <f>+BELOUIZDAD!X28+BOLOGHINE!X43+'GUE DE CONS'!X34+'EL HARRACH'!X31</f>
        <v>0</v>
      </c>
      <c r="Y14" s="13">
        <f>+BELOUIZDAD!Y28+BOLOGHINE!Y43+'GUE DE CONS'!Y34+'EL HARRACH'!Y31</f>
        <v>4888858.03</v>
      </c>
      <c r="Z14" s="13">
        <f>+BELOUIZDAD!Z28+BOLOGHINE!Z43+'GUE DE CONS'!Z34+'EL HARRACH'!Z31</f>
        <v>0</v>
      </c>
      <c r="AA14" s="13">
        <f>+BELOUIZDAD!AA28+BOLOGHINE!AA43+'GUE DE CONS'!AA34+'EL HARRACH'!AA31</f>
        <v>54609153.75</v>
      </c>
      <c r="AB14" s="13">
        <f>+BELOUIZDAD!AB28+BOLOGHINE!AB43+'GUE DE CONS'!AB34+'EL HARRACH'!AB31</f>
        <v>0</v>
      </c>
      <c r="AC14" s="20" t="s">
        <v>23</v>
      </c>
      <c r="AD14" s="14">
        <f t="shared" si="0"/>
        <v>470902641.54999995</v>
      </c>
      <c r="AE14" s="14">
        <f t="shared" si="1"/>
        <v>11592645.27</v>
      </c>
      <c r="AF14" s="36">
        <f t="shared" si="2"/>
        <v>482495286.81999993</v>
      </c>
    </row>
    <row r="15" spans="1:32" ht="15" x14ac:dyDescent="0.25">
      <c r="A15" s="20" t="s">
        <v>25</v>
      </c>
      <c r="B15" s="13">
        <f>+BELOUIZDAD!B30</f>
        <v>0</v>
      </c>
      <c r="C15" s="13">
        <f>+BELOUIZDAD!C30</f>
        <v>0</v>
      </c>
      <c r="D15" s="13">
        <f>+BELOUIZDAD!D30</f>
        <v>0</v>
      </c>
      <c r="E15" s="13">
        <f>+BELOUIZDAD!E30</f>
        <v>0</v>
      </c>
      <c r="F15" s="13">
        <f>+BELOUIZDAD!F30</f>
        <v>0</v>
      </c>
      <c r="G15" s="13">
        <f>+BELOUIZDAD!G30</f>
        <v>0</v>
      </c>
      <c r="H15" s="20" t="s">
        <v>25</v>
      </c>
      <c r="I15" s="13">
        <f>+BELOUIZDAD!I30</f>
        <v>0</v>
      </c>
      <c r="J15" s="13">
        <f>+BELOUIZDAD!J30</f>
        <v>0</v>
      </c>
      <c r="K15" s="13">
        <f>+BELOUIZDAD!K30</f>
        <v>0</v>
      </c>
      <c r="L15" s="13">
        <f>+BELOUIZDAD!L30</f>
        <v>0</v>
      </c>
      <c r="M15" s="13">
        <f>+BELOUIZDAD!M30</f>
        <v>0</v>
      </c>
      <c r="N15" s="13">
        <f>+BELOUIZDAD!N30</f>
        <v>0</v>
      </c>
      <c r="O15" s="20" t="s">
        <v>25</v>
      </c>
      <c r="P15" s="13">
        <f>+BELOUIZDAD!P30</f>
        <v>0</v>
      </c>
      <c r="Q15" s="13">
        <f>+BELOUIZDAD!Q30</f>
        <v>0</v>
      </c>
      <c r="R15" s="13">
        <f>+BELOUIZDAD!R30</f>
        <v>0</v>
      </c>
      <c r="S15" s="13">
        <f>+BELOUIZDAD!S30</f>
        <v>0</v>
      </c>
      <c r="T15" s="13">
        <f>+BELOUIZDAD!T30</f>
        <v>0</v>
      </c>
      <c r="U15" s="13">
        <f>+BELOUIZDAD!U30</f>
        <v>0</v>
      </c>
      <c r="V15" s="20" t="s">
        <v>25</v>
      </c>
      <c r="W15" s="13">
        <f>+BELOUIZDAD!W30</f>
        <v>0</v>
      </c>
      <c r="X15" s="13">
        <f>+BELOUIZDAD!X30</f>
        <v>0</v>
      </c>
      <c r="Y15" s="13">
        <f>+BELOUIZDAD!Y30</f>
        <v>0</v>
      </c>
      <c r="Z15" s="13">
        <f>+BELOUIZDAD!Z30</f>
        <v>0</v>
      </c>
      <c r="AA15" s="13">
        <f>+BELOUIZDAD!AA30</f>
        <v>0</v>
      </c>
      <c r="AB15" s="13">
        <f>+BELOUIZDAD!AB30</f>
        <v>10192646.57</v>
      </c>
      <c r="AC15" s="20" t="s">
        <v>25</v>
      </c>
      <c r="AD15" s="14">
        <f t="shared" si="0"/>
        <v>0</v>
      </c>
      <c r="AE15" s="14">
        <f t="shared" si="1"/>
        <v>10192646.57</v>
      </c>
      <c r="AF15" s="36">
        <f t="shared" si="2"/>
        <v>10192646.57</v>
      </c>
    </row>
    <row r="16" spans="1:32" ht="15" x14ac:dyDescent="0.25">
      <c r="A16" s="20" t="s">
        <v>26</v>
      </c>
      <c r="B16" s="13">
        <f>+BELOUIZDAD!B31+BOLOGHINE!B48+'EL HARRACH'!B40</f>
        <v>0</v>
      </c>
      <c r="C16" s="13">
        <f>+BELOUIZDAD!C31+BOLOGHINE!C48+'EL HARRACH'!C40</f>
        <v>22257172.640000001</v>
      </c>
      <c r="D16" s="13">
        <f>+BELOUIZDAD!D31+BOLOGHINE!D48+'EL HARRACH'!D40</f>
        <v>0</v>
      </c>
      <c r="E16" s="13">
        <f>+BELOUIZDAD!E31+BOLOGHINE!E48+'EL HARRACH'!E40</f>
        <v>1077792.8899999999</v>
      </c>
      <c r="F16" s="13">
        <f>+BELOUIZDAD!F31+BOLOGHINE!F48+'EL HARRACH'!F40</f>
        <v>0</v>
      </c>
      <c r="G16" s="13">
        <f>+BELOUIZDAD!G31+BOLOGHINE!G48+'EL HARRACH'!G40</f>
        <v>11564935.210000001</v>
      </c>
      <c r="H16" s="20" t="s">
        <v>26</v>
      </c>
      <c r="I16" s="13">
        <f>+BELOUIZDAD!I31+BOLOGHINE!I48+'EL HARRACH'!I40</f>
        <v>0</v>
      </c>
      <c r="J16" s="13">
        <f>+BELOUIZDAD!J31+BOLOGHINE!J48+'EL HARRACH'!J40</f>
        <v>6711337.7999999998</v>
      </c>
      <c r="K16" s="13">
        <f>+BELOUIZDAD!K31+BOLOGHINE!K48+'EL HARRACH'!K40</f>
        <v>0</v>
      </c>
      <c r="L16" s="13">
        <f>+BELOUIZDAD!L31+BOLOGHINE!L48+'EL HARRACH'!L40</f>
        <v>0</v>
      </c>
      <c r="M16" s="13">
        <f>+BELOUIZDAD!M31+BOLOGHINE!M48+'EL HARRACH'!M40</f>
        <v>0</v>
      </c>
      <c r="N16" s="13">
        <f>+BELOUIZDAD!N31+BOLOGHINE!N48+'EL HARRACH'!N40</f>
        <v>30210580.52</v>
      </c>
      <c r="O16" s="20" t="s">
        <v>26</v>
      </c>
      <c r="P16" s="13">
        <f>+BELOUIZDAD!P31+BOLOGHINE!P48+'EL HARRACH'!P40</f>
        <v>149872.16000000003</v>
      </c>
      <c r="Q16" s="13">
        <f>+BELOUIZDAD!Q31+BOLOGHINE!Q48+'EL HARRACH'!Q40</f>
        <v>26411549.789999999</v>
      </c>
      <c r="R16" s="13">
        <f>+BELOUIZDAD!R31+BOLOGHINE!R48+'EL HARRACH'!R40</f>
        <v>13574.86</v>
      </c>
      <c r="S16" s="13">
        <f>+BELOUIZDAD!S31+BOLOGHINE!S48+'EL HARRACH'!S40</f>
        <v>65839208.950000003</v>
      </c>
      <c r="T16" s="13">
        <f>+BELOUIZDAD!T31+BOLOGHINE!T48+'EL HARRACH'!T40</f>
        <v>18399.62</v>
      </c>
      <c r="U16" s="13">
        <f>+BELOUIZDAD!U31+BOLOGHINE!U48+'EL HARRACH'!U40</f>
        <v>0</v>
      </c>
      <c r="V16" s="20" t="s">
        <v>26</v>
      </c>
      <c r="W16" s="13">
        <f>+BELOUIZDAD!W31+BOLOGHINE!W48+'EL HARRACH'!W40</f>
        <v>51057.479999999996</v>
      </c>
      <c r="X16" s="13">
        <f>+BELOUIZDAD!X31+BOLOGHINE!X48+'EL HARRACH'!X40</f>
        <v>28902677.530000001</v>
      </c>
      <c r="Y16" s="13">
        <f>+BELOUIZDAD!Y31+BOLOGHINE!Y48+'EL HARRACH'!Y40</f>
        <v>13497.83</v>
      </c>
      <c r="Z16" s="13">
        <f>+BELOUIZDAD!Z31+BOLOGHINE!Z48+'EL HARRACH'!Z40</f>
        <v>232342384.94999999</v>
      </c>
      <c r="AA16" s="13">
        <f>+BELOUIZDAD!AA31+BOLOGHINE!AA48+'EL HARRACH'!AA40</f>
        <v>44373587.280000009</v>
      </c>
      <c r="AB16" s="13">
        <f>+BELOUIZDAD!AB31+BOLOGHINE!AB48+'EL HARRACH'!AB40</f>
        <v>0</v>
      </c>
      <c r="AC16" s="20" t="s">
        <v>26</v>
      </c>
      <c r="AD16" s="14">
        <f t="shared" si="0"/>
        <v>44619989.230000012</v>
      </c>
      <c r="AE16" s="14">
        <f t="shared" si="1"/>
        <v>425317640.27999997</v>
      </c>
      <c r="AF16" s="36">
        <f t="shared" si="2"/>
        <v>469937629.50999999</v>
      </c>
    </row>
    <row r="17" spans="1:32" ht="15" x14ac:dyDescent="0.25">
      <c r="A17" s="20" t="s">
        <v>27</v>
      </c>
      <c r="B17" s="13">
        <f>+BELOUIZDAD!B32+BOLOGHINE!B47+'GUE DE CONS'!B30+'EL HARRACH'!B39</f>
        <v>6385.4</v>
      </c>
      <c r="C17" s="13">
        <f>+BELOUIZDAD!C32+BOLOGHINE!C47+'GUE DE CONS'!C30+'EL HARRACH'!C39</f>
        <v>3118349.92</v>
      </c>
      <c r="D17" s="13">
        <f>+BELOUIZDAD!D32+BOLOGHINE!D47+'GUE DE CONS'!D30+'EL HARRACH'!D39</f>
        <v>0</v>
      </c>
      <c r="E17" s="13">
        <f>+BELOUIZDAD!E32+BOLOGHINE!E47+'GUE DE CONS'!E30+'EL HARRACH'!E39</f>
        <v>0</v>
      </c>
      <c r="F17" s="13">
        <f>+BELOUIZDAD!F32+BOLOGHINE!F47+'GUE DE CONS'!F30+'EL HARRACH'!F39</f>
        <v>13312.1</v>
      </c>
      <c r="G17" s="13">
        <f>+BELOUIZDAD!G32+BOLOGHINE!G47+'GUE DE CONS'!G30+'EL HARRACH'!G39</f>
        <v>51847439.840000004</v>
      </c>
      <c r="H17" s="20" t="s">
        <v>27</v>
      </c>
      <c r="I17" s="13">
        <f>+BELOUIZDAD!I32+BOLOGHINE!I47+'GUE DE CONS'!I30+'EL HARRACH'!I39</f>
        <v>17200.07</v>
      </c>
      <c r="J17" s="13">
        <f>+BELOUIZDAD!J32+BOLOGHINE!J47+'GUE DE CONS'!J30+'EL HARRACH'!J39</f>
        <v>466215.08</v>
      </c>
      <c r="K17" s="13">
        <f>+BELOUIZDAD!K32+BOLOGHINE!K47+'GUE DE CONS'!K30+'EL HARRACH'!K39</f>
        <v>24452.83</v>
      </c>
      <c r="L17" s="13">
        <f>+BELOUIZDAD!L32+BOLOGHINE!L47+'GUE DE CONS'!L30+'EL HARRACH'!L39</f>
        <v>0</v>
      </c>
      <c r="M17" s="13">
        <f>+BELOUIZDAD!M32+BOLOGHINE!M47+'GUE DE CONS'!M30+'EL HARRACH'!M39</f>
        <v>106872.81000000001</v>
      </c>
      <c r="N17" s="13">
        <f>+BELOUIZDAD!N32+BOLOGHINE!N47+'GUE DE CONS'!N30+'EL HARRACH'!N39</f>
        <v>0</v>
      </c>
      <c r="O17" s="20" t="s">
        <v>27</v>
      </c>
      <c r="P17" s="13">
        <f>+BELOUIZDAD!P32+BOLOGHINE!P47+'GUE DE CONS'!P30+'EL HARRACH'!P39</f>
        <v>214512.32</v>
      </c>
      <c r="Q17" s="13">
        <f>+BELOUIZDAD!Q32+BOLOGHINE!Q47+'GUE DE CONS'!Q30+'EL HARRACH'!Q39</f>
        <v>22896373.350000001</v>
      </c>
      <c r="R17" s="13">
        <f>+BELOUIZDAD!R32+BOLOGHINE!R47+'GUE DE CONS'!R30+'EL HARRACH'!R39</f>
        <v>535855.79999999993</v>
      </c>
      <c r="S17" s="13">
        <f>+BELOUIZDAD!S32+BOLOGHINE!S47+'GUE DE CONS'!S30+'EL HARRACH'!S39</f>
        <v>0</v>
      </c>
      <c r="T17" s="13">
        <f>+BELOUIZDAD!T32+BOLOGHINE!T47+'GUE DE CONS'!T30+'EL HARRACH'!T39</f>
        <v>360762.58999999985</v>
      </c>
      <c r="U17" s="13">
        <f>+BELOUIZDAD!U32+BOLOGHINE!U47+'GUE DE CONS'!U30+'EL HARRACH'!U39</f>
        <v>3116911.25</v>
      </c>
      <c r="V17" s="20" t="s">
        <v>27</v>
      </c>
      <c r="W17" s="13">
        <f>+BELOUIZDAD!W32+BOLOGHINE!W47+'GUE DE CONS'!W30+'EL HARRACH'!W39</f>
        <v>398048.62999999989</v>
      </c>
      <c r="X17" s="13">
        <f>+BELOUIZDAD!X32+BOLOGHINE!X47+'GUE DE CONS'!X30+'EL HARRACH'!X39</f>
        <v>29710710.439999998</v>
      </c>
      <c r="Y17" s="13">
        <f>+BELOUIZDAD!Y32+BOLOGHINE!Y47+'GUE DE CONS'!Y30+'EL HARRACH'!Y39</f>
        <v>650035.76</v>
      </c>
      <c r="Z17" s="13">
        <f>+BELOUIZDAD!Z32+BOLOGHINE!Z47+'GUE DE CONS'!Z30+'EL HARRACH'!Z39</f>
        <v>232342384.94999999</v>
      </c>
      <c r="AA17" s="13">
        <f>+BELOUIZDAD!AA32+BOLOGHINE!AA47+'GUE DE CONS'!AA30+'EL HARRACH'!AA39</f>
        <v>509980.78</v>
      </c>
      <c r="AB17" s="13">
        <f>+BELOUIZDAD!AB32+BOLOGHINE!AB47+'GUE DE CONS'!AB30+'EL HARRACH'!AB39</f>
        <v>0</v>
      </c>
      <c r="AC17" s="20" t="s">
        <v>27</v>
      </c>
      <c r="AD17" s="14">
        <f t="shared" si="0"/>
        <v>2837419.09</v>
      </c>
      <c r="AE17" s="14">
        <f t="shared" si="1"/>
        <v>343498384.82999998</v>
      </c>
      <c r="AF17" s="36">
        <f t="shared" si="2"/>
        <v>346335803.91999996</v>
      </c>
    </row>
    <row r="18" spans="1:32" ht="15" x14ac:dyDescent="0.25">
      <c r="A18" s="20" t="s">
        <v>28</v>
      </c>
      <c r="B18" s="13">
        <f>+BELOUIZDAD!B33+'GUE DE CONS'!B29+'EL HARRACH'!B32</f>
        <v>22095209.440000001</v>
      </c>
      <c r="C18" s="13">
        <f>+BELOUIZDAD!C33+'GUE DE CONS'!C29+'EL HARRACH'!C32</f>
        <v>0</v>
      </c>
      <c r="D18" s="13">
        <f>+BELOUIZDAD!D33+'GUE DE CONS'!D29+'EL HARRACH'!D32</f>
        <v>23011738.000000004</v>
      </c>
      <c r="E18" s="13">
        <f>+BELOUIZDAD!E33+'GUE DE CONS'!E29+'EL HARRACH'!E32</f>
        <v>0</v>
      </c>
      <c r="F18" s="13">
        <f>+BELOUIZDAD!F33+'GUE DE CONS'!F29+'EL HARRACH'!F32</f>
        <v>37831207.549999997</v>
      </c>
      <c r="G18" s="13">
        <f>+BELOUIZDAD!G33+'GUE DE CONS'!G29+'EL HARRACH'!G32</f>
        <v>0</v>
      </c>
      <c r="H18" s="20" t="s">
        <v>28</v>
      </c>
      <c r="I18" s="13">
        <f>+BELOUIZDAD!I33+'GUE DE CONS'!I29+'EL HARRACH'!I32</f>
        <v>13453514.99</v>
      </c>
      <c r="J18" s="13">
        <f>+BELOUIZDAD!J33+'GUE DE CONS'!J29+'EL HARRACH'!J32</f>
        <v>0</v>
      </c>
      <c r="K18" s="13">
        <f>+BELOUIZDAD!K33+'GUE DE CONS'!K29+'EL HARRACH'!K32</f>
        <v>89337.7</v>
      </c>
      <c r="L18" s="13">
        <f>+BELOUIZDAD!L33+'GUE DE CONS'!L29+'EL HARRACH'!L32</f>
        <v>0</v>
      </c>
      <c r="M18" s="13">
        <f>+BELOUIZDAD!M33+'GUE DE CONS'!M29+'EL HARRACH'!M32</f>
        <v>1389510.93</v>
      </c>
      <c r="N18" s="13">
        <f>+BELOUIZDAD!N33+'GUE DE CONS'!N29+'EL HARRACH'!N32</f>
        <v>0</v>
      </c>
      <c r="O18" s="20" t="s">
        <v>28</v>
      </c>
      <c r="P18" s="13">
        <f>+BELOUIZDAD!P33+'GUE DE CONS'!P29+'EL HARRACH'!P32</f>
        <v>374757.08</v>
      </c>
      <c r="Q18" s="13">
        <f>+BELOUIZDAD!Q33+'GUE DE CONS'!Q29+'EL HARRACH'!Q32</f>
        <v>0</v>
      </c>
      <c r="R18" s="13">
        <f>+BELOUIZDAD!R33+'GUE DE CONS'!R29+'EL HARRACH'!R32</f>
        <v>44124.66</v>
      </c>
      <c r="S18" s="13">
        <f>+BELOUIZDAD!S33+'GUE DE CONS'!S29+'EL HARRACH'!S32</f>
        <v>0</v>
      </c>
      <c r="T18" s="13">
        <f>+BELOUIZDAD!T33+'GUE DE CONS'!T29+'EL HARRACH'!T32</f>
        <v>376999.55</v>
      </c>
      <c r="U18" s="13">
        <f>+BELOUIZDAD!U33+'GUE DE CONS'!U29+'EL HARRACH'!U32</f>
        <v>1161839.25</v>
      </c>
      <c r="V18" s="20" t="s">
        <v>28</v>
      </c>
      <c r="W18" s="13">
        <f>+BELOUIZDAD!W33+'GUE DE CONS'!W29+'EL HARRACH'!W32</f>
        <v>30.49</v>
      </c>
      <c r="X18" s="13">
        <f>+BELOUIZDAD!X33+'GUE DE CONS'!X29+'EL HARRACH'!X32</f>
        <v>0</v>
      </c>
      <c r="Y18" s="13">
        <f>+BELOUIZDAD!Y33+'GUE DE CONS'!Y29+'EL HARRACH'!Y32</f>
        <v>4066794.26</v>
      </c>
      <c r="Z18" s="13">
        <f>+BELOUIZDAD!Z33+'GUE DE CONS'!Z29+'EL HARRACH'!Z32</f>
        <v>0</v>
      </c>
      <c r="AA18" s="13">
        <f>+BELOUIZDAD!AA33+'GUE DE CONS'!AA29+'EL HARRACH'!AA32</f>
        <v>51503592.549999997</v>
      </c>
      <c r="AB18" s="13">
        <f>+BELOUIZDAD!AB33+'GUE DE CONS'!AB29+'EL HARRACH'!AB32</f>
        <v>0</v>
      </c>
      <c r="AC18" s="20" t="s">
        <v>28</v>
      </c>
      <c r="AD18" s="14">
        <f t="shared" si="0"/>
        <v>154236817.19999999</v>
      </c>
      <c r="AE18" s="14">
        <f t="shared" si="1"/>
        <v>1161839.25</v>
      </c>
      <c r="AF18" s="36">
        <f t="shared" si="2"/>
        <v>155398656.44999999</v>
      </c>
    </row>
    <row r="19" spans="1:32" ht="15" x14ac:dyDescent="0.25">
      <c r="A19" s="20" t="s">
        <v>135</v>
      </c>
      <c r="B19" s="13">
        <f>+BELOUIZDAD!B34</f>
        <v>0</v>
      </c>
      <c r="C19" s="13">
        <f>+BELOUIZDAD!C34</f>
        <v>2440808.2200000002</v>
      </c>
      <c r="D19" s="13">
        <f>+BELOUIZDAD!D34</f>
        <v>0</v>
      </c>
      <c r="E19" s="13">
        <f>+BELOUIZDAD!E34</f>
        <v>0</v>
      </c>
      <c r="F19" s="13">
        <f>+BELOUIZDAD!F34</f>
        <v>0</v>
      </c>
      <c r="G19" s="13">
        <f>+BELOUIZDAD!G34</f>
        <v>0</v>
      </c>
      <c r="H19" s="20" t="s">
        <v>135</v>
      </c>
      <c r="I19" s="13">
        <f>+BELOUIZDAD!I34</f>
        <v>0</v>
      </c>
      <c r="J19" s="13">
        <f>+BELOUIZDAD!J34</f>
        <v>0</v>
      </c>
      <c r="K19" s="13">
        <f>+BELOUIZDAD!K34</f>
        <v>0</v>
      </c>
      <c r="L19" s="13">
        <f>+BELOUIZDAD!L34</f>
        <v>0</v>
      </c>
      <c r="M19" s="13">
        <f>+BELOUIZDAD!M34</f>
        <v>0</v>
      </c>
      <c r="N19" s="13">
        <f>+BELOUIZDAD!N34</f>
        <v>0</v>
      </c>
      <c r="O19" s="20" t="s">
        <v>135</v>
      </c>
      <c r="P19" s="13">
        <f>+BELOUIZDAD!P34</f>
        <v>0</v>
      </c>
      <c r="Q19" s="13">
        <f>+BELOUIZDAD!Q34</f>
        <v>0</v>
      </c>
      <c r="R19" s="13">
        <f>+BELOUIZDAD!R34</f>
        <v>0</v>
      </c>
      <c r="S19" s="13">
        <f>+BELOUIZDAD!S34</f>
        <v>0</v>
      </c>
      <c r="T19" s="13">
        <f>+BELOUIZDAD!T34</f>
        <v>0</v>
      </c>
      <c r="U19" s="13">
        <f>+BELOUIZDAD!U34</f>
        <v>1161839.25</v>
      </c>
      <c r="V19" s="20" t="s">
        <v>135</v>
      </c>
      <c r="W19" s="13">
        <f>+BELOUIZDAD!W34</f>
        <v>0</v>
      </c>
      <c r="X19" s="13">
        <f>+BELOUIZDAD!X34</f>
        <v>0</v>
      </c>
      <c r="Y19" s="13">
        <f>+BELOUIZDAD!Y34</f>
        <v>0</v>
      </c>
      <c r="Z19" s="13">
        <f>+BELOUIZDAD!Z34</f>
        <v>0</v>
      </c>
      <c r="AA19" s="13">
        <f>+BELOUIZDAD!AA34</f>
        <v>0</v>
      </c>
      <c r="AB19" s="13">
        <f>+BELOUIZDAD!AB34</f>
        <v>0</v>
      </c>
      <c r="AC19" s="20" t="s">
        <v>135</v>
      </c>
      <c r="AD19" s="14">
        <f t="shared" si="0"/>
        <v>0</v>
      </c>
      <c r="AE19" s="14">
        <f t="shared" si="1"/>
        <v>3602647.47</v>
      </c>
      <c r="AF19" s="36">
        <f t="shared" si="2"/>
        <v>3602647.47</v>
      </c>
    </row>
    <row r="20" spans="1:32" ht="15" x14ac:dyDescent="0.25">
      <c r="A20" s="20" t="s">
        <v>130</v>
      </c>
      <c r="B20" s="13">
        <f>+'GUE DE CONS'!B31</f>
        <v>0</v>
      </c>
      <c r="C20" s="13">
        <f>+'GUE DE CONS'!C31</f>
        <v>0</v>
      </c>
      <c r="D20" s="13">
        <f>+'GUE DE CONS'!D31</f>
        <v>0</v>
      </c>
      <c r="E20" s="13">
        <f>+'GUE DE CONS'!E31</f>
        <v>0</v>
      </c>
      <c r="F20" s="13">
        <f>+'GUE DE CONS'!F31</f>
        <v>0</v>
      </c>
      <c r="G20" s="13">
        <f>+'GUE DE CONS'!G31</f>
        <v>0</v>
      </c>
      <c r="H20" s="20" t="s">
        <v>130</v>
      </c>
      <c r="I20" s="13">
        <f>+'GUE DE CONS'!I31</f>
        <v>0</v>
      </c>
      <c r="J20" s="13">
        <f>+'GUE DE CONS'!J31</f>
        <v>0</v>
      </c>
      <c r="K20" s="13">
        <f>+'GUE DE CONS'!K31</f>
        <v>0</v>
      </c>
      <c r="L20" s="13">
        <f>+'GUE DE CONS'!L31</f>
        <v>0</v>
      </c>
      <c r="M20" s="13">
        <f>+'GUE DE CONS'!M31</f>
        <v>0</v>
      </c>
      <c r="N20" s="13">
        <f>+'GUE DE CONS'!N31</f>
        <v>0</v>
      </c>
      <c r="O20" s="20" t="s">
        <v>130</v>
      </c>
      <c r="P20" s="13">
        <f>+'GUE DE CONS'!P31</f>
        <v>6239.25</v>
      </c>
      <c r="Q20" s="13">
        <f>+'GUE DE CONS'!Q31</f>
        <v>0</v>
      </c>
      <c r="R20" s="13">
        <f>+'GUE DE CONS'!R31</f>
        <v>10406.42</v>
      </c>
      <c r="S20" s="13">
        <f>+'GUE DE CONS'!S31</f>
        <v>0</v>
      </c>
      <c r="T20" s="13">
        <f>+'GUE DE CONS'!T31</f>
        <v>0</v>
      </c>
      <c r="U20" s="13">
        <f>+'GUE DE CONS'!U31</f>
        <v>0</v>
      </c>
      <c r="V20" s="20" t="s">
        <v>130</v>
      </c>
      <c r="W20" s="13">
        <f>+'GUE DE CONS'!W31</f>
        <v>0</v>
      </c>
      <c r="X20" s="13">
        <f>+'GUE DE CONS'!X31</f>
        <v>0</v>
      </c>
      <c r="Y20" s="13">
        <f>+'GUE DE CONS'!Y31</f>
        <v>0</v>
      </c>
      <c r="Z20" s="13">
        <f>+'GUE DE CONS'!Z31</f>
        <v>0</v>
      </c>
      <c r="AA20" s="13">
        <f>+'GUE DE CONS'!AA31</f>
        <v>0</v>
      </c>
      <c r="AB20" s="13">
        <f>+'GUE DE CONS'!AB31</f>
        <v>0</v>
      </c>
      <c r="AC20" s="20" t="s">
        <v>130</v>
      </c>
      <c r="AD20" s="14">
        <f t="shared" si="0"/>
        <v>16645.669999999998</v>
      </c>
      <c r="AE20" s="14">
        <f t="shared" si="1"/>
        <v>0</v>
      </c>
      <c r="AF20" s="36">
        <f t="shared" si="2"/>
        <v>16645.669999999998</v>
      </c>
    </row>
    <row r="21" spans="1:32" ht="15" x14ac:dyDescent="0.25">
      <c r="A21" s="20" t="s">
        <v>131</v>
      </c>
      <c r="B21" s="13">
        <f>+'GUE DE CONS'!B32</f>
        <v>0</v>
      </c>
      <c r="C21" s="13">
        <f>+'GUE DE CONS'!C32</f>
        <v>0</v>
      </c>
      <c r="D21" s="13">
        <f>+'GUE DE CONS'!D32</f>
        <v>0</v>
      </c>
      <c r="E21" s="13">
        <f>+'GUE DE CONS'!E32</f>
        <v>0</v>
      </c>
      <c r="F21" s="13">
        <f>+'GUE DE CONS'!F32</f>
        <v>0</v>
      </c>
      <c r="G21" s="13">
        <f>+'GUE DE CONS'!G32</f>
        <v>0</v>
      </c>
      <c r="H21" s="20" t="s">
        <v>131</v>
      </c>
      <c r="I21" s="13">
        <f>+'GUE DE CONS'!I32</f>
        <v>0</v>
      </c>
      <c r="J21" s="13">
        <f>+'GUE DE CONS'!J32</f>
        <v>0</v>
      </c>
      <c r="K21" s="13">
        <f>+'GUE DE CONS'!K32</f>
        <v>0</v>
      </c>
      <c r="L21" s="13">
        <f>+'GUE DE CONS'!L32</f>
        <v>0</v>
      </c>
      <c r="M21" s="13">
        <f>+'GUE DE CONS'!M32</f>
        <v>0</v>
      </c>
      <c r="N21" s="13">
        <f>+'GUE DE CONS'!N32</f>
        <v>0</v>
      </c>
      <c r="O21" s="20" t="s">
        <v>131</v>
      </c>
      <c r="P21" s="13">
        <f>+'GUE DE CONS'!P32</f>
        <v>0</v>
      </c>
      <c r="Q21" s="13">
        <f>+'GUE DE CONS'!Q32</f>
        <v>0</v>
      </c>
      <c r="R21" s="13">
        <f>+'GUE DE CONS'!R32</f>
        <v>0</v>
      </c>
      <c r="S21" s="13">
        <f>+'GUE DE CONS'!S32</f>
        <v>0</v>
      </c>
      <c r="T21" s="13">
        <f>+'GUE DE CONS'!T32</f>
        <v>0</v>
      </c>
      <c r="U21" s="13">
        <f>+'GUE DE CONS'!U32</f>
        <v>0</v>
      </c>
      <c r="V21" s="20" t="s">
        <v>131</v>
      </c>
      <c r="W21" s="13">
        <f>+'GUE DE CONS'!W32</f>
        <v>0</v>
      </c>
      <c r="X21" s="13">
        <f>+'GUE DE CONS'!X32</f>
        <v>0</v>
      </c>
      <c r="Y21" s="13">
        <f>+'GUE DE CONS'!Y32</f>
        <v>0</v>
      </c>
      <c r="Z21" s="13">
        <f>+'GUE DE CONS'!Z32</f>
        <v>0</v>
      </c>
      <c r="AA21" s="13">
        <f>+'GUE DE CONS'!AA32</f>
        <v>275.66000000000003</v>
      </c>
      <c r="AB21" s="13">
        <f>+'GUE DE CONS'!AB32</f>
        <v>0</v>
      </c>
      <c r="AC21" s="20" t="s">
        <v>131</v>
      </c>
      <c r="AD21" s="14">
        <f t="shared" si="0"/>
        <v>275.66000000000003</v>
      </c>
      <c r="AE21" s="14">
        <f t="shared" si="1"/>
        <v>0</v>
      </c>
      <c r="AF21" s="36">
        <f t="shared" si="2"/>
        <v>275.66000000000003</v>
      </c>
    </row>
    <row r="22" spans="1:32" ht="15" x14ac:dyDescent="0.25">
      <c r="A22" s="20" t="s">
        <v>125</v>
      </c>
      <c r="B22" s="13">
        <f>+'GUE DE CONS'!B33+'EL HARRACH'!B47</f>
        <v>0</v>
      </c>
      <c r="C22" s="13">
        <f>+'GUE DE CONS'!C33+'EL HARRACH'!C47</f>
        <v>0</v>
      </c>
      <c r="D22" s="13">
        <f>+'GUE DE CONS'!D33+'EL HARRACH'!D47</f>
        <v>0</v>
      </c>
      <c r="E22" s="13">
        <f>+'GUE DE CONS'!E33+'EL HARRACH'!E47</f>
        <v>0</v>
      </c>
      <c r="F22" s="13">
        <f>+'GUE DE CONS'!F33+'EL HARRACH'!F47</f>
        <v>0</v>
      </c>
      <c r="G22" s="13">
        <f>+'GUE DE CONS'!G33+'EL HARRACH'!G47</f>
        <v>0</v>
      </c>
      <c r="H22" s="20" t="s">
        <v>125</v>
      </c>
      <c r="I22" s="13">
        <f>+'GUE DE CONS'!I33+'EL HARRACH'!I47</f>
        <v>0</v>
      </c>
      <c r="J22" s="13">
        <f>+'GUE DE CONS'!J33+'EL HARRACH'!J47</f>
        <v>0</v>
      </c>
      <c r="K22" s="13">
        <f>+'GUE DE CONS'!K33+'EL HARRACH'!K47</f>
        <v>7661.46</v>
      </c>
      <c r="L22" s="13">
        <f>+'GUE DE CONS'!L33+'EL HARRACH'!L47</f>
        <v>0</v>
      </c>
      <c r="M22" s="13">
        <f>+'GUE DE CONS'!M33+'EL HARRACH'!M47</f>
        <v>306.75</v>
      </c>
      <c r="N22" s="13">
        <f>+'GUE DE CONS'!N33+'EL HARRACH'!N47</f>
        <v>0</v>
      </c>
      <c r="O22" s="20" t="s">
        <v>125</v>
      </c>
      <c r="P22" s="13">
        <f>+'GUE DE CONS'!P33+'EL HARRACH'!P47</f>
        <v>13554.27</v>
      </c>
      <c r="Q22" s="13">
        <f>+'GUE DE CONS'!Q33+'EL HARRACH'!Q47</f>
        <v>0</v>
      </c>
      <c r="R22" s="13">
        <f>+'GUE DE CONS'!R33+'EL HARRACH'!R47</f>
        <v>4688.6499999999996</v>
      </c>
      <c r="S22" s="13">
        <f>+'GUE DE CONS'!S33+'EL HARRACH'!S47</f>
        <v>0</v>
      </c>
      <c r="T22" s="13">
        <f>+'GUE DE CONS'!T33+'EL HARRACH'!T47</f>
        <v>10415.07</v>
      </c>
      <c r="U22" s="13">
        <f>+'GUE DE CONS'!U33+'EL HARRACH'!U47</f>
        <v>0</v>
      </c>
      <c r="V22" s="20" t="s">
        <v>125</v>
      </c>
      <c r="W22" s="13">
        <f>+'GUE DE CONS'!W33+'EL HARRACH'!W47</f>
        <v>36281.26</v>
      </c>
      <c r="X22" s="13">
        <f>+'GUE DE CONS'!X33+'EL HARRACH'!X47</f>
        <v>0</v>
      </c>
      <c r="Y22" s="13">
        <f>+'GUE DE CONS'!Y33+'EL HARRACH'!Y47</f>
        <v>61265.37</v>
      </c>
      <c r="Z22" s="13">
        <f>+'GUE DE CONS'!Z33+'EL HARRACH'!Z47</f>
        <v>0</v>
      </c>
      <c r="AA22" s="13">
        <f>+'GUE DE CONS'!AA33+'EL HARRACH'!AA47</f>
        <v>227907.34</v>
      </c>
      <c r="AB22" s="13">
        <f>+'GUE DE CONS'!AB33+'EL HARRACH'!AB47</f>
        <v>0</v>
      </c>
      <c r="AC22" s="20" t="s">
        <v>125</v>
      </c>
      <c r="AD22" s="14">
        <f t="shared" si="0"/>
        <v>362080.17</v>
      </c>
      <c r="AE22" s="14">
        <f t="shared" si="1"/>
        <v>0</v>
      </c>
      <c r="AF22" s="36">
        <f t="shared" si="2"/>
        <v>362080.17</v>
      </c>
    </row>
    <row r="23" spans="1:32" ht="15" x14ac:dyDescent="0.25">
      <c r="A23" s="20" t="s">
        <v>132</v>
      </c>
      <c r="B23" s="13">
        <f>+'GUE DE CONS'!B35</f>
        <v>22093.97</v>
      </c>
      <c r="C23" s="13">
        <f>+'GUE DE CONS'!C35</f>
        <v>0</v>
      </c>
      <c r="D23" s="13">
        <f>+'GUE DE CONS'!D35</f>
        <v>18066.11</v>
      </c>
      <c r="E23" s="13">
        <f>+'GUE DE CONS'!E35</f>
        <v>0</v>
      </c>
      <c r="F23" s="13">
        <f>+'GUE DE CONS'!F35</f>
        <v>12966.1</v>
      </c>
      <c r="G23" s="13">
        <f>+'GUE DE CONS'!G35</f>
        <v>0</v>
      </c>
      <c r="H23" s="20" t="s">
        <v>132</v>
      </c>
      <c r="I23" s="13">
        <f>+'GUE DE CONS'!I35</f>
        <v>2752.17</v>
      </c>
      <c r="J23" s="13">
        <f>+'GUE DE CONS'!J35</f>
        <v>0</v>
      </c>
      <c r="K23" s="13">
        <f>+'GUE DE CONS'!K35</f>
        <v>2687.11</v>
      </c>
      <c r="L23" s="13">
        <f>+'GUE DE CONS'!L35</f>
        <v>0</v>
      </c>
      <c r="M23" s="13">
        <f>+'GUE DE CONS'!M35</f>
        <v>12366.66</v>
      </c>
      <c r="N23" s="13">
        <f>+'GUE DE CONS'!N35</f>
        <v>0</v>
      </c>
      <c r="O23" s="20" t="s">
        <v>132</v>
      </c>
      <c r="P23" s="13">
        <f>+'GUE DE CONS'!P35</f>
        <v>5669.11</v>
      </c>
      <c r="Q23" s="13">
        <f>+'GUE DE CONS'!Q35</f>
        <v>0</v>
      </c>
      <c r="R23" s="13">
        <f>+'GUE DE CONS'!R35</f>
        <v>5465.6</v>
      </c>
      <c r="S23" s="13">
        <f>+'GUE DE CONS'!S35</f>
        <v>0</v>
      </c>
      <c r="T23" s="13">
        <f>+'GUE DE CONS'!T35</f>
        <v>8509.4</v>
      </c>
      <c r="U23" s="13">
        <f>+'GUE DE CONS'!U35</f>
        <v>0</v>
      </c>
      <c r="V23" s="20" t="s">
        <v>132</v>
      </c>
      <c r="W23" s="13">
        <f>+'GUE DE CONS'!W35</f>
        <v>29420.9</v>
      </c>
      <c r="X23" s="13">
        <f>+'GUE DE CONS'!X35</f>
        <v>0</v>
      </c>
      <c r="Y23" s="13">
        <f>+'GUE DE CONS'!Y35</f>
        <v>37351.57</v>
      </c>
      <c r="Z23" s="13">
        <f>+'GUE DE CONS'!Z35</f>
        <v>0</v>
      </c>
      <c r="AA23" s="13">
        <f>+'GUE DE CONS'!AA35</f>
        <v>17951.21</v>
      </c>
      <c r="AB23" s="13">
        <f>+'GUE DE CONS'!AB35</f>
        <v>0</v>
      </c>
      <c r="AC23" s="20" t="s">
        <v>132</v>
      </c>
      <c r="AD23" s="14">
        <f t="shared" si="0"/>
        <v>175299.91</v>
      </c>
      <c r="AE23" s="14">
        <f t="shared" si="1"/>
        <v>0</v>
      </c>
      <c r="AF23" s="36">
        <f t="shared" si="2"/>
        <v>175299.91</v>
      </c>
    </row>
    <row r="24" spans="1:32" ht="15" x14ac:dyDescent="0.25">
      <c r="A24" s="20" t="s">
        <v>116</v>
      </c>
      <c r="B24" s="13">
        <f>+'EL HARRACH'!B33</f>
        <v>0</v>
      </c>
      <c r="C24" s="13">
        <f>+'EL HARRACH'!C33</f>
        <v>0</v>
      </c>
      <c r="D24" s="13">
        <f>+'EL HARRACH'!D33</f>
        <v>0</v>
      </c>
      <c r="E24" s="13">
        <f>+'EL HARRACH'!E33</f>
        <v>0</v>
      </c>
      <c r="F24" s="13">
        <f>+'EL HARRACH'!F33</f>
        <v>0</v>
      </c>
      <c r="G24" s="13">
        <f>+'EL HARRACH'!G33</f>
        <v>0</v>
      </c>
      <c r="H24" s="20" t="s">
        <v>116</v>
      </c>
      <c r="I24" s="13">
        <f>+'EL HARRACH'!I33</f>
        <v>0</v>
      </c>
      <c r="J24" s="13">
        <f>+'EL HARRACH'!J33</f>
        <v>0</v>
      </c>
      <c r="K24" s="13">
        <f>+'EL HARRACH'!K33</f>
        <v>0</v>
      </c>
      <c r="L24" s="13">
        <f>+'EL HARRACH'!L33</f>
        <v>0</v>
      </c>
      <c r="M24" s="13">
        <f>+'EL HARRACH'!M33</f>
        <v>0</v>
      </c>
      <c r="N24" s="13">
        <f>+'EL HARRACH'!N33</f>
        <v>0</v>
      </c>
      <c r="O24" s="20" t="s">
        <v>116</v>
      </c>
      <c r="P24" s="13">
        <f>+'EL HARRACH'!P33</f>
        <v>0</v>
      </c>
      <c r="Q24" s="13">
        <f>+'EL HARRACH'!Q33</f>
        <v>0</v>
      </c>
      <c r="R24" s="13">
        <f>+'EL HARRACH'!R33</f>
        <v>0</v>
      </c>
      <c r="S24" s="13">
        <f>+'EL HARRACH'!S33</f>
        <v>0</v>
      </c>
      <c r="T24" s="13">
        <f>+'EL HARRACH'!T33</f>
        <v>29646.65</v>
      </c>
      <c r="U24" s="13">
        <f>+'EL HARRACH'!U33</f>
        <v>0</v>
      </c>
      <c r="V24" s="20" t="s">
        <v>116</v>
      </c>
      <c r="W24" s="13">
        <f>+'EL HARRACH'!W33</f>
        <v>9505</v>
      </c>
      <c r="X24" s="13">
        <f>+'EL HARRACH'!X33</f>
        <v>0</v>
      </c>
      <c r="Y24" s="13">
        <f>+'EL HARRACH'!Y33</f>
        <v>0</v>
      </c>
      <c r="Z24" s="13">
        <f>+'EL HARRACH'!Z33</f>
        <v>0</v>
      </c>
      <c r="AA24" s="13">
        <f>+'EL HARRACH'!AA33</f>
        <v>35928.93</v>
      </c>
      <c r="AB24" s="13">
        <f>+'EL HARRACH'!AB33</f>
        <v>0</v>
      </c>
      <c r="AC24" s="20" t="s">
        <v>116</v>
      </c>
      <c r="AD24" s="14">
        <f t="shared" si="0"/>
        <v>75080.58</v>
      </c>
      <c r="AE24" s="14">
        <f t="shared" si="1"/>
        <v>0</v>
      </c>
      <c r="AF24" s="36">
        <f t="shared" si="2"/>
        <v>75080.58</v>
      </c>
    </row>
    <row r="25" spans="1:32" ht="15" x14ac:dyDescent="0.25">
      <c r="A25" s="20" t="s">
        <v>117</v>
      </c>
      <c r="B25" s="13">
        <f>+'EL HARRACH'!B34</f>
        <v>98355.989999999991</v>
      </c>
      <c r="C25" s="13">
        <f>+'EL HARRACH'!C34</f>
        <v>0</v>
      </c>
      <c r="D25" s="13">
        <f>+'EL HARRACH'!D34</f>
        <v>90365.47</v>
      </c>
      <c r="E25" s="13">
        <f>+'EL HARRACH'!E34</f>
        <v>0</v>
      </c>
      <c r="F25" s="13">
        <f>+'EL HARRACH'!F34</f>
        <v>96148.200000000012</v>
      </c>
      <c r="G25" s="13">
        <f>+'EL HARRACH'!G34</f>
        <v>0</v>
      </c>
      <c r="H25" s="20" t="s">
        <v>117</v>
      </c>
      <c r="I25" s="13">
        <f>+'EL HARRACH'!I34</f>
        <v>400955.49</v>
      </c>
      <c r="J25" s="13">
        <f>+'EL HARRACH'!J34</f>
        <v>0</v>
      </c>
      <c r="K25" s="13">
        <f>+'EL HARRACH'!K34</f>
        <v>269756.07</v>
      </c>
      <c r="L25" s="13">
        <f>+'EL HARRACH'!L34</f>
        <v>0</v>
      </c>
      <c r="M25" s="13">
        <f>+'EL HARRACH'!M34</f>
        <v>214707.33</v>
      </c>
      <c r="N25" s="13">
        <f>+'EL HARRACH'!N34</f>
        <v>0</v>
      </c>
      <c r="O25" s="20" t="s">
        <v>117</v>
      </c>
      <c r="P25" s="13">
        <f>+'EL HARRACH'!P34</f>
        <v>184545.69</v>
      </c>
      <c r="Q25" s="13">
        <f>+'EL HARRACH'!Q34</f>
        <v>0</v>
      </c>
      <c r="R25" s="13">
        <f>+'EL HARRACH'!R34</f>
        <v>1033163.0299999998</v>
      </c>
      <c r="S25" s="13">
        <f>+'EL HARRACH'!S34</f>
        <v>0</v>
      </c>
      <c r="T25" s="13">
        <f>+'EL HARRACH'!T34</f>
        <v>1119862.49</v>
      </c>
      <c r="U25" s="13">
        <f>+'EL HARRACH'!U34</f>
        <v>0</v>
      </c>
      <c r="V25" s="20" t="s">
        <v>117</v>
      </c>
      <c r="W25" s="13">
        <f>+'EL HARRACH'!W34</f>
        <v>378215.54000000004</v>
      </c>
      <c r="X25" s="13">
        <f>+'EL HARRACH'!X34</f>
        <v>0</v>
      </c>
      <c r="Y25" s="13">
        <f>+'EL HARRACH'!Y34</f>
        <v>659983.1</v>
      </c>
      <c r="Z25" s="13">
        <f>+'EL HARRACH'!Z34</f>
        <v>0</v>
      </c>
      <c r="AA25" s="13">
        <f>+'EL HARRACH'!AA34</f>
        <v>458182.27999999997</v>
      </c>
      <c r="AB25" s="13">
        <f>+'EL HARRACH'!AB34</f>
        <v>0</v>
      </c>
      <c r="AC25" s="20" t="s">
        <v>117</v>
      </c>
      <c r="AD25" s="14">
        <f t="shared" si="0"/>
        <v>5004240.68</v>
      </c>
      <c r="AE25" s="14">
        <f t="shared" si="1"/>
        <v>0</v>
      </c>
      <c r="AF25" s="36">
        <f t="shared" si="2"/>
        <v>5004240.68</v>
      </c>
    </row>
    <row r="26" spans="1:32" ht="15" x14ac:dyDescent="0.25">
      <c r="A26" s="20" t="s">
        <v>133</v>
      </c>
      <c r="B26" s="13">
        <f>+'EL HARRACH'!B36</f>
        <v>0</v>
      </c>
      <c r="C26" s="13">
        <f>+'EL HARRACH'!C36</f>
        <v>0</v>
      </c>
      <c r="D26" s="13">
        <f>+'EL HARRACH'!D36</f>
        <v>0</v>
      </c>
      <c r="E26" s="13">
        <f>+'EL HARRACH'!E36</f>
        <v>0</v>
      </c>
      <c r="F26" s="13">
        <f>+'EL HARRACH'!F36</f>
        <v>0</v>
      </c>
      <c r="G26" s="13">
        <f>+'EL HARRACH'!G36</f>
        <v>0</v>
      </c>
      <c r="H26" s="20" t="s">
        <v>133</v>
      </c>
      <c r="I26" s="13">
        <f>+'EL HARRACH'!I36</f>
        <v>0</v>
      </c>
      <c r="J26" s="13">
        <f>+'EL HARRACH'!J36</f>
        <v>0</v>
      </c>
      <c r="K26" s="13">
        <f>+'EL HARRACH'!K36</f>
        <v>0</v>
      </c>
      <c r="L26" s="13">
        <f>+'EL HARRACH'!L36</f>
        <v>6173377.5499999998</v>
      </c>
      <c r="M26" s="13">
        <f>+'EL HARRACH'!M36</f>
        <v>0</v>
      </c>
      <c r="N26" s="13">
        <f>+'EL HARRACH'!N36</f>
        <v>0</v>
      </c>
      <c r="O26" s="20" t="s">
        <v>133</v>
      </c>
      <c r="P26" s="13">
        <f>+'EL HARRACH'!P36</f>
        <v>0</v>
      </c>
      <c r="Q26" s="13">
        <f>+'EL HARRACH'!Q36</f>
        <v>0</v>
      </c>
      <c r="R26" s="13">
        <f>+'EL HARRACH'!R36</f>
        <v>0</v>
      </c>
      <c r="S26" s="13">
        <f>+'EL HARRACH'!S36</f>
        <v>0</v>
      </c>
      <c r="T26" s="13">
        <f>+'EL HARRACH'!T36</f>
        <v>0</v>
      </c>
      <c r="U26" s="13">
        <f>+'EL HARRACH'!U36</f>
        <v>0</v>
      </c>
      <c r="V26" s="20" t="s">
        <v>133</v>
      </c>
      <c r="W26" s="13">
        <f>+'EL HARRACH'!W36</f>
        <v>0</v>
      </c>
      <c r="X26" s="13">
        <f>+'EL HARRACH'!X36</f>
        <v>0</v>
      </c>
      <c r="Y26" s="13">
        <f>+'EL HARRACH'!Y36</f>
        <v>0</v>
      </c>
      <c r="Z26" s="13">
        <f>+'EL HARRACH'!Z36</f>
        <v>0</v>
      </c>
      <c r="AA26" s="13">
        <f>+'EL HARRACH'!AA36</f>
        <v>170279</v>
      </c>
      <c r="AB26" s="13">
        <f>+'EL HARRACH'!AB36</f>
        <v>0</v>
      </c>
      <c r="AC26" s="20" t="s">
        <v>133</v>
      </c>
      <c r="AD26" s="14">
        <f t="shared" si="0"/>
        <v>170279</v>
      </c>
      <c r="AE26" s="14">
        <f t="shared" si="1"/>
        <v>6173377.5499999998</v>
      </c>
      <c r="AF26" s="36">
        <f t="shared" si="2"/>
        <v>6343656.5499999998</v>
      </c>
    </row>
    <row r="27" spans="1:32" ht="15" x14ac:dyDescent="0.25">
      <c r="A27" s="20" t="s">
        <v>119</v>
      </c>
      <c r="B27" s="13">
        <f>+'EL HARRACH'!B37</f>
        <v>0</v>
      </c>
      <c r="C27" s="13">
        <f>+'EL HARRACH'!C37</f>
        <v>0</v>
      </c>
      <c r="D27" s="13">
        <f>+'EL HARRACH'!D37</f>
        <v>0</v>
      </c>
      <c r="E27" s="13">
        <f>+'EL HARRACH'!E37</f>
        <v>0</v>
      </c>
      <c r="F27" s="13">
        <f>+'EL HARRACH'!F37</f>
        <v>0</v>
      </c>
      <c r="G27" s="13">
        <f>+'EL HARRACH'!G37</f>
        <v>0</v>
      </c>
      <c r="H27" s="20" t="s">
        <v>119</v>
      </c>
      <c r="I27" s="13">
        <f>+'EL HARRACH'!I37</f>
        <v>0</v>
      </c>
      <c r="J27" s="13">
        <f>+'EL HARRACH'!J37</f>
        <v>0</v>
      </c>
      <c r="K27" s="13">
        <f>+'EL HARRACH'!K37</f>
        <v>0</v>
      </c>
      <c r="L27" s="13">
        <f>+'EL HARRACH'!L37</f>
        <v>0</v>
      </c>
      <c r="M27" s="13">
        <f>+'EL HARRACH'!M37</f>
        <v>0</v>
      </c>
      <c r="N27" s="13">
        <f>+'EL HARRACH'!N37</f>
        <v>0</v>
      </c>
      <c r="O27" s="20" t="s">
        <v>119</v>
      </c>
      <c r="P27" s="13">
        <f>+'EL HARRACH'!P37</f>
        <v>0</v>
      </c>
      <c r="Q27" s="13">
        <f>+'EL HARRACH'!Q37</f>
        <v>0</v>
      </c>
      <c r="R27" s="13">
        <f>+'EL HARRACH'!R37</f>
        <v>0</v>
      </c>
      <c r="S27" s="13">
        <f>+'EL HARRACH'!S37</f>
        <v>0</v>
      </c>
      <c r="T27" s="13">
        <f>+'EL HARRACH'!T37</f>
        <v>0</v>
      </c>
      <c r="U27" s="13">
        <f>+'EL HARRACH'!U37</f>
        <v>0</v>
      </c>
      <c r="V27" s="20" t="s">
        <v>119</v>
      </c>
      <c r="W27" s="13">
        <f>+'EL HARRACH'!W37</f>
        <v>0</v>
      </c>
      <c r="X27" s="13">
        <f>+'EL HARRACH'!X37</f>
        <v>0</v>
      </c>
      <c r="Y27" s="13">
        <f>+'EL HARRACH'!Y37</f>
        <v>0</v>
      </c>
      <c r="Z27" s="13">
        <f>+'EL HARRACH'!Z37</f>
        <v>0</v>
      </c>
      <c r="AA27" s="13">
        <f>+'EL HARRACH'!AA37</f>
        <v>145142.12</v>
      </c>
      <c r="AB27" s="13">
        <f>+'EL HARRACH'!AB37</f>
        <v>0</v>
      </c>
      <c r="AC27" s="20" t="s">
        <v>119</v>
      </c>
      <c r="AD27" s="14">
        <f t="shared" si="0"/>
        <v>145142.12</v>
      </c>
      <c r="AE27" s="14">
        <f t="shared" si="1"/>
        <v>0</v>
      </c>
      <c r="AF27" s="36">
        <f t="shared" si="2"/>
        <v>145142.12</v>
      </c>
    </row>
    <row r="28" spans="1:32" ht="15" x14ac:dyDescent="0.25">
      <c r="A28" s="20" t="s">
        <v>99</v>
      </c>
      <c r="B28" s="13">
        <f>+'EL HARRACH'!B38</f>
        <v>0</v>
      </c>
      <c r="C28" s="13">
        <f>+'EL HARRACH'!C38</f>
        <v>0</v>
      </c>
      <c r="D28" s="13">
        <f>+'EL HARRACH'!D38</f>
        <v>0</v>
      </c>
      <c r="E28" s="13">
        <f>+'EL HARRACH'!E38</f>
        <v>0</v>
      </c>
      <c r="F28" s="13">
        <f>+'EL HARRACH'!F38</f>
        <v>0</v>
      </c>
      <c r="G28" s="13">
        <f>+'EL HARRACH'!G38</f>
        <v>0</v>
      </c>
      <c r="H28" s="20" t="s">
        <v>99</v>
      </c>
      <c r="I28" s="13">
        <f>+'EL HARRACH'!I38</f>
        <v>0</v>
      </c>
      <c r="J28" s="13">
        <f>+'EL HARRACH'!J38</f>
        <v>0</v>
      </c>
      <c r="K28" s="13">
        <f>+'EL HARRACH'!K38</f>
        <v>0</v>
      </c>
      <c r="L28" s="13">
        <f>+'EL HARRACH'!L38</f>
        <v>0</v>
      </c>
      <c r="M28" s="13">
        <f>+'EL HARRACH'!M38</f>
        <v>23976.06</v>
      </c>
      <c r="N28" s="13">
        <f>+'EL HARRACH'!N38</f>
        <v>0</v>
      </c>
      <c r="O28" s="20" t="s">
        <v>99</v>
      </c>
      <c r="P28" s="13">
        <f>+'EL HARRACH'!P38</f>
        <v>0</v>
      </c>
      <c r="Q28" s="13">
        <f>+'EL HARRACH'!Q38</f>
        <v>0</v>
      </c>
      <c r="R28" s="13">
        <f>+'EL HARRACH'!R38</f>
        <v>39119.5</v>
      </c>
      <c r="S28" s="13">
        <f>+'EL HARRACH'!S38</f>
        <v>0</v>
      </c>
      <c r="T28" s="13">
        <f>+'EL HARRACH'!T38</f>
        <v>0</v>
      </c>
      <c r="U28" s="13">
        <f>+'EL HARRACH'!U38</f>
        <v>0</v>
      </c>
      <c r="V28" s="20" t="s">
        <v>99</v>
      </c>
      <c r="W28" s="13">
        <f>+'EL HARRACH'!W38</f>
        <v>0</v>
      </c>
      <c r="X28" s="13">
        <f>+'EL HARRACH'!X38</f>
        <v>0</v>
      </c>
      <c r="Y28" s="13">
        <f>+'EL HARRACH'!Y38</f>
        <v>0</v>
      </c>
      <c r="Z28" s="13">
        <f>+'EL HARRACH'!Z38</f>
        <v>0</v>
      </c>
      <c r="AA28" s="13">
        <f>+'EL HARRACH'!AA38</f>
        <v>202087.97999999998</v>
      </c>
      <c r="AB28" s="13">
        <f>+'EL HARRACH'!AB38</f>
        <v>0</v>
      </c>
      <c r="AC28" s="20" t="s">
        <v>99</v>
      </c>
      <c r="AD28" s="14">
        <f t="shared" si="0"/>
        <v>265183.53999999998</v>
      </c>
      <c r="AE28" s="14">
        <f t="shared" si="1"/>
        <v>0</v>
      </c>
      <c r="AF28" s="36">
        <f t="shared" si="2"/>
        <v>265183.53999999998</v>
      </c>
    </row>
    <row r="29" spans="1:32" ht="15" x14ac:dyDescent="0.25">
      <c r="A29" s="20" t="s">
        <v>120</v>
      </c>
      <c r="B29" s="13">
        <f>+BOLOGHINE!B46+'EL HARRACH'!B41</f>
        <v>0</v>
      </c>
      <c r="C29" s="13">
        <f>+BOLOGHINE!C46+'EL HARRACH'!C41</f>
        <v>489307.65</v>
      </c>
      <c r="D29" s="13">
        <f>+BOLOGHINE!D46+'EL HARRACH'!D41</f>
        <v>0</v>
      </c>
      <c r="E29" s="13">
        <f>+BOLOGHINE!E46+'EL HARRACH'!E41</f>
        <v>3546442.42</v>
      </c>
      <c r="F29" s="13">
        <f>+BOLOGHINE!F46+'EL HARRACH'!F41</f>
        <v>0</v>
      </c>
      <c r="G29" s="13">
        <f>+BOLOGHINE!G46+'EL HARRACH'!G41</f>
        <v>801487.45</v>
      </c>
      <c r="H29" s="20" t="s">
        <v>120</v>
      </c>
      <c r="I29" s="13">
        <f>+BOLOGHINE!I46+'EL HARRACH'!I41</f>
        <v>0</v>
      </c>
      <c r="J29" s="13">
        <f>+BOLOGHINE!J46+'EL HARRACH'!J41</f>
        <v>0</v>
      </c>
      <c r="K29" s="13">
        <f>+BOLOGHINE!K46+'EL HARRACH'!K41</f>
        <v>0</v>
      </c>
      <c r="L29" s="13">
        <f>+BOLOGHINE!L46+'EL HARRACH'!L41</f>
        <v>0</v>
      </c>
      <c r="M29" s="13">
        <f>+BOLOGHINE!M46+'EL HARRACH'!M41</f>
        <v>0</v>
      </c>
      <c r="N29" s="13">
        <f>+BOLOGHINE!N46+'EL HARRACH'!N41</f>
        <v>10131106.879999999</v>
      </c>
      <c r="O29" s="20" t="s">
        <v>120</v>
      </c>
      <c r="P29" s="13">
        <f>+BOLOGHINE!P46+'EL HARRACH'!P41</f>
        <v>0</v>
      </c>
      <c r="Q29" s="13">
        <f>+BOLOGHINE!Q46+'EL HARRACH'!Q41</f>
        <v>4702360.04</v>
      </c>
      <c r="R29" s="13">
        <f>+BOLOGHINE!R46+'EL HARRACH'!R41</f>
        <v>0</v>
      </c>
      <c r="S29" s="13">
        <f>+BOLOGHINE!S46+'EL HARRACH'!S41</f>
        <v>0</v>
      </c>
      <c r="T29" s="13">
        <f>+BOLOGHINE!T46+'EL HARRACH'!T41</f>
        <v>8428.0299999999988</v>
      </c>
      <c r="U29" s="13">
        <f>+BOLOGHINE!U46+'EL HARRACH'!U41</f>
        <v>4038878.38</v>
      </c>
      <c r="V29" s="20" t="s">
        <v>120</v>
      </c>
      <c r="W29" s="13">
        <f>+BOLOGHINE!W46+'EL HARRACH'!W41</f>
        <v>53654.259999999995</v>
      </c>
      <c r="X29" s="13">
        <f>+BOLOGHINE!X46+'EL HARRACH'!X41</f>
        <v>23094.03</v>
      </c>
      <c r="Y29" s="13">
        <f>+BOLOGHINE!Y46+'EL HARRACH'!Y41</f>
        <v>76753.510000000009</v>
      </c>
      <c r="Z29" s="13">
        <f>+BOLOGHINE!Z46+'EL HARRACH'!Z41</f>
        <v>0</v>
      </c>
      <c r="AA29" s="13">
        <f>+BOLOGHINE!AA46+'EL HARRACH'!AA41</f>
        <v>89661.39</v>
      </c>
      <c r="AB29" s="13">
        <f>+BOLOGHINE!AB46+'EL HARRACH'!AB41</f>
        <v>0</v>
      </c>
      <c r="AC29" s="20" t="s">
        <v>120</v>
      </c>
      <c r="AD29" s="14">
        <f t="shared" si="0"/>
        <v>228497.19</v>
      </c>
      <c r="AE29" s="14">
        <f t="shared" si="1"/>
        <v>23732676.849999998</v>
      </c>
      <c r="AF29" s="36">
        <f t="shared" si="2"/>
        <v>23961174.039999999</v>
      </c>
    </row>
    <row r="30" spans="1:32" ht="15" x14ac:dyDescent="0.25">
      <c r="A30" s="20" t="s">
        <v>121</v>
      </c>
      <c r="B30" s="13">
        <f>+'EL HARRACH'!B42</f>
        <v>0</v>
      </c>
      <c r="C30" s="13">
        <f>+'EL HARRACH'!C42</f>
        <v>0</v>
      </c>
      <c r="D30" s="13">
        <f>+'EL HARRACH'!D42</f>
        <v>0</v>
      </c>
      <c r="E30" s="13">
        <f>+'EL HARRACH'!E42</f>
        <v>0</v>
      </c>
      <c r="F30" s="13">
        <f>+'EL HARRACH'!F42</f>
        <v>0</v>
      </c>
      <c r="G30" s="13">
        <f>+'EL HARRACH'!G42</f>
        <v>0</v>
      </c>
      <c r="H30" s="20" t="s">
        <v>121</v>
      </c>
      <c r="I30" s="13">
        <f>+'EL HARRACH'!I42</f>
        <v>0</v>
      </c>
      <c r="J30" s="13">
        <f>+'EL HARRACH'!J42</f>
        <v>0</v>
      </c>
      <c r="K30" s="13">
        <f>+'EL HARRACH'!K42</f>
        <v>0</v>
      </c>
      <c r="L30" s="13">
        <f>+'EL HARRACH'!L42</f>
        <v>0</v>
      </c>
      <c r="M30" s="13">
        <f>+'EL HARRACH'!M42</f>
        <v>0</v>
      </c>
      <c r="N30" s="13">
        <f>+'EL HARRACH'!N42</f>
        <v>0</v>
      </c>
      <c r="O30" s="20" t="s">
        <v>121</v>
      </c>
      <c r="P30" s="13">
        <f>+'EL HARRACH'!P42</f>
        <v>0</v>
      </c>
      <c r="Q30" s="13">
        <f>+'EL HARRACH'!Q42</f>
        <v>0</v>
      </c>
      <c r="R30" s="13">
        <f>+'EL HARRACH'!R42</f>
        <v>14106.09</v>
      </c>
      <c r="S30" s="13">
        <f>+'EL HARRACH'!S42</f>
        <v>0</v>
      </c>
      <c r="T30" s="13">
        <f>+'EL HARRACH'!T42</f>
        <v>0</v>
      </c>
      <c r="U30" s="13">
        <f>+'EL HARRACH'!U42</f>
        <v>0</v>
      </c>
      <c r="V30" s="20" t="s">
        <v>121</v>
      </c>
      <c r="W30" s="13">
        <f>+'EL HARRACH'!W42</f>
        <v>2264.31</v>
      </c>
      <c r="X30" s="13">
        <f>+'EL HARRACH'!X42</f>
        <v>0</v>
      </c>
      <c r="Y30" s="13">
        <f>+'EL HARRACH'!Y42</f>
        <v>18622.29</v>
      </c>
      <c r="Z30" s="13">
        <f>+'EL HARRACH'!Z42</f>
        <v>0</v>
      </c>
      <c r="AA30" s="13">
        <f>+'EL HARRACH'!AA42</f>
        <v>8151.08</v>
      </c>
      <c r="AB30" s="13">
        <f>+'EL HARRACH'!AB42</f>
        <v>0</v>
      </c>
      <c r="AC30" s="20" t="s">
        <v>121</v>
      </c>
      <c r="AD30" s="14">
        <f t="shared" si="0"/>
        <v>43143.770000000004</v>
      </c>
      <c r="AE30" s="14">
        <f t="shared" si="1"/>
        <v>0</v>
      </c>
      <c r="AF30" s="36">
        <f t="shared" si="2"/>
        <v>43143.770000000004</v>
      </c>
    </row>
    <row r="31" spans="1:32" ht="15" x14ac:dyDescent="0.25">
      <c r="A31" s="20" t="s">
        <v>122</v>
      </c>
      <c r="B31" s="13">
        <f>+'EL HARRACH'!B43</f>
        <v>0</v>
      </c>
      <c r="C31" s="13">
        <f>+'EL HARRACH'!C43</f>
        <v>0</v>
      </c>
      <c r="D31" s="13">
        <f>+'EL HARRACH'!D43</f>
        <v>0</v>
      </c>
      <c r="E31" s="13">
        <f>+'EL HARRACH'!E43</f>
        <v>0</v>
      </c>
      <c r="F31" s="13">
        <f>+'EL HARRACH'!F43</f>
        <v>0</v>
      </c>
      <c r="G31" s="13">
        <f>+'EL HARRACH'!G43</f>
        <v>0</v>
      </c>
      <c r="H31" s="20" t="s">
        <v>122</v>
      </c>
      <c r="I31" s="13">
        <f>+'EL HARRACH'!I43</f>
        <v>0</v>
      </c>
      <c r="J31" s="13">
        <f>+'EL HARRACH'!J43</f>
        <v>0</v>
      </c>
      <c r="K31" s="13">
        <f>+'EL HARRACH'!K43</f>
        <v>0</v>
      </c>
      <c r="L31" s="13">
        <f>+'EL HARRACH'!L43</f>
        <v>0</v>
      </c>
      <c r="M31" s="13">
        <f>+'EL HARRACH'!M43</f>
        <v>0</v>
      </c>
      <c r="N31" s="13">
        <f>+'EL HARRACH'!N43</f>
        <v>0</v>
      </c>
      <c r="O31" s="20" t="s">
        <v>122</v>
      </c>
      <c r="P31" s="13">
        <f>+'EL HARRACH'!P43</f>
        <v>0</v>
      </c>
      <c r="Q31" s="13">
        <f>+'EL HARRACH'!Q43</f>
        <v>0</v>
      </c>
      <c r="R31" s="13">
        <f>+'EL HARRACH'!R43</f>
        <v>0</v>
      </c>
      <c r="S31" s="13">
        <f>+'EL HARRACH'!S43</f>
        <v>0</v>
      </c>
      <c r="T31" s="13">
        <f>+'EL HARRACH'!T43</f>
        <v>0</v>
      </c>
      <c r="U31" s="13">
        <f>+'EL HARRACH'!U43</f>
        <v>0</v>
      </c>
      <c r="V31" s="20" t="s">
        <v>122</v>
      </c>
      <c r="W31" s="13">
        <f>+'EL HARRACH'!W43</f>
        <v>0</v>
      </c>
      <c r="X31" s="13">
        <f>+'EL HARRACH'!X43</f>
        <v>0</v>
      </c>
      <c r="Y31" s="13">
        <f>+'EL HARRACH'!Y43</f>
        <v>32610.54</v>
      </c>
      <c r="Z31" s="13">
        <f>+'EL HARRACH'!Z43</f>
        <v>0</v>
      </c>
      <c r="AA31" s="13">
        <f>+'EL HARRACH'!AA43</f>
        <v>571.6</v>
      </c>
      <c r="AB31" s="13">
        <f>+'EL HARRACH'!AB43</f>
        <v>0</v>
      </c>
      <c r="AC31" s="20" t="s">
        <v>122</v>
      </c>
      <c r="AD31" s="14">
        <f t="shared" si="0"/>
        <v>33182.14</v>
      </c>
      <c r="AE31" s="14">
        <f t="shared" si="1"/>
        <v>0</v>
      </c>
      <c r="AF31" s="36">
        <f t="shared" si="2"/>
        <v>33182.14</v>
      </c>
    </row>
    <row r="32" spans="1:32" ht="15" x14ac:dyDescent="0.25">
      <c r="A32" s="20" t="s">
        <v>123</v>
      </c>
      <c r="B32" s="13">
        <f>+'EL HARRACH'!B45</f>
        <v>16030.43</v>
      </c>
      <c r="C32" s="13">
        <f>+'EL HARRACH'!C45</f>
        <v>0</v>
      </c>
      <c r="D32" s="13">
        <f>+'EL HARRACH'!D45</f>
        <v>0</v>
      </c>
      <c r="E32" s="13">
        <f>+'EL HARRACH'!E45</f>
        <v>0</v>
      </c>
      <c r="F32" s="13">
        <f>+'EL HARRACH'!F45</f>
        <v>120057.87</v>
      </c>
      <c r="G32" s="13">
        <f>+'EL HARRACH'!G45</f>
        <v>0</v>
      </c>
      <c r="H32" s="20" t="s">
        <v>123</v>
      </c>
      <c r="I32" s="13">
        <f>+'EL HARRACH'!I45</f>
        <v>157230.91</v>
      </c>
      <c r="J32" s="13">
        <f>+'EL HARRACH'!J45</f>
        <v>0</v>
      </c>
      <c r="K32" s="13">
        <f>+'EL HARRACH'!K45</f>
        <v>0</v>
      </c>
      <c r="L32" s="13">
        <f>+'EL HARRACH'!L45</f>
        <v>0</v>
      </c>
      <c r="M32" s="13">
        <f>+'EL HARRACH'!M45</f>
        <v>48933.04</v>
      </c>
      <c r="N32" s="13">
        <f>+'EL HARRACH'!N45</f>
        <v>0</v>
      </c>
      <c r="O32" s="20" t="s">
        <v>123</v>
      </c>
      <c r="P32" s="13">
        <f>+'EL HARRACH'!P45</f>
        <v>0</v>
      </c>
      <c r="Q32" s="13">
        <f>+'EL HARRACH'!Q45</f>
        <v>0</v>
      </c>
      <c r="R32" s="13">
        <f>+'EL HARRACH'!R45</f>
        <v>126161.53</v>
      </c>
      <c r="S32" s="13">
        <f>+'EL HARRACH'!S45</f>
        <v>0</v>
      </c>
      <c r="T32" s="13">
        <f>+'EL HARRACH'!T45</f>
        <v>0</v>
      </c>
      <c r="U32" s="13">
        <f>+'EL HARRACH'!U45</f>
        <v>0</v>
      </c>
      <c r="V32" s="20" t="s">
        <v>123</v>
      </c>
      <c r="W32" s="13">
        <f>+'EL HARRACH'!W45</f>
        <v>0</v>
      </c>
      <c r="X32" s="13">
        <f>+'EL HARRACH'!X45</f>
        <v>0</v>
      </c>
      <c r="Y32" s="13">
        <f>+'EL HARRACH'!Y45</f>
        <v>160592.42000000001</v>
      </c>
      <c r="Z32" s="13">
        <f>+'EL HARRACH'!Z45</f>
        <v>0</v>
      </c>
      <c r="AA32" s="13">
        <f>+'EL HARRACH'!AA45</f>
        <v>301912.78000000003</v>
      </c>
      <c r="AB32" s="13">
        <f>+'EL HARRACH'!AB45</f>
        <v>0</v>
      </c>
      <c r="AC32" s="20" t="s">
        <v>123</v>
      </c>
      <c r="AD32" s="14">
        <f t="shared" si="0"/>
        <v>930918.98</v>
      </c>
      <c r="AE32" s="14">
        <f t="shared" si="1"/>
        <v>0</v>
      </c>
      <c r="AF32" s="36">
        <f t="shared" si="2"/>
        <v>930918.98</v>
      </c>
    </row>
    <row r="33" spans="1:32" ht="15" x14ac:dyDescent="0.25">
      <c r="A33" s="20" t="s">
        <v>124</v>
      </c>
      <c r="B33" s="13">
        <f>+'EL HARRACH'!B46</f>
        <v>0</v>
      </c>
      <c r="C33" s="13">
        <f>+'EL HARRACH'!C46</f>
        <v>0</v>
      </c>
      <c r="D33" s="13">
        <f>+'EL HARRACH'!D46</f>
        <v>0</v>
      </c>
      <c r="E33" s="13">
        <f>+'EL HARRACH'!E46</f>
        <v>0</v>
      </c>
      <c r="F33" s="13">
        <f>+'EL HARRACH'!F46</f>
        <v>0</v>
      </c>
      <c r="G33" s="13">
        <f>+'EL HARRACH'!G46</f>
        <v>0</v>
      </c>
      <c r="H33" s="20" t="s">
        <v>124</v>
      </c>
      <c r="I33" s="13">
        <f>+'EL HARRACH'!I46</f>
        <v>0</v>
      </c>
      <c r="J33" s="13">
        <f>+'EL HARRACH'!J46</f>
        <v>0</v>
      </c>
      <c r="K33" s="13">
        <f>+'EL HARRACH'!K46</f>
        <v>0</v>
      </c>
      <c r="L33" s="13">
        <f>+'EL HARRACH'!L46</f>
        <v>0</v>
      </c>
      <c r="M33" s="13">
        <f>+'EL HARRACH'!M46</f>
        <v>0</v>
      </c>
      <c r="N33" s="13">
        <f>+'EL HARRACH'!N46</f>
        <v>0</v>
      </c>
      <c r="O33" s="20" t="s">
        <v>124</v>
      </c>
      <c r="P33" s="13">
        <f>+'EL HARRACH'!P46</f>
        <v>0</v>
      </c>
      <c r="Q33" s="13">
        <f>+'EL HARRACH'!Q46</f>
        <v>0</v>
      </c>
      <c r="R33" s="13">
        <f>+'EL HARRACH'!R46</f>
        <v>3437.1800000000003</v>
      </c>
      <c r="S33" s="13">
        <f>+'EL HARRACH'!S46</f>
        <v>0</v>
      </c>
      <c r="T33" s="13">
        <f>+'EL HARRACH'!T46</f>
        <v>2169.58</v>
      </c>
      <c r="U33" s="13">
        <f>+'EL HARRACH'!U46</f>
        <v>0</v>
      </c>
      <c r="V33" s="20" t="s">
        <v>124</v>
      </c>
      <c r="W33" s="13">
        <f>+'EL HARRACH'!W46</f>
        <v>16231.570000000002</v>
      </c>
      <c r="X33" s="13">
        <f>+'EL HARRACH'!X46</f>
        <v>0</v>
      </c>
      <c r="Y33" s="13">
        <f>+'EL HARRACH'!Y46</f>
        <v>21469.850000000002</v>
      </c>
      <c r="Z33" s="13">
        <f>+'EL HARRACH'!Z46</f>
        <v>0</v>
      </c>
      <c r="AA33" s="13">
        <f>+'EL HARRACH'!AA46</f>
        <v>27381.87</v>
      </c>
      <c r="AB33" s="13">
        <f>+'EL HARRACH'!AB46</f>
        <v>0</v>
      </c>
      <c r="AC33" s="20" t="s">
        <v>124</v>
      </c>
      <c r="AD33" s="14">
        <f t="shared" si="0"/>
        <v>70690.05</v>
      </c>
      <c r="AE33" s="14">
        <f t="shared" si="1"/>
        <v>0</v>
      </c>
      <c r="AF33" s="36">
        <f t="shared" si="2"/>
        <v>70690.05</v>
      </c>
    </row>
    <row r="34" spans="1:32" ht="15" x14ac:dyDescent="0.25">
      <c r="A34" s="20" t="s">
        <v>59</v>
      </c>
      <c r="B34" s="13">
        <f>+BOLOGHINE!B44</f>
        <v>0</v>
      </c>
      <c r="C34" s="13">
        <f>+BOLOGHINE!C44</f>
        <v>0</v>
      </c>
      <c r="D34" s="13">
        <f>+BOLOGHINE!D44</f>
        <v>0</v>
      </c>
      <c r="E34" s="13">
        <f>+BOLOGHINE!E44</f>
        <v>0</v>
      </c>
      <c r="F34" s="13">
        <f>+BOLOGHINE!F44</f>
        <v>0</v>
      </c>
      <c r="G34" s="13">
        <f>+BOLOGHINE!G44</f>
        <v>0</v>
      </c>
      <c r="H34" s="20" t="s">
        <v>59</v>
      </c>
      <c r="I34" s="13">
        <f>+BOLOGHINE!I44</f>
        <v>861.1</v>
      </c>
      <c r="J34" s="13">
        <f>+BOLOGHINE!J44</f>
        <v>0</v>
      </c>
      <c r="K34" s="13">
        <f>+BOLOGHINE!K44</f>
        <v>235461.2</v>
      </c>
      <c r="L34" s="13">
        <f>+BOLOGHINE!L44</f>
        <v>0</v>
      </c>
      <c r="M34" s="13">
        <f>+BOLOGHINE!M44</f>
        <v>79097.75</v>
      </c>
      <c r="N34" s="13">
        <f>+BOLOGHINE!N44</f>
        <v>0</v>
      </c>
      <c r="O34" s="20" t="s">
        <v>59</v>
      </c>
      <c r="P34" s="13">
        <f>+BOLOGHINE!P44</f>
        <v>70904.210000000006</v>
      </c>
      <c r="Q34" s="13">
        <f>+BOLOGHINE!Q44</f>
        <v>0</v>
      </c>
      <c r="R34" s="13">
        <f>+BOLOGHINE!R44</f>
        <v>231979.78</v>
      </c>
      <c r="S34" s="13">
        <f>+BOLOGHINE!S44</f>
        <v>0</v>
      </c>
      <c r="T34" s="13">
        <f>+BOLOGHINE!T44</f>
        <v>94643.19</v>
      </c>
      <c r="U34" s="13">
        <f>+BOLOGHINE!U44</f>
        <v>0</v>
      </c>
      <c r="V34" s="20" t="s">
        <v>59</v>
      </c>
      <c r="W34" s="13">
        <f>+BOLOGHINE!W44</f>
        <v>351724.99</v>
      </c>
      <c r="X34" s="13">
        <f>+BOLOGHINE!X44</f>
        <v>0</v>
      </c>
      <c r="Y34" s="13">
        <f>+BOLOGHINE!Y44</f>
        <v>863798.94</v>
      </c>
      <c r="Z34" s="13">
        <f>+BOLOGHINE!Z44</f>
        <v>0</v>
      </c>
      <c r="AA34" s="13">
        <f>+BOLOGHINE!AA44</f>
        <v>1314705.3500000001</v>
      </c>
      <c r="AB34" s="13">
        <f>+BOLOGHINE!AB44</f>
        <v>0</v>
      </c>
      <c r="AC34" s="20" t="s">
        <v>59</v>
      </c>
      <c r="AD34" s="14">
        <f>+BOLOGHINE!AD44</f>
        <v>3243176.51</v>
      </c>
      <c r="AE34" s="14">
        <f>+BOLOGHINE!AE44</f>
        <v>0</v>
      </c>
      <c r="AF34" s="36">
        <f t="shared" si="2"/>
        <v>3243176.51</v>
      </c>
    </row>
    <row r="35" spans="1:32" ht="15" x14ac:dyDescent="0.25">
      <c r="A35" s="20" t="s">
        <v>61</v>
      </c>
      <c r="B35" s="13">
        <f>+BOLOGHINE!B49</f>
        <v>0</v>
      </c>
      <c r="C35" s="13">
        <f>+BOLOGHINE!C49</f>
        <v>41432925.569999993</v>
      </c>
      <c r="D35" s="13">
        <f>+BOLOGHINE!D49</f>
        <v>0</v>
      </c>
      <c r="E35" s="13">
        <f>+BOLOGHINE!E49</f>
        <v>0</v>
      </c>
      <c r="F35" s="13">
        <f>+BOLOGHINE!F49</f>
        <v>0</v>
      </c>
      <c r="G35" s="13">
        <f>+BOLOGHINE!G49</f>
        <v>0</v>
      </c>
      <c r="H35" s="20" t="s">
        <v>61</v>
      </c>
      <c r="I35" s="13">
        <f>+BOLOGHINE!I49</f>
        <v>0</v>
      </c>
      <c r="J35" s="13">
        <f>+BOLOGHINE!J49</f>
        <v>0</v>
      </c>
      <c r="K35" s="13">
        <f>+BOLOGHINE!K49</f>
        <v>0</v>
      </c>
      <c r="L35" s="13">
        <f>+BOLOGHINE!L49</f>
        <v>0</v>
      </c>
      <c r="M35" s="13">
        <f>+BOLOGHINE!M49</f>
        <v>0</v>
      </c>
      <c r="N35" s="13">
        <f>+BOLOGHINE!N49</f>
        <v>0</v>
      </c>
      <c r="O35" s="20" t="s">
        <v>61</v>
      </c>
      <c r="P35" s="13">
        <f>+BOLOGHINE!P49</f>
        <v>0</v>
      </c>
      <c r="Q35" s="13">
        <f>+BOLOGHINE!Q49</f>
        <v>0</v>
      </c>
      <c r="R35" s="13">
        <f>+BOLOGHINE!R49</f>
        <v>0</v>
      </c>
      <c r="S35" s="13">
        <f>+BOLOGHINE!S49</f>
        <v>0</v>
      </c>
      <c r="T35" s="13">
        <f>+BOLOGHINE!T49</f>
        <v>0</v>
      </c>
      <c r="U35" s="13">
        <f>+BOLOGHINE!U49</f>
        <v>0</v>
      </c>
      <c r="V35" s="20" t="s">
        <v>61</v>
      </c>
      <c r="W35" s="13">
        <f>+BOLOGHINE!W49</f>
        <v>0</v>
      </c>
      <c r="X35" s="13">
        <f>+BOLOGHINE!X49</f>
        <v>0</v>
      </c>
      <c r="Y35" s="13">
        <f>+BOLOGHINE!Y49</f>
        <v>0</v>
      </c>
      <c r="Z35" s="13">
        <f>+BOLOGHINE!Z49</f>
        <v>0</v>
      </c>
      <c r="AA35" s="13">
        <f>+BOLOGHINE!AA49</f>
        <v>0</v>
      </c>
      <c r="AB35" s="13">
        <f>+BOLOGHINE!AB49</f>
        <v>0</v>
      </c>
      <c r="AC35" s="20" t="s">
        <v>61</v>
      </c>
      <c r="AD35" s="14">
        <f>+BOLOGHINE!AD49</f>
        <v>0</v>
      </c>
      <c r="AE35" s="14">
        <f>+BOLOGHINE!AE49</f>
        <v>41432925.569999993</v>
      </c>
      <c r="AF35" s="36">
        <f t="shared" si="2"/>
        <v>41432925.569999993</v>
      </c>
    </row>
    <row r="36" spans="1:32" ht="15" x14ac:dyDescent="0.25">
      <c r="A36" s="20" t="s">
        <v>84</v>
      </c>
      <c r="B36" s="13">
        <f>+'GUE DE CONS'!B36</f>
        <v>13708.53</v>
      </c>
      <c r="C36" s="13">
        <f>+'GUE DE CONS'!C36</f>
        <v>0</v>
      </c>
      <c r="D36" s="13">
        <f>+'GUE DE CONS'!D36</f>
        <v>13059.09</v>
      </c>
      <c r="E36" s="13">
        <f>+'GUE DE CONS'!E36</f>
        <v>0</v>
      </c>
      <c r="F36" s="13">
        <f>+'GUE DE CONS'!F36</f>
        <v>15869.12</v>
      </c>
      <c r="G36" s="13">
        <f>+'GUE DE CONS'!G36</f>
        <v>0</v>
      </c>
      <c r="H36" s="20" t="s">
        <v>84</v>
      </c>
      <c r="I36" s="13">
        <f>+'GUE DE CONS'!I36</f>
        <v>3902.84</v>
      </c>
      <c r="J36" s="13">
        <f>+'GUE DE CONS'!J36</f>
        <v>0</v>
      </c>
      <c r="K36" s="13">
        <f>+'GUE DE CONS'!K36</f>
        <v>11421.52</v>
      </c>
      <c r="L36" s="13">
        <f>+'GUE DE CONS'!L36</f>
        <v>0</v>
      </c>
      <c r="M36" s="13">
        <f>+'GUE DE CONS'!M36</f>
        <v>26979.16</v>
      </c>
      <c r="N36" s="13">
        <f>+'GUE DE CONS'!N36</f>
        <v>0</v>
      </c>
      <c r="O36" s="20" t="s">
        <v>84</v>
      </c>
      <c r="P36" s="13">
        <f>+'GUE DE CONS'!P36</f>
        <v>29616.05</v>
      </c>
      <c r="Q36" s="13">
        <f>+'GUE DE CONS'!Q36</f>
        <v>0</v>
      </c>
      <c r="R36" s="13">
        <f>+'GUE DE CONS'!R36</f>
        <v>116970.02</v>
      </c>
      <c r="S36" s="13">
        <f>+'GUE DE CONS'!S36</f>
        <v>0</v>
      </c>
      <c r="T36" s="13">
        <f>+'GUE DE CONS'!T36</f>
        <v>44436.99</v>
      </c>
      <c r="U36" s="13">
        <f>+'GUE DE CONS'!U36</f>
        <v>0</v>
      </c>
      <c r="V36" s="20" t="s">
        <v>84</v>
      </c>
      <c r="W36" s="13">
        <f>+'GUE DE CONS'!W36</f>
        <v>92255.679999999993</v>
      </c>
      <c r="X36" s="13">
        <f>+'GUE DE CONS'!X36</f>
        <v>0</v>
      </c>
      <c r="Y36" s="13">
        <f>+'GUE DE CONS'!Y36</f>
        <v>12781.62</v>
      </c>
      <c r="Z36" s="13">
        <f>+'GUE DE CONS'!Z36</f>
        <v>0</v>
      </c>
      <c r="AA36" s="13">
        <f>+'GUE DE CONS'!AA36</f>
        <v>0</v>
      </c>
      <c r="AB36" s="13">
        <f>+'GUE DE CONS'!AB36</f>
        <v>0</v>
      </c>
      <c r="AC36" s="20" t="s">
        <v>84</v>
      </c>
      <c r="AD36" s="14">
        <f>+'GUE DE CONS'!AD36</f>
        <v>381000.62</v>
      </c>
      <c r="AE36" s="14">
        <f>+'GUE DE CONS'!AE36</f>
        <v>0</v>
      </c>
      <c r="AF36" s="36">
        <f t="shared" si="2"/>
        <v>381000.62</v>
      </c>
    </row>
    <row r="37" spans="1:32" ht="15" x14ac:dyDescent="0.25">
      <c r="A37" s="20" t="s">
        <v>102</v>
      </c>
      <c r="B37" s="13">
        <f>+'EL HARRACH'!B44</f>
        <v>0</v>
      </c>
      <c r="C37" s="13">
        <f>+'EL HARRACH'!C44</f>
        <v>0</v>
      </c>
      <c r="D37" s="13">
        <f>+'EL HARRACH'!D44</f>
        <v>5572.48</v>
      </c>
      <c r="E37" s="13">
        <f>+'EL HARRACH'!E44</f>
        <v>0</v>
      </c>
      <c r="F37" s="13">
        <f>+'EL HARRACH'!F44</f>
        <v>28257.07</v>
      </c>
      <c r="G37" s="13">
        <f>+'EL HARRACH'!G44</f>
        <v>0</v>
      </c>
      <c r="H37" s="20" t="s">
        <v>102</v>
      </c>
      <c r="I37" s="13">
        <f>+'EL HARRACH'!I44</f>
        <v>1741.6499999999999</v>
      </c>
      <c r="J37" s="13">
        <f>+'EL HARRACH'!J44</f>
        <v>0</v>
      </c>
      <c r="K37" s="13">
        <f>+'EL HARRACH'!K44</f>
        <v>106813.66</v>
      </c>
      <c r="L37" s="13">
        <f>+'EL HARRACH'!L44</f>
        <v>0</v>
      </c>
      <c r="M37" s="13">
        <f>+'EL HARRACH'!M44</f>
        <v>46090.26</v>
      </c>
      <c r="N37" s="13">
        <f>+'EL HARRACH'!N44</f>
        <v>0</v>
      </c>
      <c r="O37" s="20" t="s">
        <v>102</v>
      </c>
      <c r="P37" s="13">
        <f>+'EL HARRACH'!P44</f>
        <v>61189.880000000005</v>
      </c>
      <c r="Q37" s="13">
        <f>+'EL HARRACH'!Q44</f>
        <v>0</v>
      </c>
      <c r="R37" s="13">
        <f>+'EL HARRACH'!R44</f>
        <v>41846.79</v>
      </c>
      <c r="S37" s="13">
        <f>+'EL HARRACH'!S44</f>
        <v>0</v>
      </c>
      <c r="T37" s="13">
        <f>+'EL HARRACH'!T44</f>
        <v>30874.41</v>
      </c>
      <c r="U37" s="13">
        <f>+'EL HARRACH'!U44</f>
        <v>0</v>
      </c>
      <c r="V37" s="20" t="s">
        <v>102</v>
      </c>
      <c r="W37" s="13">
        <f>+'EL HARRACH'!W44</f>
        <v>16151.710000000001</v>
      </c>
      <c r="X37" s="13">
        <f>+'EL HARRACH'!X44</f>
        <v>0</v>
      </c>
      <c r="Y37" s="13">
        <f>+'EL HARRACH'!Y44</f>
        <v>61986.21</v>
      </c>
      <c r="Z37" s="13">
        <f>+'EL HARRACH'!Z44</f>
        <v>0</v>
      </c>
      <c r="AA37" s="13">
        <f>+'EL HARRACH'!AA44</f>
        <v>31533.74</v>
      </c>
      <c r="AB37" s="13">
        <f>+'EL HARRACH'!AB44</f>
        <v>0</v>
      </c>
      <c r="AC37" s="20" t="s">
        <v>102</v>
      </c>
      <c r="AD37" s="14">
        <f t="shared" si="0"/>
        <v>432057.86000000004</v>
      </c>
      <c r="AE37" s="14">
        <f t="shared" si="1"/>
        <v>0</v>
      </c>
      <c r="AF37" s="36">
        <f t="shared" si="2"/>
        <v>432057.86000000004</v>
      </c>
    </row>
    <row r="38" spans="1:32" ht="15" x14ac:dyDescent="0.25">
      <c r="A38" s="20" t="s">
        <v>134</v>
      </c>
      <c r="B38" s="13">
        <f>+BOLOGHINE!B42</f>
        <v>4218543.1900000004</v>
      </c>
      <c r="C38" s="13">
        <f>+BOLOGHINE!C42</f>
        <v>0</v>
      </c>
      <c r="D38" s="13">
        <f>+BOLOGHINE!D42</f>
        <v>846541.19</v>
      </c>
      <c r="E38" s="13">
        <f>+BOLOGHINE!E42</f>
        <v>0</v>
      </c>
      <c r="F38" s="13">
        <f>+BOLOGHINE!F42</f>
        <v>1340882.1399999999</v>
      </c>
      <c r="G38" s="13">
        <f>+BOLOGHINE!G42</f>
        <v>0</v>
      </c>
      <c r="H38" s="20" t="s">
        <v>134</v>
      </c>
      <c r="I38" s="13">
        <f>+BOLOGHINE!I42</f>
        <v>1456761.93</v>
      </c>
      <c r="J38" s="13">
        <f>+BOLOGHINE!J42</f>
        <v>0</v>
      </c>
      <c r="K38" s="13">
        <f>+BOLOGHINE!K42</f>
        <v>2999323.8600000003</v>
      </c>
      <c r="L38" s="13">
        <f>+BOLOGHINE!L42</f>
        <v>0</v>
      </c>
      <c r="M38" s="13">
        <f>+BOLOGHINE!M42</f>
        <v>91424.2</v>
      </c>
      <c r="N38" s="13">
        <f>+BOLOGHINE!N42</f>
        <v>0</v>
      </c>
      <c r="O38" s="20" t="s">
        <v>134</v>
      </c>
      <c r="P38" s="13">
        <f>+BOLOGHINE!P42</f>
        <v>175674.09</v>
      </c>
      <c r="Q38" s="13">
        <f>+BOLOGHINE!Q42</f>
        <v>0</v>
      </c>
      <c r="R38" s="13">
        <f>+BOLOGHINE!R42</f>
        <v>116084.22</v>
      </c>
      <c r="S38" s="13">
        <f>+BOLOGHINE!S42</f>
        <v>0</v>
      </c>
      <c r="T38" s="13">
        <f>+BOLOGHINE!T42</f>
        <v>279643.52000000002</v>
      </c>
      <c r="U38" s="13">
        <f>+BOLOGHINE!U42</f>
        <v>0</v>
      </c>
      <c r="V38" s="20" t="s">
        <v>134</v>
      </c>
      <c r="W38" s="13">
        <f>+BOLOGHINE!W42</f>
        <v>680751.81</v>
      </c>
      <c r="X38" s="13">
        <f>+BOLOGHINE!X42</f>
        <v>0</v>
      </c>
      <c r="Y38" s="13">
        <f>+BOLOGHINE!Y42</f>
        <v>918772.61</v>
      </c>
      <c r="Z38" s="13">
        <f>+BOLOGHINE!Z42</f>
        <v>0</v>
      </c>
      <c r="AA38" s="13">
        <f>+BOLOGHINE!AA42</f>
        <v>875486.77</v>
      </c>
      <c r="AB38" s="13">
        <f>+BOLOGHINE!AB42</f>
        <v>0</v>
      </c>
      <c r="AC38" s="20" t="s">
        <v>134</v>
      </c>
      <c r="AD38" s="14">
        <f t="shared" si="0"/>
        <v>13999889.529999999</v>
      </c>
      <c r="AE38" s="14">
        <f t="shared" si="1"/>
        <v>0</v>
      </c>
      <c r="AF38" s="36">
        <f t="shared" si="2"/>
        <v>13999889.529999999</v>
      </c>
    </row>
    <row r="39" spans="1:32" ht="16.5" customHeight="1" x14ac:dyDescent="0.25">
      <c r="A39" s="24" t="s">
        <v>109</v>
      </c>
      <c r="B39" s="27">
        <f t="shared" ref="B39:G39" si="3">+SUM(B13:B38)</f>
        <v>205945948.49000004</v>
      </c>
      <c r="C39" s="27">
        <f t="shared" si="3"/>
        <v>78878822.25999999</v>
      </c>
      <c r="D39" s="27">
        <f t="shared" si="3"/>
        <v>103629673.23</v>
      </c>
      <c r="E39" s="27">
        <f t="shared" si="3"/>
        <v>5702028.1999999993</v>
      </c>
      <c r="F39" s="27">
        <f t="shared" si="3"/>
        <v>136030530.31999996</v>
      </c>
      <c r="G39" s="27">
        <f t="shared" si="3"/>
        <v>71572973.820000008</v>
      </c>
      <c r="H39" s="24" t="s">
        <v>109</v>
      </c>
      <c r="I39" s="27">
        <f t="shared" ref="I39:N39" si="4">+SUM(I13:I38)</f>
        <v>34028411.38000001</v>
      </c>
      <c r="J39" s="27">
        <f t="shared" si="4"/>
        <v>7556527.1799999997</v>
      </c>
      <c r="K39" s="27">
        <f t="shared" si="4"/>
        <v>29383708.729999993</v>
      </c>
      <c r="L39" s="27">
        <f t="shared" si="4"/>
        <v>6173377.5499999998</v>
      </c>
      <c r="M39" s="27">
        <f t="shared" si="4"/>
        <v>7320775.3399999989</v>
      </c>
      <c r="N39" s="27">
        <f t="shared" si="4"/>
        <v>51924773.469999999</v>
      </c>
      <c r="O39" s="24" t="s">
        <v>109</v>
      </c>
      <c r="P39" s="27">
        <f t="shared" ref="P39:U39" si="5">+SUM(P13:P38)</f>
        <v>6305640.7100000009</v>
      </c>
      <c r="Q39" s="27">
        <f t="shared" si="5"/>
        <v>54010283.18</v>
      </c>
      <c r="R39" s="27">
        <f t="shared" si="5"/>
        <v>29200546.310000002</v>
      </c>
      <c r="S39" s="27">
        <f t="shared" si="5"/>
        <v>65839208.950000003</v>
      </c>
      <c r="T39" s="27">
        <f t="shared" si="5"/>
        <v>28207967.499999996</v>
      </c>
      <c r="U39" s="27">
        <f t="shared" si="5"/>
        <v>9479468.129999999</v>
      </c>
      <c r="V39" s="24" t="s">
        <v>109</v>
      </c>
      <c r="W39" s="27">
        <f t="shared" ref="W39:AB39" si="6">+SUM(W13:W38)</f>
        <v>15146573.970000003</v>
      </c>
      <c r="X39" s="27">
        <f t="shared" si="6"/>
        <v>64584534.109999999</v>
      </c>
      <c r="Y39" s="27">
        <f t="shared" si="6"/>
        <v>32661198.970000006</v>
      </c>
      <c r="Z39" s="27">
        <f t="shared" si="6"/>
        <v>476515282.32999998</v>
      </c>
      <c r="AA39" s="27">
        <f t="shared" si="6"/>
        <v>170886074.95000005</v>
      </c>
      <c r="AB39" s="27">
        <f t="shared" si="6"/>
        <v>10192646.57</v>
      </c>
      <c r="AC39" s="24" t="s">
        <v>109</v>
      </c>
      <c r="AD39" s="27">
        <f t="shared" si="0"/>
        <v>798747049.9000001</v>
      </c>
      <c r="AE39" s="27">
        <f t="shared" si="1"/>
        <v>902429925.75000012</v>
      </c>
      <c r="AF39" s="27">
        <f t="shared" si="2"/>
        <v>1701176975.6500001</v>
      </c>
    </row>
    <row r="40" spans="1:32" ht="16.5" customHeight="1" x14ac:dyDescent="0.25">
      <c r="B40" s="10"/>
      <c r="C40" s="10"/>
      <c r="D40" s="10"/>
      <c r="E40" s="10"/>
      <c r="F40" s="10"/>
      <c r="G40" s="10"/>
      <c r="I40" s="10"/>
      <c r="J40" s="10"/>
      <c r="K40" s="10"/>
      <c r="L40" s="10"/>
      <c r="M40" s="10"/>
      <c r="N40" s="10"/>
      <c r="P40" s="10"/>
      <c r="Q40" s="10"/>
      <c r="R40" s="10"/>
      <c r="S40" s="10"/>
      <c r="T40" s="10"/>
      <c r="U40" s="10"/>
      <c r="W40" s="10"/>
      <c r="X40" s="10"/>
      <c r="Y40" s="10"/>
      <c r="Z40" s="10"/>
      <c r="AA40" s="10"/>
      <c r="AB40" s="10"/>
      <c r="AE40" s="28"/>
    </row>
    <row r="41" spans="1:32" ht="15" x14ac:dyDescent="0.25">
      <c r="A41" s="20" t="s">
        <v>8</v>
      </c>
      <c r="B41" s="13">
        <f>+BOLOGHINE!B52+BELOUIZDAD!B37</f>
        <v>0</v>
      </c>
      <c r="C41" s="13">
        <f>+BOLOGHINE!C52+BELOUIZDAD!C37</f>
        <v>0</v>
      </c>
      <c r="D41" s="13">
        <f>+BOLOGHINE!D52+BELOUIZDAD!D37</f>
        <v>0</v>
      </c>
      <c r="E41" s="13">
        <f>+BOLOGHINE!E52+BELOUIZDAD!E37</f>
        <v>0</v>
      </c>
      <c r="F41" s="13">
        <f>+BOLOGHINE!F52+BELOUIZDAD!F37</f>
        <v>26659.26</v>
      </c>
      <c r="G41" s="13">
        <f>+BOLOGHINE!G52+BELOUIZDAD!G37</f>
        <v>0</v>
      </c>
      <c r="H41" s="20" t="s">
        <v>8</v>
      </c>
      <c r="I41" s="13">
        <f>+BOLOGHINE!I52+BELOUIZDAD!I37</f>
        <v>0</v>
      </c>
      <c r="J41" s="13">
        <f>+BOLOGHINE!J52+BELOUIZDAD!J37</f>
        <v>0</v>
      </c>
      <c r="K41" s="13">
        <f>+BOLOGHINE!K52+BELOUIZDAD!K37</f>
        <v>580175.06000000006</v>
      </c>
      <c r="L41" s="13">
        <f>+BOLOGHINE!L52+BELOUIZDAD!L37</f>
        <v>0</v>
      </c>
      <c r="M41" s="13">
        <f>+BOLOGHINE!M52+BELOUIZDAD!M37</f>
        <v>0</v>
      </c>
      <c r="N41" s="13">
        <f>+BOLOGHINE!N52+BELOUIZDAD!N37</f>
        <v>0</v>
      </c>
      <c r="O41" s="20" t="s">
        <v>8</v>
      </c>
      <c r="P41" s="13">
        <f>+BOLOGHINE!P52+BELOUIZDAD!P37</f>
        <v>0</v>
      </c>
      <c r="Q41" s="13">
        <f>+BOLOGHINE!Q52+BELOUIZDAD!Q37</f>
        <v>0</v>
      </c>
      <c r="R41" s="13">
        <f>+BOLOGHINE!R52+BELOUIZDAD!R37</f>
        <v>0</v>
      </c>
      <c r="S41" s="13">
        <f>+BOLOGHINE!S52+BELOUIZDAD!S37</f>
        <v>0</v>
      </c>
      <c r="T41" s="13">
        <f>+BOLOGHINE!T52+BELOUIZDAD!T37</f>
        <v>1443420.98</v>
      </c>
      <c r="U41" s="13">
        <f>+BOLOGHINE!U52+BELOUIZDAD!U37</f>
        <v>0</v>
      </c>
      <c r="V41" s="20" t="s">
        <v>8</v>
      </c>
      <c r="W41" s="13">
        <f>+BOLOGHINE!W52+BELOUIZDAD!W37</f>
        <v>17078.79</v>
      </c>
      <c r="X41" s="13">
        <f>+BOLOGHINE!X52+BELOUIZDAD!X37</f>
        <v>0</v>
      </c>
      <c r="Y41" s="13">
        <f>+BOLOGHINE!Y52+BELOUIZDAD!Y37</f>
        <v>36840.81</v>
      </c>
      <c r="Z41" s="13">
        <f>+BOLOGHINE!Z52+BELOUIZDAD!Z37</f>
        <v>0</v>
      </c>
      <c r="AA41" s="13">
        <f>+BOLOGHINE!AA52+BELOUIZDAD!AA37</f>
        <v>3488709.7399999998</v>
      </c>
      <c r="AB41" s="13">
        <f>+BOLOGHINE!AB52+BELOUIZDAD!AB37</f>
        <v>0</v>
      </c>
      <c r="AC41" s="20" t="s">
        <v>8</v>
      </c>
      <c r="AD41" s="14">
        <f>+B41+D41+F41+I41+K41+M41+P41+R41+T41+W41+Y41+AA41</f>
        <v>5592884.6399999997</v>
      </c>
      <c r="AE41" s="14">
        <f>+C41+E41+G41+J41+L41+N41+Q41+S41+U41+X41+Z41+AB41</f>
        <v>0</v>
      </c>
      <c r="AF41" s="36">
        <f t="shared" si="2"/>
        <v>5592884.6399999997</v>
      </c>
    </row>
    <row r="42" spans="1:32" ht="16.5" customHeight="1" x14ac:dyDescent="0.25">
      <c r="B42" s="10"/>
      <c r="C42" s="10"/>
      <c r="D42" s="10"/>
      <c r="E42" s="10"/>
      <c r="F42" s="10"/>
      <c r="G42" s="10"/>
      <c r="I42" s="10"/>
      <c r="J42" s="10"/>
      <c r="K42" s="10"/>
      <c r="L42" s="10"/>
      <c r="M42" s="10"/>
      <c r="N42" s="10"/>
      <c r="P42" s="10"/>
      <c r="Q42" s="10"/>
      <c r="R42" s="10"/>
      <c r="S42" s="10"/>
      <c r="T42" s="10"/>
      <c r="U42" s="10"/>
      <c r="W42" s="10"/>
      <c r="X42" s="10"/>
      <c r="Y42" s="10"/>
      <c r="Z42" s="10"/>
      <c r="AA42" s="10"/>
      <c r="AB42" s="10"/>
      <c r="AD42" s="32"/>
      <c r="AE42" s="32"/>
    </row>
    <row r="43" spans="1:32" ht="32.25" customHeight="1" x14ac:dyDescent="0.25">
      <c r="A43" s="25" t="s">
        <v>110</v>
      </c>
      <c r="B43" s="26">
        <f t="shared" ref="B43:G43" si="7">+B41+B39+B12+B11</f>
        <v>344368576.79000002</v>
      </c>
      <c r="C43" s="26">
        <f t="shared" si="7"/>
        <v>101964816.81999999</v>
      </c>
      <c r="D43" s="26">
        <f t="shared" si="7"/>
        <v>142925791.40000001</v>
      </c>
      <c r="E43" s="26">
        <f t="shared" si="7"/>
        <v>12354200.43</v>
      </c>
      <c r="F43" s="26">
        <f t="shared" si="7"/>
        <v>255970218.42999995</v>
      </c>
      <c r="G43" s="26">
        <f t="shared" si="7"/>
        <v>71696831.470000014</v>
      </c>
      <c r="H43" s="25" t="s">
        <v>110</v>
      </c>
      <c r="I43" s="26">
        <f t="shared" ref="I43:N43" si="8">+I41+I39+I12+I11</f>
        <v>128084056.41000003</v>
      </c>
      <c r="J43" s="26">
        <f t="shared" si="8"/>
        <v>32200209.82</v>
      </c>
      <c r="K43" s="26">
        <f t="shared" si="8"/>
        <v>121406586.85199998</v>
      </c>
      <c r="L43" s="26">
        <f t="shared" si="8"/>
        <v>7454777.7199999997</v>
      </c>
      <c r="M43" s="26">
        <f t="shared" si="8"/>
        <v>77540512.409999996</v>
      </c>
      <c r="N43" s="26">
        <f t="shared" si="8"/>
        <v>59658954.789999999</v>
      </c>
      <c r="O43" s="25" t="s">
        <v>110</v>
      </c>
      <c r="P43" s="26">
        <f t="shared" ref="P43:U43" si="9">+P41+P39+P12+P11</f>
        <v>96185552.260000005</v>
      </c>
      <c r="Q43" s="26">
        <f t="shared" si="9"/>
        <v>85039891.239999995</v>
      </c>
      <c r="R43" s="26">
        <f t="shared" si="9"/>
        <v>90449569.090000004</v>
      </c>
      <c r="S43" s="26">
        <f t="shared" si="9"/>
        <v>68121926.469999999</v>
      </c>
      <c r="T43" s="26">
        <f t="shared" si="9"/>
        <v>125430193.63</v>
      </c>
      <c r="U43" s="26">
        <f t="shared" si="9"/>
        <v>72369266.950000003</v>
      </c>
      <c r="V43" s="25" t="s">
        <v>110</v>
      </c>
      <c r="W43" s="26">
        <f t="shared" ref="W43:AB43" si="10">+W41+W39+W12+W11</f>
        <v>146863707.98000002</v>
      </c>
      <c r="X43" s="26">
        <f t="shared" si="10"/>
        <v>119322222.56999999</v>
      </c>
      <c r="Y43" s="26">
        <f t="shared" si="10"/>
        <v>301390292.51999998</v>
      </c>
      <c r="Z43" s="26">
        <f t="shared" si="10"/>
        <v>476645862.01999998</v>
      </c>
      <c r="AA43" s="26">
        <f t="shared" si="10"/>
        <v>610064118.1400001</v>
      </c>
      <c r="AB43" s="26">
        <f t="shared" si="10"/>
        <v>10322284.07</v>
      </c>
      <c r="AC43" s="25" t="s">
        <v>110</v>
      </c>
      <c r="AD43" s="26">
        <f>+B43+D43+F43+I43+K43+M43+P43+R43+T43+W43+Y43+AA43</f>
        <v>2440679175.9119997</v>
      </c>
      <c r="AE43" s="26">
        <f>+C43+E43+G43+J43+L43+N43+Q43+S43+U43+X43+Z43+AB43</f>
        <v>1117151244.3699999</v>
      </c>
      <c r="AF43" s="26">
        <f t="shared" si="2"/>
        <v>3557830420.2819996</v>
      </c>
    </row>
    <row r="45" spans="1:32" ht="15.75" x14ac:dyDescent="0.25">
      <c r="A45" s="4" t="s">
        <v>142</v>
      </c>
      <c r="H45" s="4" t="s">
        <v>142</v>
      </c>
      <c r="O45" s="4" t="s">
        <v>142</v>
      </c>
      <c r="V45" s="4" t="s">
        <v>142</v>
      </c>
      <c r="AC45" s="4" t="s">
        <v>142</v>
      </c>
      <c r="AF45" s="31"/>
    </row>
    <row r="47" spans="1:32" ht="16.5" customHeight="1" x14ac:dyDescent="0.25">
      <c r="AD47" s="32"/>
      <c r="AE47" s="32"/>
    </row>
    <row r="50" spans="30:31" ht="16.5" customHeight="1" x14ac:dyDescent="0.25">
      <c r="AD50" s="32"/>
      <c r="AE50" s="32"/>
    </row>
  </sheetData>
  <mergeCells count="1">
    <mergeCell ref="AD9:AF9"/>
  </mergeCells>
  <pageMargins left="0.70866141732283472" right="0.70866141732283472" top="0.42" bottom="0.74803149606299213" header="0.31496062992125984" footer="0.31496062992125984"/>
  <pageSetup paperSize="9" scale="74" fitToWidth="0" orientation="landscape" horizontalDpi="4294967294" verticalDpi="4294967294" r:id="rId1"/>
  <colBreaks count="3" manualBreakCount="3">
    <brk id="7" max="45" man="1"/>
    <brk id="21" max="45" man="1"/>
    <brk id="28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D24"/>
  <sheetViews>
    <sheetView showGridLines="0" view="pageLayout" zoomScaleNormal="91" workbookViewId="0">
      <selection activeCell="A29" sqref="A29"/>
    </sheetView>
  </sheetViews>
  <sheetFormatPr baseColWidth="10" defaultRowHeight="16.5" customHeight="1" x14ac:dyDescent="0.25"/>
  <cols>
    <col min="1" max="1" width="46.28515625" bestFit="1" customWidth="1"/>
    <col min="2" max="2" width="24.140625" bestFit="1" customWidth="1"/>
    <col min="3" max="3" width="21.28515625" bestFit="1" customWidth="1"/>
    <col min="4" max="4" width="22.5703125" bestFit="1" customWidth="1"/>
    <col min="5" max="5" width="19.42578125" bestFit="1" customWidth="1"/>
    <col min="9" max="9" width="11.42578125" customWidth="1"/>
  </cols>
  <sheetData>
    <row r="4" spans="1:4" ht="16.5" customHeight="1" x14ac:dyDescent="0.3">
      <c r="A4" s="1"/>
    </row>
    <row r="10" spans="1:4" ht="16.5" customHeight="1" thickBot="1" x14ac:dyDescent="0.3"/>
    <row r="11" spans="1:4" ht="16.5" customHeight="1" thickTop="1" x14ac:dyDescent="0.25">
      <c r="A11" s="47" t="s">
        <v>138</v>
      </c>
      <c r="B11" s="48"/>
      <c r="C11" s="48"/>
      <c r="D11" s="49"/>
    </row>
    <row r="12" spans="1:4" ht="16.5" customHeight="1" x14ac:dyDescent="0.25">
      <c r="A12" s="50"/>
      <c r="B12" s="51"/>
      <c r="C12" s="51"/>
      <c r="D12" s="52"/>
    </row>
    <row r="13" spans="1:4" ht="16.5" customHeight="1" x14ac:dyDescent="0.25">
      <c r="A13" s="50"/>
      <c r="B13" s="51"/>
      <c r="C13" s="51"/>
      <c r="D13" s="52"/>
    </row>
    <row r="14" spans="1:4" ht="16.5" customHeight="1" x14ac:dyDescent="0.25">
      <c r="A14" s="50"/>
      <c r="B14" s="51"/>
      <c r="C14" s="51"/>
      <c r="D14" s="52"/>
    </row>
    <row r="15" spans="1:4" ht="16.5" customHeight="1" x14ac:dyDescent="0.25">
      <c r="A15" s="50"/>
      <c r="B15" s="51"/>
      <c r="C15" s="51"/>
      <c r="D15" s="52"/>
    </row>
    <row r="16" spans="1:4" ht="16.5" customHeight="1" x14ac:dyDescent="0.25">
      <c r="A16" s="50"/>
      <c r="B16" s="51"/>
      <c r="C16" s="51"/>
      <c r="D16" s="52"/>
    </row>
    <row r="17" spans="1:4" ht="16.5" customHeight="1" x14ac:dyDescent="0.25">
      <c r="A17" s="50"/>
      <c r="B17" s="51"/>
      <c r="C17" s="51"/>
      <c r="D17" s="52"/>
    </row>
    <row r="18" spans="1:4" ht="16.5" customHeight="1" x14ac:dyDescent="0.25">
      <c r="A18" s="50"/>
      <c r="B18" s="51"/>
      <c r="C18" s="51"/>
      <c r="D18" s="52"/>
    </row>
    <row r="19" spans="1:4" ht="16.5" customHeight="1" x14ac:dyDescent="0.25">
      <c r="A19" s="50"/>
      <c r="B19" s="51"/>
      <c r="C19" s="51"/>
      <c r="D19" s="52"/>
    </row>
    <row r="20" spans="1:4" ht="16.5" customHeight="1" x14ac:dyDescent="0.25">
      <c r="A20" s="50"/>
      <c r="B20" s="51"/>
      <c r="C20" s="51"/>
      <c r="D20" s="52"/>
    </row>
    <row r="21" spans="1:4" ht="16.5" customHeight="1" x14ac:dyDescent="0.25">
      <c r="A21" s="50"/>
      <c r="B21" s="51"/>
      <c r="C21" s="51"/>
      <c r="D21" s="52"/>
    </row>
    <row r="22" spans="1:4" ht="16.5" customHeight="1" thickBot="1" x14ac:dyDescent="0.3">
      <c r="A22" s="53"/>
      <c r="B22" s="54"/>
      <c r="C22" s="54"/>
      <c r="D22" s="55"/>
    </row>
    <row r="23" spans="1:4" ht="16.5" customHeight="1" thickTop="1" x14ac:dyDescent="0.25"/>
    <row r="24" spans="1:4" ht="16.5" customHeight="1" x14ac:dyDescent="0.25">
      <c r="D24" s="41" t="s">
        <v>139</v>
      </c>
    </row>
  </sheetData>
  <mergeCells count="1">
    <mergeCell ref="A11:D22"/>
  </mergeCells>
  <pageMargins left="0.70866141732283472" right="0.70866141732283472" top="0.42" bottom="0.74803149606299213" header="0.31496062992125984" footer="0.31496062992125984"/>
  <pageSetup paperSize="9" fitToWidth="0" orientation="landscape" horizontalDpi="4294967294" verticalDpi="4294967294" r:id="rId1"/>
  <headerFooter>
    <oddFooter>&amp;R&amp;"-,Gras"&amp;12Situation arrêtée au 30 Juin 2017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D24"/>
  <sheetViews>
    <sheetView showGridLines="0" view="pageLayout" zoomScaleNormal="91" workbookViewId="0">
      <selection activeCell="D28" sqref="D28"/>
    </sheetView>
  </sheetViews>
  <sheetFormatPr baseColWidth="10" defaultRowHeight="16.5" customHeight="1" x14ac:dyDescent="0.25"/>
  <cols>
    <col min="1" max="1" width="46.28515625" bestFit="1" customWidth="1"/>
    <col min="2" max="2" width="24.140625" bestFit="1" customWidth="1"/>
    <col min="3" max="3" width="21.28515625" bestFit="1" customWidth="1"/>
    <col min="4" max="4" width="22.5703125" bestFit="1" customWidth="1"/>
    <col min="5" max="5" width="19.42578125" bestFit="1" customWidth="1"/>
    <col min="9" max="9" width="11.42578125" customWidth="1"/>
  </cols>
  <sheetData>
    <row r="4" spans="1:4" ht="16.5" customHeight="1" x14ac:dyDescent="0.3">
      <c r="A4" s="1"/>
    </row>
    <row r="10" spans="1:4" ht="16.5" customHeight="1" thickBot="1" x14ac:dyDescent="0.3"/>
    <row r="11" spans="1:4" ht="16.5" customHeight="1" thickTop="1" x14ac:dyDescent="0.25">
      <c r="A11" s="47" t="s">
        <v>138</v>
      </c>
      <c r="B11" s="48"/>
      <c r="C11" s="48"/>
      <c r="D11" s="49"/>
    </row>
    <row r="12" spans="1:4" ht="16.5" customHeight="1" x14ac:dyDescent="0.25">
      <c r="A12" s="50"/>
      <c r="B12" s="51"/>
      <c r="C12" s="51"/>
      <c r="D12" s="52"/>
    </row>
    <row r="13" spans="1:4" ht="16.5" customHeight="1" x14ac:dyDescent="0.25">
      <c r="A13" s="50"/>
      <c r="B13" s="51"/>
      <c r="C13" s="51"/>
      <c r="D13" s="52"/>
    </row>
    <row r="14" spans="1:4" ht="16.5" customHeight="1" x14ac:dyDescent="0.25">
      <c r="A14" s="50"/>
      <c r="B14" s="51"/>
      <c r="C14" s="51"/>
      <c r="D14" s="52"/>
    </row>
    <row r="15" spans="1:4" ht="16.5" customHeight="1" x14ac:dyDescent="0.25">
      <c r="A15" s="50"/>
      <c r="B15" s="51"/>
      <c r="C15" s="51"/>
      <c r="D15" s="52"/>
    </row>
    <row r="16" spans="1:4" ht="16.5" customHeight="1" x14ac:dyDescent="0.25">
      <c r="A16" s="50"/>
      <c r="B16" s="51"/>
      <c r="C16" s="51"/>
      <c r="D16" s="52"/>
    </row>
    <row r="17" spans="1:4" ht="16.5" customHeight="1" x14ac:dyDescent="0.25">
      <c r="A17" s="50"/>
      <c r="B17" s="51"/>
      <c r="C17" s="51"/>
      <c r="D17" s="52"/>
    </row>
    <row r="18" spans="1:4" ht="16.5" customHeight="1" x14ac:dyDescent="0.25">
      <c r="A18" s="50"/>
      <c r="B18" s="51"/>
      <c r="C18" s="51"/>
      <c r="D18" s="52"/>
    </row>
    <row r="19" spans="1:4" ht="16.5" customHeight="1" x14ac:dyDescent="0.25">
      <c r="A19" s="50"/>
      <c r="B19" s="51"/>
      <c r="C19" s="51"/>
      <c r="D19" s="52"/>
    </row>
    <row r="20" spans="1:4" ht="16.5" customHeight="1" x14ac:dyDescent="0.25">
      <c r="A20" s="50"/>
      <c r="B20" s="51"/>
      <c r="C20" s="51"/>
      <c r="D20" s="52"/>
    </row>
    <row r="21" spans="1:4" ht="16.5" customHeight="1" x14ac:dyDescent="0.25">
      <c r="A21" s="50"/>
      <c r="B21" s="51"/>
      <c r="C21" s="51"/>
      <c r="D21" s="52"/>
    </row>
    <row r="22" spans="1:4" ht="16.5" customHeight="1" thickBot="1" x14ac:dyDescent="0.3">
      <c r="A22" s="53"/>
      <c r="B22" s="54"/>
      <c r="C22" s="54"/>
      <c r="D22" s="55"/>
    </row>
    <row r="23" spans="1:4" ht="16.5" customHeight="1" thickTop="1" x14ac:dyDescent="0.25"/>
    <row r="24" spans="1:4" ht="16.5" customHeight="1" x14ac:dyDescent="0.25">
      <c r="D24" s="41" t="s">
        <v>141</v>
      </c>
    </row>
  </sheetData>
  <mergeCells count="1">
    <mergeCell ref="A11:D22"/>
  </mergeCells>
  <pageMargins left="1.08" right="0.70866141732283472" top="0.42" bottom="0.74803149606299213" header="0.31496062992125984" footer="0.31496062992125984"/>
  <pageSetup paperSize="9" fitToWidth="0" orientation="landscape" horizontalDpi="4294967294" verticalDpi="4294967294" r:id="rId1"/>
  <headerFooter>
    <oddFooter>&amp;R&amp;"-,Gras"&amp;12Situation arrêtée au 30 Juin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BELOUIZDAD</vt:lpstr>
      <vt:lpstr>BOLOGHINE</vt:lpstr>
      <vt:lpstr>GUE DE CONS</vt:lpstr>
      <vt:lpstr>EL HARRACH</vt:lpstr>
      <vt:lpstr>TOTAL SDA</vt:lpstr>
      <vt:lpstr>page de garde</vt:lpstr>
      <vt:lpstr>page de garde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boukortt.salah</dc:creator>
  <cp:lastModifiedBy>bouatta.adel</cp:lastModifiedBy>
  <cp:lastPrinted>2017-07-18T14:32:53Z</cp:lastPrinted>
  <dcterms:created xsi:type="dcterms:W3CDTF">2017-07-18T09:42:24Z</dcterms:created>
  <dcterms:modified xsi:type="dcterms:W3CDTF">2017-07-18T14:46:33Z</dcterms:modified>
</cp:coreProperties>
</file>