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tabRatio="759" activeTab="3"/>
  </bookViews>
  <sheets>
    <sheet name="CALCUL  (2)" sheetId="34" r:id="rId1"/>
    <sheet name="CR 2013 par DD " sheetId="35" r:id="rId2"/>
    <sheet name="CR 2013 par DD Corrigé Après CA" sheetId="42" r:id="rId3"/>
    <sheet name="Calcul VF Corrigé après CA" sheetId="37" r:id="rId4"/>
    <sheet name="Feuil2" sheetId="38" r:id="rId5"/>
    <sheet name="Feuil3" sheetId="39" r:id="rId6"/>
    <sheet name="Feuil4" sheetId="40" r:id="rId7"/>
    <sheet name="Feuil5" sheetId="41" r:id="rId8"/>
    <sheet name="Prog d'investis" sheetId="31" r:id="rId9"/>
    <sheet name="Plan Financ+Plan Trésorerie" sheetId="32" r:id="rId10"/>
    <sheet name="Frais de Personnel" sheetId="36" r:id="rId11"/>
  </sheets>
  <calcPr calcId="124519"/>
</workbook>
</file>

<file path=xl/calcChain.xml><?xml version="1.0" encoding="utf-8"?>
<calcChain xmlns="http://schemas.openxmlformats.org/spreadsheetml/2006/main">
  <c r="Q27" i="42"/>
  <c r="D27"/>
  <c r="E27"/>
  <c r="I17"/>
  <c r="E17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S41"/>
  <c r="R41"/>
  <c r="S40"/>
  <c r="R40"/>
  <c r="S36"/>
  <c r="R36"/>
  <c r="S35"/>
  <c r="R35"/>
  <c r="Q33"/>
  <c r="P33"/>
  <c r="O33"/>
  <c r="N33"/>
  <c r="M33"/>
  <c r="L33"/>
  <c r="K33"/>
  <c r="J33"/>
  <c r="I33"/>
  <c r="H33"/>
  <c r="G33"/>
  <c r="F33"/>
  <c r="E33"/>
  <c r="S33" s="1"/>
  <c r="D33"/>
  <c r="R33" s="1"/>
  <c r="C33"/>
  <c r="B33"/>
  <c r="S32"/>
  <c r="R32"/>
  <c r="Q32"/>
  <c r="P32"/>
  <c r="O32"/>
  <c r="N32"/>
  <c r="M32"/>
  <c r="L32"/>
  <c r="K32"/>
  <c r="J32"/>
  <c r="I32"/>
  <c r="H32"/>
  <c r="G32"/>
  <c r="F32"/>
  <c r="E32"/>
  <c r="D32"/>
  <c r="S31"/>
  <c r="R31"/>
  <c r="S29"/>
  <c r="R29"/>
  <c r="I29"/>
  <c r="H29"/>
  <c r="E29"/>
  <c r="S28"/>
  <c r="R28"/>
  <c r="Q28"/>
  <c r="P28"/>
  <c r="O28"/>
  <c r="N28"/>
  <c r="M28"/>
  <c r="L28"/>
  <c r="K28"/>
  <c r="J28"/>
  <c r="I28"/>
  <c r="H28"/>
  <c r="G28"/>
  <c r="F28"/>
  <c r="E28"/>
  <c r="D28"/>
  <c r="S27"/>
  <c r="R27"/>
  <c r="M27"/>
  <c r="S26"/>
  <c r="R26"/>
  <c r="E26"/>
  <c r="Q24"/>
  <c r="P24"/>
  <c r="O24"/>
  <c r="N24"/>
  <c r="M24"/>
  <c r="L24"/>
  <c r="K24"/>
  <c r="J24"/>
  <c r="I24"/>
  <c r="H24"/>
  <c r="G24"/>
  <c r="F24"/>
  <c r="E24"/>
  <c r="D24"/>
  <c r="C24"/>
  <c r="B24"/>
  <c r="S23"/>
  <c r="R23"/>
  <c r="Q23"/>
  <c r="O23"/>
  <c r="K23"/>
  <c r="H23"/>
  <c r="S20"/>
  <c r="R20"/>
  <c r="Q20"/>
  <c r="P20"/>
  <c r="N20"/>
  <c r="L20"/>
  <c r="S18"/>
  <c r="R18"/>
  <c r="S17"/>
  <c r="R17"/>
  <c r="S16"/>
  <c r="R16"/>
  <c r="O16"/>
  <c r="N16"/>
  <c r="S15"/>
  <c r="R15"/>
  <c r="Q15"/>
  <c r="P15"/>
  <c r="O15"/>
  <c r="M15"/>
  <c r="K15"/>
  <c r="I15"/>
  <c r="E15"/>
  <c r="Q14"/>
  <c r="Q21" s="1"/>
  <c r="Q38" s="1"/>
  <c r="P14"/>
  <c r="P21" s="1"/>
  <c r="P38" s="1"/>
  <c r="O14"/>
  <c r="O21" s="1"/>
  <c r="O38" s="1"/>
  <c r="N14"/>
  <c r="N21" s="1"/>
  <c r="N38" s="1"/>
  <c r="M14"/>
  <c r="M21" s="1"/>
  <c r="M38" s="1"/>
  <c r="L14"/>
  <c r="K14"/>
  <c r="K21" s="1"/>
  <c r="K38" s="1"/>
  <c r="J14"/>
  <c r="J21" s="1"/>
  <c r="J38" s="1"/>
  <c r="I14"/>
  <c r="I21" s="1"/>
  <c r="I38" s="1"/>
  <c r="H14"/>
  <c r="H21" s="1"/>
  <c r="H38" s="1"/>
  <c r="G14"/>
  <c r="G21" s="1"/>
  <c r="G38" s="1"/>
  <c r="F14"/>
  <c r="F21" s="1"/>
  <c r="F38" s="1"/>
  <c r="E14"/>
  <c r="E21" s="1"/>
  <c r="E38" s="1"/>
  <c r="D14"/>
  <c r="D21" s="1"/>
  <c r="D38" s="1"/>
  <c r="C14"/>
  <c r="C21" s="1"/>
  <c r="C38" s="1"/>
  <c r="B14"/>
  <c r="B21" s="1"/>
  <c r="B38" s="1"/>
  <c r="Q13"/>
  <c r="P13"/>
  <c r="P37" s="1"/>
  <c r="O13"/>
  <c r="N13"/>
  <c r="N37" s="1"/>
  <c r="M13"/>
  <c r="L13"/>
  <c r="L37" s="1"/>
  <c r="K13"/>
  <c r="J13"/>
  <c r="J37" s="1"/>
  <c r="I13"/>
  <c r="H13"/>
  <c r="H37" s="1"/>
  <c r="G13"/>
  <c r="F13"/>
  <c r="F37" s="1"/>
  <c r="E13"/>
  <c r="D13"/>
  <c r="D37" s="1"/>
  <c r="R37" s="1"/>
  <c r="C13"/>
  <c r="B13"/>
  <c r="B37" s="1"/>
  <c r="S12"/>
  <c r="R12"/>
  <c r="S11"/>
  <c r="R11"/>
  <c r="S9"/>
  <c r="R9"/>
  <c r="L9"/>
  <c r="C9"/>
  <c r="B9"/>
  <c r="S8"/>
  <c r="R8"/>
  <c r="S7"/>
  <c r="R7"/>
  <c r="O7"/>
  <c r="M7"/>
  <c r="D7"/>
  <c r="S6"/>
  <c r="R6"/>
  <c r="R5" s="1"/>
  <c r="D6"/>
  <c r="S5"/>
  <c r="S24" s="1"/>
  <c r="Q5"/>
  <c r="P5"/>
  <c r="O5"/>
  <c r="N5"/>
  <c r="M5"/>
  <c r="L5"/>
  <c r="K5"/>
  <c r="J5"/>
  <c r="I5"/>
  <c r="H5"/>
  <c r="G5"/>
  <c r="F5"/>
  <c r="E5"/>
  <c r="D5"/>
  <c r="C5"/>
  <c r="B5"/>
  <c r="L13" i="35"/>
  <c r="C22" i="42" l="1"/>
  <c r="C25" s="1"/>
  <c r="C30" s="1"/>
  <c r="C34" s="1"/>
  <c r="C39" s="1"/>
  <c r="C43" s="1"/>
  <c r="Q22"/>
  <c r="Q25" s="1"/>
  <c r="Q30" s="1"/>
  <c r="Q34" s="1"/>
  <c r="Q39" s="1"/>
  <c r="Q43" s="1"/>
  <c r="O22"/>
  <c r="O25" s="1"/>
  <c r="O30" s="1"/>
  <c r="O34" s="1"/>
  <c r="O39" s="1"/>
  <c r="O43" s="1"/>
  <c r="K22"/>
  <c r="K25" s="1"/>
  <c r="K30" s="1"/>
  <c r="K34" s="1"/>
  <c r="K39" s="1"/>
  <c r="K43" s="1"/>
  <c r="I22"/>
  <c r="I25" s="1"/>
  <c r="I30" s="1"/>
  <c r="I34" s="1"/>
  <c r="I39" s="1"/>
  <c r="I43" s="1"/>
  <c r="G22"/>
  <c r="G25" s="1"/>
  <c r="G30" s="1"/>
  <c r="G34" s="1"/>
  <c r="G39" s="1"/>
  <c r="G43" s="1"/>
  <c r="E22"/>
  <c r="E25" s="1"/>
  <c r="R14"/>
  <c r="R21" s="1"/>
  <c r="M22"/>
  <c r="M25" s="1"/>
  <c r="M30" s="1"/>
  <c r="M34" s="1"/>
  <c r="M39" s="1"/>
  <c r="M43" s="1"/>
  <c r="S38"/>
  <c r="S14"/>
  <c r="S21" s="1"/>
  <c r="L21"/>
  <c r="L38" s="1"/>
  <c r="R38" s="1"/>
  <c r="S25"/>
  <c r="E30"/>
  <c r="R13"/>
  <c r="R24"/>
  <c r="S13"/>
  <c r="S22" s="1"/>
  <c r="B22"/>
  <c r="B25" s="1"/>
  <c r="B30" s="1"/>
  <c r="B34" s="1"/>
  <c r="B39" s="1"/>
  <c r="B43" s="1"/>
  <c r="D22"/>
  <c r="D25" s="1"/>
  <c r="F22"/>
  <c r="F25" s="1"/>
  <c r="F30" s="1"/>
  <c r="F34" s="1"/>
  <c r="F39" s="1"/>
  <c r="F43" s="1"/>
  <c r="H22"/>
  <c r="H25" s="1"/>
  <c r="H30" s="1"/>
  <c r="H34" s="1"/>
  <c r="H39" s="1"/>
  <c r="H43" s="1"/>
  <c r="J22"/>
  <c r="J25" s="1"/>
  <c r="J30" s="1"/>
  <c r="J34" s="1"/>
  <c r="J39" s="1"/>
  <c r="J43" s="1"/>
  <c r="N22"/>
  <c r="N25" s="1"/>
  <c r="N30" s="1"/>
  <c r="N34" s="1"/>
  <c r="N39" s="1"/>
  <c r="N43" s="1"/>
  <c r="P22"/>
  <c r="P25" s="1"/>
  <c r="P30" s="1"/>
  <c r="P34" s="1"/>
  <c r="P39" s="1"/>
  <c r="P43" s="1"/>
  <c r="C37"/>
  <c r="E37"/>
  <c r="G37"/>
  <c r="I37"/>
  <c r="K37"/>
  <c r="M37"/>
  <c r="O37"/>
  <c r="Q37"/>
  <c r="M206" i="37"/>
  <c r="M207"/>
  <c r="M205"/>
  <c r="K205"/>
  <c r="K206"/>
  <c r="K207"/>
  <c r="I206"/>
  <c r="I207"/>
  <c r="I205"/>
  <c r="G205"/>
  <c r="C206"/>
  <c r="C207"/>
  <c r="E206"/>
  <c r="E205"/>
  <c r="C205"/>
  <c r="M201"/>
  <c r="M202"/>
  <c r="M200"/>
  <c r="K201"/>
  <c r="K202"/>
  <c r="K200"/>
  <c r="I201"/>
  <c r="I202"/>
  <c r="I200"/>
  <c r="E201"/>
  <c r="E202"/>
  <c r="E200"/>
  <c r="C201"/>
  <c r="C202"/>
  <c r="C200"/>
  <c r="C203" s="1"/>
  <c r="E207"/>
  <c r="E203"/>
  <c r="M203"/>
  <c r="K203"/>
  <c r="I203"/>
  <c r="G206"/>
  <c r="G207"/>
  <c r="G201"/>
  <c r="G202"/>
  <c r="G200"/>
  <c r="L203"/>
  <c r="J203"/>
  <c r="H203"/>
  <c r="F203"/>
  <c r="D203"/>
  <c r="B203"/>
  <c r="B175"/>
  <c r="C175"/>
  <c r="G175"/>
  <c r="F175"/>
  <c r="E175"/>
  <c r="D175"/>
  <c r="H221"/>
  <c r="H171"/>
  <c r="S181"/>
  <c r="R181"/>
  <c r="Q181"/>
  <c r="P181"/>
  <c r="O181"/>
  <c r="N181"/>
  <c r="M181"/>
  <c r="L181"/>
  <c r="S178"/>
  <c r="R178"/>
  <c r="Q178"/>
  <c r="P178"/>
  <c r="O178"/>
  <c r="N178"/>
  <c r="M178"/>
  <c r="L178"/>
  <c r="S175"/>
  <c r="R175"/>
  <c r="Q175"/>
  <c r="P175"/>
  <c r="O175"/>
  <c r="N175"/>
  <c r="M175"/>
  <c r="L175"/>
  <c r="S172"/>
  <c r="R172"/>
  <c r="Q172"/>
  <c r="P172"/>
  <c r="O172"/>
  <c r="N172"/>
  <c r="M172"/>
  <c r="L172"/>
  <c r="S169"/>
  <c r="R169"/>
  <c r="Q169"/>
  <c r="P169"/>
  <c r="O169"/>
  <c r="N169"/>
  <c r="M169"/>
  <c r="L169"/>
  <c r="S166"/>
  <c r="R166"/>
  <c r="Q166"/>
  <c r="P166"/>
  <c r="O166"/>
  <c r="N166"/>
  <c r="M166"/>
  <c r="L166"/>
  <c r="S163"/>
  <c r="R163"/>
  <c r="Q163"/>
  <c r="P163"/>
  <c r="O163"/>
  <c r="N163"/>
  <c r="M163"/>
  <c r="L163"/>
  <c r="H167"/>
  <c r="H164"/>
  <c r="H172" i="34"/>
  <c r="D153" i="37"/>
  <c r="E151" s="1"/>
  <c r="E156" s="1"/>
  <c r="F153"/>
  <c r="G151" s="1"/>
  <c r="G156" s="1"/>
  <c r="H153"/>
  <c r="I151" s="1"/>
  <c r="I156" s="1"/>
  <c r="J153"/>
  <c r="K151" s="1"/>
  <c r="K156" s="1"/>
  <c r="L153"/>
  <c r="M151" s="1"/>
  <c r="M156" s="1"/>
  <c r="B153"/>
  <c r="C151" s="1"/>
  <c r="C156" s="1"/>
  <c r="B339"/>
  <c r="C338"/>
  <c r="C337"/>
  <c r="C336"/>
  <c r="C335"/>
  <c r="C334"/>
  <c r="C333"/>
  <c r="C332"/>
  <c r="C339" s="1"/>
  <c r="J295"/>
  <c r="I297" s="1"/>
  <c r="E284"/>
  <c r="E288" s="1"/>
  <c r="E290" s="1"/>
  <c r="D284"/>
  <c r="D288" s="1"/>
  <c r="D290" s="1"/>
  <c r="C284"/>
  <c r="C288" s="1"/>
  <c r="C290" s="1"/>
  <c r="B284"/>
  <c r="B288" s="1"/>
  <c r="B290" s="1"/>
  <c r="H283"/>
  <c r="G282"/>
  <c r="H282" s="1"/>
  <c r="G281"/>
  <c r="H281" s="1"/>
  <c r="G280"/>
  <c r="H280" s="1"/>
  <c r="G279"/>
  <c r="F279"/>
  <c r="G278"/>
  <c r="G284" s="1"/>
  <c r="F278"/>
  <c r="F284" s="1"/>
  <c r="G277"/>
  <c r="F277"/>
  <c r="E277"/>
  <c r="D277"/>
  <c r="C277"/>
  <c r="B277"/>
  <c r="H275"/>
  <c r="E265"/>
  <c r="E269" s="1"/>
  <c r="E271" s="1"/>
  <c r="D265"/>
  <c r="D269" s="1"/>
  <c r="D271" s="1"/>
  <c r="C265"/>
  <c r="C269" s="1"/>
  <c r="C271" s="1"/>
  <c r="B265"/>
  <c r="B269" s="1"/>
  <c r="B271" s="1"/>
  <c r="H264"/>
  <c r="H263"/>
  <c r="H262"/>
  <c r="G261"/>
  <c r="H261" s="1"/>
  <c r="G260"/>
  <c r="F260"/>
  <c r="H260" s="1"/>
  <c r="G259"/>
  <c r="F259"/>
  <c r="F265" s="1"/>
  <c r="G258"/>
  <c r="F258"/>
  <c r="E258"/>
  <c r="D258"/>
  <c r="C258"/>
  <c r="B258"/>
  <c r="H256"/>
  <c r="H244"/>
  <c r="G241"/>
  <c r="F241"/>
  <c r="E241"/>
  <c r="D241"/>
  <c r="C241"/>
  <c r="B241"/>
  <c r="H241" s="1"/>
  <c r="G239"/>
  <c r="F239"/>
  <c r="E239"/>
  <c r="D239"/>
  <c r="C239"/>
  <c r="B239"/>
  <c r="G225"/>
  <c r="G229" s="1"/>
  <c r="F225"/>
  <c r="F229" s="1"/>
  <c r="E225"/>
  <c r="E229" s="1"/>
  <c r="D225"/>
  <c r="D229" s="1"/>
  <c r="B225"/>
  <c r="B229" s="1"/>
  <c r="H224"/>
  <c r="H223"/>
  <c r="H222"/>
  <c r="C225"/>
  <c r="H219"/>
  <c r="H218"/>
  <c r="H217"/>
  <c r="G216"/>
  <c r="F216"/>
  <c r="E216"/>
  <c r="D216"/>
  <c r="C216"/>
  <c r="B216"/>
  <c r="H214"/>
  <c r="G193"/>
  <c r="F193"/>
  <c r="E193"/>
  <c r="D193"/>
  <c r="C193"/>
  <c r="B193"/>
  <c r="H191"/>
  <c r="H189"/>
  <c r="G179"/>
  <c r="F179"/>
  <c r="E179"/>
  <c r="D179"/>
  <c r="C179"/>
  <c r="B179"/>
  <c r="H174"/>
  <c r="H173"/>
  <c r="H172"/>
  <c r="H170"/>
  <c r="H169"/>
  <c r="H168"/>
  <c r="G166"/>
  <c r="F166"/>
  <c r="E166"/>
  <c r="D166"/>
  <c r="C166"/>
  <c r="B166"/>
  <c r="M136"/>
  <c r="K136"/>
  <c r="I135"/>
  <c r="H134"/>
  <c r="H135" s="1"/>
  <c r="H129"/>
  <c r="H131" s="1"/>
  <c r="G128"/>
  <c r="F128"/>
  <c r="E128"/>
  <c r="D128"/>
  <c r="C128"/>
  <c r="B128"/>
  <c r="I126"/>
  <c r="I128" s="1"/>
  <c r="I119"/>
  <c r="H117"/>
  <c r="H119" s="1"/>
  <c r="H116"/>
  <c r="K115"/>
  <c r="K116" s="1"/>
  <c r="O114"/>
  <c r="I114"/>
  <c r="I120" s="1"/>
  <c r="I121" s="1"/>
  <c r="K107"/>
  <c r="K109" s="1"/>
  <c r="H107"/>
  <c r="I104"/>
  <c r="H103"/>
  <c r="H101"/>
  <c r="H97"/>
  <c r="H100" s="1"/>
  <c r="G97"/>
  <c r="F97"/>
  <c r="E97"/>
  <c r="D97"/>
  <c r="C97"/>
  <c r="B97"/>
  <c r="I95"/>
  <c r="I97" s="1"/>
  <c r="I100" s="1"/>
  <c r="I94"/>
  <c r="I88"/>
  <c r="H86"/>
  <c r="H88" s="1"/>
  <c r="H85"/>
  <c r="O84"/>
  <c r="I83"/>
  <c r="I89" s="1"/>
  <c r="I90" s="1"/>
  <c r="C80"/>
  <c r="B80"/>
  <c r="H78"/>
  <c r="F78"/>
  <c r="E78"/>
  <c r="D78"/>
  <c r="C77"/>
  <c r="C78" s="1"/>
  <c r="B77"/>
  <c r="B78" s="1"/>
  <c r="G76"/>
  <c r="G78" s="1"/>
  <c r="H75"/>
  <c r="G75"/>
  <c r="F75"/>
  <c r="E75"/>
  <c r="D75"/>
  <c r="C75"/>
  <c r="B73"/>
  <c r="B75" s="1"/>
  <c r="F68"/>
  <c r="B68"/>
  <c r="F67"/>
  <c r="B67"/>
  <c r="F66"/>
  <c r="F69" s="1"/>
  <c r="B66"/>
  <c r="B69" s="1"/>
  <c r="E62"/>
  <c r="B62"/>
  <c r="G61"/>
  <c r="D61"/>
  <c r="G60"/>
  <c r="D60"/>
  <c r="G59"/>
  <c r="G62" s="1"/>
  <c r="D59"/>
  <c r="D62" s="1"/>
  <c r="E58"/>
  <c r="B58"/>
  <c r="G57"/>
  <c r="D57"/>
  <c r="G56"/>
  <c r="D56"/>
  <c r="G55"/>
  <c r="G58" s="1"/>
  <c r="D55"/>
  <c r="D58" s="1"/>
  <c r="E54"/>
  <c r="B54"/>
  <c r="G53"/>
  <c r="D53"/>
  <c r="G52"/>
  <c r="D52"/>
  <c r="G51"/>
  <c r="G54" s="1"/>
  <c r="D51"/>
  <c r="D54" s="1"/>
  <c r="E50"/>
  <c r="B50"/>
  <c r="G49"/>
  <c r="D49"/>
  <c r="G48"/>
  <c r="D48"/>
  <c r="G47"/>
  <c r="G50" s="1"/>
  <c r="D47"/>
  <c r="D50" s="1"/>
  <c r="E46"/>
  <c r="B46"/>
  <c r="G45"/>
  <c r="D45"/>
  <c r="G44"/>
  <c r="D44"/>
  <c r="G43"/>
  <c r="G46" s="1"/>
  <c r="D43"/>
  <c r="D46" s="1"/>
  <c r="E42"/>
  <c r="E64" s="1"/>
  <c r="B42"/>
  <c r="B64" s="1"/>
  <c r="G41"/>
  <c r="G68" s="1"/>
  <c r="D41"/>
  <c r="C68" s="1"/>
  <c r="G40"/>
  <c r="G67" s="1"/>
  <c r="D40"/>
  <c r="C67" s="1"/>
  <c r="G39"/>
  <c r="G66" s="1"/>
  <c r="G69" s="1"/>
  <c r="D39"/>
  <c r="C66" s="1"/>
  <c r="C69" s="1"/>
  <c r="B34"/>
  <c r="F33"/>
  <c r="F32"/>
  <c r="F31"/>
  <c r="E27"/>
  <c r="B27"/>
  <c r="G26"/>
  <c r="D26"/>
  <c r="G25"/>
  <c r="D25"/>
  <c r="G24"/>
  <c r="G27" s="1"/>
  <c r="D24"/>
  <c r="D27" s="1"/>
  <c r="E23"/>
  <c r="B23"/>
  <c r="G22"/>
  <c r="D22"/>
  <c r="G21"/>
  <c r="D21"/>
  <c r="G20"/>
  <c r="G23" s="1"/>
  <c r="D20"/>
  <c r="D23" s="1"/>
  <c r="E19"/>
  <c r="B19"/>
  <c r="G18"/>
  <c r="D18"/>
  <c r="G17"/>
  <c r="D17"/>
  <c r="G16"/>
  <c r="G19" s="1"/>
  <c r="D16"/>
  <c r="D19" s="1"/>
  <c r="E15"/>
  <c r="B15"/>
  <c r="G14"/>
  <c r="D14"/>
  <c r="G13"/>
  <c r="D13"/>
  <c r="G12"/>
  <c r="G15" s="1"/>
  <c r="D12"/>
  <c r="D15" s="1"/>
  <c r="E11"/>
  <c r="B11"/>
  <c r="G10"/>
  <c r="D10"/>
  <c r="G9"/>
  <c r="D9"/>
  <c r="G8"/>
  <c r="G11" s="1"/>
  <c r="D8"/>
  <c r="D11" s="1"/>
  <c r="E7"/>
  <c r="E29" s="1"/>
  <c r="B7"/>
  <c r="B29" s="1"/>
  <c r="G6"/>
  <c r="G33" s="1"/>
  <c r="L69" s="1"/>
  <c r="D6"/>
  <c r="C33" s="1"/>
  <c r="K69" s="1"/>
  <c r="G5"/>
  <c r="G32" s="1"/>
  <c r="L68" s="1"/>
  <c r="D5"/>
  <c r="C32" s="1"/>
  <c r="K68" s="1"/>
  <c r="G4"/>
  <c r="G31" s="1"/>
  <c r="D4"/>
  <c r="C31" s="1"/>
  <c r="I37" i="36"/>
  <c r="H37"/>
  <c r="G37"/>
  <c r="H38" s="1"/>
  <c r="D37"/>
  <c r="C37"/>
  <c r="B37"/>
  <c r="C38" s="1"/>
  <c r="H34"/>
  <c r="G34"/>
  <c r="F34"/>
  <c r="I34" s="1"/>
  <c r="D34"/>
  <c r="C34"/>
  <c r="B34"/>
  <c r="E34" s="1"/>
  <c r="I33"/>
  <c r="E33"/>
  <c r="H31"/>
  <c r="G31"/>
  <c r="F31"/>
  <c r="I31" s="1"/>
  <c r="D31"/>
  <c r="C31"/>
  <c r="B31"/>
  <c r="E31" s="1"/>
  <c r="I30"/>
  <c r="E30"/>
  <c r="H28"/>
  <c r="G28"/>
  <c r="F28"/>
  <c r="I28" s="1"/>
  <c r="D28"/>
  <c r="C28"/>
  <c r="B28"/>
  <c r="E28" s="1"/>
  <c r="I27"/>
  <c r="E27"/>
  <c r="H25"/>
  <c r="G25"/>
  <c r="F25"/>
  <c r="I25" s="1"/>
  <c r="D25"/>
  <c r="C25"/>
  <c r="E25" s="1"/>
  <c r="B25"/>
  <c r="I24"/>
  <c r="E24"/>
  <c r="H22"/>
  <c r="G22"/>
  <c r="I22" s="1"/>
  <c r="F22"/>
  <c r="D22"/>
  <c r="C22"/>
  <c r="E22" s="1"/>
  <c r="B22"/>
  <c r="I21"/>
  <c r="E21"/>
  <c r="H19"/>
  <c r="G19"/>
  <c r="I19" s="1"/>
  <c r="F19"/>
  <c r="D19"/>
  <c r="C19"/>
  <c r="E19" s="1"/>
  <c r="B19"/>
  <c r="I18"/>
  <c r="E18"/>
  <c r="H16"/>
  <c r="I39" s="1"/>
  <c r="G16"/>
  <c r="H39" s="1"/>
  <c r="F16"/>
  <c r="G39" s="1"/>
  <c r="H40" s="1"/>
  <c r="D16"/>
  <c r="D39" s="1"/>
  <c r="C16"/>
  <c r="C39" s="1"/>
  <c r="B16"/>
  <c r="B39" s="1"/>
  <c r="I15"/>
  <c r="E15"/>
  <c r="F6"/>
  <c r="B6"/>
  <c r="H5"/>
  <c r="D5"/>
  <c r="H4"/>
  <c r="D4"/>
  <c r="H3"/>
  <c r="H6" s="1"/>
  <c r="D3"/>
  <c r="D6" s="1"/>
  <c r="L22" i="42" l="1"/>
  <c r="L25" s="1"/>
  <c r="L30" s="1"/>
  <c r="L34" s="1"/>
  <c r="L39" s="1"/>
  <c r="L43" s="1"/>
  <c r="R22"/>
  <c r="D30"/>
  <c r="S37"/>
  <c r="E34"/>
  <c r="S30"/>
  <c r="I75" i="37"/>
  <c r="H175"/>
  <c r="H177" s="1"/>
  <c r="G265"/>
  <c r="H279"/>
  <c r="K150"/>
  <c r="K155" s="1"/>
  <c r="F34"/>
  <c r="H89"/>
  <c r="H90" s="1"/>
  <c r="H92" s="1"/>
  <c r="H104"/>
  <c r="H120"/>
  <c r="H121" s="1"/>
  <c r="H123" s="1"/>
  <c r="H239"/>
  <c r="E150"/>
  <c r="E155" s="1"/>
  <c r="E152"/>
  <c r="E157" s="1"/>
  <c r="G150"/>
  <c r="G155" s="1"/>
  <c r="G152"/>
  <c r="G157" s="1"/>
  <c r="I150"/>
  <c r="I155" s="1"/>
  <c r="I152"/>
  <c r="I157" s="1"/>
  <c r="K152"/>
  <c r="K157" s="1"/>
  <c r="M150"/>
  <c r="M155" s="1"/>
  <c r="M153"/>
  <c r="M152"/>
  <c r="M157" s="1"/>
  <c r="C150"/>
  <c r="C155" s="1"/>
  <c r="C152"/>
  <c r="K67"/>
  <c r="K70" s="1"/>
  <c r="C34"/>
  <c r="L67"/>
  <c r="G34"/>
  <c r="L70" s="1"/>
  <c r="I91"/>
  <c r="I122"/>
  <c r="B188"/>
  <c r="B181"/>
  <c r="C188"/>
  <c r="C181"/>
  <c r="D188"/>
  <c r="D181"/>
  <c r="E188"/>
  <c r="E181"/>
  <c r="F188"/>
  <c r="F181"/>
  <c r="G188"/>
  <c r="G181"/>
  <c r="C229"/>
  <c r="C227"/>
  <c r="B238"/>
  <c r="B231"/>
  <c r="D238"/>
  <c r="D240" s="1"/>
  <c r="D242" s="1"/>
  <c r="D243" s="1"/>
  <c r="D231"/>
  <c r="E238"/>
  <c r="E240" s="1"/>
  <c r="E242" s="1"/>
  <c r="E243" s="1"/>
  <c r="E231"/>
  <c r="F238"/>
  <c r="F240" s="1"/>
  <c r="F242" s="1"/>
  <c r="F243" s="1"/>
  <c r="F231"/>
  <c r="G238"/>
  <c r="G240" s="1"/>
  <c r="G242" s="1"/>
  <c r="G243" s="1"/>
  <c r="G231"/>
  <c r="F269"/>
  <c r="F271" s="1"/>
  <c r="F267"/>
  <c r="G269"/>
  <c r="G271" s="1"/>
  <c r="G267"/>
  <c r="F288"/>
  <c r="F290" s="1"/>
  <c r="F286"/>
  <c r="G288"/>
  <c r="G290" s="1"/>
  <c r="G286"/>
  <c r="I299"/>
  <c r="I298"/>
  <c r="D7"/>
  <c r="D29" s="1"/>
  <c r="G7"/>
  <c r="G29" s="1"/>
  <c r="D42"/>
  <c r="D64" s="1"/>
  <c r="G42"/>
  <c r="G64" s="1"/>
  <c r="I73"/>
  <c r="I76"/>
  <c r="I77"/>
  <c r="B84"/>
  <c r="C84"/>
  <c r="D84"/>
  <c r="E84"/>
  <c r="F84"/>
  <c r="G84"/>
  <c r="B115"/>
  <c r="C115"/>
  <c r="D115"/>
  <c r="E115"/>
  <c r="F115"/>
  <c r="G115"/>
  <c r="I129"/>
  <c r="I131" s="1"/>
  <c r="H179"/>
  <c r="H166"/>
  <c r="H178" s="1"/>
  <c r="B177"/>
  <c r="B178" s="1"/>
  <c r="C177"/>
  <c r="C178" s="1"/>
  <c r="D177"/>
  <c r="D178" s="1"/>
  <c r="E177"/>
  <c r="E178" s="1"/>
  <c r="F177"/>
  <c r="F178" s="1"/>
  <c r="G177"/>
  <c r="G178" s="1"/>
  <c r="C228"/>
  <c r="F268"/>
  <c r="G268"/>
  <c r="F287"/>
  <c r="G287"/>
  <c r="D333"/>
  <c r="D334"/>
  <c r="D335"/>
  <c r="D336"/>
  <c r="D337"/>
  <c r="D338"/>
  <c r="H216"/>
  <c r="H220"/>
  <c r="H225" s="1"/>
  <c r="H229" s="1"/>
  <c r="H231" s="1"/>
  <c r="B227"/>
  <c r="D227"/>
  <c r="D228" s="1"/>
  <c r="E227"/>
  <c r="E228" s="1"/>
  <c r="F227"/>
  <c r="F228" s="1"/>
  <c r="G227"/>
  <c r="G228" s="1"/>
  <c r="H258"/>
  <c r="H259"/>
  <c r="H265" s="1"/>
  <c r="H267" s="1"/>
  <c r="B267"/>
  <c r="B268" s="1"/>
  <c r="C267"/>
  <c r="C268" s="1"/>
  <c r="D267"/>
  <c r="D268" s="1"/>
  <c r="E267"/>
  <c r="E268" s="1"/>
  <c r="H277"/>
  <c r="H278"/>
  <c r="H284" s="1"/>
  <c r="H286" s="1"/>
  <c r="B286"/>
  <c r="B287" s="1"/>
  <c r="C286"/>
  <c r="C287" s="1"/>
  <c r="D286"/>
  <c r="D287" s="1"/>
  <c r="E286"/>
  <c r="E287" s="1"/>
  <c r="C297"/>
  <c r="D297"/>
  <c r="E297"/>
  <c r="F297"/>
  <c r="G297"/>
  <c r="H297"/>
  <c r="D332"/>
  <c r="C40" i="36"/>
  <c r="E16"/>
  <c r="I16"/>
  <c r="R25" i="42" l="1"/>
  <c r="D34"/>
  <c r="R30"/>
  <c r="E39"/>
  <c r="S34"/>
  <c r="G203" i="37"/>
  <c r="C157"/>
  <c r="C153"/>
  <c r="K153"/>
  <c r="G153"/>
  <c r="H287"/>
  <c r="D339"/>
  <c r="F332"/>
  <c r="E332"/>
  <c r="H299"/>
  <c r="H298"/>
  <c r="G299"/>
  <c r="G298"/>
  <c r="F299"/>
  <c r="F298"/>
  <c r="E299"/>
  <c r="E298"/>
  <c r="D299"/>
  <c r="D298"/>
  <c r="C299"/>
  <c r="C298"/>
  <c r="F338"/>
  <c r="E338"/>
  <c r="F337"/>
  <c r="E337"/>
  <c r="F336"/>
  <c r="E336"/>
  <c r="F335"/>
  <c r="E335"/>
  <c r="F334"/>
  <c r="E334"/>
  <c r="F333"/>
  <c r="E333"/>
  <c r="H188"/>
  <c r="H190" s="1"/>
  <c r="H192" s="1"/>
  <c r="H193" s="1"/>
  <c r="H181"/>
  <c r="G139"/>
  <c r="G137"/>
  <c r="G136"/>
  <c r="G134"/>
  <c r="G133"/>
  <c r="G132"/>
  <c r="G124"/>
  <c r="G131" s="1"/>
  <c r="G118"/>
  <c r="G117"/>
  <c r="G116"/>
  <c r="F139"/>
  <c r="F137"/>
  <c r="F136"/>
  <c r="F134"/>
  <c r="F133"/>
  <c r="F132"/>
  <c r="F124"/>
  <c r="F131" s="1"/>
  <c r="F118"/>
  <c r="F117"/>
  <c r="F119" s="1"/>
  <c r="F116"/>
  <c r="E139"/>
  <c r="E137"/>
  <c r="E136"/>
  <c r="E134"/>
  <c r="E133"/>
  <c r="E132"/>
  <c r="E124"/>
  <c r="E131" s="1"/>
  <c r="E118"/>
  <c r="E117"/>
  <c r="E119" s="1"/>
  <c r="E116"/>
  <c r="D139"/>
  <c r="D137"/>
  <c r="D136"/>
  <c r="D134"/>
  <c r="D133"/>
  <c r="D132"/>
  <c r="D124"/>
  <c r="D131" s="1"/>
  <c r="D118"/>
  <c r="D117"/>
  <c r="D119" s="1"/>
  <c r="D116"/>
  <c r="C139"/>
  <c r="C137"/>
  <c r="C136"/>
  <c r="C134"/>
  <c r="C133"/>
  <c r="C132"/>
  <c r="C124"/>
  <c r="C131" s="1"/>
  <c r="C118"/>
  <c r="C117"/>
  <c r="C119" s="1"/>
  <c r="C116"/>
  <c r="B139"/>
  <c r="B137"/>
  <c r="B136"/>
  <c r="B134"/>
  <c r="B133"/>
  <c r="B132"/>
  <c r="B124"/>
  <c r="B131" s="1"/>
  <c r="B118"/>
  <c r="B117"/>
  <c r="B119" s="1"/>
  <c r="B116"/>
  <c r="I115"/>
  <c r="G108"/>
  <c r="G107"/>
  <c r="G106"/>
  <c r="G105"/>
  <c r="G103"/>
  <c r="G102"/>
  <c r="G101"/>
  <c r="G93"/>
  <c r="G100" s="1"/>
  <c r="G87"/>
  <c r="G86"/>
  <c r="G88" s="1"/>
  <c r="G85"/>
  <c r="F108"/>
  <c r="F107"/>
  <c r="F106"/>
  <c r="F105"/>
  <c r="F103"/>
  <c r="F102"/>
  <c r="F101"/>
  <c r="F104" s="1"/>
  <c r="F93"/>
  <c r="F100" s="1"/>
  <c r="F87"/>
  <c r="F86"/>
  <c r="F85"/>
  <c r="F89" s="1"/>
  <c r="F90" s="1"/>
  <c r="E108"/>
  <c r="E107"/>
  <c r="E106"/>
  <c r="E105"/>
  <c r="E103"/>
  <c r="E102"/>
  <c r="E101"/>
  <c r="E93"/>
  <c r="E100" s="1"/>
  <c r="E87"/>
  <c r="E86"/>
  <c r="E88" s="1"/>
  <c r="E85"/>
  <c r="D108"/>
  <c r="D107"/>
  <c r="D106"/>
  <c r="D105"/>
  <c r="D103"/>
  <c r="D102"/>
  <c r="D101"/>
  <c r="D104" s="1"/>
  <c r="D93"/>
  <c r="D100" s="1"/>
  <c r="D87"/>
  <c r="D86"/>
  <c r="D85"/>
  <c r="D89" s="1"/>
  <c r="D90" s="1"/>
  <c r="C108"/>
  <c r="C107"/>
  <c r="C106"/>
  <c r="C105"/>
  <c r="C103"/>
  <c r="C102"/>
  <c r="C101"/>
  <c r="C93"/>
  <c r="C100" s="1"/>
  <c r="C87"/>
  <c r="C86"/>
  <c r="C88" s="1"/>
  <c r="C85"/>
  <c r="B108"/>
  <c r="B107"/>
  <c r="B106"/>
  <c r="B105"/>
  <c r="B103"/>
  <c r="B102"/>
  <c r="B101"/>
  <c r="B104" s="1"/>
  <c r="B93"/>
  <c r="B100" s="1"/>
  <c r="B87"/>
  <c r="B86"/>
  <c r="B85"/>
  <c r="B89" s="1"/>
  <c r="B90" s="1"/>
  <c r="I84"/>
  <c r="G232"/>
  <c r="G233" s="1"/>
  <c r="G235" s="1"/>
  <c r="G236" s="1"/>
  <c r="F232"/>
  <c r="F233" s="1"/>
  <c r="F235" s="1"/>
  <c r="F236" s="1"/>
  <c r="E232"/>
  <c r="E233" s="1"/>
  <c r="E235" s="1"/>
  <c r="E236" s="1"/>
  <c r="D232"/>
  <c r="D233" s="1"/>
  <c r="D235" s="1"/>
  <c r="D236" s="1"/>
  <c r="B232"/>
  <c r="B240"/>
  <c r="B242" s="1"/>
  <c r="B243" s="1"/>
  <c r="C238"/>
  <c r="C240" s="1"/>
  <c r="C242" s="1"/>
  <c r="C243" s="1"/>
  <c r="C231"/>
  <c r="G182"/>
  <c r="G183" s="1"/>
  <c r="G185" s="1"/>
  <c r="G186" s="1"/>
  <c r="F182"/>
  <c r="F183" s="1"/>
  <c r="F185" s="1"/>
  <c r="F186" s="1"/>
  <c r="E182"/>
  <c r="E183" s="1"/>
  <c r="E185" s="1"/>
  <c r="E186" s="1"/>
  <c r="D182"/>
  <c r="D183" s="1"/>
  <c r="D185" s="1"/>
  <c r="D186" s="1"/>
  <c r="C182"/>
  <c r="C183" s="1"/>
  <c r="C185" s="1"/>
  <c r="C186" s="1"/>
  <c r="B182"/>
  <c r="B183" s="1"/>
  <c r="B185" s="1"/>
  <c r="G122"/>
  <c r="F122"/>
  <c r="E122"/>
  <c r="D122"/>
  <c r="C122"/>
  <c r="B122"/>
  <c r="G91"/>
  <c r="F91"/>
  <c r="E91"/>
  <c r="D91"/>
  <c r="C91"/>
  <c r="B91"/>
  <c r="H268"/>
  <c r="H227"/>
  <c r="H228" s="1"/>
  <c r="H288"/>
  <c r="H290" s="1"/>
  <c r="H269"/>
  <c r="H271" s="1"/>
  <c r="B228"/>
  <c r="I78"/>
  <c r="I123"/>
  <c r="I92"/>
  <c r="D112" i="32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100"/>
  <c r="D101"/>
  <c r="D102"/>
  <c r="D103"/>
  <c r="D104"/>
  <c r="D105"/>
  <c r="D106"/>
  <c r="D107"/>
  <c r="D108"/>
  <c r="D109"/>
  <c r="D110"/>
  <c r="D111"/>
  <c r="D77"/>
  <c r="F112"/>
  <c r="E112"/>
  <c r="F111"/>
  <c r="E111"/>
  <c r="F103"/>
  <c r="E103"/>
  <c r="F100"/>
  <c r="E100"/>
  <c r="F98"/>
  <c r="E98"/>
  <c r="F80"/>
  <c r="E80"/>
  <c r="F95"/>
  <c r="E95"/>
  <c r="F87"/>
  <c r="E87"/>
  <c r="F81"/>
  <c r="E81"/>
  <c r="F77"/>
  <c r="E77"/>
  <c r="C111"/>
  <c r="B111"/>
  <c r="B109"/>
  <c r="B98"/>
  <c r="B112" s="1"/>
  <c r="B81"/>
  <c r="E43" i="42" l="1"/>
  <c r="S39"/>
  <c r="S43" s="1"/>
  <c r="D39"/>
  <c r="R34"/>
  <c r="G119" i="37"/>
  <c r="H185"/>
  <c r="B88"/>
  <c r="C89"/>
  <c r="C90" s="1"/>
  <c r="C104"/>
  <c r="D88"/>
  <c r="E89"/>
  <c r="E90" s="1"/>
  <c r="E104"/>
  <c r="F88"/>
  <c r="G89"/>
  <c r="G90" s="1"/>
  <c r="G104"/>
  <c r="B120"/>
  <c r="B121" s="1"/>
  <c r="B135"/>
  <c r="C120"/>
  <c r="C121" s="1"/>
  <c r="C135"/>
  <c r="D120"/>
  <c r="D121" s="1"/>
  <c r="D135"/>
  <c r="E120"/>
  <c r="E121" s="1"/>
  <c r="E135"/>
  <c r="F120"/>
  <c r="F121" s="1"/>
  <c r="F135"/>
  <c r="G120"/>
  <c r="G121" s="1"/>
  <c r="G135"/>
  <c r="C232"/>
  <c r="C233" s="1"/>
  <c r="C235" s="1"/>
  <c r="C236" s="1"/>
  <c r="B233"/>
  <c r="B235" s="1"/>
  <c r="H232"/>
  <c r="B186"/>
  <c r="H186" s="1"/>
  <c r="H238"/>
  <c r="H240" s="1"/>
  <c r="H242" s="1"/>
  <c r="H243" s="1"/>
  <c r="B92"/>
  <c r="C92"/>
  <c r="D92"/>
  <c r="E92"/>
  <c r="F92"/>
  <c r="G92"/>
  <c r="B123"/>
  <c r="C123"/>
  <c r="D123"/>
  <c r="E123"/>
  <c r="F123"/>
  <c r="G123"/>
  <c r="B90" i="32"/>
  <c r="B87"/>
  <c r="C110"/>
  <c r="C109"/>
  <c r="C108"/>
  <c r="C107"/>
  <c r="C103"/>
  <c r="C100"/>
  <c r="C96"/>
  <c r="C80"/>
  <c r="C79"/>
  <c r="C77"/>
  <c r="C98" s="1"/>
  <c r="B24"/>
  <c r="G24"/>
  <c r="C24"/>
  <c r="S39" i="35"/>
  <c r="S34"/>
  <c r="S30"/>
  <c r="S25"/>
  <c r="O7"/>
  <c r="Q32"/>
  <c r="O32"/>
  <c r="M32"/>
  <c r="M27"/>
  <c r="E15"/>
  <c r="I15"/>
  <c r="K15"/>
  <c r="M15"/>
  <c r="O15"/>
  <c r="Q15"/>
  <c r="M7"/>
  <c r="M5" s="1"/>
  <c r="D43" i="42" l="1"/>
  <c r="R39"/>
  <c r="R43" s="1"/>
  <c r="H235" i="37"/>
  <c r="H236" s="1"/>
  <c r="B236"/>
  <c r="C112" i="32"/>
  <c r="B77" i="34"/>
  <c r="G76"/>
  <c r="C80"/>
  <c r="B80"/>
  <c r="C51" i="31" l="1"/>
  <c r="B51"/>
  <c r="E22"/>
  <c r="F320" i="34"/>
  <c r="F321"/>
  <c r="F322"/>
  <c r="F323"/>
  <c r="F324"/>
  <c r="F325"/>
  <c r="F319"/>
  <c r="E320"/>
  <c r="E321"/>
  <c r="E322"/>
  <c r="E323"/>
  <c r="E324"/>
  <c r="E325"/>
  <c r="E319"/>
  <c r="D320"/>
  <c r="D321"/>
  <c r="D322"/>
  <c r="D323"/>
  <c r="D324"/>
  <c r="D325"/>
  <c r="D319"/>
  <c r="B326"/>
  <c r="C325"/>
  <c r="C324"/>
  <c r="C323"/>
  <c r="C322"/>
  <c r="C321"/>
  <c r="C320"/>
  <c r="C319"/>
  <c r="C326" s="1"/>
  <c r="D326" l="1"/>
  <c r="K32" i="35" l="1"/>
  <c r="I32"/>
  <c r="G32"/>
  <c r="E32"/>
  <c r="B102" i="34"/>
  <c r="H134"/>
  <c r="H135"/>
  <c r="I135"/>
  <c r="Q27" i="35"/>
  <c r="E26"/>
  <c r="Q20"/>
  <c r="P20"/>
  <c r="N20"/>
  <c r="L20"/>
  <c r="C97" i="34"/>
  <c r="D97"/>
  <c r="E97"/>
  <c r="F97"/>
  <c r="G97"/>
  <c r="H97"/>
  <c r="B97"/>
  <c r="G17" i="35"/>
  <c r="O16"/>
  <c r="I119" i="34"/>
  <c r="H32" i="35"/>
  <c r="F32"/>
  <c r="D32"/>
  <c r="N32"/>
  <c r="L32"/>
  <c r="I104" i="34"/>
  <c r="H103"/>
  <c r="H101"/>
  <c r="H104" s="1"/>
  <c r="J18" i="35"/>
  <c r="N17"/>
  <c r="N16"/>
  <c r="L9"/>
  <c r="D7"/>
  <c r="D6"/>
  <c r="S6"/>
  <c r="Q42"/>
  <c r="P42"/>
  <c r="O42"/>
  <c r="N42"/>
  <c r="M42"/>
  <c r="L42"/>
  <c r="K42"/>
  <c r="J42"/>
  <c r="I42"/>
  <c r="H42"/>
  <c r="G42"/>
  <c r="F42"/>
  <c r="E42"/>
  <c r="S42" s="1"/>
  <c r="D42"/>
  <c r="R42" s="1"/>
  <c r="C42"/>
  <c r="B42"/>
  <c r="S41"/>
  <c r="R41"/>
  <c r="S40"/>
  <c r="R40"/>
  <c r="S36"/>
  <c r="R36"/>
  <c r="S35"/>
  <c r="R35"/>
  <c r="C33"/>
  <c r="B33"/>
  <c r="Q33"/>
  <c r="P32"/>
  <c r="P33" s="1"/>
  <c r="O33"/>
  <c r="N33"/>
  <c r="M33"/>
  <c r="L33"/>
  <c r="K33"/>
  <c r="J32"/>
  <c r="J33" s="1"/>
  <c r="I33"/>
  <c r="H33"/>
  <c r="G33"/>
  <c r="F33"/>
  <c r="E33"/>
  <c r="S33" s="1"/>
  <c r="D33"/>
  <c r="R33" s="1"/>
  <c r="S31"/>
  <c r="R31"/>
  <c r="I29"/>
  <c r="H29"/>
  <c r="R29" s="1"/>
  <c r="E29"/>
  <c r="Q28"/>
  <c r="P28"/>
  <c r="O28"/>
  <c r="N28"/>
  <c r="M28"/>
  <c r="L28"/>
  <c r="K28"/>
  <c r="J28"/>
  <c r="I28"/>
  <c r="H28"/>
  <c r="G28"/>
  <c r="F28"/>
  <c r="E28"/>
  <c r="S28" s="1"/>
  <c r="D28"/>
  <c r="R28" s="1"/>
  <c r="R27"/>
  <c r="E27"/>
  <c r="S27" s="1"/>
  <c r="R26"/>
  <c r="S26"/>
  <c r="Q23"/>
  <c r="O23"/>
  <c r="K23"/>
  <c r="S23" s="1"/>
  <c r="H23"/>
  <c r="R23" s="1"/>
  <c r="S20"/>
  <c r="R20"/>
  <c r="K18"/>
  <c r="S18" s="1"/>
  <c r="R18"/>
  <c r="S17"/>
  <c r="R17"/>
  <c r="S16"/>
  <c r="R16"/>
  <c r="P15"/>
  <c r="S15"/>
  <c r="R15"/>
  <c r="Q14"/>
  <c r="Q21" s="1"/>
  <c r="P14"/>
  <c r="P21" s="1"/>
  <c r="O14"/>
  <c r="O21" s="1"/>
  <c r="N14"/>
  <c r="N21" s="1"/>
  <c r="M14"/>
  <c r="M21" s="1"/>
  <c r="L14"/>
  <c r="L21" s="1"/>
  <c r="K14"/>
  <c r="K21" s="1"/>
  <c r="J14"/>
  <c r="J21" s="1"/>
  <c r="I14"/>
  <c r="I21" s="1"/>
  <c r="H14"/>
  <c r="H21" s="1"/>
  <c r="G14"/>
  <c r="G21" s="1"/>
  <c r="F14"/>
  <c r="F21" s="1"/>
  <c r="E14"/>
  <c r="E21" s="1"/>
  <c r="D14"/>
  <c r="D21" s="1"/>
  <c r="C14"/>
  <c r="C21" s="1"/>
  <c r="B14"/>
  <c r="B21" s="1"/>
  <c r="S12"/>
  <c r="R12"/>
  <c r="S11"/>
  <c r="R11"/>
  <c r="R9"/>
  <c r="S9"/>
  <c r="C9"/>
  <c r="B9"/>
  <c r="R8"/>
  <c r="S8"/>
  <c r="S7"/>
  <c r="R7"/>
  <c r="R6"/>
  <c r="Q5"/>
  <c r="Q24" s="1"/>
  <c r="P5"/>
  <c r="P24" s="1"/>
  <c r="O5"/>
  <c r="O24" s="1"/>
  <c r="N5"/>
  <c r="N24" s="1"/>
  <c r="M24"/>
  <c r="L5"/>
  <c r="L24" s="1"/>
  <c r="K5"/>
  <c r="K24" s="1"/>
  <c r="J5"/>
  <c r="J24" s="1"/>
  <c r="I5"/>
  <c r="I24" s="1"/>
  <c r="H5"/>
  <c r="H24" s="1"/>
  <c r="G5"/>
  <c r="G24" s="1"/>
  <c r="F5"/>
  <c r="F24" s="1"/>
  <c r="E5"/>
  <c r="E24" s="1"/>
  <c r="D5"/>
  <c r="D24" s="1"/>
  <c r="C5"/>
  <c r="C24" s="1"/>
  <c r="B5"/>
  <c r="B24" s="1"/>
  <c r="I114" i="34"/>
  <c r="C77"/>
  <c r="G78"/>
  <c r="I73"/>
  <c r="B73"/>
  <c r="I77"/>
  <c r="I76"/>
  <c r="H78"/>
  <c r="F78"/>
  <c r="E78"/>
  <c r="D78"/>
  <c r="C78"/>
  <c r="B78"/>
  <c r="C75"/>
  <c r="D75"/>
  <c r="E75"/>
  <c r="F75"/>
  <c r="G75"/>
  <c r="H75"/>
  <c r="B75"/>
  <c r="S29" i="35" l="1"/>
  <c r="I75" i="34"/>
  <c r="S5" i="35"/>
  <c r="S13" s="1"/>
  <c r="R5"/>
  <c r="S24"/>
  <c r="C38"/>
  <c r="E38"/>
  <c r="G38"/>
  <c r="I38"/>
  <c r="K38"/>
  <c r="M38"/>
  <c r="O38"/>
  <c r="Q38"/>
  <c r="R24"/>
  <c r="R13"/>
  <c r="B38"/>
  <c r="D38"/>
  <c r="F38"/>
  <c r="H38"/>
  <c r="J38"/>
  <c r="L38"/>
  <c r="N38"/>
  <c r="P38"/>
  <c r="B13"/>
  <c r="D13"/>
  <c r="F13"/>
  <c r="H13"/>
  <c r="J13"/>
  <c r="N13"/>
  <c r="P13"/>
  <c r="R14"/>
  <c r="R21" s="1"/>
  <c r="R32"/>
  <c r="C13"/>
  <c r="E13"/>
  <c r="G13"/>
  <c r="I13"/>
  <c r="K13"/>
  <c r="M13"/>
  <c r="O13"/>
  <c r="Q13"/>
  <c r="S14"/>
  <c r="S21" s="1"/>
  <c r="S32"/>
  <c r="I78" i="34"/>
  <c r="S38" i="35" l="1"/>
  <c r="R38"/>
  <c r="M37"/>
  <c r="M22"/>
  <c r="M25" s="1"/>
  <c r="M30" s="1"/>
  <c r="M34" s="1"/>
  <c r="M39" s="1"/>
  <c r="M43" s="1"/>
  <c r="O37"/>
  <c r="O22"/>
  <c r="O25" s="1"/>
  <c r="O30" s="1"/>
  <c r="O34" s="1"/>
  <c r="O39" s="1"/>
  <c r="O43" s="1"/>
  <c r="K37"/>
  <c r="K22"/>
  <c r="K25" s="1"/>
  <c r="K30" s="1"/>
  <c r="K34" s="1"/>
  <c r="K39" s="1"/>
  <c r="K43" s="1"/>
  <c r="G37"/>
  <c r="G22"/>
  <c r="G25" s="1"/>
  <c r="G30" s="1"/>
  <c r="G34" s="1"/>
  <c r="G39" s="1"/>
  <c r="G43" s="1"/>
  <c r="C37"/>
  <c r="C22"/>
  <c r="C25" s="1"/>
  <c r="C30" s="1"/>
  <c r="C34" s="1"/>
  <c r="C39" s="1"/>
  <c r="C43" s="1"/>
  <c r="N37"/>
  <c r="N22"/>
  <c r="N25" s="1"/>
  <c r="N30" s="1"/>
  <c r="N34" s="1"/>
  <c r="N39" s="1"/>
  <c r="N43" s="1"/>
  <c r="J37"/>
  <c r="J22"/>
  <c r="J25" s="1"/>
  <c r="J30" s="1"/>
  <c r="J34" s="1"/>
  <c r="J39" s="1"/>
  <c r="J43" s="1"/>
  <c r="F37"/>
  <c r="F22"/>
  <c r="F25" s="1"/>
  <c r="F30" s="1"/>
  <c r="F34" s="1"/>
  <c r="F39" s="1"/>
  <c r="F43" s="1"/>
  <c r="B37"/>
  <c r="B22"/>
  <c r="B25" s="1"/>
  <c r="B30" s="1"/>
  <c r="B34" s="1"/>
  <c r="B39" s="1"/>
  <c r="B43" s="1"/>
  <c r="Q37"/>
  <c r="Q22"/>
  <c r="Q25" s="1"/>
  <c r="Q30" s="1"/>
  <c r="Q34" s="1"/>
  <c r="Q39" s="1"/>
  <c r="Q43" s="1"/>
  <c r="I37"/>
  <c r="I22"/>
  <c r="I25" s="1"/>
  <c r="I30" s="1"/>
  <c r="I34" s="1"/>
  <c r="I39" s="1"/>
  <c r="I43" s="1"/>
  <c r="E37"/>
  <c r="S37" s="1"/>
  <c r="E22"/>
  <c r="E25" s="1"/>
  <c r="P37"/>
  <c r="P22"/>
  <c r="L37"/>
  <c r="L22"/>
  <c r="L25" s="1"/>
  <c r="L30" s="1"/>
  <c r="L34" s="1"/>
  <c r="L39" s="1"/>
  <c r="L43" s="1"/>
  <c r="H37"/>
  <c r="H22"/>
  <c r="H25" s="1"/>
  <c r="D37"/>
  <c r="R37" s="1"/>
  <c r="D22"/>
  <c r="D25" s="1"/>
  <c r="R22"/>
  <c r="S22"/>
  <c r="F67" i="34"/>
  <c r="F68"/>
  <c r="F66"/>
  <c r="F69" s="1"/>
  <c r="B67"/>
  <c r="B68"/>
  <c r="B66"/>
  <c r="F32"/>
  <c r="F33"/>
  <c r="F31"/>
  <c r="G51"/>
  <c r="D41"/>
  <c r="G9"/>
  <c r="G8"/>
  <c r="D9"/>
  <c r="D8"/>
  <c r="G5"/>
  <c r="D5"/>
  <c r="D6"/>
  <c r="D4"/>
  <c r="J283"/>
  <c r="H284" s="1"/>
  <c r="H286" s="1"/>
  <c r="E271"/>
  <c r="E275" s="1"/>
  <c r="E277" s="1"/>
  <c r="D271"/>
  <c r="D273" s="1"/>
  <c r="C271"/>
  <c r="C275" s="1"/>
  <c r="C277" s="1"/>
  <c r="B271"/>
  <c r="B275" s="1"/>
  <c r="B277" s="1"/>
  <c r="H270"/>
  <c r="G269"/>
  <c r="H269" s="1"/>
  <c r="G268"/>
  <c r="H268" s="1"/>
  <c r="G267"/>
  <c r="H267" s="1"/>
  <c r="G266"/>
  <c r="F266"/>
  <c r="G265"/>
  <c r="G271" s="1"/>
  <c r="F265"/>
  <c r="F271" s="1"/>
  <c r="F275" s="1"/>
  <c r="F277" s="1"/>
  <c r="F264"/>
  <c r="E264"/>
  <c r="C264"/>
  <c r="B264"/>
  <c r="G264"/>
  <c r="D275"/>
  <c r="D277" s="1"/>
  <c r="E252"/>
  <c r="E256" s="1"/>
  <c r="E258" s="1"/>
  <c r="D252"/>
  <c r="D254" s="1"/>
  <c r="C252"/>
  <c r="C256" s="1"/>
  <c r="C258" s="1"/>
  <c r="B252"/>
  <c r="B256" s="1"/>
  <c r="B258" s="1"/>
  <c r="H251"/>
  <c r="H250"/>
  <c r="H249"/>
  <c r="G248"/>
  <c r="H248" s="1"/>
  <c r="G247"/>
  <c r="F247"/>
  <c r="G246"/>
  <c r="G252" s="1"/>
  <c r="G256" s="1"/>
  <c r="G258" s="1"/>
  <c r="F246"/>
  <c r="F252" s="1"/>
  <c r="F256" s="1"/>
  <c r="F258" s="1"/>
  <c r="G245"/>
  <c r="F245"/>
  <c r="E245"/>
  <c r="C245"/>
  <c r="B245"/>
  <c r="D256"/>
  <c r="D258" s="1"/>
  <c r="H231"/>
  <c r="E228"/>
  <c r="B228"/>
  <c r="G226"/>
  <c r="F226"/>
  <c r="E226"/>
  <c r="D226"/>
  <c r="C226"/>
  <c r="B226"/>
  <c r="G212"/>
  <c r="G216" s="1"/>
  <c r="G225" s="1"/>
  <c r="G227" s="1"/>
  <c r="B212"/>
  <c r="B216" s="1"/>
  <c r="B225" s="1"/>
  <c r="H211"/>
  <c r="J210"/>
  <c r="H210"/>
  <c r="H209"/>
  <c r="H208"/>
  <c r="D212"/>
  <c r="D214" s="1"/>
  <c r="C207"/>
  <c r="H207" s="1"/>
  <c r="E212"/>
  <c r="E216" s="1"/>
  <c r="H205"/>
  <c r="F212"/>
  <c r="F214" s="1"/>
  <c r="G203"/>
  <c r="F203"/>
  <c r="E203"/>
  <c r="D203"/>
  <c r="C203"/>
  <c r="B203"/>
  <c r="H203" s="1"/>
  <c r="H201"/>
  <c r="K180"/>
  <c r="J180"/>
  <c r="F173"/>
  <c r="F177" s="1"/>
  <c r="F186" s="1"/>
  <c r="C173"/>
  <c r="C177" s="1"/>
  <c r="C186" s="1"/>
  <c r="C191" s="1"/>
  <c r="J171"/>
  <c r="D173"/>
  <c r="D177" s="1"/>
  <c r="B173"/>
  <c r="B177" s="1"/>
  <c r="H170"/>
  <c r="H169"/>
  <c r="H168"/>
  <c r="H167"/>
  <c r="H166"/>
  <c r="H165"/>
  <c r="G164"/>
  <c r="F164"/>
  <c r="E164"/>
  <c r="D164"/>
  <c r="C164"/>
  <c r="B164"/>
  <c r="H162"/>
  <c r="K161" s="1"/>
  <c r="M136"/>
  <c r="K136"/>
  <c r="H129"/>
  <c r="H131" s="1"/>
  <c r="G128"/>
  <c r="F128"/>
  <c r="E128"/>
  <c r="D128"/>
  <c r="C128"/>
  <c r="B128"/>
  <c r="I126"/>
  <c r="I128" s="1"/>
  <c r="H117"/>
  <c r="H119" s="1"/>
  <c r="H116"/>
  <c r="K115"/>
  <c r="K116" s="1"/>
  <c r="O114"/>
  <c r="K107"/>
  <c r="K109" s="1"/>
  <c r="H107"/>
  <c r="H100"/>
  <c r="I95"/>
  <c r="I94"/>
  <c r="I88"/>
  <c r="H86"/>
  <c r="H88" s="1"/>
  <c r="H85"/>
  <c r="O84"/>
  <c r="E62"/>
  <c r="B62"/>
  <c r="G61"/>
  <c r="D61"/>
  <c r="G60"/>
  <c r="D60"/>
  <c r="G59"/>
  <c r="G62" s="1"/>
  <c r="D59"/>
  <c r="D62" s="1"/>
  <c r="E58"/>
  <c r="B58"/>
  <c r="G57"/>
  <c r="D57"/>
  <c r="G56"/>
  <c r="D56"/>
  <c r="G55"/>
  <c r="G58" s="1"/>
  <c r="D55"/>
  <c r="D58" s="1"/>
  <c r="E54"/>
  <c r="G53"/>
  <c r="D53"/>
  <c r="G52"/>
  <c r="B54"/>
  <c r="G54"/>
  <c r="D51"/>
  <c r="E50"/>
  <c r="G49"/>
  <c r="D49"/>
  <c r="G48"/>
  <c r="D48"/>
  <c r="B50"/>
  <c r="G47"/>
  <c r="D47"/>
  <c r="B46"/>
  <c r="G45"/>
  <c r="D45"/>
  <c r="G44"/>
  <c r="D44"/>
  <c r="G43"/>
  <c r="G46" s="1"/>
  <c r="E46"/>
  <c r="D43"/>
  <c r="G41"/>
  <c r="G68" s="1"/>
  <c r="G40"/>
  <c r="G67" s="1"/>
  <c r="D40"/>
  <c r="B42"/>
  <c r="G39"/>
  <c r="G66" s="1"/>
  <c r="G69" s="1"/>
  <c r="E42"/>
  <c r="D39"/>
  <c r="D42" s="1"/>
  <c r="B27"/>
  <c r="G26"/>
  <c r="D26"/>
  <c r="C228"/>
  <c r="D25"/>
  <c r="G24"/>
  <c r="D24"/>
  <c r="D27" s="1"/>
  <c r="E23"/>
  <c r="B23"/>
  <c r="G22"/>
  <c r="D22"/>
  <c r="G21"/>
  <c r="D21"/>
  <c r="G20"/>
  <c r="G23" s="1"/>
  <c r="D20"/>
  <c r="D23" s="1"/>
  <c r="G18"/>
  <c r="D18"/>
  <c r="G17"/>
  <c r="D17"/>
  <c r="G16"/>
  <c r="G19" s="1"/>
  <c r="G228"/>
  <c r="D16"/>
  <c r="H189"/>
  <c r="B15"/>
  <c r="G14"/>
  <c r="D14"/>
  <c r="G13"/>
  <c r="F228"/>
  <c r="D13"/>
  <c r="G12"/>
  <c r="D12"/>
  <c r="E11"/>
  <c r="B11"/>
  <c r="G10"/>
  <c r="G11" s="1"/>
  <c r="D10"/>
  <c r="D11" s="1"/>
  <c r="G6"/>
  <c r="G33" s="1"/>
  <c r="L69" s="1"/>
  <c r="G4"/>
  <c r="E7"/>
  <c r="B38" i="32"/>
  <c r="B37"/>
  <c r="B68"/>
  <c r="B67"/>
  <c r="B66"/>
  <c r="B65"/>
  <c r="B54"/>
  <c r="D35" i="31"/>
  <c r="E35"/>
  <c r="F35"/>
  <c r="G35"/>
  <c r="H35"/>
  <c r="I35"/>
  <c r="C35"/>
  <c r="B37"/>
  <c r="B36"/>
  <c r="I97" i="34" l="1"/>
  <c r="I100" s="1"/>
  <c r="G31"/>
  <c r="L67" s="1"/>
  <c r="H120"/>
  <c r="H121" s="1"/>
  <c r="H123" s="1"/>
  <c r="P25" i="35"/>
  <c r="P30" s="1"/>
  <c r="P34" s="1"/>
  <c r="P39" s="1"/>
  <c r="P43" s="1"/>
  <c r="H30"/>
  <c r="R25"/>
  <c r="D30"/>
  <c r="E30"/>
  <c r="H247" i="34"/>
  <c r="H266"/>
  <c r="C68"/>
  <c r="C66"/>
  <c r="B69"/>
  <c r="H164"/>
  <c r="C33"/>
  <c r="K69" s="1"/>
  <c r="C31"/>
  <c r="K67" s="1"/>
  <c r="C32"/>
  <c r="F175"/>
  <c r="F215"/>
  <c r="C212"/>
  <c r="C216" s="1"/>
  <c r="G15"/>
  <c r="G50"/>
  <c r="I129"/>
  <c r="I131" s="1"/>
  <c r="H206"/>
  <c r="D215"/>
  <c r="G275"/>
  <c r="G277" s="1"/>
  <c r="H171"/>
  <c r="H173" s="1"/>
  <c r="E173"/>
  <c r="E175" s="1"/>
  <c r="E176" s="1"/>
  <c r="G173"/>
  <c r="G175" s="1"/>
  <c r="G176" s="1"/>
  <c r="F176"/>
  <c r="G214"/>
  <c r="G215" s="1"/>
  <c r="D245"/>
  <c r="D255" s="1"/>
  <c r="H246"/>
  <c r="H252" s="1"/>
  <c r="H254" s="1"/>
  <c r="C254"/>
  <c r="C255" s="1"/>
  <c r="E254"/>
  <c r="E255" s="1"/>
  <c r="D264"/>
  <c r="D274" s="1"/>
  <c r="H265"/>
  <c r="H271" s="1"/>
  <c r="H273" s="1"/>
  <c r="C273"/>
  <c r="C274" s="1"/>
  <c r="E273"/>
  <c r="E274" s="1"/>
  <c r="C284"/>
  <c r="E284"/>
  <c r="G284"/>
  <c r="I284"/>
  <c r="D15"/>
  <c r="E64"/>
  <c r="D50"/>
  <c r="H89"/>
  <c r="H90" s="1"/>
  <c r="H92" s="1"/>
  <c r="C175"/>
  <c r="C176" s="1"/>
  <c r="H204"/>
  <c r="J211" s="1"/>
  <c r="B214"/>
  <c r="B215" s="1"/>
  <c r="H243"/>
  <c r="B254"/>
  <c r="B255" s="1"/>
  <c r="H262"/>
  <c r="H275" s="1"/>
  <c r="H277" s="1"/>
  <c r="B273"/>
  <c r="B274" s="1"/>
  <c r="D284"/>
  <c r="D286" s="1"/>
  <c r="F284"/>
  <c r="F286" s="1"/>
  <c r="D19"/>
  <c r="G42"/>
  <c r="G64" s="1"/>
  <c r="B64"/>
  <c r="D46"/>
  <c r="F191"/>
  <c r="H226"/>
  <c r="B186"/>
  <c r="B191" s="1"/>
  <c r="B179"/>
  <c r="D186"/>
  <c r="D179"/>
  <c r="B227"/>
  <c r="B229" s="1"/>
  <c r="B230" s="1"/>
  <c r="C225"/>
  <c r="C227" s="1"/>
  <c r="C229" s="1"/>
  <c r="C230" s="1"/>
  <c r="C218"/>
  <c r="E225"/>
  <c r="E227" s="1"/>
  <c r="E229" s="1"/>
  <c r="E230" s="1"/>
  <c r="E218"/>
  <c r="G229"/>
  <c r="G230" s="1"/>
  <c r="H256"/>
  <c r="H258" s="1"/>
  <c r="G7"/>
  <c r="E15"/>
  <c r="B19"/>
  <c r="E19"/>
  <c r="G25"/>
  <c r="G32" s="1"/>
  <c r="D52"/>
  <c r="D54" s="1"/>
  <c r="B175"/>
  <c r="B176" s="1"/>
  <c r="D175"/>
  <c r="D176" s="1"/>
  <c r="E177"/>
  <c r="F179"/>
  <c r="H212"/>
  <c r="H216" s="1"/>
  <c r="H218" s="1"/>
  <c r="C214"/>
  <c r="C215" s="1"/>
  <c r="E214"/>
  <c r="E215" s="1"/>
  <c r="D216"/>
  <c r="F216"/>
  <c r="G218"/>
  <c r="D228"/>
  <c r="H228" s="1"/>
  <c r="H245"/>
  <c r="H255" s="1"/>
  <c r="G254"/>
  <c r="G255" s="1"/>
  <c r="H264"/>
  <c r="G273"/>
  <c r="G274" s="1"/>
  <c r="D285"/>
  <c r="F285"/>
  <c r="H285"/>
  <c r="E27"/>
  <c r="C179"/>
  <c r="H214"/>
  <c r="H215" s="1"/>
  <c r="J214" s="1"/>
  <c r="B218"/>
  <c r="F254"/>
  <c r="F255" s="1"/>
  <c r="F273"/>
  <c r="F274" s="1"/>
  <c r="B61" i="32"/>
  <c r="B58"/>
  <c r="B35"/>
  <c r="B56" s="1"/>
  <c r="B32" i="31"/>
  <c r="D40"/>
  <c r="E40"/>
  <c r="F40"/>
  <c r="G40"/>
  <c r="H40"/>
  <c r="I40"/>
  <c r="C40"/>
  <c r="H34" i="35" l="1"/>
  <c r="R30"/>
  <c r="E34"/>
  <c r="D34"/>
  <c r="G177" i="34"/>
  <c r="C34"/>
  <c r="G34"/>
  <c r="L70" s="1"/>
  <c r="L68"/>
  <c r="C67"/>
  <c r="C69" s="1"/>
  <c r="H175"/>
  <c r="H176" s="1"/>
  <c r="H177"/>
  <c r="H179" s="1"/>
  <c r="C180" s="1"/>
  <c r="C181" s="1"/>
  <c r="C183" s="1"/>
  <c r="C184" s="1"/>
  <c r="G286"/>
  <c r="G285"/>
  <c r="C286"/>
  <c r="C285"/>
  <c r="F34"/>
  <c r="I286"/>
  <c r="I285"/>
  <c r="E286"/>
  <c r="E285"/>
  <c r="E29"/>
  <c r="D64"/>
  <c r="H274"/>
  <c r="B219"/>
  <c r="G219"/>
  <c r="G220" s="1"/>
  <c r="G222" s="1"/>
  <c r="G223" s="1"/>
  <c r="D225"/>
  <c r="D227" s="1"/>
  <c r="D229" s="1"/>
  <c r="D230" s="1"/>
  <c r="D218"/>
  <c r="E186"/>
  <c r="E191" s="1"/>
  <c r="E179"/>
  <c r="H186"/>
  <c r="G27"/>
  <c r="F225"/>
  <c r="F227" s="1"/>
  <c r="F229" s="1"/>
  <c r="F230" s="1"/>
  <c r="F218"/>
  <c r="G186"/>
  <c r="G191" s="1"/>
  <c r="G179"/>
  <c r="E219"/>
  <c r="E220" s="1"/>
  <c r="E222" s="1"/>
  <c r="E223" s="1"/>
  <c r="C219"/>
  <c r="C220" s="1"/>
  <c r="C222" s="1"/>
  <c r="C223" s="1"/>
  <c r="B69" i="32"/>
  <c r="B70" s="1"/>
  <c r="H39" i="35" l="1"/>
  <c r="R34"/>
  <c r="D39"/>
  <c r="E39"/>
  <c r="K68" i="34"/>
  <c r="K70" s="1"/>
  <c r="B180"/>
  <c r="B181" s="1"/>
  <c r="B183" s="1"/>
  <c r="B184" s="1"/>
  <c r="J175"/>
  <c r="H225"/>
  <c r="H227" s="1"/>
  <c r="H229" s="1"/>
  <c r="H230" s="1"/>
  <c r="D180"/>
  <c r="D181" s="1"/>
  <c r="D183" s="1"/>
  <c r="D184" s="1"/>
  <c r="G180"/>
  <c r="G181" s="1"/>
  <c r="G183" s="1"/>
  <c r="G184" s="1"/>
  <c r="F219"/>
  <c r="F220" s="1"/>
  <c r="F222" s="1"/>
  <c r="F223" s="1"/>
  <c r="E180"/>
  <c r="E181" s="1"/>
  <c r="E183" s="1"/>
  <c r="E184" s="1"/>
  <c r="D219"/>
  <c r="D220" s="1"/>
  <c r="D222" s="1"/>
  <c r="D223" s="1"/>
  <c r="B220"/>
  <c r="B222" s="1"/>
  <c r="H219"/>
  <c r="G29"/>
  <c r="F180"/>
  <c r="F181" s="1"/>
  <c r="F183" s="1"/>
  <c r="F184" s="1"/>
  <c r="C115"/>
  <c r="C118" l="1"/>
  <c r="C134"/>
  <c r="H43" i="35"/>
  <c r="R39"/>
  <c r="E43"/>
  <c r="S43"/>
  <c r="D43"/>
  <c r="R43"/>
  <c r="D115" i="34"/>
  <c r="D134" s="1"/>
  <c r="I120"/>
  <c r="I121" s="1"/>
  <c r="E115"/>
  <c r="G115"/>
  <c r="F115"/>
  <c r="B115"/>
  <c r="H222"/>
  <c r="H223" s="1"/>
  <c r="B223"/>
  <c r="H183"/>
  <c r="D132"/>
  <c r="D124"/>
  <c r="D131" s="1"/>
  <c r="D117"/>
  <c r="D116"/>
  <c r="D139"/>
  <c r="D137"/>
  <c r="D136"/>
  <c r="C139"/>
  <c r="C137"/>
  <c r="C136"/>
  <c r="C133"/>
  <c r="C132"/>
  <c r="C124"/>
  <c r="C131" s="1"/>
  <c r="C117"/>
  <c r="C119" s="1"/>
  <c r="C116"/>
  <c r="H184"/>
  <c r="F118" l="1"/>
  <c r="F134"/>
  <c r="E118"/>
  <c r="E134"/>
  <c r="C135"/>
  <c r="B133"/>
  <c r="B134"/>
  <c r="G118"/>
  <c r="G134"/>
  <c r="D133"/>
  <c r="D135" s="1"/>
  <c r="D118"/>
  <c r="B132"/>
  <c r="B135" s="1"/>
  <c r="B139"/>
  <c r="B118"/>
  <c r="B137"/>
  <c r="B136"/>
  <c r="B124"/>
  <c r="B131" s="1"/>
  <c r="B116"/>
  <c r="B117"/>
  <c r="D119"/>
  <c r="C120"/>
  <c r="C121" s="1"/>
  <c r="I115"/>
  <c r="G139"/>
  <c r="G137"/>
  <c r="G136"/>
  <c r="G133"/>
  <c r="G132"/>
  <c r="G124"/>
  <c r="G131" s="1"/>
  <c r="G117"/>
  <c r="G119" s="1"/>
  <c r="G116"/>
  <c r="I122"/>
  <c r="I123" s="1"/>
  <c r="D120"/>
  <c r="D121" s="1"/>
  <c r="F133"/>
  <c r="F132"/>
  <c r="F135" s="1"/>
  <c r="F124"/>
  <c r="F131" s="1"/>
  <c r="F117"/>
  <c r="F119" s="1"/>
  <c r="F116"/>
  <c r="F139"/>
  <c r="F137"/>
  <c r="F136"/>
  <c r="E139"/>
  <c r="E137"/>
  <c r="E136"/>
  <c r="E133"/>
  <c r="E132"/>
  <c r="E124"/>
  <c r="E131" s="1"/>
  <c r="E117"/>
  <c r="E119" s="1"/>
  <c r="E116"/>
  <c r="E135" l="1"/>
  <c r="G135"/>
  <c r="B119"/>
  <c r="G120"/>
  <c r="G121" s="1"/>
  <c r="B120"/>
  <c r="B121" s="1"/>
  <c r="E120"/>
  <c r="E121" s="1"/>
  <c r="F120"/>
  <c r="F121" s="1"/>
  <c r="G122"/>
  <c r="E122"/>
  <c r="C122"/>
  <c r="C123" s="1"/>
  <c r="F122"/>
  <c r="D122"/>
  <c r="D123" s="1"/>
  <c r="B122"/>
  <c r="B123" s="1"/>
  <c r="B49" i="31"/>
  <c r="B45"/>
  <c r="B42"/>
  <c r="B41"/>
  <c r="G123" i="34" l="1"/>
  <c r="E123"/>
  <c r="F123"/>
  <c r="B44" i="31"/>
  <c r="B34"/>
  <c r="C29" l="1"/>
  <c r="C53" s="1"/>
  <c r="E29"/>
  <c r="E53" s="1"/>
  <c r="F29"/>
  <c r="F53" s="1"/>
  <c r="G29"/>
  <c r="G53" s="1"/>
  <c r="H29"/>
  <c r="H53" s="1"/>
  <c r="I29"/>
  <c r="I53" s="1"/>
  <c r="D29"/>
  <c r="D53" s="1"/>
  <c r="B50"/>
  <c r="B35"/>
  <c r="B29"/>
  <c r="D7" i="32"/>
  <c r="D8"/>
  <c r="D10"/>
  <c r="D16"/>
  <c r="D17"/>
  <c r="D19"/>
  <c r="D20"/>
  <c r="D21"/>
  <c r="D5"/>
  <c r="F5" i="31"/>
  <c r="F6"/>
  <c r="F8"/>
  <c r="F9"/>
  <c r="F11"/>
  <c r="F12"/>
  <c r="F13"/>
  <c r="F14"/>
  <c r="F15"/>
  <c r="F16"/>
  <c r="F17"/>
  <c r="F18"/>
  <c r="F19"/>
  <c r="F20"/>
  <c r="F22"/>
  <c r="C24"/>
  <c r="D24"/>
  <c r="E21"/>
  <c r="F21" s="1"/>
  <c r="E7"/>
  <c r="F7" s="1"/>
  <c r="B53" l="1"/>
  <c r="E4"/>
  <c r="F4" s="1"/>
  <c r="G21" i="32" l="1"/>
  <c r="E21"/>
  <c r="G20"/>
  <c r="E20"/>
  <c r="G19"/>
  <c r="F19"/>
  <c r="G17"/>
  <c r="E17"/>
  <c r="G16"/>
  <c r="E16"/>
  <c r="F15"/>
  <c r="C22"/>
  <c r="D22" s="1"/>
  <c r="C11"/>
  <c r="D11" s="1"/>
  <c r="G22" l="1"/>
  <c r="G15"/>
  <c r="E15"/>
  <c r="C12"/>
  <c r="C18"/>
  <c r="C15"/>
  <c r="C9"/>
  <c r="C6"/>
  <c r="E10" i="31"/>
  <c r="F10" s="1"/>
  <c r="E24"/>
  <c r="F24" s="1"/>
  <c r="B18" i="32"/>
  <c r="B15"/>
  <c r="D24" l="1"/>
  <c r="D15"/>
  <c r="D12"/>
  <c r="G12"/>
  <c r="D18"/>
  <c r="C13"/>
  <c r="C14" s="1"/>
  <c r="C23"/>
  <c r="G5"/>
  <c r="G10"/>
  <c r="E10"/>
  <c r="E9" s="1"/>
  <c r="G11"/>
  <c r="F11"/>
  <c r="F9" s="1"/>
  <c r="G8"/>
  <c r="E8"/>
  <c r="G7"/>
  <c r="G6" s="1"/>
  <c r="E7"/>
  <c r="E6" s="1"/>
  <c r="E13" s="1"/>
  <c r="E14" s="1"/>
  <c r="F6"/>
  <c r="C26" l="1"/>
  <c r="F13"/>
  <c r="F14" s="1"/>
  <c r="G9"/>
  <c r="G13" s="1"/>
  <c r="G14" s="1"/>
  <c r="G26" s="1"/>
  <c r="F18"/>
  <c r="F23" s="1"/>
  <c r="G18"/>
  <c r="G23" s="1"/>
  <c r="B23"/>
  <c r="D23" s="1"/>
  <c r="B6"/>
  <c r="B9"/>
  <c r="D9" s="1"/>
  <c r="F26" l="1"/>
  <c r="D6"/>
  <c r="B13"/>
  <c r="B14" s="1"/>
  <c r="B26" l="1"/>
  <c r="D26" s="1"/>
  <c r="D14"/>
  <c r="D13"/>
  <c r="E18"/>
  <c r="E23" s="1"/>
  <c r="E26" s="1"/>
  <c r="B34" i="34"/>
  <c r="B7"/>
  <c r="B29" s="1"/>
  <c r="D7"/>
  <c r="D29" s="1"/>
  <c r="I83" l="1"/>
  <c r="D84" s="1"/>
  <c r="D102" l="1"/>
  <c r="D101"/>
  <c r="D104" s="1"/>
  <c r="D103"/>
  <c r="D105"/>
  <c r="D106"/>
  <c r="D93"/>
  <c r="D100" s="1"/>
  <c r="D86"/>
  <c r="D87"/>
  <c r="D85"/>
  <c r="D89" s="1"/>
  <c r="D90" s="1"/>
  <c r="D108"/>
  <c r="D107"/>
  <c r="I89"/>
  <c r="I90" s="1"/>
  <c r="G84"/>
  <c r="E84"/>
  <c r="C84"/>
  <c r="F84"/>
  <c r="B84"/>
  <c r="D191"/>
  <c r="H187"/>
  <c r="H188" s="1"/>
  <c r="H190" s="1"/>
  <c r="H191" s="1"/>
  <c r="B87" l="1"/>
  <c r="B103"/>
  <c r="B106"/>
  <c r="B105"/>
  <c r="B101"/>
  <c r="B104" s="1"/>
  <c r="C103"/>
  <c r="C102"/>
  <c r="C101"/>
  <c r="G103"/>
  <c r="G102"/>
  <c r="G101"/>
  <c r="G104" s="1"/>
  <c r="F102"/>
  <c r="F101"/>
  <c r="F104" s="1"/>
  <c r="F103"/>
  <c r="E103"/>
  <c r="E102"/>
  <c r="E101"/>
  <c r="E104" s="1"/>
  <c r="B93"/>
  <c r="B100" s="1"/>
  <c r="B86"/>
  <c r="D88"/>
  <c r="B107"/>
  <c r="B85"/>
  <c r="B108"/>
  <c r="I84"/>
  <c r="B88"/>
  <c r="C108"/>
  <c r="C105"/>
  <c r="C87"/>
  <c r="C86"/>
  <c r="C93"/>
  <c r="C100" s="1"/>
  <c r="C85"/>
  <c r="C89" s="1"/>
  <c r="C90" s="1"/>
  <c r="C107"/>
  <c r="C106"/>
  <c r="F87"/>
  <c r="F105"/>
  <c r="F85"/>
  <c r="F107"/>
  <c r="F106"/>
  <c r="F108"/>
  <c r="F86"/>
  <c r="F88" s="1"/>
  <c r="F93"/>
  <c r="F100" s="1"/>
  <c r="E106"/>
  <c r="E105"/>
  <c r="E93"/>
  <c r="E100" s="1"/>
  <c r="E86"/>
  <c r="E108"/>
  <c r="E107"/>
  <c r="E87"/>
  <c r="E85"/>
  <c r="I91"/>
  <c r="I92" s="1"/>
  <c r="G105"/>
  <c r="G87"/>
  <c r="G108"/>
  <c r="G93"/>
  <c r="G100" s="1"/>
  <c r="G86"/>
  <c r="G106"/>
  <c r="G107"/>
  <c r="G85"/>
  <c r="C104" l="1"/>
  <c r="E89"/>
  <c r="E90" s="1"/>
  <c r="G88"/>
  <c r="G89"/>
  <c r="G90" s="1"/>
  <c r="E88"/>
  <c r="F91"/>
  <c r="C91"/>
  <c r="C92" s="1"/>
  <c r="E91"/>
  <c r="G91"/>
  <c r="G92" s="1"/>
  <c r="D91"/>
  <c r="D92" s="1"/>
  <c r="B91"/>
  <c r="C88"/>
  <c r="F89"/>
  <c r="F90" s="1"/>
  <c r="F92" s="1"/>
  <c r="B89"/>
  <c r="B90" s="1"/>
  <c r="B92" l="1"/>
  <c r="E92"/>
  <c r="E153" i="37"/>
  <c r="I153"/>
</calcChain>
</file>

<file path=xl/comments1.xml><?xml version="1.0" encoding="utf-8"?>
<comments xmlns="http://schemas.openxmlformats.org/spreadsheetml/2006/main">
  <authors>
    <author>bellounes</author>
    <author>Admin</author>
  </authors>
  <commentList>
    <comment ref="H91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budget 2012 siège</t>
        </r>
      </text>
    </comment>
    <comment ref="H172" authorId="1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Les prévisions énergétiques donnent 35 GWh pour hassi berkine, on a maintenu 33 GWh pour aboutir au bon total des achats soit 7835 GWh alors que le total donne 7837 GWh (erroné)</t>
        </r>
      </text>
    </comment>
  </commentList>
</comments>
</file>

<file path=xl/comments2.xml><?xml version="1.0" encoding="utf-8"?>
<comments xmlns="http://schemas.openxmlformats.org/spreadsheetml/2006/main">
  <authors>
    <author>bellounes</author>
    <author>Admin</author>
  </authors>
  <commentList>
    <comment ref="H91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budget 2012 siège</t>
        </r>
      </text>
    </comment>
    <comment ref="H174" authorId="1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Les prévisions énergétiques donnent 35 GWh pour hassi berkine, on a maintenu 33 GWh pour aboutir au bon total des achats soit 7835 GWh alors que le total donne 7837 GWh (erroné)</t>
        </r>
      </text>
    </comment>
  </commentList>
</comments>
</file>

<file path=xl/comments3.xml><?xml version="1.0" encoding="utf-8"?>
<comments xmlns="http://schemas.openxmlformats.org/spreadsheetml/2006/main">
  <authors>
    <author>bellounes</author>
  </authors>
  <commentList>
    <comment ref="B37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Prévu 2013 - Prob 2012
(8834-9785)
</t>
        </r>
      </text>
    </comment>
    <comment ref="C7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Prévu 2013 - Prob 2012
(8834-9785)
</t>
        </r>
      </text>
    </comment>
    <comment ref="D7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Prévu 2013 - Prob 2012
(8834-9785)
</t>
        </r>
      </text>
    </comment>
    <comment ref="B10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dont 7 ps</t>
        </r>
      </text>
    </comment>
  </commentList>
</comments>
</file>

<file path=xl/sharedStrings.xml><?xml version="1.0" encoding="utf-8"?>
<sst xmlns="http://schemas.openxmlformats.org/spreadsheetml/2006/main" count="1328" uniqueCount="356">
  <si>
    <t>BP</t>
  </si>
  <si>
    <t>MP</t>
  </si>
  <si>
    <t>HP</t>
  </si>
  <si>
    <t>SKS</t>
  </si>
  <si>
    <t>KAHRAMA</t>
  </si>
  <si>
    <t>SKB</t>
  </si>
  <si>
    <t>SKH</t>
  </si>
  <si>
    <t>DD BDES</t>
  </si>
  <si>
    <t>DD TIPAZA</t>
  </si>
  <si>
    <t>DD BZD</t>
  </si>
  <si>
    <t>DD BOLOG</t>
  </si>
  <si>
    <t>DD EL HAR</t>
  </si>
  <si>
    <t>DD GUE CONST</t>
  </si>
  <si>
    <t>SDA</t>
  </si>
  <si>
    <t>SIEGE</t>
  </si>
  <si>
    <t>OK</t>
  </si>
  <si>
    <t>MT</t>
  </si>
  <si>
    <t>BT</t>
  </si>
  <si>
    <t>SPE GWh</t>
  </si>
  <si>
    <t>BDES</t>
  </si>
  <si>
    <t>EL HAR</t>
  </si>
  <si>
    <t>LIBELLE</t>
  </si>
  <si>
    <t>Achats consommés</t>
  </si>
  <si>
    <t>Charges de personnel</t>
  </si>
  <si>
    <t>Autres charges opérationnelles</t>
  </si>
  <si>
    <t>Charges financières</t>
  </si>
  <si>
    <t>Ventes et produits annexes</t>
  </si>
  <si>
    <t>Production immobilisée</t>
  </si>
  <si>
    <t>Autres produits opérationnels</t>
  </si>
  <si>
    <t>Produits financiers</t>
  </si>
  <si>
    <t>Variation stocks produits finis et en cours</t>
  </si>
  <si>
    <t>Subventions d'exploitation</t>
  </si>
  <si>
    <t>I-PRODUCTION DE L'EXERCICE</t>
  </si>
  <si>
    <t>Services extérieurs et autres consommations</t>
  </si>
  <si>
    <t>II-CONSOMMATION DE L'EXERCICE</t>
  </si>
  <si>
    <t>III-VALEUR AJOUTEE D'EXPLOITATION (I-II)</t>
  </si>
  <si>
    <t>Impôts, taxes et versements assimilés</t>
  </si>
  <si>
    <t>IV-EXCEDENT BRUT D'EXPLOITATION</t>
  </si>
  <si>
    <t>Dotations aux amortissements, provisions et pertes de valeurs</t>
  </si>
  <si>
    <t>Reprise sur pertes de valeur et provisions</t>
  </si>
  <si>
    <t>V- RESULTAT OPERATIONNEL</t>
  </si>
  <si>
    <t>VI-RESULTAT FINANCIER</t>
  </si>
  <si>
    <t>VII-RESULTAT ORDINAIRE AVANT IMPOTS ( V+VI)</t>
  </si>
  <si>
    <t>Impôts exigibles sur résultats ordinaires</t>
  </si>
  <si>
    <t>Impôts différés ( Variations ) sur résultats ordinaires</t>
  </si>
  <si>
    <t>TOTAL DES PRODUITS DES ACTIVITES ORDINAIRES</t>
  </si>
  <si>
    <t>TOTAL DES CHARGES DES ACTIVITES ORDINAIRES</t>
  </si>
  <si>
    <t>VIII-RESULTAT NET DES ACTIVITES ORDINAIRES</t>
  </si>
  <si>
    <t>Eléments extraordinaires (produits) (à préciser)</t>
  </si>
  <si>
    <t>Eléments extraordinaires (charges) (à préciser)</t>
  </si>
  <si>
    <t>IX-RESULTAT EXTRAORDINAIRE</t>
  </si>
  <si>
    <t>X-RESULTAT NET DE L'EXERCICE</t>
  </si>
  <si>
    <t>FRAIS DIVERS</t>
  </si>
  <si>
    <t>TOTAL</t>
  </si>
  <si>
    <t>Probable</t>
  </si>
  <si>
    <t>SPP1</t>
  </si>
  <si>
    <t xml:space="preserve">TOTAL  </t>
  </si>
  <si>
    <t>SKT</t>
  </si>
  <si>
    <t>SKD</t>
  </si>
  <si>
    <t>ACHAT GAZ</t>
  </si>
  <si>
    <t>ok</t>
  </si>
  <si>
    <t>CA</t>
  </si>
  <si>
    <t>HT</t>
  </si>
  <si>
    <t>Dont:               Electricité</t>
  </si>
  <si>
    <t xml:space="preserve">                         Gaz</t>
  </si>
  <si>
    <t xml:space="preserve">                         TPR</t>
  </si>
  <si>
    <t xml:space="preserve">                         Divers</t>
  </si>
  <si>
    <t>Consommations mat et matériels</t>
  </si>
  <si>
    <t>Achat gaz (DP+Clients HP+IPP)</t>
  </si>
  <si>
    <t>Achat d'élect à SPE</t>
  </si>
  <si>
    <t>Achat d'élect aux tiers</t>
  </si>
  <si>
    <t>Régularisation inter SD+ONE</t>
  </si>
  <si>
    <t>TOTAL SERVICE</t>
  </si>
  <si>
    <t>B</t>
  </si>
  <si>
    <t>C</t>
  </si>
  <si>
    <t>D</t>
  </si>
  <si>
    <t>E</t>
  </si>
  <si>
    <t>F</t>
  </si>
  <si>
    <t>G</t>
  </si>
  <si>
    <t>BZD</t>
  </si>
  <si>
    <t>BOL</t>
  </si>
  <si>
    <t>GUE CONS</t>
  </si>
  <si>
    <t>TIP</t>
  </si>
  <si>
    <t>MONT MDA</t>
  </si>
  <si>
    <t>PRIX ACHAT</t>
  </si>
  <si>
    <t>Total IPP GWh</t>
  </si>
  <si>
    <t>PRIX ACHAT IPP</t>
  </si>
  <si>
    <t>Total ACHAT  GWh</t>
  </si>
  <si>
    <t>COUT TRANSIT GRTE</t>
  </si>
  <si>
    <t>ACHAT ELEC</t>
  </si>
  <si>
    <t>ET TRANSIT 2012</t>
  </si>
  <si>
    <t>ABONNES MTh</t>
  </si>
  <si>
    <t>PRIX ACHAT GAZ</t>
  </si>
  <si>
    <t xml:space="preserve">PRIX ACHAT GAZ </t>
  </si>
  <si>
    <t>Total ACHAT  GAZ MTh</t>
  </si>
  <si>
    <t>Total IPP MTh</t>
  </si>
  <si>
    <t>COUT TRANSIT GRTG</t>
  </si>
  <si>
    <t>QUOTE PART DD</t>
  </si>
  <si>
    <t>TRANSIT ELEC AUXIL MDA</t>
  </si>
  <si>
    <t>TRANSIT ELEC SPE+IPP MDA</t>
  </si>
  <si>
    <t>+ Auxil centrales SPE GWh</t>
  </si>
  <si>
    <t>TRANSIT GAZ MDA</t>
  </si>
  <si>
    <t>TOTAL ACHAT SPE+IPP MDA</t>
  </si>
  <si>
    <t>TOTAL TRANSIT SPE+IPP MDA</t>
  </si>
  <si>
    <t>QUOTE PART %</t>
  </si>
  <si>
    <t>MONT ABONNES+IPP DA</t>
  </si>
  <si>
    <t>MONT ABONNES+IPP MDA</t>
  </si>
  <si>
    <t>ET TRANSIT 2013</t>
  </si>
  <si>
    <t>HB</t>
  </si>
  <si>
    <t>Qté</t>
  </si>
  <si>
    <t>Prix vte</t>
  </si>
  <si>
    <t>Total Belouizdad</t>
  </si>
  <si>
    <t>Total Bologhine</t>
  </si>
  <si>
    <t>Total Gue Constantine</t>
  </si>
  <si>
    <t>Total Boumerdes</t>
  </si>
  <si>
    <t>Total Tipaza</t>
  </si>
  <si>
    <t>Total El Harrach</t>
  </si>
  <si>
    <t>DCM 807,654, 2425, 1049</t>
  </si>
  <si>
    <t>ELEC 2012</t>
  </si>
  <si>
    <t>ELEC 2013</t>
  </si>
  <si>
    <t>GAZ 2012</t>
  </si>
  <si>
    <t>GAZ 2013</t>
  </si>
  <si>
    <t>CA ELEC SDA</t>
  </si>
  <si>
    <t>CA GAZ SDA</t>
  </si>
  <si>
    <t>PERTE</t>
  </si>
  <si>
    <t>TAUX DE PERTE %</t>
  </si>
  <si>
    <t>ACHAT BT/MT/HT</t>
  </si>
  <si>
    <t>ACHAT HT</t>
  </si>
  <si>
    <t>ACHAT BT/MT</t>
  </si>
  <si>
    <t>VENTE BT/MT</t>
  </si>
  <si>
    <t>CALCUL</t>
  </si>
  <si>
    <t>SOURCE DCM</t>
  </si>
  <si>
    <t>22, 5</t>
  </si>
  <si>
    <t>PROB 2012</t>
  </si>
  <si>
    <t>PREVU 2013</t>
  </si>
  <si>
    <t>CA ELEC/GAZ 2012</t>
  </si>
  <si>
    <t>CA ELEC/GAZ 2013</t>
  </si>
  <si>
    <t>PRODUCTION IMMOBILISE 2012</t>
  </si>
  <si>
    <t xml:space="preserve"> SERVICES 2012</t>
  </si>
  <si>
    <t>Dont CREG</t>
  </si>
  <si>
    <t xml:space="preserve"> SERVICES 2013</t>
  </si>
  <si>
    <t>TOTAL SERVICE 2013</t>
  </si>
  <si>
    <t xml:space="preserve">FRAIS DIVERS </t>
  </si>
  <si>
    <t>DONT ASSURANCE</t>
  </si>
  <si>
    <t>TOTAL FRAIS FINANCIER</t>
  </si>
  <si>
    <t>FRAIS FINANCIER SDA</t>
  </si>
  <si>
    <t xml:space="preserve">Total CA </t>
  </si>
  <si>
    <t>TAP 2%</t>
  </si>
  <si>
    <t>Autres impôts et taxes</t>
  </si>
  <si>
    <t>TOTAL IMPOTS ET TAXES</t>
  </si>
  <si>
    <t>PTS OPERATIONNELS (2011*10%)</t>
  </si>
  <si>
    <t>TPR 2012 (TPR à juin2012*2)</t>
  </si>
  <si>
    <t>FRAIS FINANCIER GROUPE</t>
  </si>
  <si>
    <t>TPR 2013 (TPR à juin2012*2)+5%</t>
  </si>
  <si>
    <t>prix de vente moyen pondéré</t>
  </si>
  <si>
    <t>PRIX MOYEN PONDERE</t>
  </si>
  <si>
    <t>MONTANT</t>
  </si>
  <si>
    <t>PERTE GWh</t>
  </si>
  <si>
    <t>PERTE DE TRANSPORT (facturé par DCM)</t>
  </si>
  <si>
    <t xml:space="preserve">Soit +9% par rapport à 2011 </t>
  </si>
  <si>
    <t xml:space="preserve">PROB 2012 </t>
  </si>
  <si>
    <t>CONSOMMATION MATIERE ET MATERIEL 2012</t>
  </si>
  <si>
    <t xml:space="preserve">CHARGES OPERATIONNELLES </t>
  </si>
  <si>
    <t>Répartition 2010</t>
  </si>
  <si>
    <t>Total CA Elec</t>
  </si>
  <si>
    <t>TRANSIT  ELEC (SPE+IPP MDA 2012)</t>
  </si>
  <si>
    <t>TRANSIT  GAZ (SPE+IPP MDA 2012)</t>
  </si>
  <si>
    <t>TOTAL  AUTRES SERVICES (TRANSIT)</t>
  </si>
  <si>
    <t>AUTRES PTS DIVERS</t>
  </si>
  <si>
    <t>DIVERS</t>
  </si>
  <si>
    <r>
      <t>Libellé</t>
    </r>
    <r>
      <rPr>
        <sz val="14"/>
        <color rgb="FFFFFFFF"/>
        <rFont val="Calibri"/>
        <family val="2"/>
        <scheme val="minor"/>
      </rPr>
      <t xml:space="preserve"> </t>
    </r>
    <r>
      <rPr>
        <b/>
        <sz val="14"/>
        <color rgb="FFFFFFFF"/>
        <rFont val="Calibri"/>
        <family val="2"/>
        <scheme val="minor"/>
      </rPr>
      <t xml:space="preserve"> </t>
    </r>
  </si>
  <si>
    <r>
      <t>Dépenses</t>
    </r>
    <r>
      <rPr>
        <sz val="14"/>
        <color rgb="FFFFFFFF"/>
        <rFont val="Calibri"/>
        <family val="2"/>
        <scheme val="minor"/>
      </rPr>
      <t xml:space="preserve"> </t>
    </r>
    <r>
      <rPr>
        <b/>
        <sz val="14"/>
        <color rgb="FFFFFFFF"/>
        <rFont val="Calibri"/>
        <family val="2"/>
        <scheme val="minor"/>
      </rPr>
      <t xml:space="preserve"> </t>
    </r>
  </si>
  <si>
    <r>
      <t>Prévu</t>
    </r>
    <r>
      <rPr>
        <sz val="14"/>
        <color rgb="FFFFFFFF"/>
        <rFont val="Calibri"/>
        <family val="2"/>
        <scheme val="minor"/>
      </rPr>
      <t xml:space="preserve"> </t>
    </r>
    <r>
      <rPr>
        <b/>
        <sz val="14"/>
        <color rgb="FFFFFFFF"/>
        <rFont val="Calibri"/>
        <family val="2"/>
        <scheme val="minor"/>
      </rPr>
      <t xml:space="preserve"> </t>
    </r>
  </si>
  <si>
    <t>TE</t>
  </si>
  <si>
    <t xml:space="preserve">  04 ETUDES</t>
  </si>
  <si>
    <t xml:space="preserve">  21 CENTRE TELECOM BCC</t>
  </si>
  <si>
    <t xml:space="preserve">  22 RÉHABILITATION DES RÉSEAUX LOCAUX SIÈGE &amp;  DD </t>
  </si>
  <si>
    <t xml:space="preserve">  43 EXT.RENF.RES.DIST.ELEC.</t>
  </si>
  <si>
    <t xml:space="preserve">  44 RENOUVEL.EXCEP.RES.DIST.</t>
  </si>
  <si>
    <t xml:space="preserve">  52 EXT.RENF.RES.DIST.GAZ</t>
  </si>
  <si>
    <t xml:space="preserve">  61 ELECTRIFICATION RURALE</t>
  </si>
  <si>
    <t xml:space="preserve">  62 RCN ELEC</t>
  </si>
  <si>
    <t xml:space="preserve">  63 RCN GAZ</t>
  </si>
  <si>
    <t xml:space="preserve">  64 DISTRIBUTION PUBLIQUE GAZ</t>
  </si>
  <si>
    <t xml:space="preserve">  71 REMPLACEMENT ELECTRICITE</t>
  </si>
  <si>
    <t xml:space="preserve">  72 REMPLACEMENT GAZ</t>
  </si>
  <si>
    <t xml:space="preserve">  77 AUTRES REMPLACEMENTS</t>
  </si>
  <si>
    <t xml:space="preserve">  81 EQUIPEMENT MOB.MAT.BUREAU</t>
  </si>
  <si>
    <t xml:space="preserve">  82 EQUIPEMENT INFORMATIQUE</t>
  </si>
  <si>
    <t xml:space="preserve">  83 ACQUISITION VEHICULES-ENGINS</t>
  </si>
  <si>
    <t xml:space="preserve">  84 ACQUISITION OUTILLAGES</t>
  </si>
  <si>
    <t xml:space="preserve">  85 EQUIPEMENTS DIVERS</t>
  </si>
  <si>
    <t xml:space="preserve">  91 INFRASTR.TECHNICO-ADM.ET LOGTS</t>
  </si>
  <si>
    <t xml:space="preserve">  92 AMENAGEMENT LOCAUX LOUES</t>
  </si>
  <si>
    <t xml:space="preserve">TOTAL </t>
  </si>
  <si>
    <t xml:space="preserve">FINANCEMENT  </t>
  </si>
  <si>
    <t xml:space="preserve">PROBABLE </t>
  </si>
  <si>
    <t xml:space="preserve">PREVU </t>
  </si>
  <si>
    <t>TE%</t>
  </si>
  <si>
    <t xml:space="preserve">SOURCES DE FINANCEMENT  </t>
  </si>
  <si>
    <t xml:space="preserve">ETAT  </t>
  </si>
  <si>
    <t>PARTICIPATION CLIENTS</t>
  </si>
  <si>
    <t xml:space="preserve">SDA  </t>
  </si>
  <si>
    <t xml:space="preserve"> - ELECTRIFICATION  61  </t>
  </si>
  <si>
    <t xml:space="preserve">Dont :   - QLS  61  </t>
  </si>
  <si>
    <t xml:space="preserve">              - PNE  61 </t>
  </si>
  <si>
    <t xml:space="preserve"> - RCN   62 </t>
  </si>
  <si>
    <t xml:space="preserve"> Dont :  - QLS  62  </t>
  </si>
  <si>
    <t xml:space="preserve">             - RCN  62 </t>
  </si>
  <si>
    <t xml:space="preserve">TOTAL ELECTRICITE  </t>
  </si>
  <si>
    <t xml:space="preserve">        - DISTRIBUTION PUB  64  </t>
  </si>
  <si>
    <t xml:space="preserve"> Dont    - QLS   64  </t>
  </si>
  <si>
    <t xml:space="preserve">             - DP GAZ   64  </t>
  </si>
  <si>
    <t xml:space="preserve"> - RCN   63 </t>
  </si>
  <si>
    <t xml:space="preserve">  Dont   - RCN  63  </t>
  </si>
  <si>
    <t xml:space="preserve">             - QLS   63  </t>
  </si>
  <si>
    <t xml:space="preserve">             - PS   63 </t>
  </si>
  <si>
    <t xml:space="preserve">        - PROG. PROPRE (52,72)  </t>
  </si>
  <si>
    <t xml:space="preserve">TOTAL GAZ  </t>
  </si>
  <si>
    <t xml:space="preserve">Ventes Energie, travaux et divers </t>
  </si>
  <si>
    <t xml:space="preserve">Recouvrement de créances anciennes </t>
  </si>
  <si>
    <t xml:space="preserve">Décaissements </t>
  </si>
  <si>
    <t xml:space="preserve">Frais du Personnel </t>
  </si>
  <si>
    <t xml:space="preserve">Frais Financiers </t>
  </si>
  <si>
    <t xml:space="preserve">Participations clients </t>
  </si>
  <si>
    <t xml:space="preserve">Subventions </t>
  </si>
  <si>
    <t xml:space="preserve">Extension BCC </t>
  </si>
  <si>
    <t xml:space="preserve">DP GAZ </t>
  </si>
  <si>
    <t xml:space="preserve">ELEC RURALE </t>
  </si>
  <si>
    <t xml:space="preserve">QLS (ELEC et GAZ) </t>
  </si>
  <si>
    <t>CENTRE TELECOM BCC  21</t>
  </si>
  <si>
    <t xml:space="preserve">        - PROG. PROPRE ELEC (43,44,71)  </t>
  </si>
  <si>
    <t>S/TOTAL   ELECTRICITE</t>
  </si>
  <si>
    <t>AUTRES INVESTISSEMENTS</t>
  </si>
  <si>
    <t>COMPTES DE RESULTAT 2012/2013 PAR DD (AVEC LES AGIOS BANCAIRES 2013)</t>
  </si>
  <si>
    <t xml:space="preserve">AGIOS BANCAIRES </t>
  </si>
  <si>
    <t>Directions de Distribution</t>
  </si>
  <si>
    <t>Belouizdad</t>
  </si>
  <si>
    <t>Bologhine</t>
  </si>
  <si>
    <t>EL Harrach</t>
  </si>
  <si>
    <t>Gue Const</t>
  </si>
  <si>
    <t>Boumerdes</t>
  </si>
  <si>
    <t>Tipaza</t>
  </si>
  <si>
    <t>Siège</t>
  </si>
  <si>
    <t xml:space="preserve">                    DONT QLS</t>
  </si>
  <si>
    <t xml:space="preserve">                    DP</t>
  </si>
  <si>
    <t xml:space="preserve">                    QLS</t>
  </si>
  <si>
    <t xml:space="preserve">  64 DISTRIBUTION PUBLIQUE GAZ DONT :</t>
  </si>
  <si>
    <r>
      <t>Libellé</t>
    </r>
    <r>
      <rPr>
        <sz val="12"/>
        <color rgb="FFFFFFFF"/>
        <rFont val="Calibri"/>
        <family val="2"/>
        <scheme val="minor"/>
      </rPr>
      <t xml:space="preserve"> </t>
    </r>
    <r>
      <rPr>
        <b/>
        <sz val="12"/>
        <color rgb="FFFFFFFF"/>
        <rFont val="Calibri"/>
        <family val="2"/>
        <scheme val="minor"/>
      </rPr>
      <t xml:space="preserve"> </t>
    </r>
  </si>
  <si>
    <t>BOUMERDES</t>
  </si>
  <si>
    <t>%</t>
  </si>
  <si>
    <t xml:space="preserve">                    DONT  PNE</t>
  </si>
  <si>
    <t xml:space="preserve">PLAN DE TRESORERIE 2012 PAR DD </t>
  </si>
  <si>
    <r>
      <t>LIBELLE</t>
    </r>
    <r>
      <rPr>
        <sz val="11"/>
        <rFont val="Calibri"/>
        <family val="2"/>
      </rPr>
      <t xml:space="preserve"> </t>
    </r>
  </si>
  <si>
    <r>
      <t>PARTIE EXPLOITATION</t>
    </r>
    <r>
      <rPr>
        <shadow/>
        <sz val="14"/>
        <color indexed="60"/>
        <rFont val="Calibri"/>
        <family val="2"/>
      </rPr>
      <t xml:space="preserve"> </t>
    </r>
  </si>
  <si>
    <t>Services dont :</t>
  </si>
  <si>
    <t xml:space="preserve">SOLDE (1) </t>
  </si>
  <si>
    <r>
      <t xml:space="preserve">  PARTIE INVESTISSEMENT</t>
    </r>
    <r>
      <rPr>
        <shadow/>
        <sz val="14"/>
        <color indexed="60"/>
        <rFont val="Calibri"/>
        <family val="2"/>
      </rPr>
      <t xml:space="preserve"> </t>
    </r>
  </si>
  <si>
    <r>
      <t>Encaissements</t>
    </r>
    <r>
      <rPr>
        <b/>
        <sz val="12"/>
        <color indexed="10"/>
        <rFont val="Calibri"/>
        <family val="2"/>
      </rPr>
      <t xml:space="preserve"> </t>
    </r>
  </si>
  <si>
    <r>
      <t>Décaissements</t>
    </r>
    <r>
      <rPr>
        <b/>
        <sz val="12"/>
        <color indexed="10"/>
        <rFont val="Calibri"/>
        <family val="2"/>
      </rPr>
      <t xml:space="preserve"> </t>
    </r>
  </si>
  <si>
    <t xml:space="preserve">SOLDE (2) </t>
  </si>
  <si>
    <t xml:space="preserve">SOLDE GLOBAL (1+2) </t>
  </si>
  <si>
    <t>EL HARRACH</t>
  </si>
  <si>
    <t>BOLOGHINE</t>
  </si>
  <si>
    <t xml:space="preserve">                         - Coût de Transit Elec</t>
  </si>
  <si>
    <t xml:space="preserve">                         - Coût de Transit Gaz</t>
  </si>
  <si>
    <t xml:space="preserve">                         - Frais Divers</t>
  </si>
  <si>
    <t xml:space="preserve">                        - Achat Gaz</t>
  </si>
  <si>
    <t xml:space="preserve">                         - Achat aux tiers </t>
  </si>
  <si>
    <t xml:space="preserve">Achat Dont </t>
  </si>
  <si>
    <t xml:space="preserve">                                              Dont IPP</t>
  </si>
  <si>
    <t xml:space="preserve">                        - Achat Elec à SPE </t>
  </si>
  <si>
    <t xml:space="preserve">                         - Autres Achats </t>
  </si>
  <si>
    <t>BUDGET 2013</t>
  </si>
  <si>
    <t>Impôts et Taxes  Dont :</t>
  </si>
  <si>
    <t xml:space="preserve">                         - Autres Services</t>
  </si>
  <si>
    <t xml:space="preserve">                                              Dont Montant à reversez à la CREG</t>
  </si>
  <si>
    <t xml:space="preserve">                        - Déclaration fiscale</t>
  </si>
  <si>
    <t xml:space="preserve">                        - Déclaration sociale</t>
  </si>
  <si>
    <t xml:space="preserve">RCN (ELEC/GAZ) </t>
  </si>
  <si>
    <t>PROGRAMME PROPRE (ELEC/GAZ)</t>
  </si>
  <si>
    <t>Montant balance à juin 2012</t>
  </si>
  <si>
    <t>CA ELECTRICITE</t>
  </si>
  <si>
    <t>CA GAZ</t>
  </si>
  <si>
    <t>BT/BP</t>
  </si>
  <si>
    <t>MT/MP</t>
  </si>
  <si>
    <t>HT/HP</t>
  </si>
  <si>
    <t>CA ELRC/GAZ</t>
  </si>
  <si>
    <t>okok</t>
  </si>
  <si>
    <t xml:space="preserve">ok ok </t>
  </si>
  <si>
    <t>bdes</t>
  </si>
  <si>
    <t>tip</t>
  </si>
  <si>
    <t>bzd</t>
  </si>
  <si>
    <t>bol</t>
  </si>
  <si>
    <t>el har</t>
  </si>
  <si>
    <t>gue c</t>
  </si>
  <si>
    <t>siège</t>
  </si>
  <si>
    <t>sda</t>
  </si>
  <si>
    <t>total</t>
  </si>
  <si>
    <t>Frais Divers révisés 2012</t>
  </si>
  <si>
    <t>Montant reversé à la creg</t>
  </si>
  <si>
    <t>Frais d'Assurance budget 2012</t>
  </si>
  <si>
    <t xml:space="preserve">F.DIVERS  budget 2012 </t>
  </si>
  <si>
    <t>SERVICES budget 2012 révisés</t>
  </si>
  <si>
    <t xml:space="preserve"> CA Elec 2012 </t>
  </si>
  <si>
    <t xml:space="preserve"> CA Gaz 2012</t>
  </si>
  <si>
    <t xml:space="preserve"> CA Elec 2013 </t>
  </si>
  <si>
    <t xml:space="preserve"> CA Gaz 2013</t>
  </si>
  <si>
    <t>Total CA Elec /Gaz 2013</t>
  </si>
  <si>
    <t xml:space="preserve">Total CA Elec /Gaz 2012 </t>
  </si>
  <si>
    <r>
      <rPr>
        <sz val="11"/>
        <color rgb="FFFF0000"/>
        <rFont val="Calibri"/>
        <family val="2"/>
        <scheme val="minor"/>
      </rPr>
      <t xml:space="preserve">okok </t>
    </r>
    <r>
      <rPr>
        <sz val="11"/>
        <color theme="1"/>
        <rFont val="Calibri"/>
        <family val="2"/>
        <scheme val="minor"/>
      </rPr>
      <t>siège 15=budget 2012</t>
    </r>
  </si>
  <si>
    <t>Répartion des dotations aux amortissements et aux provisions par DD</t>
  </si>
  <si>
    <t xml:space="preserve">en MDA </t>
  </si>
  <si>
    <t xml:space="preserve">DD </t>
  </si>
  <si>
    <t xml:space="preserve">Montant en MDA </t>
  </si>
  <si>
    <t>Quote part%</t>
  </si>
  <si>
    <t>Probable 2012</t>
  </si>
  <si>
    <t>Prévu 2013</t>
  </si>
  <si>
    <t xml:space="preserve">SIEGE </t>
  </si>
  <si>
    <t xml:space="preserve">BELOUIZDAD </t>
  </si>
  <si>
    <t xml:space="preserve">GUE DE CONSTANTINE </t>
  </si>
  <si>
    <t xml:space="preserve">TIPAZA </t>
  </si>
  <si>
    <t>Montant Balance à juin 2012</t>
  </si>
  <si>
    <t>DONT :   REHABILITATION DES RESEAUX LOCAUX SIEGE ET DD</t>
  </si>
  <si>
    <t xml:space="preserve">PLAN DE TRESORERIE 2012 </t>
  </si>
  <si>
    <t>FRAIS DE PERSONNEL 2012/2013</t>
  </si>
  <si>
    <t>coût</t>
  </si>
  <si>
    <t>montant</t>
  </si>
  <si>
    <t>cadres</t>
  </si>
  <si>
    <t>maîtrise</t>
  </si>
  <si>
    <t>exécution</t>
  </si>
  <si>
    <t>PROBABLE 2012</t>
  </si>
  <si>
    <t>Coûts annuels du personnel</t>
  </si>
  <si>
    <t>Cadre</t>
  </si>
  <si>
    <t>Maîtrise</t>
  </si>
  <si>
    <t>Exécution</t>
  </si>
  <si>
    <t>Total</t>
  </si>
  <si>
    <t>COUT BELOUIZDAD</t>
  </si>
  <si>
    <t>Nbre d'Agents</t>
  </si>
  <si>
    <t xml:space="preserve">Frais de personnel </t>
  </si>
  <si>
    <t>COUT BOLOGHINE</t>
  </si>
  <si>
    <t>COUT EL HARRACH</t>
  </si>
  <si>
    <t>COUT GUE CONST</t>
  </si>
  <si>
    <t>COUT BOUMERDES</t>
  </si>
  <si>
    <t>COUT TIPAZA</t>
  </si>
  <si>
    <t>COUT SIEGE SDA</t>
  </si>
  <si>
    <t>el hr</t>
  </si>
  <si>
    <t>gue const</t>
  </si>
  <si>
    <t xml:space="preserve">ok </t>
  </si>
  <si>
    <t>DD</t>
  </si>
  <si>
    <t>SPE</t>
  </si>
  <si>
    <t>Autres</t>
  </si>
  <si>
    <t>BELOUIZDAD</t>
  </si>
  <si>
    <t>GUE DE CNE</t>
  </si>
  <si>
    <t>TIPAZA</t>
  </si>
  <si>
    <t>CALCUL DES QUOTES PART SPP1, SKD et HB SELON L'ANCIENNE VERSION (SELON LA DERNIERE VERSION DCM "10.12.2012" CES IPP SONT REGROUPES DANS DIVERS)</t>
  </si>
</sst>
</file>

<file path=xl/styles.xml><?xml version="1.0" encoding="utf-8"?>
<styleSheet xmlns="http://schemas.openxmlformats.org/spreadsheetml/2006/main">
  <numFmts count="13">
    <numFmt numFmtId="43" formatCode="_-* #,##0.00\ _€_-;\-* #,##0.00\ _€_-;_-* &quot;-&quot;??\ _€_-;_-@_-"/>
    <numFmt numFmtId="164" formatCode="_-* #,##0.00\ _D_A_-;\-* #,##0.00\ _D_A_-;_-* &quot;-&quot;??\ _D_A_-;_-@_-"/>
    <numFmt numFmtId="165" formatCode="_-* #,##0\ _€_-;\-* #,##0\ _€_-;_-* &quot;-&quot;??\ _€_-;_-@_-"/>
    <numFmt numFmtId="166" formatCode="#,##0.000"/>
    <numFmt numFmtId="167" formatCode="0.000"/>
    <numFmt numFmtId="168" formatCode="_-* #,##0.000000\ _F_-;\-* #,##0.000000\ _F_-;_-* &quot;-&quot;??\ _F_-;_-@_-"/>
    <numFmt numFmtId="169" formatCode="_-* #,##0.0\ _€_-;\-* #,##0.0\ _€_-;_-* &quot;-&quot;??\ _€_-;_-@_-"/>
    <numFmt numFmtId="170" formatCode="#,##0.0"/>
    <numFmt numFmtId="171" formatCode="_-* #,##0.000000\ _€_-;\-* #,##0.000000\ _€_-;_-* &quot;-&quot;??????\ _€_-;_-@_-"/>
    <numFmt numFmtId="172" formatCode="0.0"/>
    <numFmt numFmtId="173" formatCode="_-* #,##0.0\ _€_-;\-* #,##0.0\ _€_-;_-* &quot;-&quot;?\ _€_-;_-@_-"/>
    <numFmt numFmtId="174" formatCode="0.0%"/>
    <numFmt numFmtId="175" formatCode="_-* #,##0\ _D_A_-;\-* #,##0\ _D_A_-;_-* &quot;-&quot;??\ _D_A_-;_-@_-"/>
  </numFmts>
  <fonts count="8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1"/>
      <color theme="5" tint="-0.499984740745262"/>
      <name val="Calibri"/>
      <family val="2"/>
      <scheme val="minor"/>
    </font>
    <font>
      <sz val="10"/>
      <name val="Cambria"/>
      <family val="1"/>
    </font>
    <font>
      <b/>
      <sz val="10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</font>
    <font>
      <shadow/>
      <sz val="14"/>
      <color indexed="60"/>
      <name val="Calibri"/>
      <family val="2"/>
    </font>
    <font>
      <b/>
      <sz val="12"/>
      <color rgb="FFFF0000"/>
      <name val="Calibri"/>
      <family val="2"/>
    </font>
    <font>
      <b/>
      <sz val="12"/>
      <name val="Calibri"/>
      <family val="2"/>
    </font>
    <font>
      <b/>
      <sz val="12"/>
      <color indexed="10"/>
      <name val="Calibri"/>
      <family val="2"/>
    </font>
    <font>
      <sz val="12"/>
      <color rgb="FF1F497D"/>
      <name val="Calibri"/>
      <family val="2"/>
    </font>
    <font>
      <b/>
      <sz val="14"/>
      <name val="Calibri"/>
      <family val="2"/>
    </font>
    <font>
      <sz val="10"/>
      <name val="Calibri"/>
      <family val="2"/>
    </font>
    <font>
      <b/>
      <sz val="14"/>
      <color theme="6" tint="-0.249977111117893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9"/>
      <name val="Arial"/>
      <family val="2"/>
    </font>
    <font>
      <sz val="10"/>
      <color theme="3" tint="0.39997558519241921"/>
      <name val="Calibri"/>
      <family val="2"/>
    </font>
    <font>
      <b/>
      <sz val="10"/>
      <color theme="3" tint="0.39997558519241921"/>
      <name val="Calibri"/>
      <family val="2"/>
    </font>
    <font>
      <b/>
      <sz val="10.5"/>
      <color rgb="FF000000"/>
      <name val="Calibri"/>
      <family val="2"/>
    </font>
    <font>
      <b/>
      <sz val="10"/>
      <color rgb="FF1F497D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3EA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1FFE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CC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79646"/>
      </left>
      <right style="medium">
        <color rgb="FFF79646"/>
      </right>
      <top style="medium">
        <color rgb="FFF79646"/>
      </top>
      <bottom style="medium">
        <color rgb="FFF79646"/>
      </bottom>
      <diagonal/>
    </border>
    <border>
      <left style="medium">
        <color rgb="FFF79646"/>
      </left>
      <right style="medium">
        <color rgb="FFF79646"/>
      </right>
      <top style="medium">
        <color rgb="FFF79646"/>
      </top>
      <bottom/>
      <diagonal/>
    </border>
    <border>
      <left style="medium">
        <color rgb="FFF79646"/>
      </left>
      <right style="medium">
        <color rgb="FFF79646"/>
      </right>
      <top/>
      <bottom style="medium">
        <color rgb="FFF79646"/>
      </bottom>
      <diagonal/>
    </border>
    <border>
      <left/>
      <right style="medium">
        <color rgb="FFF79646"/>
      </right>
      <top style="medium">
        <color rgb="FFF79646"/>
      </top>
      <bottom style="medium">
        <color rgb="FFF79646"/>
      </bottom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/>
      <right style="medium">
        <color rgb="FFF79646"/>
      </right>
      <top/>
      <bottom style="medium">
        <color rgb="FFF79646"/>
      </bottom>
      <diagonal/>
    </border>
    <border>
      <left/>
      <right/>
      <top style="medium">
        <color rgb="FFF79646"/>
      </top>
      <bottom style="medium">
        <color rgb="FFF79646"/>
      </bottom>
      <diagonal/>
    </border>
    <border>
      <left style="medium">
        <color rgb="FFF79646"/>
      </left>
      <right style="medium">
        <color rgb="FFF79646"/>
      </right>
      <top/>
      <bottom style="medium">
        <color rgb="FFFE8637"/>
      </bottom>
      <diagonal/>
    </border>
    <border>
      <left/>
      <right style="medium">
        <color rgb="FFF79646"/>
      </right>
      <top/>
      <bottom style="medium">
        <color rgb="FFFE8637"/>
      </bottom>
      <diagonal/>
    </border>
    <border>
      <left/>
      <right/>
      <top/>
      <bottom style="medium">
        <color rgb="FFF79646"/>
      </bottom>
      <diagonal/>
    </border>
    <border>
      <left style="medium">
        <color rgb="FFF79646"/>
      </left>
      <right/>
      <top style="medium">
        <color rgb="FFF79646"/>
      </top>
      <bottom style="medium">
        <color rgb="FFF79646"/>
      </bottom>
      <diagonal/>
    </border>
    <border>
      <left/>
      <right/>
      <top style="thin">
        <color theme="9" tint="-0.24994659260841701"/>
      </top>
      <bottom style="medium">
        <color rgb="FFF79646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medium">
        <color rgb="FFF79646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rgb="FFF79646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3" tint="-0.24994659260841701"/>
      </left>
      <right style="thick">
        <color theme="3" tint="-0.24994659260841701"/>
      </right>
      <top style="thick">
        <color theme="3" tint="-0.24994659260841701"/>
      </top>
      <bottom style="thick">
        <color theme="3" tint="-0.24994659260841701"/>
      </bottom>
      <diagonal/>
    </border>
    <border>
      <left/>
      <right style="thick">
        <color theme="3" tint="-0.24994659260841701"/>
      </right>
      <top style="thick">
        <color theme="3" tint="-0.24994659260841701"/>
      </top>
      <bottom style="thick">
        <color theme="3" tint="-0.24994659260841701"/>
      </bottom>
      <diagonal/>
    </border>
    <border>
      <left/>
      <right style="thin">
        <color theme="3" tint="-0.24994659260841701"/>
      </right>
      <top/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double">
        <color theme="3" tint="-0.24994659260841701"/>
      </bottom>
      <diagonal/>
    </border>
    <border>
      <left/>
      <right style="double">
        <color theme="3" tint="-0.24994659260841701"/>
      </right>
      <top style="double">
        <color theme="3" tint="-0.24994659260841701"/>
      </top>
      <bottom style="double">
        <color theme="3" tint="-0.24994659260841701"/>
      </bottom>
      <diagonal/>
    </border>
    <border>
      <left/>
      <right style="thin">
        <color theme="3" tint="-0.24994659260841701"/>
      </right>
      <top style="double">
        <color theme="3" tint="-0.24994659260841701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/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 style="double">
        <color theme="3" tint="-0.24994659260841701"/>
      </right>
      <top style="double">
        <color theme="3" tint="-0.24994659260841701"/>
      </top>
      <bottom/>
      <diagonal/>
    </border>
    <border>
      <left style="thick">
        <color theme="3" tint="-0.24994659260841701"/>
      </left>
      <right style="thick">
        <color theme="3" tint="-0.24994659260841701"/>
      </right>
      <top/>
      <bottom style="thin">
        <color theme="3" tint="-0.24994659260841701"/>
      </bottom>
      <diagonal/>
    </border>
    <border>
      <left style="thick">
        <color theme="3" tint="-0.24994659260841701"/>
      </left>
      <right style="thick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ck">
        <color theme="3" tint="-0.24994659260841701"/>
      </left>
      <right style="thick">
        <color theme="3" tint="-0.24994659260841701"/>
      </right>
      <top style="thin">
        <color theme="3" tint="-0.24994659260841701"/>
      </top>
      <bottom style="double">
        <color theme="3" tint="-0.24994659260841701"/>
      </bottom>
      <diagonal/>
    </border>
    <border>
      <left style="thick">
        <color theme="3" tint="-0.24994659260841701"/>
      </left>
      <right style="thick">
        <color theme="3" tint="-0.24994659260841701"/>
      </right>
      <top style="double">
        <color theme="3" tint="-0.24994659260841701"/>
      </top>
      <bottom style="double">
        <color theme="3" tint="-0.24994659260841701"/>
      </bottom>
      <diagonal/>
    </border>
    <border>
      <left style="thick">
        <color theme="3" tint="-0.24994659260841701"/>
      </left>
      <right style="thick">
        <color theme="3" tint="-0.24994659260841701"/>
      </right>
      <top style="double">
        <color theme="3" tint="-0.24994659260841701"/>
      </top>
      <bottom style="thin">
        <color theme="3" tint="-0.24994659260841701"/>
      </bottom>
      <diagonal/>
    </border>
    <border>
      <left style="thick">
        <color theme="3" tint="-0.24994659260841701"/>
      </left>
      <right style="thick">
        <color theme="3" tint="-0.24994659260841701"/>
      </right>
      <top style="thin">
        <color theme="3" tint="-0.24994659260841701"/>
      </top>
      <bottom/>
      <diagonal/>
    </border>
    <border>
      <left style="thick">
        <color theme="3" tint="-0.24994659260841701"/>
      </left>
      <right style="thick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thick">
        <color theme="3" tint="-0.24994659260841701"/>
      </left>
      <right style="thick">
        <color theme="3" tint="-0.24994659260841701"/>
      </right>
      <top style="medium">
        <color theme="3" tint="-0.24994659260841701"/>
      </top>
      <bottom/>
      <diagonal/>
    </border>
    <border>
      <left style="thick">
        <color theme="3" tint="-0.24994659260841701"/>
      </left>
      <right style="thick">
        <color theme="3" tint="-0.24994659260841701"/>
      </right>
      <top style="double">
        <color theme="3" tint="-0.24994659260841701"/>
      </top>
      <bottom/>
      <diagonal/>
    </border>
    <border>
      <left style="thick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ck">
        <color theme="3" tint="-0.24994659260841701"/>
      </right>
      <top/>
      <bottom style="thin">
        <color theme="3" tint="-0.24994659260841701"/>
      </bottom>
      <diagonal/>
    </border>
    <border>
      <left style="thick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ck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ck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double">
        <color theme="3" tint="-0.24994659260841701"/>
      </bottom>
      <diagonal/>
    </border>
    <border>
      <left style="thin">
        <color theme="3" tint="-0.24994659260841701"/>
      </left>
      <right style="thick">
        <color theme="3" tint="-0.24994659260841701"/>
      </right>
      <top style="thin">
        <color theme="3" tint="-0.24994659260841701"/>
      </top>
      <bottom style="double">
        <color theme="3" tint="-0.24994659260841701"/>
      </bottom>
      <diagonal/>
    </border>
    <border>
      <left style="thick">
        <color theme="3" tint="-0.24994659260841701"/>
      </left>
      <right style="double">
        <color theme="3" tint="-0.24994659260841701"/>
      </right>
      <top style="double">
        <color theme="3" tint="-0.24994659260841701"/>
      </top>
      <bottom style="double">
        <color theme="3" tint="-0.24994659260841701"/>
      </bottom>
      <diagonal/>
    </border>
    <border>
      <left style="double">
        <color theme="3" tint="-0.24994659260841701"/>
      </left>
      <right style="thick">
        <color theme="3" tint="-0.24994659260841701"/>
      </right>
      <top style="double">
        <color theme="3" tint="-0.24994659260841701"/>
      </top>
      <bottom style="double">
        <color theme="3" tint="-0.24994659260841701"/>
      </bottom>
      <diagonal/>
    </border>
    <border>
      <left style="thick">
        <color theme="3" tint="-0.24994659260841701"/>
      </left>
      <right style="thin">
        <color theme="3" tint="-0.24994659260841701"/>
      </right>
      <top style="double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ck">
        <color theme="3" tint="-0.24994659260841701"/>
      </right>
      <top style="double">
        <color theme="3" tint="-0.24994659260841701"/>
      </top>
      <bottom style="thin">
        <color theme="3" tint="-0.24994659260841701"/>
      </bottom>
      <diagonal/>
    </border>
    <border>
      <left style="thick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 style="thick">
        <color theme="3" tint="-0.24994659260841701"/>
      </right>
      <top style="thin">
        <color theme="3" tint="-0.24994659260841701"/>
      </top>
      <bottom/>
      <diagonal/>
    </border>
    <border>
      <left style="thick">
        <color theme="3" tint="-0.24994659260841701"/>
      </left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 style="thick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thick">
        <color theme="3" tint="-0.24994659260841701"/>
      </left>
      <right style="double">
        <color theme="3" tint="-0.24994659260841701"/>
      </right>
      <top style="double">
        <color theme="3" tint="-0.24994659260841701"/>
      </top>
      <bottom/>
      <diagonal/>
    </border>
    <border>
      <left style="double">
        <color theme="3" tint="-0.24994659260841701"/>
      </left>
      <right style="thick">
        <color theme="3" tint="-0.24994659260841701"/>
      </right>
      <top style="double">
        <color theme="3" tint="-0.24994659260841701"/>
      </top>
      <bottom/>
      <diagonal/>
    </border>
    <border>
      <left style="thick">
        <color theme="3" tint="-0.24994659260841701"/>
      </left>
      <right/>
      <top style="thick">
        <color theme="3" tint="-0.24994659260841701"/>
      </top>
      <bottom style="thick">
        <color theme="3" tint="-0.24994659260841701"/>
      </bottom>
      <diagonal/>
    </border>
    <border>
      <left style="thin">
        <color theme="3" tint="-0.24994659260841701"/>
      </left>
      <right/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double">
        <color theme="3" tint="-0.24994659260841701"/>
      </bottom>
      <diagonal/>
    </border>
    <border>
      <left style="double">
        <color theme="3" tint="-0.24994659260841701"/>
      </left>
      <right/>
      <top style="double">
        <color theme="3" tint="-0.24994659260841701"/>
      </top>
      <bottom style="double">
        <color theme="3" tint="-0.24994659260841701"/>
      </bottom>
      <diagonal/>
    </border>
    <border>
      <left style="thin">
        <color theme="3" tint="-0.24994659260841701"/>
      </left>
      <right/>
      <top style="double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double">
        <color theme="3" tint="-0.24994659260841701"/>
      </left>
      <right/>
      <top style="double">
        <color theme="3" tint="-0.24994659260841701"/>
      </top>
      <bottom/>
      <diagonal/>
    </border>
    <border>
      <left style="medium">
        <color rgb="FFF79646"/>
      </left>
      <right style="medium">
        <color rgb="FFF79646"/>
      </right>
      <top/>
      <bottom/>
      <diagonal/>
    </border>
    <border>
      <left/>
      <right style="medium">
        <color rgb="FFF79646"/>
      </right>
      <top/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rgb="FFF79646"/>
      </bottom>
      <diagonal/>
    </border>
    <border>
      <left/>
      <right style="medium">
        <color rgb="FFF79646"/>
      </right>
      <top style="thick">
        <color rgb="FFF79646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4" fillId="0" borderId="0"/>
    <xf numFmtId="0" fontId="14" fillId="0" borderId="0"/>
    <xf numFmtId="9" fontId="1" fillId="0" borderId="0" applyFont="0" applyFill="0" applyBorder="0" applyAlignment="0" applyProtection="0"/>
    <xf numFmtId="0" fontId="13" fillId="0" borderId="0"/>
  </cellStyleXfs>
  <cellXfs count="595">
    <xf numFmtId="0" fontId="0" fillId="0" borderId="0" xfId="0"/>
    <xf numFmtId="0" fontId="2" fillId="0" borderId="0" xfId="0" applyFont="1"/>
    <xf numFmtId="0" fontId="2" fillId="2" borderId="0" xfId="0" applyFont="1" applyFill="1"/>
    <xf numFmtId="3" fontId="7" fillId="0" borderId="0" xfId="0" applyNumberFormat="1" applyFont="1" applyFill="1" applyBorder="1" applyAlignment="1">
      <alignment horizontal="center" vertical="center"/>
    </xf>
    <xf numFmtId="0" fontId="4" fillId="0" borderId="0" xfId="0" applyFont="1"/>
    <xf numFmtId="165" fontId="0" fillId="0" borderId="0" xfId="1" applyNumberFormat="1" applyFont="1"/>
    <xf numFmtId="0" fontId="0" fillId="0" borderId="0" xfId="0" applyFill="1"/>
    <xf numFmtId="3" fontId="0" fillId="0" borderId="0" xfId="0" applyNumberFormat="1"/>
    <xf numFmtId="0" fontId="0" fillId="8" borderId="0" xfId="0" applyFill="1"/>
    <xf numFmtId="1" fontId="0" fillId="0" borderId="0" xfId="0" applyNumberFormat="1"/>
    <xf numFmtId="0" fontId="6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4" fontId="14" fillId="0" borderId="0" xfId="3" applyNumberFormat="1"/>
    <xf numFmtId="4" fontId="14" fillId="3" borderId="0" xfId="2" applyNumberFormat="1" applyFill="1"/>
    <xf numFmtId="4" fontId="0" fillId="3" borderId="0" xfId="0" applyNumberFormat="1" applyFill="1"/>
    <xf numFmtId="0" fontId="3" fillId="0" borderId="3" xfId="0" applyFont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166" fontId="18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/>
    <xf numFmtId="0" fontId="7" fillId="8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/>
    </xf>
    <xf numFmtId="165" fontId="10" fillId="0" borderId="1" xfId="1" applyNumberFormat="1" applyFont="1" applyBorder="1"/>
    <xf numFmtId="3" fontId="7" fillId="8" borderId="1" xfId="0" applyNumberFormat="1" applyFont="1" applyFill="1" applyBorder="1" applyAlignment="1">
      <alignment horizontal="center" vertical="center"/>
    </xf>
    <xf numFmtId="3" fontId="15" fillId="2" borderId="1" xfId="1" applyNumberFormat="1" applyFont="1" applyFill="1" applyBorder="1" applyAlignment="1">
      <alignment horizontal="center" vertical="center"/>
    </xf>
    <xf numFmtId="165" fontId="7" fillId="0" borderId="1" xfId="1" applyNumberFormat="1" applyFont="1" applyBorder="1"/>
    <xf numFmtId="167" fontId="18" fillId="2" borderId="1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3" fontId="10" fillId="0" borderId="1" xfId="0" applyNumberFormat="1" applyFont="1" applyBorder="1"/>
    <xf numFmtId="165" fontId="15" fillId="0" borderId="0" xfId="1" applyNumberFormat="1" applyFont="1" applyBorder="1"/>
    <xf numFmtId="3" fontId="15" fillId="0" borderId="0" xfId="0" applyNumberFormat="1" applyFont="1" applyBorder="1" applyAlignment="1">
      <alignment horizontal="center"/>
    </xf>
    <xf numFmtId="165" fontId="15" fillId="0" borderId="0" xfId="0" applyNumberFormat="1" applyFont="1" applyBorder="1"/>
    <xf numFmtId="168" fontId="18" fillId="2" borderId="1" xfId="0" applyNumberFormat="1" applyFont="1" applyFill="1" applyBorder="1" applyAlignment="1">
      <alignment vertical="center"/>
    </xf>
    <xf numFmtId="3" fontId="7" fillId="8" borderId="5" xfId="0" applyNumberFormat="1" applyFont="1" applyFill="1" applyBorder="1" applyAlignment="1">
      <alignment horizontal="center" vertical="center"/>
    </xf>
    <xf numFmtId="172" fontId="3" fillId="0" borderId="1" xfId="0" applyNumberFormat="1" applyFont="1" applyBorder="1" applyAlignment="1">
      <alignment horizontal="center"/>
    </xf>
    <xf numFmtId="170" fontId="7" fillId="8" borderId="1" xfId="0" applyNumberFormat="1" applyFont="1" applyFill="1" applyBorder="1" applyAlignment="1">
      <alignment horizontal="center" vertical="center"/>
    </xf>
    <xf numFmtId="169" fontId="7" fillId="0" borderId="1" xfId="1" applyNumberFormat="1" applyFont="1" applyBorder="1"/>
    <xf numFmtId="169" fontId="7" fillId="0" borderId="8" xfId="1" applyNumberFormat="1" applyFont="1" applyBorder="1"/>
    <xf numFmtId="0" fontId="18" fillId="2" borderId="5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/>
    </xf>
    <xf numFmtId="1" fontId="16" fillId="9" borderId="1" xfId="0" applyNumberFormat="1" applyFont="1" applyFill="1" applyBorder="1" applyAlignment="1">
      <alignment horizontal="center"/>
    </xf>
    <xf numFmtId="0" fontId="0" fillId="10" borderId="0" xfId="0" applyFill="1"/>
    <xf numFmtId="173" fontId="0" fillId="10" borderId="0" xfId="0" applyNumberFormat="1" applyFill="1"/>
    <xf numFmtId="0" fontId="16" fillId="10" borderId="0" xfId="0" applyFont="1" applyFill="1" applyBorder="1"/>
    <xf numFmtId="165" fontId="15" fillId="10" borderId="0" xfId="1" applyNumberFormat="1" applyFont="1" applyFill="1" applyBorder="1"/>
    <xf numFmtId="3" fontId="15" fillId="10" borderId="0" xfId="0" applyNumberFormat="1" applyFont="1" applyFill="1" applyBorder="1" applyAlignment="1">
      <alignment horizontal="center"/>
    </xf>
    <xf numFmtId="165" fontId="15" fillId="10" borderId="0" xfId="0" applyNumberFormat="1" applyFont="1" applyFill="1" applyBorder="1"/>
    <xf numFmtId="0" fontId="0" fillId="2" borderId="0" xfId="0" applyFill="1"/>
    <xf numFmtId="0" fontId="7" fillId="9" borderId="1" xfId="0" applyFont="1" applyFill="1" applyBorder="1" applyAlignment="1">
      <alignment horizontal="center" vertical="center"/>
    </xf>
    <xf numFmtId="3" fontId="7" fillId="9" borderId="1" xfId="0" applyNumberFormat="1" applyFont="1" applyFill="1" applyBorder="1" applyAlignment="1">
      <alignment horizontal="center" vertical="center"/>
    </xf>
    <xf numFmtId="3" fontId="6" fillId="0" borderId="0" xfId="0" applyNumberFormat="1" applyFont="1"/>
    <xf numFmtId="0" fontId="0" fillId="0" borderId="0" xfId="0" applyBorder="1"/>
    <xf numFmtId="0" fontId="0" fillId="0" borderId="0" xfId="0" applyBorder="1" applyAlignment="1"/>
    <xf numFmtId="0" fontId="15" fillId="0" borderId="0" xfId="0" applyFont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1" fontId="19" fillId="0" borderId="1" xfId="0" applyNumberFormat="1" applyFont="1" applyBorder="1"/>
    <xf numFmtId="0" fontId="18" fillId="0" borderId="1" xfId="0" applyFont="1" applyBorder="1" applyAlignment="1">
      <alignment horizontal="center"/>
    </xf>
    <xf numFmtId="3" fontId="20" fillId="2" borderId="1" xfId="1" applyNumberFormat="1" applyFont="1" applyFill="1" applyBorder="1" applyAlignment="1">
      <alignment horizontal="center" vertical="center"/>
    </xf>
    <xf numFmtId="0" fontId="24" fillId="0" borderId="0" xfId="0" applyFont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/>
    <xf numFmtId="0" fontId="26" fillId="0" borderId="1" xfId="0" applyFont="1" applyBorder="1"/>
    <xf numFmtId="1" fontId="19" fillId="0" borderId="0" xfId="0" applyNumberFormat="1" applyFont="1" applyFill="1" applyBorder="1"/>
    <xf numFmtId="0" fontId="24" fillId="0" borderId="0" xfId="0" applyFont="1" applyBorder="1"/>
    <xf numFmtId="0" fontId="26" fillId="0" borderId="0" xfId="0" applyFont="1" applyFill="1" applyBorder="1"/>
    <xf numFmtId="0" fontId="29" fillId="0" borderId="1" xfId="0" applyFont="1" applyBorder="1"/>
    <xf numFmtId="3" fontId="32" fillId="0" borderId="1" xfId="0" applyNumberFormat="1" applyFont="1" applyBorder="1" applyAlignment="1">
      <alignment horizontal="center"/>
    </xf>
    <xf numFmtId="3" fontId="33" fillId="2" borderId="1" xfId="1" applyNumberFormat="1" applyFont="1" applyFill="1" applyBorder="1" applyAlignment="1">
      <alignment horizontal="center" vertical="center"/>
    </xf>
    <xf numFmtId="3" fontId="32" fillId="2" borderId="1" xfId="0" applyNumberFormat="1" applyFont="1" applyFill="1" applyBorder="1" applyAlignment="1">
      <alignment horizontal="center" vertical="center"/>
    </xf>
    <xf numFmtId="3" fontId="34" fillId="2" borderId="2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16" fillId="0" borderId="1" xfId="0" applyFont="1" applyFill="1" applyBorder="1" applyAlignment="1">
      <alignment horizontal="center"/>
    </xf>
    <xf numFmtId="1" fontId="16" fillId="0" borderId="1" xfId="0" applyNumberFormat="1" applyFont="1" applyFill="1" applyBorder="1" applyAlignment="1">
      <alignment horizontal="center"/>
    </xf>
    <xf numFmtId="174" fontId="16" fillId="0" borderId="1" xfId="0" applyNumberFormat="1" applyFont="1" applyFill="1" applyBorder="1" applyAlignment="1">
      <alignment horizontal="center"/>
    </xf>
    <xf numFmtId="0" fontId="6" fillId="0" borderId="0" xfId="0" applyFont="1" applyBorder="1"/>
    <xf numFmtId="3" fontId="15" fillId="2" borderId="0" xfId="1" applyNumberFormat="1" applyFont="1" applyFill="1" applyBorder="1" applyAlignment="1">
      <alignment vertical="center"/>
    </xf>
    <xf numFmtId="3" fontId="10" fillId="2" borderId="0" xfId="1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/>
    </xf>
    <xf numFmtId="0" fontId="6" fillId="2" borderId="0" xfId="0" applyFont="1" applyFill="1"/>
    <xf numFmtId="1" fontId="16" fillId="2" borderId="0" xfId="0" applyNumberFormat="1" applyFont="1" applyFill="1" applyBorder="1" applyAlignment="1">
      <alignment horizontal="center"/>
    </xf>
    <xf numFmtId="0" fontId="0" fillId="0" borderId="1" xfId="0" applyBorder="1"/>
    <xf numFmtId="165" fontId="20" fillId="2" borderId="1" xfId="1" applyNumberFormat="1" applyFont="1" applyFill="1" applyBorder="1" applyAlignment="1">
      <alignment horizontal="center" vertical="center"/>
    </xf>
    <xf numFmtId="3" fontId="9" fillId="2" borderId="1" xfId="1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172" fontId="16" fillId="2" borderId="1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3" fontId="0" fillId="2" borderId="0" xfId="1" applyNumberFormat="1" applyFont="1" applyFill="1" applyBorder="1" applyAlignment="1">
      <alignment horizontal="right" vertical="center"/>
    </xf>
    <xf numFmtId="172" fontId="10" fillId="2" borderId="1" xfId="0" applyNumberFormat="1" applyFont="1" applyFill="1" applyBorder="1" applyAlignment="1">
      <alignment horizontal="center"/>
    </xf>
    <xf numFmtId="1" fontId="35" fillId="0" borderId="1" xfId="0" applyNumberFormat="1" applyFont="1" applyFill="1" applyBorder="1" applyAlignment="1">
      <alignment horizontal="center"/>
    </xf>
    <xf numFmtId="3" fontId="37" fillId="2" borderId="1" xfId="1" applyNumberFormat="1" applyFont="1" applyFill="1" applyBorder="1" applyAlignment="1">
      <alignment horizontal="center" vertical="center"/>
    </xf>
    <xf numFmtId="165" fontId="36" fillId="0" borderId="1" xfId="1" applyNumberFormat="1" applyFont="1" applyBorder="1"/>
    <xf numFmtId="1" fontId="36" fillId="0" borderId="1" xfId="0" applyNumberFormat="1" applyFont="1" applyFill="1" applyBorder="1" applyAlignment="1">
      <alignment horizontal="center"/>
    </xf>
    <xf numFmtId="10" fontId="36" fillId="0" borderId="1" xfId="0" applyNumberFormat="1" applyFont="1" applyFill="1" applyBorder="1" applyAlignment="1">
      <alignment horizontal="center"/>
    </xf>
    <xf numFmtId="10" fontId="36" fillId="0" borderId="1" xfId="4" applyNumberFormat="1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Alignment="1">
      <alignment horizontal="center"/>
    </xf>
    <xf numFmtId="174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3" fillId="12" borderId="0" xfId="0" applyFont="1" applyFill="1" applyAlignment="1">
      <alignment horizontal="center"/>
    </xf>
    <xf numFmtId="1" fontId="0" fillId="12" borderId="0" xfId="0" applyNumberFormat="1" applyFill="1"/>
    <xf numFmtId="0" fontId="0" fillId="12" borderId="0" xfId="0" applyFill="1"/>
    <xf numFmtId="1" fontId="3" fillId="12" borderId="0" xfId="0" applyNumberFormat="1" applyFont="1" applyFill="1"/>
    <xf numFmtId="1" fontId="0" fillId="2" borderId="0" xfId="0" applyNumberFormat="1" applyFill="1"/>
    <xf numFmtId="43" fontId="0" fillId="2" borderId="0" xfId="1" applyFont="1" applyFill="1"/>
    <xf numFmtId="1" fontId="0" fillId="8" borderId="0" xfId="0" applyNumberFormat="1" applyFill="1"/>
    <xf numFmtId="1" fontId="3" fillId="8" borderId="0" xfId="0" applyNumberFormat="1" applyFont="1" applyFill="1"/>
    <xf numFmtId="0" fontId="6" fillId="0" borderId="1" xfId="0" applyFont="1" applyBorder="1"/>
    <xf numFmtId="0" fontId="3" fillId="0" borderId="1" xfId="0" applyFont="1" applyBorder="1"/>
    <xf numFmtId="0" fontId="3" fillId="12" borderId="1" xfId="0" applyFont="1" applyFill="1" applyBorder="1" applyAlignment="1">
      <alignment horizontal="center"/>
    </xf>
    <xf numFmtId="1" fontId="0" fillId="12" borderId="1" xfId="0" applyNumberFormat="1" applyFill="1" applyBorder="1"/>
    <xf numFmtId="0" fontId="0" fillId="12" borderId="1" xfId="0" applyFill="1" applyBorder="1"/>
    <xf numFmtId="1" fontId="3" fillId="12" borderId="1" xfId="0" applyNumberFormat="1" applyFont="1" applyFill="1" applyBorder="1"/>
    <xf numFmtId="0" fontId="3" fillId="0" borderId="1" xfId="0" applyFont="1" applyBorder="1" applyAlignment="1">
      <alignment horizontal="center"/>
    </xf>
    <xf numFmtId="174" fontId="0" fillId="0" borderId="1" xfId="0" applyNumberFormat="1" applyBorder="1"/>
    <xf numFmtId="9" fontId="3" fillId="0" borderId="1" xfId="0" applyNumberFormat="1" applyFont="1" applyBorder="1"/>
    <xf numFmtId="0" fontId="3" fillId="13" borderId="1" xfId="0" applyFont="1" applyFill="1" applyBorder="1" applyAlignment="1">
      <alignment horizontal="center"/>
    </xf>
    <xf numFmtId="1" fontId="0" fillId="13" borderId="1" xfId="0" applyNumberFormat="1" applyFill="1" applyBorder="1"/>
    <xf numFmtId="1" fontId="3" fillId="13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" fontId="0" fillId="2" borderId="1" xfId="0" applyNumberFormat="1" applyFill="1" applyBorder="1"/>
    <xf numFmtId="1" fontId="3" fillId="2" borderId="1" xfId="0" applyNumberFormat="1" applyFont="1" applyFill="1" applyBorder="1"/>
    <xf numFmtId="0" fontId="6" fillId="0" borderId="1" xfId="0" applyFont="1" applyBorder="1" applyAlignment="1">
      <alignment horizontal="center"/>
    </xf>
    <xf numFmtId="1" fontId="4" fillId="0" borderId="1" xfId="0" applyNumberFormat="1" applyFont="1" applyBorder="1"/>
    <xf numFmtId="0" fontId="4" fillId="0" borderId="1" xfId="0" applyFont="1" applyBorder="1"/>
    <xf numFmtId="1" fontId="6" fillId="0" borderId="1" xfId="0" applyNumberFormat="1" applyFont="1" applyBorder="1"/>
    <xf numFmtId="0" fontId="5" fillId="0" borderId="1" xfId="0" applyFont="1" applyBorder="1" applyAlignment="1">
      <alignment horizontal="center"/>
    </xf>
    <xf numFmtId="1" fontId="2" fillId="0" borderId="1" xfId="0" applyNumberFormat="1" applyFont="1" applyBorder="1"/>
    <xf numFmtId="0" fontId="2" fillId="0" borderId="1" xfId="0" applyFont="1" applyBorder="1"/>
    <xf numFmtId="1" fontId="5" fillId="0" borderId="1" xfId="0" applyNumberFormat="1" applyFont="1" applyBorder="1"/>
    <xf numFmtId="1" fontId="0" fillId="0" borderId="1" xfId="0" applyNumberFormat="1" applyBorder="1"/>
    <xf numFmtId="0" fontId="6" fillId="2" borderId="1" xfId="0" applyFont="1" applyFill="1" applyBorder="1" applyAlignment="1">
      <alignment horizontal="center"/>
    </xf>
    <xf numFmtId="1" fontId="4" fillId="2" borderId="1" xfId="0" applyNumberFormat="1" applyFont="1" applyFill="1" applyBorder="1"/>
    <xf numFmtId="0" fontId="5" fillId="0" borderId="1" xfId="0" applyFont="1" applyBorder="1"/>
    <xf numFmtId="0" fontId="23" fillId="0" borderId="1" xfId="0" applyFont="1" applyBorder="1" applyAlignment="1">
      <alignment horizontal="center"/>
    </xf>
    <xf numFmtId="1" fontId="2" fillId="2" borderId="0" xfId="0" applyNumberFormat="1" applyFont="1" applyFill="1"/>
    <xf numFmtId="9" fontId="0" fillId="0" borderId="0" xfId="0" applyNumberFormat="1"/>
    <xf numFmtId="1" fontId="3" fillId="0" borderId="1" xfId="0" applyNumberFormat="1" applyFont="1" applyBorder="1"/>
    <xf numFmtId="43" fontId="0" fillId="0" borderId="0" xfId="0" applyNumberFormat="1"/>
    <xf numFmtId="1" fontId="0" fillId="13" borderId="4" xfId="0" applyNumberFormat="1" applyFill="1" applyBorder="1" applyAlignment="1">
      <alignment horizontal="center"/>
    </xf>
    <xf numFmtId="2" fontId="0" fillId="13" borderId="4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3" fontId="0" fillId="2" borderId="0" xfId="0" applyNumberFormat="1" applyFill="1"/>
    <xf numFmtId="165" fontId="0" fillId="0" borderId="1" xfId="1" applyNumberFormat="1" applyFont="1" applyBorder="1"/>
    <xf numFmtId="1" fontId="40" fillId="12" borderId="0" xfId="0" applyNumberFormat="1" applyFont="1" applyFill="1"/>
    <xf numFmtId="0" fontId="40" fillId="12" borderId="0" xfId="0" applyFont="1" applyFill="1"/>
    <xf numFmtId="0" fontId="0" fillId="0" borderId="0" xfId="0" applyFont="1"/>
    <xf numFmtId="1" fontId="4" fillId="0" borderId="0" xfId="0" applyNumberFormat="1" applyFont="1"/>
    <xf numFmtId="172" fontId="0" fillId="0" borderId="0" xfId="0" applyNumberFormat="1"/>
    <xf numFmtId="3" fontId="14" fillId="3" borderId="0" xfId="2" applyNumberFormat="1" applyFill="1"/>
    <xf numFmtId="3" fontId="0" fillId="3" borderId="0" xfId="0" applyNumberFormat="1" applyFill="1"/>
    <xf numFmtId="3" fontId="14" fillId="0" borderId="0" xfId="3" applyNumberFormat="1"/>
    <xf numFmtId="1" fontId="24" fillId="0" borderId="1" xfId="0" applyNumberFormat="1" applyFont="1" applyBorder="1"/>
    <xf numFmtId="165" fontId="0" fillId="0" borderId="0" xfId="0" applyNumberFormat="1" applyFill="1" applyBorder="1"/>
    <xf numFmtId="3" fontId="0" fillId="0" borderId="0" xfId="0" applyNumberFormat="1" applyFill="1" applyBorder="1"/>
    <xf numFmtId="0" fontId="44" fillId="14" borderId="12" xfId="0" applyFont="1" applyFill="1" applyBorder="1" applyAlignment="1">
      <alignment horizontal="center" wrapText="1"/>
    </xf>
    <xf numFmtId="0" fontId="44" fillId="14" borderId="14" xfId="0" applyFont="1" applyFill="1" applyBorder="1" applyAlignment="1">
      <alignment horizontal="center" wrapText="1"/>
    </xf>
    <xf numFmtId="0" fontId="47" fillId="15" borderId="11" xfId="0" applyFont="1" applyFill="1" applyBorder="1" applyAlignment="1">
      <alignment horizontal="center" wrapText="1"/>
    </xf>
    <xf numFmtId="0" fontId="47" fillId="0" borderId="11" xfId="0" applyFont="1" applyBorder="1" applyAlignment="1">
      <alignment horizontal="center" wrapText="1"/>
    </xf>
    <xf numFmtId="0" fontId="44" fillId="14" borderId="9" xfId="0" applyFont="1" applyFill="1" applyBorder="1" applyAlignment="1">
      <alignment horizontal="center" wrapText="1"/>
    </xf>
    <xf numFmtId="1" fontId="5" fillId="15" borderId="14" xfId="0" applyNumberFormat="1" applyFont="1" applyFill="1" applyBorder="1" applyAlignment="1">
      <alignment horizontal="center" wrapText="1"/>
    </xf>
    <xf numFmtId="0" fontId="47" fillId="11" borderId="11" xfId="0" applyFont="1" applyFill="1" applyBorder="1" applyAlignment="1">
      <alignment horizontal="center" wrapText="1"/>
    </xf>
    <xf numFmtId="0" fontId="47" fillId="11" borderId="14" xfId="0" applyFont="1" applyFill="1" applyBorder="1" applyAlignment="1">
      <alignment horizontal="center" wrapText="1"/>
    </xf>
    <xf numFmtId="1" fontId="47" fillId="11" borderId="14" xfId="0" applyNumberFormat="1" applyFont="1" applyFill="1" applyBorder="1" applyAlignment="1">
      <alignment horizontal="center" wrapText="1"/>
    </xf>
    <xf numFmtId="3" fontId="47" fillId="11" borderId="14" xfId="0" applyNumberFormat="1" applyFont="1" applyFill="1" applyBorder="1" applyAlignment="1">
      <alignment horizontal="center" wrapText="1"/>
    </xf>
    <xf numFmtId="0" fontId="43" fillId="6" borderId="11" xfId="0" applyFont="1" applyFill="1" applyBorder="1" applyAlignment="1">
      <alignment horizontal="center" wrapText="1"/>
    </xf>
    <xf numFmtId="1" fontId="43" fillId="6" borderId="14" xfId="0" applyNumberFormat="1" applyFont="1" applyFill="1" applyBorder="1" applyAlignment="1">
      <alignment horizontal="center" wrapText="1"/>
    </xf>
    <xf numFmtId="3" fontId="43" fillId="6" borderId="14" xfId="0" applyNumberFormat="1" applyFont="1" applyFill="1" applyBorder="1" applyAlignment="1">
      <alignment horizontal="center" wrapText="1"/>
    </xf>
    <xf numFmtId="0" fontId="43" fillId="6" borderId="14" xfId="0" applyFont="1" applyFill="1" applyBorder="1" applyAlignment="1">
      <alignment horizontal="center" wrapText="1"/>
    </xf>
    <xf numFmtId="0" fontId="46" fillId="17" borderId="13" xfId="0" applyFont="1" applyFill="1" applyBorder="1" applyAlignment="1">
      <alignment horizontal="center" wrapText="1"/>
    </xf>
    <xf numFmtId="0" fontId="46" fillId="17" borderId="14" xfId="0" applyFont="1" applyFill="1" applyBorder="1" applyAlignment="1">
      <alignment horizontal="center" wrapText="1"/>
    </xf>
    <xf numFmtId="0" fontId="46" fillId="17" borderId="16" xfId="0" applyFont="1" applyFill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1" fontId="46" fillId="17" borderId="17" xfId="0" applyNumberFormat="1" applyFont="1" applyFill="1" applyBorder="1" applyAlignment="1">
      <alignment horizontal="center" wrapText="1"/>
    </xf>
    <xf numFmtId="0" fontId="5" fillId="11" borderId="14" xfId="0" applyFont="1" applyFill="1" applyBorder="1" applyAlignment="1">
      <alignment horizontal="center" wrapText="1"/>
    </xf>
    <xf numFmtId="1" fontId="5" fillId="0" borderId="14" xfId="0" applyNumberFormat="1" applyFont="1" applyBorder="1" applyAlignment="1">
      <alignment horizontal="center" wrapText="1"/>
    </xf>
    <xf numFmtId="0" fontId="5" fillId="15" borderId="14" xfId="0" applyFont="1" applyFill="1" applyBorder="1" applyAlignment="1">
      <alignment horizontal="center" wrapText="1"/>
    </xf>
    <xf numFmtId="3" fontId="48" fillId="0" borderId="14" xfId="0" applyNumberFormat="1" applyFont="1" applyBorder="1" applyAlignment="1">
      <alignment horizontal="center" wrapText="1"/>
    </xf>
    <xf numFmtId="0" fontId="15" fillId="0" borderId="0" xfId="0" applyFont="1"/>
    <xf numFmtId="1" fontId="46" fillId="0" borderId="0" xfId="0" applyNumberFormat="1" applyFont="1" applyFill="1" applyBorder="1" applyAlignment="1">
      <alignment horizontal="center" wrapText="1"/>
    </xf>
    <xf numFmtId="0" fontId="46" fillId="0" borderId="0" xfId="0" applyFont="1" applyFill="1" applyBorder="1" applyAlignment="1">
      <alignment horizontal="center" wrapText="1"/>
    </xf>
    <xf numFmtId="3" fontId="5" fillId="0" borderId="0" xfId="0" applyNumberFormat="1" applyFont="1" applyFill="1" applyBorder="1" applyAlignment="1">
      <alignment horizontal="center" wrapText="1"/>
    </xf>
    <xf numFmtId="9" fontId="5" fillId="0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3" fontId="8" fillId="14" borderId="14" xfId="0" applyNumberFormat="1" applyFont="1" applyFill="1" applyBorder="1" applyAlignment="1">
      <alignment horizontal="center" wrapText="1"/>
    </xf>
    <xf numFmtId="0" fontId="48" fillId="0" borderId="11" xfId="0" applyFont="1" applyBorder="1" applyAlignment="1">
      <alignment wrapText="1"/>
    </xf>
    <xf numFmtId="9" fontId="48" fillId="0" borderId="14" xfId="0" applyNumberFormat="1" applyFont="1" applyBorder="1" applyAlignment="1">
      <alignment horizontal="center" wrapText="1"/>
    </xf>
    <xf numFmtId="0" fontId="48" fillId="0" borderId="14" xfId="0" applyFont="1" applyBorder="1" applyAlignment="1">
      <alignment horizontal="center" wrapText="1"/>
    </xf>
    <xf numFmtId="0" fontId="8" fillId="14" borderId="11" xfId="0" applyFont="1" applyFill="1" applyBorder="1" applyAlignment="1">
      <alignment horizontal="center" wrapText="1"/>
    </xf>
    <xf numFmtId="9" fontId="8" fillId="14" borderId="14" xfId="0" applyNumberFormat="1" applyFont="1" applyFill="1" applyBorder="1" applyAlignment="1">
      <alignment horizontal="center" wrapText="1"/>
    </xf>
    <xf numFmtId="174" fontId="47" fillId="11" borderId="14" xfId="0" applyNumberFormat="1" applyFont="1" applyFill="1" applyBorder="1" applyAlignment="1">
      <alignment horizontal="center" wrapText="1"/>
    </xf>
    <xf numFmtId="174" fontId="43" fillId="6" borderId="14" xfId="0" applyNumberFormat="1" applyFont="1" applyFill="1" applyBorder="1" applyAlignment="1">
      <alignment horizontal="center" wrapText="1"/>
    </xf>
    <xf numFmtId="174" fontId="46" fillId="17" borderId="14" xfId="0" applyNumberFormat="1" applyFont="1" applyFill="1" applyBorder="1" applyAlignment="1">
      <alignment horizontal="center" wrapText="1"/>
    </xf>
    <xf numFmtId="0" fontId="5" fillId="15" borderId="11" xfId="0" applyFont="1" applyFill="1" applyBorder="1" applyAlignment="1">
      <alignment horizontal="center" wrapText="1"/>
    </xf>
    <xf numFmtId="174" fontId="5" fillId="15" borderId="11" xfId="0" applyNumberFormat="1" applyFont="1" applyFill="1" applyBorder="1" applyAlignment="1">
      <alignment horizontal="center" wrapText="1"/>
    </xf>
    <xf numFmtId="174" fontId="5" fillId="0" borderId="14" xfId="0" applyNumberFormat="1" applyFont="1" applyBorder="1" applyAlignment="1">
      <alignment horizontal="center" wrapText="1"/>
    </xf>
    <xf numFmtId="174" fontId="5" fillId="15" borderId="14" xfId="0" applyNumberFormat="1" applyFont="1" applyFill="1" applyBorder="1" applyAlignment="1">
      <alignment horizontal="center" wrapText="1"/>
    </xf>
    <xf numFmtId="0" fontId="5" fillId="0" borderId="14" xfId="0" applyFont="1" applyFill="1" applyBorder="1" applyAlignment="1">
      <alignment horizontal="center" wrapText="1"/>
    </xf>
    <xf numFmtId="174" fontId="5" fillId="11" borderId="14" xfId="0" applyNumberFormat="1" applyFont="1" applyFill="1" applyBorder="1" applyAlignment="1">
      <alignment horizontal="center" wrapText="1"/>
    </xf>
    <xf numFmtId="0" fontId="50" fillId="0" borderId="14" xfId="0" applyFont="1" applyBorder="1" applyAlignment="1">
      <alignment horizontal="center" wrapText="1"/>
    </xf>
    <xf numFmtId="0" fontId="44" fillId="14" borderId="18" xfId="0" applyFont="1" applyFill="1" applyBorder="1" applyAlignment="1">
      <alignment horizontal="center" wrapText="1"/>
    </xf>
    <xf numFmtId="1" fontId="5" fillId="2" borderId="14" xfId="0" applyNumberFormat="1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9" fillId="0" borderId="11" xfId="0" applyFont="1" applyBorder="1" applyAlignment="1">
      <alignment wrapText="1"/>
    </xf>
    <xf numFmtId="0" fontId="7" fillId="14" borderId="11" xfId="0" applyFont="1" applyFill="1" applyBorder="1" applyAlignment="1">
      <alignment horizontal="center" wrapText="1"/>
    </xf>
    <xf numFmtId="3" fontId="53" fillId="0" borderId="14" xfId="0" applyNumberFormat="1" applyFont="1" applyBorder="1" applyAlignment="1">
      <alignment horizontal="center" wrapText="1"/>
    </xf>
    <xf numFmtId="0" fontId="9" fillId="2" borderId="11" xfId="0" applyFont="1" applyFill="1" applyBorder="1" applyAlignment="1">
      <alignment wrapText="1"/>
    </xf>
    <xf numFmtId="3" fontId="48" fillId="2" borderId="14" xfId="0" applyNumberFormat="1" applyFont="1" applyFill="1" applyBorder="1" applyAlignment="1">
      <alignment horizontal="center" wrapText="1"/>
    </xf>
    <xf numFmtId="0" fontId="20" fillId="0" borderId="11" xfId="0" applyFont="1" applyBorder="1" applyAlignment="1">
      <alignment horizontal="left" wrapText="1"/>
    </xf>
    <xf numFmtId="0" fontId="10" fillId="2" borderId="5" xfId="0" applyFont="1" applyFill="1" applyBorder="1" applyAlignment="1">
      <alignment horizontal="center" vertical="center"/>
    </xf>
    <xf numFmtId="9" fontId="3" fillId="0" borderId="1" xfId="4" applyFont="1" applyBorder="1" applyAlignment="1">
      <alignment horizontal="center"/>
    </xf>
    <xf numFmtId="0" fontId="56" fillId="15" borderId="25" xfId="0" applyFont="1" applyFill="1" applyBorder="1" applyAlignment="1">
      <alignment horizontal="center" vertical="center" wrapText="1" readingOrder="1"/>
    </xf>
    <xf numFmtId="3" fontId="56" fillId="15" borderId="25" xfId="0" applyNumberFormat="1" applyFont="1" applyFill="1" applyBorder="1" applyAlignment="1">
      <alignment horizontal="center" vertical="center" wrapText="1" readingOrder="1"/>
    </xf>
    <xf numFmtId="0" fontId="57" fillId="11" borderId="25" xfId="0" applyFont="1" applyFill="1" applyBorder="1" applyAlignment="1">
      <alignment horizontal="center" vertical="center" wrapText="1" readingOrder="1"/>
    </xf>
    <xf numFmtId="0" fontId="59" fillId="0" borderId="25" xfId="0" applyFont="1" applyBorder="1" applyAlignment="1">
      <alignment horizontal="center" vertical="center" wrapText="1" readingOrder="1"/>
    </xf>
    <xf numFmtId="0" fontId="57" fillId="16" borderId="25" xfId="0" applyFont="1" applyFill="1" applyBorder="1" applyAlignment="1">
      <alignment horizontal="center" vertical="center" wrapText="1" readingOrder="1"/>
    </xf>
    <xf numFmtId="1" fontId="57" fillId="11" borderId="25" xfId="0" applyNumberFormat="1" applyFont="1" applyFill="1" applyBorder="1" applyAlignment="1">
      <alignment horizontal="center" vertical="center" wrapText="1" readingOrder="1"/>
    </xf>
    <xf numFmtId="0" fontId="57" fillId="14" borderId="24" xfId="0" applyFont="1" applyFill="1" applyBorder="1" applyAlignment="1">
      <alignment horizontal="center" vertical="center" wrapText="1" readingOrder="1"/>
    </xf>
    <xf numFmtId="1" fontId="57" fillId="14" borderId="24" xfId="0" applyNumberFormat="1" applyFont="1" applyFill="1" applyBorder="1" applyAlignment="1">
      <alignment horizontal="center" vertical="center" wrapText="1" readingOrder="1"/>
    </xf>
    <xf numFmtId="0" fontId="59" fillId="18" borderId="25" xfId="0" applyFont="1" applyFill="1" applyBorder="1" applyAlignment="1">
      <alignment horizontal="left" vertical="center" wrapText="1" readingOrder="1"/>
    </xf>
    <xf numFmtId="1" fontId="59" fillId="18" borderId="25" xfId="0" applyNumberFormat="1" applyFont="1" applyFill="1" applyBorder="1" applyAlignment="1">
      <alignment horizontal="center" vertical="center" wrapText="1" readingOrder="1"/>
    </xf>
    <xf numFmtId="0" fontId="59" fillId="0" borderId="25" xfId="0" applyFont="1" applyBorder="1" applyAlignment="1">
      <alignment horizontal="left" vertical="center" wrapText="1" readingOrder="1"/>
    </xf>
    <xf numFmtId="1" fontId="59" fillId="0" borderId="25" xfId="0" applyNumberFormat="1" applyFont="1" applyBorder="1" applyAlignment="1">
      <alignment horizontal="center" vertical="center" wrapText="1" readingOrder="1"/>
    </xf>
    <xf numFmtId="3" fontId="59" fillId="18" borderId="25" xfId="0" applyNumberFormat="1" applyFont="1" applyFill="1" applyBorder="1" applyAlignment="1">
      <alignment horizontal="center" vertical="center" wrapText="1" readingOrder="1"/>
    </xf>
    <xf numFmtId="1" fontId="59" fillId="2" borderId="25" xfId="0" applyNumberFormat="1" applyFont="1" applyFill="1" applyBorder="1" applyAlignment="1">
      <alignment horizontal="center" vertical="center" wrapText="1" readingOrder="1"/>
    </xf>
    <xf numFmtId="0" fontId="21" fillId="0" borderId="0" xfId="0" applyFont="1" applyAlignment="1"/>
    <xf numFmtId="0" fontId="8" fillId="11" borderId="26" xfId="0" applyFont="1" applyFill="1" applyBorder="1" applyAlignment="1">
      <alignment vertical="center"/>
    </xf>
    <xf numFmtId="0" fontId="8" fillId="11" borderId="26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/>
    </xf>
    <xf numFmtId="9" fontId="0" fillId="0" borderId="0" xfId="4" applyFont="1"/>
    <xf numFmtId="1" fontId="26" fillId="0" borderId="1" xfId="0" applyNumberFormat="1" applyFont="1" applyBorder="1"/>
    <xf numFmtId="0" fontId="0" fillId="0" borderId="23" xfId="0" applyBorder="1"/>
    <xf numFmtId="1" fontId="62" fillId="0" borderId="1" xfId="0" applyNumberFormat="1" applyFont="1" applyBorder="1"/>
    <xf numFmtId="0" fontId="62" fillId="0" borderId="1" xfId="0" applyFont="1" applyBorder="1"/>
    <xf numFmtId="165" fontId="27" fillId="0" borderId="0" xfId="1" applyNumberFormat="1" applyFont="1"/>
    <xf numFmtId="1" fontId="27" fillId="0" borderId="0" xfId="0" applyNumberFormat="1" applyFont="1"/>
    <xf numFmtId="1" fontId="28" fillId="0" borderId="0" xfId="0" applyNumberFormat="1" applyFont="1"/>
    <xf numFmtId="165" fontId="17" fillId="0" borderId="0" xfId="1" applyNumberFormat="1" applyFont="1"/>
    <xf numFmtId="165" fontId="28" fillId="0" borderId="0" xfId="1" applyNumberFormat="1" applyFont="1"/>
    <xf numFmtId="0" fontId="19" fillId="19" borderId="1" xfId="0" applyFont="1" applyFill="1" applyBorder="1"/>
    <xf numFmtId="1" fontId="19" fillId="19" borderId="1" xfId="0" applyNumberFormat="1" applyFont="1" applyFill="1" applyBorder="1"/>
    <xf numFmtId="165" fontId="4" fillId="0" borderId="0" xfId="1" applyNumberFormat="1" applyFont="1"/>
    <xf numFmtId="165" fontId="0" fillId="2" borderId="0" xfId="1" applyNumberFormat="1" applyFont="1" applyFill="1"/>
    <xf numFmtId="1" fontId="8" fillId="3" borderId="1" xfId="0" applyNumberFormat="1" applyFont="1" applyFill="1" applyBorder="1"/>
    <xf numFmtId="0" fontId="8" fillId="3" borderId="1" xfId="0" applyFont="1" applyFill="1" applyBorder="1"/>
    <xf numFmtId="0" fontId="5" fillId="0" borderId="0" xfId="0" applyFont="1"/>
    <xf numFmtId="1" fontId="19" fillId="0" borderId="1" xfId="0" applyNumberFormat="1" applyFont="1" applyBorder="1" applyAlignment="1">
      <alignment horizontal="center"/>
    </xf>
    <xf numFmtId="0" fontId="19" fillId="20" borderId="1" xfId="0" applyFont="1" applyFill="1" applyBorder="1"/>
    <xf numFmtId="1" fontId="19" fillId="20" borderId="1" xfId="0" applyNumberFormat="1" applyFont="1" applyFill="1" applyBorder="1"/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25" fillId="5" borderId="1" xfId="0" applyFont="1" applyFill="1" applyBorder="1" applyAlignment="1">
      <alignment horizontal="center"/>
    </xf>
    <xf numFmtId="165" fontId="25" fillId="5" borderId="1" xfId="1" applyNumberFormat="1" applyFont="1" applyFill="1" applyBorder="1"/>
    <xf numFmtId="0" fontId="25" fillId="5" borderId="1" xfId="0" applyFont="1" applyFill="1" applyBorder="1"/>
    <xf numFmtId="1" fontId="25" fillId="5" borderId="1" xfId="0" applyNumberFormat="1" applyFont="1" applyFill="1" applyBorder="1" applyAlignment="1">
      <alignment horizontal="center"/>
    </xf>
    <xf numFmtId="1" fontId="25" fillId="5" borderId="1" xfId="0" applyNumberFormat="1" applyFont="1" applyFill="1" applyBorder="1"/>
    <xf numFmtId="165" fontId="25" fillId="5" borderId="1" xfId="1" applyNumberFormat="1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5" xfId="0" applyFont="1" applyFill="1" applyBorder="1" applyAlignment="1">
      <alignment horizontal="center"/>
    </xf>
    <xf numFmtId="0" fontId="10" fillId="19" borderId="1" xfId="0" applyFont="1" applyFill="1" applyBorder="1" applyAlignment="1">
      <alignment horizontal="center" vertical="center"/>
    </xf>
    <xf numFmtId="165" fontId="10" fillId="19" borderId="1" xfId="1" applyNumberFormat="1" applyFont="1" applyFill="1" applyBorder="1"/>
    <xf numFmtId="165" fontId="63" fillId="2" borderId="1" xfId="1" applyNumberFormat="1" applyFont="1" applyFill="1" applyBorder="1" applyAlignment="1">
      <alignment horizontal="center" vertical="center"/>
    </xf>
    <xf numFmtId="3" fontId="63" fillId="2" borderId="1" xfId="1" applyNumberFormat="1" applyFont="1" applyFill="1" applyBorder="1" applyAlignment="1">
      <alignment horizontal="center" vertical="center"/>
    </xf>
    <xf numFmtId="43" fontId="3" fillId="0" borderId="1" xfId="1" applyFont="1" applyBorder="1" applyAlignment="1">
      <alignment horizontal="center"/>
    </xf>
    <xf numFmtId="0" fontId="64" fillId="0" borderId="1" xfId="0" applyFont="1" applyBorder="1"/>
    <xf numFmtId="43" fontId="3" fillId="0" borderId="1" xfId="1" applyFont="1" applyBorder="1"/>
    <xf numFmtId="43" fontId="4" fillId="0" borderId="1" xfId="0" applyNumberFormat="1" applyFont="1" applyBorder="1"/>
    <xf numFmtId="0" fontId="0" fillId="8" borderId="1" xfId="0" applyFill="1" applyBorder="1"/>
    <xf numFmtId="1" fontId="0" fillId="8" borderId="1" xfId="0" applyNumberFormat="1" applyFill="1" applyBorder="1"/>
    <xf numFmtId="165" fontId="3" fillId="0" borderId="1" xfId="1" applyNumberFormat="1" applyFont="1" applyBorder="1"/>
    <xf numFmtId="165" fontId="4" fillId="0" borderId="1" xfId="0" applyNumberFormat="1" applyFont="1" applyBorder="1"/>
    <xf numFmtId="0" fontId="0" fillId="0" borderId="27" xfId="0" applyBorder="1"/>
    <xf numFmtId="0" fontId="0" fillId="0" borderId="28" xfId="0" applyBorder="1"/>
    <xf numFmtId="0" fontId="25" fillId="2" borderId="0" xfId="0" applyFont="1" applyFill="1" applyBorder="1" applyAlignment="1">
      <alignment horizontal="center"/>
    </xf>
    <xf numFmtId="0" fontId="25" fillId="2" borderId="7" xfId="0" applyFont="1" applyFill="1" applyBorder="1" applyAlignment="1">
      <alignment horizontal="center"/>
    </xf>
    <xf numFmtId="0" fontId="25" fillId="2" borderId="8" xfId="0" applyFont="1" applyFill="1" applyBorder="1" applyAlignment="1">
      <alignment horizontal="center"/>
    </xf>
    <xf numFmtId="0" fontId="24" fillId="2" borderId="0" xfId="0" applyFont="1" applyFill="1"/>
    <xf numFmtId="0" fontId="25" fillId="2" borderId="6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19" fillId="2" borderId="1" xfId="0" applyFont="1" applyFill="1" applyBorder="1"/>
    <xf numFmtId="1" fontId="19" fillId="2" borderId="0" xfId="0" applyNumberFormat="1" applyFont="1" applyFill="1" applyBorder="1"/>
    <xf numFmtId="0" fontId="6" fillId="2" borderId="1" xfId="0" applyFont="1" applyFill="1" applyBorder="1"/>
    <xf numFmtId="0" fontId="3" fillId="2" borderId="1" xfId="0" applyFont="1" applyFill="1" applyBorder="1"/>
    <xf numFmtId="0" fontId="19" fillId="21" borderId="1" xfId="0" applyFont="1" applyFill="1" applyBorder="1"/>
    <xf numFmtId="165" fontId="0" fillId="21" borderId="1" xfId="1" applyNumberFormat="1" applyFont="1" applyFill="1" applyBorder="1"/>
    <xf numFmtId="1" fontId="4" fillId="12" borderId="0" xfId="0" applyNumberFormat="1" applyFont="1" applyFill="1"/>
    <xf numFmtId="0" fontId="0" fillId="21" borderId="1" xfId="0" applyFill="1" applyBorder="1"/>
    <xf numFmtId="0" fontId="16" fillId="21" borderId="3" xfId="0" applyFont="1" applyFill="1" applyBorder="1" applyAlignment="1">
      <alignment horizontal="center"/>
    </xf>
    <xf numFmtId="0" fontId="16" fillId="21" borderId="5" xfId="0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7" fontId="7" fillId="2" borderId="1" xfId="0" applyNumberFormat="1" applyFont="1" applyFill="1" applyBorder="1" applyAlignment="1">
      <alignment horizontal="center" vertical="center"/>
    </xf>
    <xf numFmtId="171" fontId="6" fillId="0" borderId="0" xfId="0" applyNumberFormat="1" applyFont="1"/>
    <xf numFmtId="0" fontId="10" fillId="2" borderId="0" xfId="0" applyFont="1" applyFill="1" applyBorder="1" applyAlignment="1">
      <alignment horizontal="center" vertical="center"/>
    </xf>
    <xf numFmtId="172" fontId="16" fillId="2" borderId="0" xfId="0" applyNumberFormat="1" applyFont="1" applyFill="1" applyBorder="1" applyAlignment="1">
      <alignment horizontal="center"/>
    </xf>
    <xf numFmtId="165" fontId="12" fillId="0" borderId="39" xfId="1" applyNumberFormat="1" applyFont="1" applyBorder="1" applyAlignment="1">
      <alignment horizontal="left" indent="2"/>
    </xf>
    <xf numFmtId="165" fontId="11" fillId="0" borderId="40" xfId="1" applyNumberFormat="1" applyFont="1" applyBorder="1" applyAlignment="1">
      <alignment horizontal="left" indent="2"/>
    </xf>
    <xf numFmtId="165" fontId="11" fillId="0" borderId="41" xfId="1" applyNumberFormat="1" applyFont="1" applyBorder="1" applyAlignment="1">
      <alignment horizontal="left" indent="2"/>
    </xf>
    <xf numFmtId="165" fontId="12" fillId="7" borderId="42" xfId="1" applyNumberFormat="1" applyFont="1" applyFill="1" applyBorder="1" applyAlignment="1">
      <alignment horizontal="left" indent="1"/>
    </xf>
    <xf numFmtId="165" fontId="12" fillId="0" borderId="43" xfId="1" applyNumberFormat="1" applyFont="1" applyBorder="1" applyAlignment="1">
      <alignment horizontal="left" indent="2"/>
    </xf>
    <xf numFmtId="165" fontId="11" fillId="0" borderId="43" xfId="1" applyNumberFormat="1" applyFont="1" applyBorder="1" applyAlignment="1">
      <alignment horizontal="left" indent="2"/>
    </xf>
    <xf numFmtId="165" fontId="11" fillId="0" borderId="44" xfId="1" applyNumberFormat="1" applyFont="1" applyBorder="1" applyAlignment="1">
      <alignment horizontal="left" indent="2"/>
    </xf>
    <xf numFmtId="165" fontId="11" fillId="0" borderId="45" xfId="1" applyNumberFormat="1" applyFont="1" applyBorder="1" applyAlignment="1">
      <alignment horizontal="left" indent="2"/>
    </xf>
    <xf numFmtId="165" fontId="11" fillId="0" borderId="46" xfId="1" applyNumberFormat="1" applyFont="1" applyBorder="1" applyAlignment="1">
      <alignment horizontal="left" indent="2"/>
    </xf>
    <xf numFmtId="165" fontId="12" fillId="7" borderId="47" xfId="1" applyNumberFormat="1" applyFont="1" applyFill="1" applyBorder="1" applyAlignment="1">
      <alignment horizontal="left" indent="1"/>
    </xf>
    <xf numFmtId="165" fontId="12" fillId="3" borderId="29" xfId="1" applyNumberFormat="1" applyFont="1" applyFill="1" applyBorder="1" applyAlignment="1">
      <alignment horizontal="left" indent="1"/>
    </xf>
    <xf numFmtId="165" fontId="39" fillId="3" borderId="29" xfId="1" applyNumberFormat="1" applyFont="1" applyFill="1" applyBorder="1" applyAlignment="1">
      <alignment horizontal="center"/>
    </xf>
    <xf numFmtId="165" fontId="39" fillId="3" borderId="30" xfId="1" applyNumberFormat="1" applyFont="1" applyFill="1" applyBorder="1" applyAlignment="1">
      <alignment horizontal="center"/>
    </xf>
    <xf numFmtId="165" fontId="39" fillId="3" borderId="64" xfId="1" applyNumberFormat="1" applyFont="1" applyFill="1" applyBorder="1" applyAlignment="1">
      <alignment horizontal="center"/>
    </xf>
    <xf numFmtId="3" fontId="38" fillId="4" borderId="48" xfId="0" applyNumberFormat="1" applyFont="1" applyFill="1" applyBorder="1" applyAlignment="1">
      <alignment horizontal="center"/>
    </xf>
    <xf numFmtId="3" fontId="66" fillId="4" borderId="49" xfId="0" applyNumberFormat="1" applyFont="1" applyFill="1" applyBorder="1" applyAlignment="1">
      <alignment horizontal="center"/>
    </xf>
    <xf numFmtId="165" fontId="39" fillId="2" borderId="48" xfId="1" applyNumberFormat="1" applyFont="1" applyFill="1" applyBorder="1" applyAlignment="1">
      <alignment horizontal="center"/>
    </xf>
    <xf numFmtId="165" fontId="39" fillId="2" borderId="49" xfId="1" applyNumberFormat="1" applyFont="1" applyFill="1" applyBorder="1" applyAlignment="1">
      <alignment horizontal="center"/>
    </xf>
    <xf numFmtId="165" fontId="39" fillId="2" borderId="31" xfId="1" applyNumberFormat="1" applyFont="1" applyFill="1" applyBorder="1" applyAlignment="1">
      <alignment horizontal="center"/>
    </xf>
    <xf numFmtId="165" fontId="39" fillId="2" borderId="65" xfId="1" applyNumberFormat="1" applyFont="1" applyFill="1" applyBorder="1" applyAlignment="1">
      <alignment horizontal="center"/>
    </xf>
    <xf numFmtId="3" fontId="38" fillId="4" borderId="50" xfId="0" applyNumberFormat="1" applyFont="1" applyFill="1" applyBorder="1" applyAlignment="1">
      <alignment horizontal="center"/>
    </xf>
    <xf numFmtId="3" fontId="66" fillId="4" borderId="51" xfId="0" applyNumberFormat="1" applyFont="1" applyFill="1" applyBorder="1" applyAlignment="1">
      <alignment horizontal="center"/>
    </xf>
    <xf numFmtId="165" fontId="38" fillId="2" borderId="50" xfId="1" applyNumberFormat="1" applyFont="1" applyFill="1" applyBorder="1" applyAlignment="1">
      <alignment horizontal="center"/>
    </xf>
    <xf numFmtId="165" fontId="66" fillId="2" borderId="51" xfId="1" applyNumberFormat="1" applyFont="1" applyFill="1" applyBorder="1" applyAlignment="1">
      <alignment horizontal="center"/>
    </xf>
    <xf numFmtId="165" fontId="38" fillId="2" borderId="32" xfId="1" applyNumberFormat="1" applyFont="1" applyFill="1" applyBorder="1" applyAlignment="1">
      <alignment horizontal="center"/>
    </xf>
    <xf numFmtId="165" fontId="66" fillId="2" borderId="66" xfId="1" applyNumberFormat="1" applyFont="1" applyFill="1" applyBorder="1" applyAlignment="1">
      <alignment horizontal="center"/>
    </xf>
    <xf numFmtId="165" fontId="61" fillId="2" borderId="32" xfId="1" applyNumberFormat="1" applyFont="1" applyFill="1" applyBorder="1" applyAlignment="1">
      <alignment horizontal="center"/>
    </xf>
    <xf numFmtId="165" fontId="61" fillId="2" borderId="66" xfId="1" applyNumberFormat="1" applyFont="1" applyFill="1" applyBorder="1" applyAlignment="1">
      <alignment horizontal="center"/>
    </xf>
    <xf numFmtId="165" fontId="65" fillId="2" borderId="51" xfId="1" applyNumberFormat="1" applyFont="1" applyFill="1" applyBorder="1" applyAlignment="1">
      <alignment horizontal="center"/>
    </xf>
    <xf numFmtId="3" fontId="61" fillId="4" borderId="51" xfId="0" applyNumberFormat="1" applyFont="1" applyFill="1" applyBorder="1" applyAlignment="1">
      <alignment horizontal="center"/>
    </xf>
    <xf numFmtId="165" fontId="42" fillId="2" borderId="50" xfId="1" applyNumberFormat="1" applyFont="1" applyFill="1" applyBorder="1" applyAlignment="1">
      <alignment horizontal="center"/>
    </xf>
    <xf numFmtId="165" fontId="42" fillId="2" borderId="32" xfId="1" applyNumberFormat="1" applyFont="1" applyFill="1" applyBorder="1" applyAlignment="1">
      <alignment horizontal="center"/>
    </xf>
    <xf numFmtId="165" fontId="65" fillId="2" borderId="66" xfId="1" applyNumberFormat="1" applyFont="1" applyFill="1" applyBorder="1" applyAlignment="1">
      <alignment horizontal="center"/>
    </xf>
    <xf numFmtId="0" fontId="41" fillId="4" borderId="50" xfId="0" applyFont="1" applyFill="1" applyBorder="1" applyAlignment="1">
      <alignment horizontal="center"/>
    </xf>
    <xf numFmtId="0" fontId="41" fillId="4" borderId="51" xfId="0" applyFont="1" applyFill="1" applyBorder="1" applyAlignment="1">
      <alignment horizontal="center"/>
    </xf>
    <xf numFmtId="165" fontId="39" fillId="2" borderId="50" xfId="1" applyNumberFormat="1" applyFont="1" applyFill="1" applyBorder="1" applyAlignment="1">
      <alignment horizontal="center"/>
    </xf>
    <xf numFmtId="165" fontId="39" fillId="2" borderId="51" xfId="1" applyNumberFormat="1" applyFont="1" applyFill="1" applyBorder="1" applyAlignment="1">
      <alignment horizontal="center"/>
    </xf>
    <xf numFmtId="165" fontId="39" fillId="2" borderId="32" xfId="1" applyNumberFormat="1" applyFont="1" applyFill="1" applyBorder="1" applyAlignment="1">
      <alignment horizontal="center"/>
    </xf>
    <xf numFmtId="165" fontId="39" fillId="2" borderId="66" xfId="1" applyNumberFormat="1" applyFont="1" applyFill="1" applyBorder="1" applyAlignment="1">
      <alignment horizontal="center"/>
    </xf>
    <xf numFmtId="3" fontId="61" fillId="4" borderId="50" xfId="0" applyNumberFormat="1" applyFont="1" applyFill="1" applyBorder="1" applyAlignment="1">
      <alignment horizontal="center"/>
    </xf>
    <xf numFmtId="0" fontId="41" fillId="4" borderId="52" xfId="0" applyFont="1" applyFill="1" applyBorder="1" applyAlignment="1">
      <alignment horizontal="center"/>
    </xf>
    <xf numFmtId="0" fontId="41" fillId="4" borderId="53" xfId="0" applyFont="1" applyFill="1" applyBorder="1" applyAlignment="1">
      <alignment horizontal="center"/>
    </xf>
    <xf numFmtId="165" fontId="41" fillId="2" borderId="52" xfId="1" applyNumberFormat="1" applyFont="1" applyFill="1" applyBorder="1" applyAlignment="1">
      <alignment horizontal="center"/>
    </xf>
    <xf numFmtId="165" fontId="41" fillId="2" borderId="53" xfId="1" applyNumberFormat="1" applyFont="1" applyFill="1" applyBorder="1" applyAlignment="1">
      <alignment horizontal="center"/>
    </xf>
    <xf numFmtId="165" fontId="41" fillId="2" borderId="33" xfId="1" applyNumberFormat="1" applyFont="1" applyFill="1" applyBorder="1" applyAlignment="1">
      <alignment horizontal="center"/>
    </xf>
    <xf numFmtId="165" fontId="41" fillId="2" borderId="67" xfId="1" applyNumberFormat="1" applyFont="1" applyFill="1" applyBorder="1" applyAlignment="1">
      <alignment horizontal="center"/>
    </xf>
    <xf numFmtId="3" fontId="42" fillId="4" borderId="54" xfId="0" applyNumberFormat="1" applyFont="1" applyFill="1" applyBorder="1" applyAlignment="1">
      <alignment horizontal="center"/>
    </xf>
    <xf numFmtId="3" fontId="66" fillId="4" borderId="55" xfId="0" applyNumberFormat="1" applyFont="1" applyFill="1" applyBorder="1" applyAlignment="1">
      <alignment horizontal="center"/>
    </xf>
    <xf numFmtId="165" fontId="39" fillId="7" borderId="54" xfId="1" applyNumberFormat="1" applyFont="1" applyFill="1" applyBorder="1" applyAlignment="1">
      <alignment horizontal="center"/>
    </xf>
    <xf numFmtId="165" fontId="39" fillId="7" borderId="55" xfId="1" applyNumberFormat="1" applyFont="1" applyFill="1" applyBorder="1" applyAlignment="1">
      <alignment horizontal="center"/>
    </xf>
    <xf numFmtId="165" fontId="39" fillId="7" borderId="34" xfId="1" applyNumberFormat="1" applyFont="1" applyFill="1" applyBorder="1" applyAlignment="1">
      <alignment horizontal="center"/>
    </xf>
    <xf numFmtId="165" fontId="39" fillId="7" borderId="68" xfId="1" applyNumberFormat="1" applyFont="1" applyFill="1" applyBorder="1" applyAlignment="1">
      <alignment horizontal="center"/>
    </xf>
    <xf numFmtId="3" fontId="38" fillId="4" borderId="56" xfId="0" applyNumberFormat="1" applyFont="1" applyFill="1" applyBorder="1" applyAlignment="1">
      <alignment horizontal="center"/>
    </xf>
    <xf numFmtId="3" fontId="66" fillId="4" borderId="57" xfId="0" applyNumberFormat="1" applyFont="1" applyFill="1" applyBorder="1" applyAlignment="1">
      <alignment horizontal="center"/>
    </xf>
    <xf numFmtId="165" fontId="39" fillId="2" borderId="56" xfId="1" applyNumberFormat="1" applyFont="1" applyFill="1" applyBorder="1" applyAlignment="1">
      <alignment horizontal="center"/>
    </xf>
    <xf numFmtId="165" fontId="39" fillId="2" borderId="57" xfId="1" applyNumberFormat="1" applyFont="1" applyFill="1" applyBorder="1" applyAlignment="1">
      <alignment horizontal="center"/>
    </xf>
    <xf numFmtId="165" fontId="39" fillId="2" borderId="35" xfId="1" applyNumberFormat="1" applyFont="1" applyFill="1" applyBorder="1" applyAlignment="1">
      <alignment horizontal="center"/>
    </xf>
    <xf numFmtId="165" fontId="39" fillId="2" borderId="69" xfId="1" applyNumberFormat="1" applyFont="1" applyFill="1" applyBorder="1" applyAlignment="1">
      <alignment horizontal="center"/>
    </xf>
    <xf numFmtId="3" fontId="38" fillId="4" borderId="52" xfId="0" applyNumberFormat="1" applyFont="1" applyFill="1" applyBorder="1" applyAlignment="1">
      <alignment horizontal="center"/>
    </xf>
    <xf numFmtId="3" fontId="66" fillId="4" borderId="53" xfId="0" applyNumberFormat="1" applyFont="1" applyFill="1" applyBorder="1" applyAlignment="1">
      <alignment horizontal="center"/>
    </xf>
    <xf numFmtId="165" fontId="42" fillId="2" borderId="52" xfId="1" applyNumberFormat="1" applyFont="1" applyFill="1" applyBorder="1" applyAlignment="1">
      <alignment horizontal="center"/>
    </xf>
    <xf numFmtId="165" fontId="66" fillId="2" borderId="53" xfId="1" applyNumberFormat="1" applyFont="1" applyFill="1" applyBorder="1" applyAlignment="1">
      <alignment horizontal="center"/>
    </xf>
    <xf numFmtId="165" fontId="42" fillId="2" borderId="33" xfId="1" applyNumberFormat="1" applyFont="1" applyFill="1" applyBorder="1" applyAlignment="1">
      <alignment horizontal="center"/>
    </xf>
    <xf numFmtId="165" fontId="66" fillId="2" borderId="67" xfId="1" applyNumberFormat="1" applyFont="1" applyFill="1" applyBorder="1" applyAlignment="1">
      <alignment horizontal="center"/>
    </xf>
    <xf numFmtId="3" fontId="38" fillId="4" borderId="58" xfId="0" applyNumberFormat="1" applyFont="1" applyFill="1" applyBorder="1" applyAlignment="1">
      <alignment horizontal="center"/>
    </xf>
    <xf numFmtId="3" fontId="61" fillId="4" borderId="59" xfId="0" applyNumberFormat="1" applyFont="1" applyFill="1" applyBorder="1" applyAlignment="1">
      <alignment horizontal="center"/>
    </xf>
    <xf numFmtId="165" fontId="39" fillId="2" borderId="58" xfId="1" applyNumberFormat="1" applyFont="1" applyFill="1" applyBorder="1" applyAlignment="1">
      <alignment horizontal="center"/>
    </xf>
    <xf numFmtId="165" fontId="39" fillId="2" borderId="59" xfId="1" applyNumberFormat="1" applyFont="1" applyFill="1" applyBorder="1" applyAlignment="1">
      <alignment horizontal="center"/>
    </xf>
    <xf numFmtId="165" fontId="39" fillId="2" borderId="36" xfId="1" applyNumberFormat="1" applyFont="1" applyFill="1" applyBorder="1" applyAlignment="1">
      <alignment horizontal="center"/>
    </xf>
    <xf numFmtId="165" fontId="39" fillId="2" borderId="70" xfId="1" applyNumberFormat="1" applyFont="1" applyFill="1" applyBorder="1" applyAlignment="1">
      <alignment horizontal="center"/>
    </xf>
    <xf numFmtId="3" fontId="38" fillId="4" borderId="60" xfId="0" applyNumberFormat="1" applyFont="1" applyFill="1" applyBorder="1" applyAlignment="1">
      <alignment horizontal="center"/>
    </xf>
    <xf numFmtId="1" fontId="39" fillId="2" borderId="60" xfId="1" applyNumberFormat="1" applyFont="1" applyFill="1" applyBorder="1" applyAlignment="1">
      <alignment horizontal="center"/>
    </xf>
    <xf numFmtId="1" fontId="39" fillId="2" borderId="61" xfId="1" applyNumberFormat="1" applyFont="1" applyFill="1" applyBorder="1" applyAlignment="1">
      <alignment horizontal="center"/>
    </xf>
    <xf numFmtId="1" fontId="39" fillId="2" borderId="37" xfId="1" applyNumberFormat="1" applyFont="1" applyFill="1" applyBorder="1" applyAlignment="1">
      <alignment horizontal="center"/>
    </xf>
    <xf numFmtId="1" fontId="39" fillId="2" borderId="71" xfId="1" applyNumberFormat="1" applyFont="1" applyFill="1" applyBorder="1" applyAlignment="1">
      <alignment horizontal="center"/>
    </xf>
    <xf numFmtId="3" fontId="61" fillId="4" borderId="57" xfId="0" applyNumberFormat="1" applyFont="1" applyFill="1" applyBorder="1" applyAlignment="1">
      <alignment horizontal="center"/>
    </xf>
    <xf numFmtId="165" fontId="41" fillId="2" borderId="56" xfId="1" applyNumberFormat="1" applyFont="1" applyFill="1" applyBorder="1" applyAlignment="1">
      <alignment horizontal="center"/>
    </xf>
    <xf numFmtId="165" fontId="41" fillId="2" borderId="35" xfId="1" applyNumberFormat="1" applyFont="1" applyFill="1" applyBorder="1" applyAlignment="1">
      <alignment horizontal="center"/>
    </xf>
    <xf numFmtId="3" fontId="42" fillId="4" borderId="52" xfId="0" applyNumberFormat="1" applyFont="1" applyFill="1" applyBorder="1" applyAlignment="1">
      <alignment horizontal="center"/>
    </xf>
    <xf numFmtId="165" fontId="38" fillId="2" borderId="52" xfId="1" applyNumberFormat="1" applyFont="1" applyFill="1" applyBorder="1" applyAlignment="1">
      <alignment horizontal="center"/>
    </xf>
    <xf numFmtId="165" fontId="38" fillId="2" borderId="33" xfId="1" applyNumberFormat="1" applyFont="1" applyFill="1" applyBorder="1" applyAlignment="1">
      <alignment horizontal="center"/>
    </xf>
    <xf numFmtId="3" fontId="42" fillId="4" borderId="62" xfId="0" applyNumberFormat="1" applyFont="1" applyFill="1" applyBorder="1" applyAlignment="1">
      <alignment horizontal="center"/>
    </xf>
    <xf numFmtId="3" fontId="66" fillId="4" borderId="63" xfId="0" applyNumberFormat="1" applyFont="1" applyFill="1" applyBorder="1" applyAlignment="1">
      <alignment horizontal="center"/>
    </xf>
    <xf numFmtId="165" fontId="39" fillId="7" borderId="62" xfId="1" applyNumberFormat="1" applyFont="1" applyFill="1" applyBorder="1" applyAlignment="1">
      <alignment horizontal="center"/>
    </xf>
    <xf numFmtId="165" fontId="39" fillId="7" borderId="63" xfId="1" applyNumberFormat="1" applyFont="1" applyFill="1" applyBorder="1" applyAlignment="1">
      <alignment horizontal="center"/>
    </xf>
    <xf numFmtId="165" fontId="39" fillId="7" borderId="38" xfId="1" applyNumberFormat="1" applyFont="1" applyFill="1" applyBorder="1" applyAlignment="1">
      <alignment horizontal="center"/>
    </xf>
    <xf numFmtId="165" fontId="39" fillId="7" borderId="72" xfId="1" applyNumberFormat="1" applyFont="1" applyFill="1" applyBorder="1" applyAlignment="1">
      <alignment horizontal="center"/>
    </xf>
    <xf numFmtId="3" fontId="42" fillId="3" borderId="29" xfId="0" applyNumberFormat="1" applyFont="1" applyFill="1" applyBorder="1" applyAlignment="1">
      <alignment horizontal="center"/>
    </xf>
    <xf numFmtId="3" fontId="66" fillId="3" borderId="29" xfId="0" applyNumberFormat="1" applyFont="1" applyFill="1" applyBorder="1" applyAlignment="1">
      <alignment horizontal="center"/>
    </xf>
    <xf numFmtId="0" fontId="1" fillId="0" borderId="2" xfId="0" applyFont="1" applyFill="1" applyBorder="1"/>
    <xf numFmtId="164" fontId="1" fillId="0" borderId="22" xfId="1" applyNumberFormat="1" applyFont="1" applyFill="1" applyBorder="1"/>
    <xf numFmtId="43" fontId="1" fillId="0" borderId="22" xfId="0" applyNumberFormat="1" applyFont="1" applyFill="1" applyBorder="1"/>
    <xf numFmtId="9" fontId="1" fillId="0" borderId="22" xfId="4" applyFont="1" applyFill="1" applyBorder="1" applyAlignment="1">
      <alignment horizontal="center"/>
    </xf>
    <xf numFmtId="0" fontId="15" fillId="0" borderId="2" xfId="0" applyFont="1" applyBorder="1"/>
    <xf numFmtId="164" fontId="15" fillId="0" borderId="2" xfId="1" applyNumberFormat="1" applyFont="1" applyBorder="1"/>
    <xf numFmtId="175" fontId="15" fillId="0" borderId="2" xfId="1" applyNumberFormat="1" applyFont="1" applyBorder="1"/>
    <xf numFmtId="0" fontId="6" fillId="3" borderId="5" xfId="0" applyFont="1" applyFill="1" applyBorder="1" applyAlignment="1">
      <alignment horizontal="center"/>
    </xf>
    <xf numFmtId="164" fontId="6" fillId="3" borderId="5" xfId="0" applyNumberFormat="1" applyFont="1" applyFill="1" applyBorder="1" applyAlignment="1">
      <alignment horizontal="center"/>
    </xf>
    <xf numFmtId="43" fontId="6" fillId="3" borderId="5" xfId="0" applyNumberFormat="1" applyFont="1" applyFill="1" applyBorder="1" applyAlignment="1">
      <alignment horizontal="center"/>
    </xf>
    <xf numFmtId="9" fontId="6" fillId="3" borderId="5" xfId="0" applyNumberFormat="1" applyFont="1" applyFill="1" applyBorder="1" applyAlignment="1">
      <alignment horizontal="center"/>
    </xf>
    <xf numFmtId="1" fontId="1" fillId="0" borderId="22" xfId="0" applyNumberFormat="1" applyFont="1" applyFill="1" applyBorder="1" applyAlignment="1">
      <alignment horizontal="center"/>
    </xf>
    <xf numFmtId="1" fontId="1" fillId="0" borderId="2" xfId="0" applyNumberFormat="1" applyFont="1" applyFill="1" applyBorder="1"/>
    <xf numFmtId="165" fontId="4" fillId="0" borderId="1" xfId="1" applyNumberFormat="1" applyFont="1" applyBorder="1"/>
    <xf numFmtId="3" fontId="65" fillId="4" borderId="51" xfId="0" applyNumberFormat="1" applyFont="1" applyFill="1" applyBorder="1" applyAlignment="1">
      <alignment horizontal="center"/>
    </xf>
    <xf numFmtId="3" fontId="65" fillId="4" borderId="61" xfId="0" applyNumberFormat="1" applyFont="1" applyFill="1" applyBorder="1" applyAlignment="1">
      <alignment horizontal="center"/>
    </xf>
    <xf numFmtId="3" fontId="65" fillId="4" borderId="59" xfId="0" applyNumberFormat="1" applyFont="1" applyFill="1" applyBorder="1" applyAlignment="1">
      <alignment horizontal="center"/>
    </xf>
    <xf numFmtId="165" fontId="42" fillId="3" borderId="29" xfId="1" applyNumberFormat="1" applyFont="1" applyFill="1" applyBorder="1" applyAlignment="1">
      <alignment horizontal="center"/>
    </xf>
    <xf numFmtId="165" fontId="42" fillId="3" borderId="30" xfId="1" applyNumberFormat="1" applyFont="1" applyFill="1" applyBorder="1" applyAlignment="1">
      <alignment horizontal="center"/>
    </xf>
    <xf numFmtId="165" fontId="42" fillId="3" borderId="64" xfId="1" applyNumberFormat="1" applyFont="1" applyFill="1" applyBorder="1" applyAlignment="1">
      <alignment horizontal="center"/>
    </xf>
    <xf numFmtId="0" fontId="5" fillId="2" borderId="73" xfId="0" applyFont="1" applyFill="1" applyBorder="1" applyAlignment="1">
      <alignment horizontal="center" wrapText="1"/>
    </xf>
    <xf numFmtId="0" fontId="5" fillId="2" borderId="74" xfId="0" applyFont="1" applyFill="1" applyBorder="1" applyAlignment="1">
      <alignment horizontal="center" wrapText="1"/>
    </xf>
    <xf numFmtId="3" fontId="5" fillId="2" borderId="74" xfId="0" applyNumberFormat="1" applyFont="1" applyFill="1" applyBorder="1" applyAlignment="1">
      <alignment horizontal="center" wrapText="1"/>
    </xf>
    <xf numFmtId="174" fontId="5" fillId="2" borderId="14" xfId="0" applyNumberFormat="1" applyFont="1" applyFill="1" applyBorder="1" applyAlignment="1">
      <alignment horizontal="center" wrapText="1"/>
    </xf>
    <xf numFmtId="3" fontId="5" fillId="2" borderId="14" xfId="0" applyNumberFormat="1" applyFont="1" applyFill="1" applyBorder="1" applyAlignment="1">
      <alignment horizontal="center" wrapText="1"/>
    </xf>
    <xf numFmtId="0" fontId="10" fillId="2" borderId="5" xfId="0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wrapText="1" readingOrder="1"/>
    </xf>
    <xf numFmtId="0" fontId="67" fillId="0" borderId="0" xfId="0" applyFont="1" applyBorder="1" applyAlignment="1">
      <alignment horizontal="left" wrapText="1" readingOrder="1"/>
    </xf>
    <xf numFmtId="3" fontId="67" fillId="0" borderId="0" xfId="0" applyNumberFormat="1" applyFont="1" applyBorder="1" applyAlignment="1">
      <alignment horizontal="center" wrapText="1" readingOrder="1"/>
    </xf>
    <xf numFmtId="3" fontId="67" fillId="0" borderId="0" xfId="0" applyNumberFormat="1" applyFont="1" applyFill="1" applyBorder="1" applyAlignment="1">
      <alignment horizontal="center" wrapText="1" readingOrder="1"/>
    </xf>
    <xf numFmtId="0" fontId="67" fillId="0" borderId="0" xfId="0" applyFont="1" applyFill="1" applyBorder="1" applyAlignment="1">
      <alignment horizontal="left" wrapText="1" readingOrder="1"/>
    </xf>
    <xf numFmtId="172" fontId="56" fillId="15" borderId="25" xfId="0" applyNumberFormat="1" applyFont="1" applyFill="1" applyBorder="1" applyAlignment="1">
      <alignment horizontal="center" vertical="center" wrapText="1" readingOrder="1"/>
    </xf>
    <xf numFmtId="172" fontId="59" fillId="0" borderId="25" xfId="0" applyNumberFormat="1" applyFont="1" applyBorder="1" applyAlignment="1">
      <alignment horizontal="center" vertical="center" wrapText="1" readingOrder="1"/>
    </xf>
    <xf numFmtId="172" fontId="57" fillId="16" borderId="25" xfId="0" applyNumberFormat="1" applyFont="1" applyFill="1" applyBorder="1" applyAlignment="1">
      <alignment horizontal="center" vertical="center" wrapText="1" readingOrder="1"/>
    </xf>
    <xf numFmtId="172" fontId="57" fillId="14" borderId="24" xfId="0" applyNumberFormat="1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center"/>
    </xf>
    <xf numFmtId="0" fontId="68" fillId="0" borderId="0" xfId="0" applyFont="1" applyFill="1" applyBorder="1" applyAlignment="1">
      <alignment horizontal="center" wrapText="1"/>
    </xf>
    <xf numFmtId="0" fontId="10" fillId="0" borderId="0" xfId="0" applyFont="1"/>
    <xf numFmtId="0" fontId="69" fillId="0" borderId="0" xfId="0" applyFont="1" applyFill="1" applyBorder="1" applyAlignment="1">
      <alignment horizontal="center" wrapText="1"/>
    </xf>
    <xf numFmtId="0" fontId="70" fillId="0" borderId="0" xfId="0" applyFont="1" applyFill="1" applyBorder="1" applyAlignment="1">
      <alignment horizontal="center" wrapText="1"/>
    </xf>
    <xf numFmtId="0" fontId="6" fillId="8" borderId="0" xfId="0" applyFont="1" applyFill="1"/>
    <xf numFmtId="165" fontId="6" fillId="8" borderId="0" xfId="1" applyNumberFormat="1" applyFont="1" applyFill="1"/>
    <xf numFmtId="165" fontId="0" fillId="0" borderId="0" xfId="1" applyNumberFormat="1" applyFont="1" applyFill="1"/>
    <xf numFmtId="0" fontId="71" fillId="0" borderId="0" xfId="0" applyFont="1" applyFill="1" applyBorder="1" applyAlignment="1">
      <alignment wrapText="1"/>
    </xf>
    <xf numFmtId="43" fontId="0" fillId="0" borderId="0" xfId="1" applyNumberFormat="1" applyFont="1" applyFill="1"/>
    <xf numFmtId="0" fontId="72" fillId="0" borderId="0" xfId="0" applyFont="1" applyBorder="1" applyAlignment="1"/>
    <xf numFmtId="0" fontId="74" fillId="0" borderId="0" xfId="0" applyFont="1"/>
    <xf numFmtId="0" fontId="13" fillId="0" borderId="0" xfId="0" applyFont="1" applyBorder="1"/>
    <xf numFmtId="0" fontId="13" fillId="0" borderId="0" xfId="0" applyFont="1"/>
    <xf numFmtId="0" fontId="75" fillId="0" borderId="83" xfId="0" applyFont="1" applyBorder="1" applyAlignment="1">
      <alignment horizontal="center"/>
    </xf>
    <xf numFmtId="0" fontId="75" fillId="0" borderId="84" xfId="0" applyFont="1" applyBorder="1" applyAlignment="1">
      <alignment horizontal="center"/>
    </xf>
    <xf numFmtId="0" fontId="75" fillId="0" borderId="78" xfId="0" applyFont="1" applyBorder="1" applyAlignment="1">
      <alignment horizontal="center"/>
    </xf>
    <xf numFmtId="0" fontId="75" fillId="0" borderId="79" xfId="0" applyFont="1" applyBorder="1" applyAlignment="1">
      <alignment horizontal="center"/>
    </xf>
    <xf numFmtId="0" fontId="75" fillId="0" borderId="80" xfId="0" applyFont="1" applyBorder="1" applyAlignment="1">
      <alignment horizontal="center"/>
    </xf>
    <xf numFmtId="0" fontId="75" fillId="22" borderId="85" xfId="0" applyFont="1" applyFill="1" applyBorder="1"/>
    <xf numFmtId="165" fontId="13" fillId="22" borderId="86" xfId="1" applyNumberFormat="1" applyFont="1" applyFill="1" applyBorder="1"/>
    <xf numFmtId="165" fontId="13" fillId="22" borderId="87" xfId="1" applyNumberFormat="1" applyFont="1" applyFill="1" applyBorder="1"/>
    <xf numFmtId="165" fontId="13" fillId="22" borderId="88" xfId="1" applyNumberFormat="1" applyFont="1" applyFill="1" applyBorder="1"/>
    <xf numFmtId="165" fontId="13" fillId="22" borderId="89" xfId="1" applyNumberFormat="1" applyFont="1" applyFill="1" applyBorder="1"/>
    <xf numFmtId="0" fontId="75" fillId="0" borderId="85" xfId="0" applyFont="1" applyBorder="1"/>
    <xf numFmtId="165" fontId="74" fillId="0" borderId="88" xfId="1" applyNumberFormat="1" applyFont="1" applyBorder="1"/>
    <xf numFmtId="165" fontId="74" fillId="0" borderId="89" xfId="1" applyNumberFormat="1" applyFont="1" applyBorder="1"/>
    <xf numFmtId="0" fontId="75" fillId="8" borderId="85" xfId="0" applyFont="1" applyFill="1" applyBorder="1"/>
    <xf numFmtId="165" fontId="13" fillId="8" borderId="88" xfId="1" applyNumberFormat="1" applyFont="1" applyFill="1" applyBorder="1"/>
    <xf numFmtId="165" fontId="72" fillId="8" borderId="88" xfId="1" applyNumberFormat="1" applyFont="1" applyFill="1" applyBorder="1"/>
    <xf numFmtId="165" fontId="13" fillId="8" borderId="90" xfId="1" applyNumberFormat="1" applyFont="1" applyFill="1" applyBorder="1"/>
    <xf numFmtId="165" fontId="72" fillId="8" borderId="90" xfId="1" applyNumberFormat="1" applyFont="1" applyFill="1" applyBorder="1"/>
    <xf numFmtId="165" fontId="13" fillId="8" borderId="89" xfId="1" applyNumberFormat="1" applyFont="1" applyFill="1" applyBorder="1"/>
    <xf numFmtId="165" fontId="72" fillId="8" borderId="89" xfId="1" applyNumberFormat="1" applyFont="1" applyFill="1" applyBorder="1"/>
    <xf numFmtId="165" fontId="13" fillId="8" borderId="91" xfId="1" applyNumberFormat="1" applyFont="1" applyFill="1" applyBorder="1"/>
    <xf numFmtId="165" fontId="72" fillId="8" borderId="91" xfId="1" applyNumberFormat="1" applyFont="1" applyFill="1" applyBorder="1"/>
    <xf numFmtId="0" fontId="75" fillId="0" borderId="0" xfId="0" applyFont="1" applyFill="1" applyBorder="1"/>
    <xf numFmtId="165" fontId="74" fillId="0" borderId="0" xfId="1" applyNumberFormat="1" applyFont="1" applyFill="1" applyBorder="1"/>
    <xf numFmtId="0" fontId="74" fillId="0" borderId="0" xfId="0" applyFont="1" applyBorder="1" applyAlignment="1"/>
    <xf numFmtId="165" fontId="75" fillId="0" borderId="83" xfId="0" applyNumberFormat="1" applyFont="1" applyBorder="1"/>
    <xf numFmtId="165" fontId="13" fillId="0" borderId="0" xfId="1" applyNumberFormat="1" applyFont="1" applyBorder="1" applyAlignment="1"/>
    <xf numFmtId="165" fontId="74" fillId="0" borderId="0" xfId="0" applyNumberFormat="1" applyFont="1"/>
    <xf numFmtId="0" fontId="75" fillId="0" borderId="78" xfId="0" applyFont="1" applyBorder="1" applyAlignment="1"/>
    <xf numFmtId="165" fontId="75" fillId="0" borderId="79" xfId="0" applyNumberFormat="1" applyFont="1" applyBorder="1" applyAlignment="1"/>
    <xf numFmtId="0" fontId="75" fillId="0" borderId="80" xfId="0" applyFont="1" applyBorder="1" applyAlignment="1"/>
    <xf numFmtId="165" fontId="13" fillId="0" borderId="0" xfId="1" applyNumberFormat="1" applyFont="1" applyBorder="1"/>
    <xf numFmtId="165" fontId="75" fillId="8" borderId="94" xfId="1" applyNumberFormat="1" applyFont="1" applyFill="1" applyBorder="1"/>
    <xf numFmtId="0" fontId="13" fillId="0" borderId="93" xfId="0" applyFont="1" applyBorder="1"/>
    <xf numFmtId="165" fontId="73" fillId="23" borderId="79" xfId="0" applyNumberFormat="1" applyFont="1" applyFill="1" applyBorder="1" applyAlignment="1">
      <alignment horizontal="center" vertical="center"/>
    </xf>
    <xf numFmtId="0" fontId="74" fillId="0" borderId="80" xfId="0" applyFont="1" applyBorder="1" applyAlignment="1">
      <alignment horizontal="center" vertical="center"/>
    </xf>
    <xf numFmtId="165" fontId="72" fillId="23" borderId="79" xfId="0" applyNumberFormat="1" applyFont="1" applyFill="1" applyBorder="1" applyAlignment="1">
      <alignment horizontal="center" vertical="center"/>
    </xf>
    <xf numFmtId="0" fontId="74" fillId="0" borderId="0" xfId="0" applyFont="1" applyBorder="1"/>
    <xf numFmtId="165" fontId="74" fillId="0" borderId="0" xfId="1" applyNumberFormat="1" applyFont="1" applyBorder="1"/>
    <xf numFmtId="165" fontId="74" fillId="0" borderId="0" xfId="1" applyNumberFormat="1" applyFont="1"/>
    <xf numFmtId="3" fontId="36" fillId="0" borderId="1" xfId="0" applyNumberFormat="1" applyFont="1" applyBorder="1"/>
    <xf numFmtId="165" fontId="20" fillId="8" borderId="1" xfId="1" applyNumberFormat="1" applyFont="1" applyFill="1" applyBorder="1" applyAlignment="1">
      <alignment horizontal="center" vertical="center"/>
    </xf>
    <xf numFmtId="165" fontId="0" fillId="8" borderId="0" xfId="0" applyNumberFormat="1" applyFill="1"/>
    <xf numFmtId="3" fontId="20" fillId="8" borderId="1" xfId="1" applyNumberFormat="1" applyFont="1" applyFill="1" applyBorder="1" applyAlignment="1">
      <alignment horizontal="center" vertical="center"/>
    </xf>
    <xf numFmtId="0" fontId="47" fillId="0" borderId="95" xfId="0" applyFont="1" applyBorder="1" applyAlignment="1">
      <alignment horizontal="center" wrapText="1"/>
    </xf>
    <xf numFmtId="0" fontId="0" fillId="0" borderId="95" xfId="0" applyFont="1" applyBorder="1" applyAlignment="1">
      <alignment wrapText="1"/>
    </xf>
    <xf numFmtId="0" fontId="76" fillId="3" borderId="0" xfId="0" applyFont="1" applyFill="1" applyAlignment="1">
      <alignment horizontal="center" wrapText="1"/>
    </xf>
    <xf numFmtId="3" fontId="76" fillId="3" borderId="0" xfId="0" applyNumberFormat="1" applyFont="1" applyFill="1" applyAlignment="1">
      <alignment horizontal="center" wrapText="1"/>
    </xf>
    <xf numFmtId="3" fontId="47" fillId="3" borderId="0" xfId="0" applyNumberFormat="1" applyFont="1" applyFill="1" applyAlignment="1">
      <alignment horizontal="center" wrapText="1"/>
    </xf>
    <xf numFmtId="0" fontId="76" fillId="3" borderId="74" xfId="0" applyFont="1" applyFill="1" applyBorder="1" applyAlignment="1">
      <alignment horizontal="center" wrapText="1"/>
    </xf>
    <xf numFmtId="9" fontId="76" fillId="3" borderId="0" xfId="4" applyFont="1" applyFill="1" applyAlignment="1">
      <alignment horizontal="center" wrapText="1"/>
    </xf>
    <xf numFmtId="9" fontId="47" fillId="3" borderId="0" xfId="4" applyFont="1" applyFill="1" applyAlignment="1">
      <alignment horizontal="center" wrapText="1"/>
    </xf>
    <xf numFmtId="0" fontId="76" fillId="0" borderId="0" xfId="0" applyFont="1" applyFill="1" applyAlignment="1">
      <alignment horizontal="center" wrapText="1"/>
    </xf>
    <xf numFmtId="3" fontId="76" fillId="0" borderId="0" xfId="0" applyNumberFormat="1" applyFont="1" applyFill="1" applyAlignment="1">
      <alignment horizontal="center" wrapText="1"/>
    </xf>
    <xf numFmtId="3" fontId="47" fillId="0" borderId="0" xfId="0" applyNumberFormat="1" applyFont="1" applyFill="1" applyAlignment="1">
      <alignment horizontal="center" wrapText="1"/>
    </xf>
    <xf numFmtId="0" fontId="76" fillId="0" borderId="74" xfId="0" applyFont="1" applyFill="1" applyBorder="1" applyAlignment="1">
      <alignment horizontal="center" wrapText="1"/>
    </xf>
    <xf numFmtId="9" fontId="76" fillId="0" borderId="0" xfId="4" applyFont="1" applyFill="1" applyAlignment="1">
      <alignment horizontal="center" wrapText="1"/>
    </xf>
    <xf numFmtId="9" fontId="47" fillId="0" borderId="0" xfId="4" applyFont="1" applyFill="1" applyAlignment="1">
      <alignment horizontal="center" wrapText="1"/>
    </xf>
    <xf numFmtId="0" fontId="47" fillId="3" borderId="0" xfId="0" applyFont="1" applyFill="1" applyAlignment="1">
      <alignment horizontal="center" wrapText="1"/>
    </xf>
    <xf numFmtId="0" fontId="47" fillId="3" borderId="74" xfId="0" applyFont="1" applyFill="1" applyBorder="1" applyAlignment="1">
      <alignment horizontal="center" wrapText="1"/>
    </xf>
    <xf numFmtId="0" fontId="76" fillId="12" borderId="0" xfId="0" applyFont="1" applyFill="1" applyAlignment="1">
      <alignment horizontal="center" wrapText="1"/>
    </xf>
    <xf numFmtId="3" fontId="76" fillId="12" borderId="0" xfId="0" applyNumberFormat="1" applyFont="1" applyFill="1" applyAlignment="1">
      <alignment horizontal="center" wrapText="1"/>
    </xf>
    <xf numFmtId="3" fontId="47" fillId="12" borderId="0" xfId="0" applyNumberFormat="1" applyFont="1" applyFill="1" applyAlignment="1">
      <alignment horizontal="center" wrapText="1"/>
    </xf>
    <xf numFmtId="0" fontId="47" fillId="12" borderId="0" xfId="0" applyFont="1" applyFill="1" applyAlignment="1">
      <alignment horizontal="center" wrapText="1"/>
    </xf>
    <xf numFmtId="1" fontId="77" fillId="0" borderId="1" xfId="0" applyNumberFormat="1" applyFont="1" applyFill="1" applyBorder="1" applyAlignment="1">
      <alignment horizontal="center"/>
    </xf>
    <xf numFmtId="3" fontId="78" fillId="0" borderId="1" xfId="0" applyNumberFormat="1" applyFont="1" applyBorder="1" applyAlignment="1">
      <alignment horizontal="center"/>
    </xf>
    <xf numFmtId="3" fontId="79" fillId="2" borderId="1" xfId="1" applyNumberFormat="1" applyFont="1" applyFill="1" applyBorder="1" applyAlignment="1">
      <alignment horizontal="center" vertical="center"/>
    </xf>
    <xf numFmtId="165" fontId="78" fillId="0" borderId="1" xfId="1" applyNumberFormat="1" applyFont="1" applyBorder="1"/>
    <xf numFmtId="3" fontId="78" fillId="2" borderId="1" xfId="0" applyNumberFormat="1" applyFont="1" applyFill="1" applyBorder="1" applyAlignment="1">
      <alignment horizontal="center" vertical="center"/>
    </xf>
    <xf numFmtId="165" fontId="79" fillId="2" borderId="1" xfId="1" applyNumberFormat="1" applyFont="1" applyFill="1" applyBorder="1" applyAlignment="1">
      <alignment horizontal="center" vertical="center"/>
    </xf>
    <xf numFmtId="3" fontId="78" fillId="0" borderId="1" xfId="0" applyNumberFormat="1" applyFont="1" applyBorder="1"/>
    <xf numFmtId="165" fontId="78" fillId="0" borderId="1" xfId="1" applyNumberFormat="1" applyFont="1" applyFill="1" applyBorder="1"/>
    <xf numFmtId="165" fontId="0" fillId="0" borderId="0" xfId="0" applyNumberFormat="1" applyFill="1"/>
    <xf numFmtId="3" fontId="20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/>
    <xf numFmtId="0" fontId="25" fillId="8" borderId="3" xfId="0" applyFont="1" applyFill="1" applyBorder="1" applyAlignment="1">
      <alignment horizontal="center"/>
    </xf>
    <xf numFmtId="0" fontId="25" fillId="8" borderId="5" xfId="0" applyFont="1" applyFill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22" fillId="21" borderId="1" xfId="0" applyFont="1" applyFill="1" applyBorder="1" applyAlignment="1">
      <alignment horizontal="center" vertical="center"/>
    </xf>
    <xf numFmtId="0" fontId="16" fillId="21" borderId="3" xfId="0" applyFont="1" applyFill="1" applyBorder="1" applyAlignment="1">
      <alignment horizontal="center" vertical="center"/>
    </xf>
    <xf numFmtId="0" fontId="16" fillId="21" borderId="5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49" fillId="0" borderId="0" xfId="0" applyFont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8" borderId="7" xfId="0" applyFont="1" applyFill="1" applyBorder="1" applyAlignment="1">
      <alignment horizontal="center"/>
    </xf>
    <xf numFmtId="0" fontId="25" fillId="8" borderId="8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8" borderId="8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19" borderId="6" xfId="0" applyFont="1" applyFill="1" applyBorder="1" applyAlignment="1">
      <alignment horizontal="center" vertical="center"/>
    </xf>
    <xf numFmtId="0" fontId="22" fillId="19" borderId="7" xfId="0" applyFont="1" applyFill="1" applyBorder="1" applyAlignment="1">
      <alignment horizontal="center" vertical="center"/>
    </xf>
    <xf numFmtId="0" fontId="22" fillId="19" borderId="8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11" borderId="5" xfId="0" applyFont="1" applyFill="1" applyBorder="1" applyAlignment="1">
      <alignment horizontal="center" vertical="center"/>
    </xf>
    <xf numFmtId="165" fontId="41" fillId="3" borderId="30" xfId="1" applyNumberFormat="1" applyFont="1" applyFill="1" applyBorder="1" applyAlignment="1">
      <alignment horizontal="center"/>
    </xf>
    <xf numFmtId="165" fontId="41" fillId="3" borderId="64" xfId="1" applyNumberFormat="1" applyFont="1" applyFill="1" applyBorder="1" applyAlignment="1">
      <alignment horizontal="center"/>
    </xf>
    <xf numFmtId="165" fontId="41" fillId="3" borderId="29" xfId="1" applyNumberFormat="1" applyFon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165" fontId="39" fillId="3" borderId="29" xfId="1" applyNumberFormat="1" applyFont="1" applyFill="1" applyBorder="1" applyAlignment="1">
      <alignment horizontal="center" vertical="center"/>
    </xf>
    <xf numFmtId="165" fontId="15" fillId="0" borderId="6" xfId="1" applyNumberFormat="1" applyFont="1" applyBorder="1" applyAlignment="1">
      <alignment horizontal="center"/>
    </xf>
    <xf numFmtId="165" fontId="15" fillId="0" borderId="8" xfId="1" applyNumberFormat="1" applyFont="1" applyBorder="1" applyAlignment="1">
      <alignment horizontal="center"/>
    </xf>
    <xf numFmtId="0" fontId="76" fillId="0" borderId="74" xfId="0" applyFont="1" applyFill="1" applyBorder="1" applyAlignment="1">
      <alignment horizontal="center" wrapText="1"/>
    </xf>
    <xf numFmtId="0" fontId="76" fillId="3" borderId="74" xfId="0" applyFont="1" applyFill="1" applyBorder="1" applyAlignment="1">
      <alignment horizontal="center" wrapText="1"/>
    </xf>
    <xf numFmtId="0" fontId="47" fillId="3" borderId="74" xfId="0" applyFont="1" applyFill="1" applyBorder="1" applyAlignment="1">
      <alignment horizontal="center" wrapText="1"/>
    </xf>
    <xf numFmtId="0" fontId="76" fillId="3" borderId="96" xfId="0" applyFont="1" applyFill="1" applyBorder="1" applyAlignment="1">
      <alignment horizontal="center" wrapText="1"/>
    </xf>
    <xf numFmtId="0" fontId="44" fillId="14" borderId="10" xfId="0" applyFont="1" applyFill="1" applyBorder="1" applyAlignment="1">
      <alignment horizontal="center" wrapText="1"/>
    </xf>
    <xf numFmtId="0" fontId="44" fillId="14" borderId="11" xfId="0" applyFont="1" applyFill="1" applyBorder="1" applyAlignment="1">
      <alignment horizontal="center" wrapText="1"/>
    </xf>
    <xf numFmtId="0" fontId="51" fillId="14" borderId="10" xfId="0" applyFont="1" applyFill="1" applyBorder="1" applyAlignment="1">
      <alignment horizontal="center" wrapText="1"/>
    </xf>
    <xf numFmtId="0" fontId="51" fillId="14" borderId="11" xfId="0" applyFont="1" applyFill="1" applyBorder="1" applyAlignment="1">
      <alignment horizontal="center" wrapText="1"/>
    </xf>
    <xf numFmtId="0" fontId="51" fillId="14" borderId="10" xfId="0" applyFont="1" applyFill="1" applyBorder="1" applyAlignment="1">
      <alignment horizontal="center" vertical="center" wrapText="1"/>
    </xf>
    <xf numFmtId="0" fontId="51" fillId="14" borderId="11" xfId="0" applyFont="1" applyFill="1" applyBorder="1" applyAlignment="1">
      <alignment horizontal="center" vertical="center" wrapText="1"/>
    </xf>
    <xf numFmtId="0" fontId="44" fillId="14" borderId="20" xfId="0" applyFont="1" applyFill="1" applyBorder="1" applyAlignment="1">
      <alignment horizontal="center" vertical="center" wrapText="1"/>
    </xf>
    <xf numFmtId="0" fontId="44" fillId="14" borderId="2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60" fillId="2" borderId="75" xfId="0" applyFont="1" applyFill="1" applyBorder="1" applyAlignment="1">
      <alignment horizontal="center" vertical="center" wrapText="1" readingOrder="1"/>
    </xf>
    <xf numFmtId="0" fontId="60" fillId="2" borderId="77" xfId="0" applyFont="1" applyFill="1" applyBorder="1" applyAlignment="1">
      <alignment horizontal="center" vertical="center" wrapText="1" readingOrder="1"/>
    </xf>
    <xf numFmtId="0" fontId="60" fillId="2" borderId="76" xfId="0" applyFont="1" applyFill="1" applyBorder="1" applyAlignment="1">
      <alignment horizontal="center" vertical="center" wrapText="1" readingOrder="1"/>
    </xf>
    <xf numFmtId="0" fontId="46" fillId="17" borderId="19" xfId="0" applyFont="1" applyFill="1" applyBorder="1" applyAlignment="1">
      <alignment horizontal="center" wrapText="1"/>
    </xf>
    <xf numFmtId="0" fontId="46" fillId="17" borderId="15" xfId="0" applyFont="1" applyFill="1" applyBorder="1" applyAlignment="1">
      <alignment horizontal="center" wrapText="1"/>
    </xf>
    <xf numFmtId="0" fontId="46" fillId="17" borderId="12" xfId="0" applyFont="1" applyFill="1" applyBorder="1" applyAlignment="1">
      <alignment horizontal="center" wrapText="1"/>
    </xf>
    <xf numFmtId="0" fontId="60" fillId="2" borderId="25" xfId="0" applyFont="1" applyFill="1" applyBorder="1" applyAlignment="1">
      <alignment horizontal="center" vertical="center" wrapText="1" readingOrder="1"/>
    </xf>
    <xf numFmtId="0" fontId="46" fillId="17" borderId="10" xfId="0" applyFont="1" applyFill="1" applyBorder="1" applyAlignment="1">
      <alignment horizontal="center" wrapText="1"/>
    </xf>
    <xf numFmtId="0" fontId="46" fillId="17" borderId="11" xfId="0" applyFont="1" applyFill="1" applyBorder="1" applyAlignment="1">
      <alignment horizontal="center" wrapText="1"/>
    </xf>
    <xf numFmtId="165" fontId="74" fillId="0" borderId="0" xfId="0" applyNumberFormat="1" applyFont="1" applyBorder="1" applyAlignment="1">
      <alignment vertical="center"/>
    </xf>
    <xf numFmtId="0" fontId="74" fillId="0" borderId="0" xfId="0" applyFont="1" applyBorder="1" applyAlignment="1">
      <alignment vertical="center"/>
    </xf>
    <xf numFmtId="0" fontId="73" fillId="0" borderId="78" xfId="0" applyFon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13" fillId="0" borderId="81" xfId="0" applyFont="1" applyBorder="1" applyAlignment="1">
      <alignment horizontal="center"/>
    </xf>
    <xf numFmtId="0" fontId="13" fillId="0" borderId="82" xfId="0" applyFont="1" applyBorder="1" applyAlignment="1">
      <alignment horizontal="center"/>
    </xf>
    <xf numFmtId="0" fontId="75" fillId="0" borderId="78" xfId="0" applyFont="1" applyBorder="1" applyAlignment="1">
      <alignment horizontal="center" vertical="center"/>
    </xf>
    <xf numFmtId="0" fontId="75" fillId="0" borderId="79" xfId="0" applyFont="1" applyBorder="1" applyAlignment="1">
      <alignment horizontal="center" vertical="center"/>
    </xf>
    <xf numFmtId="0" fontId="75" fillId="0" borderId="92" xfId="0" applyFont="1" applyBorder="1" applyAlignment="1">
      <alignment horizontal="center"/>
    </xf>
    <xf numFmtId="0" fontId="75" fillId="0" borderId="93" xfId="0" applyFont="1" applyBorder="1" applyAlignment="1">
      <alignment horizontal="center"/>
    </xf>
    <xf numFmtId="0" fontId="75" fillId="8" borderId="92" xfId="0" applyFont="1" applyFill="1" applyBorder="1" applyAlignment="1">
      <alignment horizontal="center" vertical="center"/>
    </xf>
    <xf numFmtId="0" fontId="74" fillId="0" borderId="93" xfId="0" applyFont="1" applyBorder="1" applyAlignment="1">
      <alignment horizontal="center" vertical="center"/>
    </xf>
  </cellXfs>
  <cellStyles count="6">
    <cellStyle name="Milliers" xfId="1" builtinId="3"/>
    <cellStyle name="Normal" xfId="0" builtinId="0"/>
    <cellStyle name="Normal 2" xfId="2"/>
    <cellStyle name="Normal 2 2 3" xfId="5"/>
    <cellStyle name="Normal 3" xfId="3"/>
    <cellStyle name="Pourcentage" xfId="4" builtinId="5"/>
  </cellStyles>
  <dxfs count="0"/>
  <tableStyles count="0" defaultTableStyle="TableStyleMedium9" defaultPivotStyle="PivotStyleLight16"/>
  <colors>
    <mruColors>
      <color rgb="FF00FFCC"/>
      <color rgb="FFC1FFEA"/>
      <color rgb="FFFFCCFF"/>
      <color rgb="FFFFFF99"/>
      <color rgb="FFEAEAEA"/>
      <color rgb="FFF8F8F8"/>
      <color rgb="FFC5D9F1"/>
      <color rgb="FFCCFFCC"/>
      <color rgb="FFFFCCCC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2:O326"/>
  <sheetViews>
    <sheetView topLeftCell="A151" zoomScale="82" zoomScaleNormal="82" workbookViewId="0">
      <selection activeCell="A17" sqref="A17:S18"/>
    </sheetView>
  </sheetViews>
  <sheetFormatPr baseColWidth="10" defaultRowHeight="15"/>
  <cols>
    <col min="1" max="1" width="42.140625" customWidth="1"/>
    <col min="2" max="2" width="30.42578125" customWidth="1"/>
    <col min="3" max="3" width="21.5703125" customWidth="1"/>
    <col min="4" max="4" width="15.42578125" customWidth="1"/>
    <col min="5" max="5" width="17.7109375" customWidth="1"/>
    <col min="6" max="6" width="16.28515625" customWidth="1"/>
    <col min="7" max="7" width="15.42578125" customWidth="1"/>
    <col min="8" max="8" width="14.140625" customWidth="1"/>
    <col min="9" max="9" width="15.42578125" customWidth="1"/>
    <col min="10" max="10" width="21.5703125" customWidth="1"/>
    <col min="11" max="11" width="10.42578125" customWidth="1"/>
    <col min="12" max="12" width="15.42578125" customWidth="1"/>
    <col min="13" max="13" width="9.140625" customWidth="1"/>
    <col min="14" max="14" width="24.7109375" customWidth="1"/>
    <col min="15" max="15" width="10.7109375" customWidth="1"/>
    <col min="16" max="16" width="10.42578125" customWidth="1"/>
    <col min="17" max="17" width="11.85546875" bestFit="1" customWidth="1"/>
    <col min="18" max="18" width="12.85546875" customWidth="1"/>
  </cols>
  <sheetData>
    <row r="2" spans="1:9" ht="21">
      <c r="A2" s="522" t="s">
        <v>282</v>
      </c>
      <c r="B2" s="524">
        <v>2012</v>
      </c>
      <c r="C2" s="525"/>
      <c r="D2" s="526"/>
      <c r="E2" s="524">
        <v>2013</v>
      </c>
      <c r="F2" s="525"/>
      <c r="G2" s="526"/>
    </row>
    <row r="3" spans="1:9" ht="18.75">
      <c r="A3" s="523"/>
      <c r="B3" s="245" t="s">
        <v>109</v>
      </c>
      <c r="C3" s="73" t="s">
        <v>110</v>
      </c>
      <c r="D3" s="69" t="s">
        <v>61</v>
      </c>
      <c r="E3" s="245" t="s">
        <v>109</v>
      </c>
      <c r="F3" s="73" t="s">
        <v>110</v>
      </c>
      <c r="G3" s="69" t="s">
        <v>61</v>
      </c>
      <c r="I3" s="72"/>
    </row>
    <row r="4" spans="1:9" ht="18.75">
      <c r="A4" s="61" t="s">
        <v>17</v>
      </c>
      <c r="B4" s="245">
        <v>554.02386043290107</v>
      </c>
      <c r="C4" s="73">
        <v>3.9580000000000002</v>
      </c>
      <c r="D4" s="243">
        <f>+B4*C4</f>
        <v>2192.8264395934225</v>
      </c>
      <c r="E4" s="246">
        <v>580</v>
      </c>
      <c r="F4" s="73">
        <v>3.9580000000000002</v>
      </c>
      <c r="G4" s="243">
        <f>+E4*F4</f>
        <v>2295.6400000000003</v>
      </c>
      <c r="H4" s="5"/>
      <c r="I4" s="5"/>
    </row>
    <row r="5" spans="1:9" ht="18.75">
      <c r="A5" s="61" t="s">
        <v>16</v>
      </c>
      <c r="B5" s="245">
        <v>435.35818171329799</v>
      </c>
      <c r="C5" s="73">
        <v>3.3069999999999999</v>
      </c>
      <c r="D5" s="243">
        <f>+B5*C5</f>
        <v>1439.7295069258764</v>
      </c>
      <c r="E5" s="245">
        <v>455.65</v>
      </c>
      <c r="F5" s="73">
        <v>3.3069999999999999</v>
      </c>
      <c r="G5" s="243">
        <f>+E5*F5</f>
        <v>1506.8345499999998</v>
      </c>
      <c r="H5" s="5"/>
      <c r="I5" s="247"/>
    </row>
    <row r="6" spans="1:9" ht="18.75">
      <c r="A6" s="61" t="s">
        <v>62</v>
      </c>
      <c r="B6" s="245">
        <v>250</v>
      </c>
      <c r="C6" s="73">
        <v>2.1890000000000001</v>
      </c>
      <c r="D6" s="243">
        <f t="shared" ref="D6" si="0">+B6*C6</f>
        <v>547.25</v>
      </c>
      <c r="E6" s="246">
        <v>256</v>
      </c>
      <c r="F6" s="73">
        <v>2.1890000000000001</v>
      </c>
      <c r="G6" s="243">
        <f>+E6*F6</f>
        <v>560.38400000000001</v>
      </c>
      <c r="H6" s="5"/>
      <c r="I6" s="5"/>
    </row>
    <row r="7" spans="1:9" ht="18.75">
      <c r="A7" s="62" t="s">
        <v>111</v>
      </c>
      <c r="B7" s="256">
        <f>SUM(B4:B6)</f>
        <v>1239.3820421461992</v>
      </c>
      <c r="C7" s="257"/>
      <c r="D7" s="256">
        <f>SUM(D4:D6)</f>
        <v>4179.8059465192991</v>
      </c>
      <c r="E7" s="256">
        <f>SUM(E4:E6)</f>
        <v>1291.6500000000001</v>
      </c>
      <c r="F7" s="257"/>
      <c r="G7" s="256">
        <f>SUM(G4:G6)</f>
        <v>4362.8585499999999</v>
      </c>
      <c r="I7" s="4"/>
    </row>
    <row r="8" spans="1:9" ht="18.75">
      <c r="A8" s="61" t="s">
        <v>17</v>
      </c>
      <c r="B8" s="246">
        <v>538.41</v>
      </c>
      <c r="C8" s="73">
        <v>3.9580000000000002</v>
      </c>
      <c r="D8" s="243">
        <f>+B8*C8</f>
        <v>2131.0267800000001</v>
      </c>
      <c r="E8" s="245">
        <v>583.51182678744703</v>
      </c>
      <c r="F8" s="73">
        <v>3.9580000000000002</v>
      </c>
      <c r="G8" s="243">
        <f>E8*F8</f>
        <v>2309.5398104247156</v>
      </c>
      <c r="H8" s="5"/>
      <c r="I8" s="5"/>
    </row>
    <row r="9" spans="1:9" ht="18.75">
      <c r="A9" s="61" t="s">
        <v>16</v>
      </c>
      <c r="B9" s="246">
        <v>384.7</v>
      </c>
      <c r="C9" s="73">
        <v>3.3069999999999999</v>
      </c>
      <c r="D9" s="243">
        <f>+B9*C9</f>
        <v>1272.2029</v>
      </c>
      <c r="E9" s="245">
        <v>442.721809106026</v>
      </c>
      <c r="F9" s="73">
        <v>3.3069999999999999</v>
      </c>
      <c r="G9" s="243">
        <f>E9*F9</f>
        <v>1464.081022713628</v>
      </c>
      <c r="H9" s="5"/>
      <c r="I9" s="5"/>
    </row>
    <row r="10" spans="1:9" ht="18.75">
      <c r="A10" s="61" t="s">
        <v>62</v>
      </c>
      <c r="B10" s="246">
        <v>0</v>
      </c>
      <c r="C10" s="73">
        <v>2.1890000000000001</v>
      </c>
      <c r="D10" s="243">
        <f>+B10*C10</f>
        <v>0</v>
      </c>
      <c r="E10" s="245"/>
      <c r="F10" s="73">
        <v>2.1890000000000001</v>
      </c>
      <c r="G10" s="243">
        <f>E10*F10</f>
        <v>0</v>
      </c>
    </row>
    <row r="11" spans="1:9" ht="18.75">
      <c r="A11" s="62" t="s">
        <v>112</v>
      </c>
      <c r="B11" s="256">
        <f>SUM(B8:B10)</f>
        <v>923.1099999999999</v>
      </c>
      <c r="C11" s="257"/>
      <c r="D11" s="256">
        <f>SUM(D8:D10)</f>
        <v>3403.2296800000004</v>
      </c>
      <c r="E11" s="256">
        <f>SUM(E8:E10)</f>
        <v>1026.2336358934731</v>
      </c>
      <c r="F11" s="257"/>
      <c r="G11" s="256">
        <f>SUM(G8:G10)</f>
        <v>3773.6208331383436</v>
      </c>
    </row>
    <row r="12" spans="1:9" ht="18.75">
      <c r="A12" s="61" t="s">
        <v>17</v>
      </c>
      <c r="B12" s="245">
        <v>748.59601481604795</v>
      </c>
      <c r="C12" s="73">
        <v>3.9580000000000002</v>
      </c>
      <c r="D12" s="243">
        <f>+B12*C12</f>
        <v>2962.9430266419181</v>
      </c>
      <c r="E12" s="245">
        <v>833.29705761907496</v>
      </c>
      <c r="F12" s="73">
        <v>3.9580000000000002</v>
      </c>
      <c r="G12" s="243">
        <f>+E12*F12</f>
        <v>3298.1897540562991</v>
      </c>
      <c r="H12" s="9"/>
      <c r="I12" s="248"/>
    </row>
    <row r="13" spans="1:9" ht="18.75">
      <c r="A13" s="61" t="s">
        <v>16</v>
      </c>
      <c r="B13" s="245">
        <v>739.30227249999996</v>
      </c>
      <c r="C13" s="73">
        <v>3.3069999999999999</v>
      </c>
      <c r="D13" s="243">
        <f>+B13*C13</f>
        <v>2444.8726151574997</v>
      </c>
      <c r="E13" s="245">
        <v>749.47277381063498</v>
      </c>
      <c r="F13" s="73">
        <v>3.3069999999999999</v>
      </c>
      <c r="G13" s="243">
        <f>+E13*F13</f>
        <v>2478.5064629917697</v>
      </c>
      <c r="H13" s="9"/>
      <c r="I13" s="249"/>
    </row>
    <row r="14" spans="1:9" ht="18.75">
      <c r="A14" s="61" t="s">
        <v>62</v>
      </c>
      <c r="B14" s="245">
        <v>129</v>
      </c>
      <c r="C14" s="73">
        <v>2.1890000000000001</v>
      </c>
      <c r="D14" s="243">
        <f>+B14*C14</f>
        <v>282.38100000000003</v>
      </c>
      <c r="E14" s="245">
        <v>134</v>
      </c>
      <c r="F14" s="73">
        <v>2.1890000000000001</v>
      </c>
      <c r="G14" s="243">
        <f>+E14*F14</f>
        <v>293.32600000000002</v>
      </c>
      <c r="H14" s="9"/>
      <c r="I14" s="9"/>
    </row>
    <row r="15" spans="1:9" ht="18.75">
      <c r="A15" s="62" t="s">
        <v>116</v>
      </c>
      <c r="B15" s="256">
        <f>SUM(B12:B14)</f>
        <v>1616.898287316048</v>
      </c>
      <c r="C15" s="257"/>
      <c r="D15" s="256">
        <f>SUM(D12:D14)</f>
        <v>5690.1966417994181</v>
      </c>
      <c r="E15" s="256">
        <f>SUM(E12:E14)</f>
        <v>1716.7698314297099</v>
      </c>
      <c r="F15" s="257"/>
      <c r="G15" s="256">
        <f>SUM(G12:G14)</f>
        <v>6070.0222170480693</v>
      </c>
      <c r="H15" s="258"/>
    </row>
    <row r="16" spans="1:9" ht="18.75">
      <c r="A16" s="61" t="s">
        <v>17</v>
      </c>
      <c r="B16" s="245">
        <v>553.57937401480103</v>
      </c>
      <c r="C16" s="73">
        <v>3.9580000000000002</v>
      </c>
      <c r="D16" s="243">
        <f>B16*C16</f>
        <v>2191.0671623505827</v>
      </c>
      <c r="E16" s="245">
        <v>582.46255955670097</v>
      </c>
      <c r="F16" s="73">
        <v>3.9580000000000002</v>
      </c>
      <c r="G16" s="243">
        <f>E16*F16</f>
        <v>2305.3868107254225</v>
      </c>
      <c r="H16" s="5"/>
      <c r="I16" s="250"/>
    </row>
    <row r="17" spans="1:9" ht="18.75">
      <c r="A17" s="61" t="s">
        <v>16</v>
      </c>
      <c r="B17" s="245">
        <v>300.47623667631399</v>
      </c>
      <c r="C17" s="73">
        <v>3.3069999999999999</v>
      </c>
      <c r="D17" s="243">
        <f>B17*C17</f>
        <v>993.67491468857031</v>
      </c>
      <c r="E17" s="245">
        <v>320.31633710765499</v>
      </c>
      <c r="F17" s="73">
        <v>3.3069999999999999</v>
      </c>
      <c r="G17" s="243">
        <f>E17*F17</f>
        <v>1059.286126815015</v>
      </c>
      <c r="H17" s="5"/>
      <c r="I17" s="5"/>
    </row>
    <row r="18" spans="1:9" ht="18.75">
      <c r="A18" s="61" t="s">
        <v>62</v>
      </c>
      <c r="B18" s="245">
        <v>0</v>
      </c>
      <c r="C18" s="73">
        <v>2.1890000000000001</v>
      </c>
      <c r="D18" s="243">
        <f>B18*C18</f>
        <v>0</v>
      </c>
      <c r="E18" s="245">
        <v>3</v>
      </c>
      <c r="F18" s="73">
        <v>2.1890000000000001</v>
      </c>
      <c r="G18" s="243">
        <f>E18*F18</f>
        <v>6.5670000000000002</v>
      </c>
      <c r="H18" s="5"/>
      <c r="I18" s="5"/>
    </row>
    <row r="19" spans="1:9" ht="18.75">
      <c r="A19" s="62" t="s">
        <v>113</v>
      </c>
      <c r="B19" s="256">
        <f>SUM(B16:B18)</f>
        <v>854.05561069111502</v>
      </c>
      <c r="C19" s="257"/>
      <c r="D19" s="256">
        <f>SUM(D16:D18)</f>
        <v>3184.7420770391532</v>
      </c>
      <c r="E19" s="256">
        <f>SUM(E16:E18)</f>
        <v>905.7788966643559</v>
      </c>
      <c r="F19" s="257"/>
      <c r="G19" s="256">
        <f>SUM(G16:G18)</f>
        <v>3371.2399375404375</v>
      </c>
    </row>
    <row r="20" spans="1:9" ht="18.75">
      <c r="A20" s="61" t="s">
        <v>17</v>
      </c>
      <c r="B20" s="246">
        <v>506</v>
      </c>
      <c r="C20" s="73">
        <v>3.9580000000000002</v>
      </c>
      <c r="D20" s="243">
        <f>B20*C20</f>
        <v>2002.748</v>
      </c>
      <c r="E20" s="245">
        <v>523.52745437840508</v>
      </c>
      <c r="F20" s="73">
        <v>3.9580000000000002</v>
      </c>
      <c r="G20" s="243">
        <f>E20*F20</f>
        <v>2072.1216644297274</v>
      </c>
      <c r="H20" s="9"/>
      <c r="I20" s="9"/>
    </row>
    <row r="21" spans="1:9" ht="18.75">
      <c r="A21" s="61" t="s">
        <v>16</v>
      </c>
      <c r="B21" s="246">
        <v>322</v>
      </c>
      <c r="C21" s="73">
        <v>3.3069999999999999</v>
      </c>
      <c r="D21" s="243">
        <f>B21*C21</f>
        <v>1064.854</v>
      </c>
      <c r="E21" s="245">
        <v>334.34</v>
      </c>
      <c r="F21" s="73">
        <v>3.3069999999999999</v>
      </c>
      <c r="G21" s="243">
        <f>E21*F21</f>
        <v>1105.66238</v>
      </c>
      <c r="H21" s="9"/>
      <c r="I21" s="9"/>
    </row>
    <row r="22" spans="1:9" ht="18.75">
      <c r="A22" s="61" t="s">
        <v>62</v>
      </c>
      <c r="B22" s="246">
        <v>38</v>
      </c>
      <c r="C22" s="73">
        <v>2.1890000000000001</v>
      </c>
      <c r="D22" s="243">
        <f>B22*C22</f>
        <v>83.182000000000002</v>
      </c>
      <c r="E22" s="245">
        <v>49</v>
      </c>
      <c r="F22" s="73">
        <v>2.1890000000000001</v>
      </c>
      <c r="G22" s="243">
        <f>E22*F22</f>
        <v>107.261</v>
      </c>
      <c r="H22" s="9"/>
      <c r="I22" s="9"/>
    </row>
    <row r="23" spans="1:9" ht="18.75">
      <c r="A23" s="62" t="s">
        <v>114</v>
      </c>
      <c r="B23" s="256">
        <f>SUM(B20:B22)</f>
        <v>866</v>
      </c>
      <c r="C23" s="257"/>
      <c r="D23" s="256">
        <f>SUM(D20:D22)</f>
        <v>3150.7839999999997</v>
      </c>
      <c r="E23" s="256">
        <f>SUM(E20:E22)</f>
        <v>906.867454378405</v>
      </c>
      <c r="F23" s="257"/>
      <c r="G23" s="256">
        <f>SUM(G20:G22)</f>
        <v>3285.0450444297271</v>
      </c>
    </row>
    <row r="24" spans="1:9" ht="18.75">
      <c r="A24" s="61" t="s">
        <v>17</v>
      </c>
      <c r="B24" s="245">
        <v>298.92807855574398</v>
      </c>
      <c r="C24" s="73">
        <v>3.9580000000000002</v>
      </c>
      <c r="D24" s="243">
        <f>B24*C24</f>
        <v>1183.1573349236348</v>
      </c>
      <c r="E24" s="245">
        <v>328.04656691039901</v>
      </c>
      <c r="F24" s="73">
        <v>3.9580000000000002</v>
      </c>
      <c r="G24" s="243">
        <f>E24*F24</f>
        <v>1298.4083118313592</v>
      </c>
      <c r="H24" s="5"/>
      <c r="I24" s="5"/>
    </row>
    <row r="25" spans="1:9" ht="18.75">
      <c r="A25" s="61" t="s">
        <v>16</v>
      </c>
      <c r="B25" s="245">
        <v>203.62228852514301</v>
      </c>
      <c r="C25" s="73">
        <v>3.3069999999999999</v>
      </c>
      <c r="D25" s="243">
        <f>B25*C25</f>
        <v>673.37890815264791</v>
      </c>
      <c r="E25" s="245">
        <v>212</v>
      </c>
      <c r="F25" s="73">
        <v>3.3069999999999999</v>
      </c>
      <c r="G25" s="243">
        <f>E25*F25</f>
        <v>701.08399999999995</v>
      </c>
      <c r="H25" s="5"/>
      <c r="I25" s="251"/>
    </row>
    <row r="26" spans="1:9" ht="18.75">
      <c r="A26" s="61" t="s">
        <v>62</v>
      </c>
      <c r="B26" s="245">
        <v>117</v>
      </c>
      <c r="C26" s="73">
        <v>2.1890000000000001</v>
      </c>
      <c r="D26" s="243">
        <f>B26*C26</f>
        <v>256.113</v>
      </c>
      <c r="E26" s="245">
        <v>119</v>
      </c>
      <c r="F26" s="73">
        <v>2.1890000000000001</v>
      </c>
      <c r="G26" s="243">
        <f>E26*F26</f>
        <v>260.49099999999999</v>
      </c>
      <c r="H26" s="5"/>
      <c r="I26" s="5"/>
    </row>
    <row r="27" spans="1:9" ht="18.75">
      <c r="A27" s="62" t="s">
        <v>115</v>
      </c>
      <c r="B27" s="256">
        <f>SUM(B24:B26)</f>
        <v>619.55036708088699</v>
      </c>
      <c r="C27" s="257"/>
      <c r="D27" s="256">
        <f>SUM(D24:D26)</f>
        <v>2112.6492430762828</v>
      </c>
      <c r="E27" s="256">
        <f>SUM(E24:E26)</f>
        <v>659.04656691039895</v>
      </c>
      <c r="F27" s="257"/>
      <c r="G27" s="256">
        <f>SUM(G24:G26)</f>
        <v>2259.9833118313591</v>
      </c>
    </row>
    <row r="28" spans="1:9" ht="18.75">
      <c r="A28" s="67"/>
      <c r="B28" s="68"/>
      <c r="C28" s="68"/>
      <c r="D28" s="68"/>
      <c r="E28" s="68"/>
      <c r="F28" s="68"/>
      <c r="G28" s="68"/>
    </row>
    <row r="29" spans="1:9" ht="21">
      <c r="A29" s="264" t="s">
        <v>122</v>
      </c>
      <c r="B29" s="265">
        <f>+B7+B11+B15+B19+B23+B27</f>
        <v>6118.9963072342489</v>
      </c>
      <c r="C29" s="266"/>
      <c r="D29" s="267">
        <f>+D7+D11+D15+D19+D23+D27</f>
        <v>21721.407588434151</v>
      </c>
      <c r="E29" s="267">
        <f>+E7+E11+E15+E19+E23+E27</f>
        <v>6506.3463852763425</v>
      </c>
      <c r="F29" s="268"/>
      <c r="G29" s="267">
        <f>+G7+G11+G15+G19+G23+G27</f>
        <v>23122.769893987937</v>
      </c>
    </row>
    <row r="30" spans="1:9" ht="18.75">
      <c r="A30" s="59"/>
      <c r="B30" s="263" t="s">
        <v>15</v>
      </c>
      <c r="C30" s="71"/>
      <c r="D30" s="71"/>
      <c r="E30" s="262" t="s">
        <v>15</v>
      </c>
    </row>
    <row r="31" spans="1:9" ht="18.75">
      <c r="A31" s="60" t="s">
        <v>17</v>
      </c>
      <c r="B31" s="165">
        <v>3199.5373278194938</v>
      </c>
      <c r="C31" s="165">
        <f>+D4+D8+D12+D16+D20+D24</f>
        <v>12663.768743509558</v>
      </c>
      <c r="D31" s="66"/>
      <c r="E31" s="60" t="s">
        <v>17</v>
      </c>
      <c r="F31" s="165">
        <f>+E4+E8+E12+E16+E20+E24</f>
        <v>3430.8454652520272</v>
      </c>
      <c r="G31" s="165">
        <f>+G4+G8+G12+G16+G20+G24</f>
        <v>13579.286351467523</v>
      </c>
    </row>
    <row r="32" spans="1:9" ht="18.75">
      <c r="A32" s="60" t="s">
        <v>16</v>
      </c>
      <c r="B32" s="165">
        <v>2385.458979414755</v>
      </c>
      <c r="C32" s="165">
        <f>+D5+D9+D13+D17+D21+D25</f>
        <v>7888.7128449245938</v>
      </c>
      <c r="D32" s="66"/>
      <c r="E32" s="60" t="s">
        <v>16</v>
      </c>
      <c r="F32" s="165">
        <f>+E5+E9+E13+E17+E21+E25</f>
        <v>2514.5009200243157</v>
      </c>
      <c r="G32" s="165">
        <f>+G5+G9+G13+G17+G21+G25</f>
        <v>8315.4545425204124</v>
      </c>
    </row>
    <row r="33" spans="1:9" ht="18.75">
      <c r="A33" s="60" t="s">
        <v>62</v>
      </c>
      <c r="B33" s="165">
        <v>534</v>
      </c>
      <c r="C33" s="165">
        <f>+D6+D10+D14+D18+D22+D26</f>
        <v>1168.9260000000002</v>
      </c>
      <c r="D33" s="66"/>
      <c r="E33" s="60" t="s">
        <v>62</v>
      </c>
      <c r="F33" s="165">
        <f>+E6+E10+E14+E18+E22+E26</f>
        <v>561</v>
      </c>
      <c r="G33" s="165">
        <f>+G6+G10+G14+G18+G22+G26</f>
        <v>1228.029</v>
      </c>
    </row>
    <row r="34" spans="1:9" ht="18.75">
      <c r="A34" s="252" t="s">
        <v>164</v>
      </c>
      <c r="B34" s="253">
        <f>SUM(B31:B33)</f>
        <v>6118.9963072342489</v>
      </c>
      <c r="C34" s="253">
        <f>SUM(C31:C33)</f>
        <v>21721.407588434151</v>
      </c>
      <c r="D34" s="66"/>
      <c r="E34" s="252" t="s">
        <v>164</v>
      </c>
      <c r="F34" s="253">
        <f>SUM(F31:F33)</f>
        <v>6506.3463852763434</v>
      </c>
      <c r="G34" s="253">
        <f>SUM(G31:G33)</f>
        <v>23122.769893987934</v>
      </c>
    </row>
    <row r="35" spans="1:9" ht="21">
      <c r="A35" s="539">
        <v>2012</v>
      </c>
      <c r="B35" s="540"/>
      <c r="C35" s="541"/>
      <c r="D35" s="66"/>
      <c r="E35" s="542">
        <v>2013</v>
      </c>
      <c r="F35" s="543"/>
      <c r="G35" s="544"/>
    </row>
    <row r="37" spans="1:9" ht="21">
      <c r="A37" s="522" t="s">
        <v>283</v>
      </c>
      <c r="B37" s="524">
        <v>2012</v>
      </c>
      <c r="C37" s="525"/>
      <c r="D37" s="526"/>
      <c r="E37" s="524">
        <v>2013</v>
      </c>
      <c r="F37" s="525"/>
      <c r="G37" s="526"/>
      <c r="I37" s="72"/>
    </row>
    <row r="38" spans="1:9" ht="18.75" customHeight="1">
      <c r="A38" s="523"/>
      <c r="B38" s="245" t="s">
        <v>109</v>
      </c>
      <c r="C38" s="73" t="s">
        <v>110</v>
      </c>
      <c r="D38" s="69" t="s">
        <v>61</v>
      </c>
      <c r="E38" s="245" t="s">
        <v>109</v>
      </c>
      <c r="F38" s="73" t="s">
        <v>110</v>
      </c>
      <c r="G38" s="69" t="s">
        <v>61</v>
      </c>
    </row>
    <row r="39" spans="1:9" ht="18.75">
      <c r="A39" s="61" t="s">
        <v>0</v>
      </c>
      <c r="B39" s="245">
        <v>1420.2716643538199</v>
      </c>
      <c r="C39" s="73">
        <v>0.32</v>
      </c>
      <c r="D39" s="243">
        <f>+B39*C39</f>
        <v>454.48693259322238</v>
      </c>
      <c r="E39" s="245">
        <v>1388.5</v>
      </c>
      <c r="F39" s="73">
        <v>0.32</v>
      </c>
      <c r="G39" s="243">
        <f>E39*F39</f>
        <v>444.32</v>
      </c>
      <c r="H39" s="255"/>
      <c r="I39" s="255"/>
    </row>
    <row r="40" spans="1:9" ht="18.75">
      <c r="A40" s="61" t="s">
        <v>1</v>
      </c>
      <c r="B40" s="245">
        <v>151.40044870652801</v>
      </c>
      <c r="C40" s="73">
        <v>0.33</v>
      </c>
      <c r="D40" s="243">
        <f>+B40*C40</f>
        <v>49.962148073154246</v>
      </c>
      <c r="E40" s="245">
        <v>151</v>
      </c>
      <c r="F40" s="73">
        <v>0.33</v>
      </c>
      <c r="G40" s="243">
        <f>E40*F40</f>
        <v>49.830000000000005</v>
      </c>
      <c r="H40" s="5"/>
      <c r="I40" s="254"/>
    </row>
    <row r="41" spans="1:9" ht="18.75">
      <c r="A41" s="61" t="s">
        <v>2</v>
      </c>
      <c r="B41" s="245">
        <v>6</v>
      </c>
      <c r="C41" s="73">
        <v>0.16400000000000001</v>
      </c>
      <c r="D41" s="243">
        <f>+B41*C41</f>
        <v>0.98399999999999999</v>
      </c>
      <c r="E41" s="245">
        <v>7.5</v>
      </c>
      <c r="F41" s="73">
        <v>0.16400000000000001</v>
      </c>
      <c r="G41" s="243">
        <f>E41*F41</f>
        <v>1.23</v>
      </c>
      <c r="H41" s="5"/>
      <c r="I41" s="5"/>
    </row>
    <row r="42" spans="1:9" ht="18.75">
      <c r="A42" s="62" t="s">
        <v>111</v>
      </c>
      <c r="B42" s="256">
        <f>SUM(B39:B41)</f>
        <v>1577.672113060348</v>
      </c>
      <c r="C42" s="257"/>
      <c r="D42" s="256">
        <f>SUM(D39:D41)</f>
        <v>505.43308066637661</v>
      </c>
      <c r="E42" s="256">
        <f>SUM(E39:E41)</f>
        <v>1547</v>
      </c>
      <c r="F42" s="257"/>
      <c r="G42" s="256">
        <f>SUM(G39:G41)</f>
        <v>495.38</v>
      </c>
      <c r="I42" s="4"/>
    </row>
    <row r="43" spans="1:9" ht="18.75">
      <c r="A43" s="61" t="s">
        <v>0</v>
      </c>
      <c r="B43" s="245">
        <v>1548.2465513023201</v>
      </c>
      <c r="C43" s="73">
        <v>0.32</v>
      </c>
      <c r="D43" s="243">
        <f>+B43*C43</f>
        <v>495.43889641674247</v>
      </c>
      <c r="E43" s="245">
        <v>1572</v>
      </c>
      <c r="F43" s="73">
        <v>0.32</v>
      </c>
      <c r="G43" s="243">
        <f>+E43*F43</f>
        <v>503.04</v>
      </c>
      <c r="H43" s="5"/>
      <c r="I43" s="5"/>
    </row>
    <row r="44" spans="1:9" ht="18.75">
      <c r="A44" s="61" t="s">
        <v>1</v>
      </c>
      <c r="B44" s="245">
        <v>332.06671325617998</v>
      </c>
      <c r="C44" s="73">
        <v>0.33</v>
      </c>
      <c r="D44" s="243">
        <f>+B44*C44</f>
        <v>109.5820153745394</v>
      </c>
      <c r="E44" s="245">
        <v>335</v>
      </c>
      <c r="F44" s="73">
        <v>0.33</v>
      </c>
      <c r="G44" s="243">
        <f>+E44*F44</f>
        <v>110.55000000000001</v>
      </c>
      <c r="H44" s="5"/>
      <c r="I44" s="5"/>
    </row>
    <row r="45" spans="1:9" ht="18.75">
      <c r="A45" s="61" t="s">
        <v>2</v>
      </c>
      <c r="B45" s="246">
        <v>350</v>
      </c>
      <c r="C45" s="73">
        <v>0.16400000000000001</v>
      </c>
      <c r="D45" s="243">
        <f>+B45*C45</f>
        <v>57.400000000000006</v>
      </c>
      <c r="E45" s="245">
        <v>354</v>
      </c>
      <c r="F45" s="73">
        <v>0.16400000000000001</v>
      </c>
      <c r="G45" s="243">
        <f>+E45*F45</f>
        <v>58.056000000000004</v>
      </c>
      <c r="H45" s="5"/>
      <c r="I45" s="5"/>
    </row>
    <row r="46" spans="1:9" ht="18.75">
      <c r="A46" s="62" t="s">
        <v>112</v>
      </c>
      <c r="B46" s="256">
        <f>SUM(B43:B45)</f>
        <v>2230.3132645585001</v>
      </c>
      <c r="C46" s="257"/>
      <c r="D46" s="256">
        <f>SUM(D43:D45)</f>
        <v>662.42091179128181</v>
      </c>
      <c r="E46" s="256">
        <f>SUM(E43:E45)</f>
        <v>2261</v>
      </c>
      <c r="F46" s="257"/>
      <c r="G46" s="256">
        <f>SUM(G43:G45)</f>
        <v>671.64600000000007</v>
      </c>
    </row>
    <row r="47" spans="1:9" ht="18.75">
      <c r="A47" s="61" t="s">
        <v>0</v>
      </c>
      <c r="B47" s="245">
        <v>1700.2470509076568</v>
      </c>
      <c r="C47" s="73">
        <v>0.32</v>
      </c>
      <c r="D47" s="243">
        <f>+B47*C47</f>
        <v>544.07905629045013</v>
      </c>
      <c r="E47" s="245">
        <v>1764.4</v>
      </c>
      <c r="F47" s="73">
        <v>0.32</v>
      </c>
      <c r="G47" s="243">
        <f>+E47*F47</f>
        <v>564.60800000000006</v>
      </c>
      <c r="H47" s="5"/>
      <c r="I47" s="5"/>
    </row>
    <row r="48" spans="1:9" ht="18.75">
      <c r="A48" s="61" t="s">
        <v>1</v>
      </c>
      <c r="B48" s="245">
        <v>636.33294909234405</v>
      </c>
      <c r="C48" s="73">
        <v>0.33</v>
      </c>
      <c r="D48" s="243">
        <f>+B48*C48</f>
        <v>209.98987320047354</v>
      </c>
      <c r="E48" s="245">
        <v>669</v>
      </c>
      <c r="F48" s="73">
        <v>0.33</v>
      </c>
      <c r="G48" s="243">
        <f>+E48*F48</f>
        <v>220.77</v>
      </c>
      <c r="H48" s="255"/>
      <c r="I48" s="254"/>
    </row>
    <row r="49" spans="1:9" ht="18.75">
      <c r="A49" s="61" t="s">
        <v>2</v>
      </c>
      <c r="B49" s="245">
        <v>174.10000000000002</v>
      </c>
      <c r="C49" s="73">
        <v>0.16400000000000001</v>
      </c>
      <c r="D49" s="243">
        <f>+B49*C49</f>
        <v>28.552400000000006</v>
      </c>
      <c r="E49" s="245">
        <v>178</v>
      </c>
      <c r="F49" s="73">
        <v>0.16400000000000001</v>
      </c>
      <c r="G49" s="243">
        <f>+E49*F49</f>
        <v>29.192</v>
      </c>
      <c r="H49" s="255"/>
      <c r="I49" s="5"/>
    </row>
    <row r="50" spans="1:9" ht="18.75">
      <c r="A50" s="62" t="s">
        <v>116</v>
      </c>
      <c r="B50" s="256">
        <f>SUM(B47:B49)</f>
        <v>2510.6800000000007</v>
      </c>
      <c r="C50" s="257"/>
      <c r="D50" s="256">
        <f>SUM(D47:D49)</f>
        <v>782.6213294909237</v>
      </c>
      <c r="E50" s="256">
        <f>SUM(E47:E49)</f>
        <v>2611.4</v>
      </c>
      <c r="F50" s="257"/>
      <c r="G50" s="256">
        <f>SUM(G47:G49)</f>
        <v>814.57</v>
      </c>
      <c r="I50" s="4"/>
    </row>
    <row r="51" spans="1:9" ht="18.75">
      <c r="A51" s="61" t="s">
        <v>0</v>
      </c>
      <c r="B51" s="245">
        <v>1341.98863457727</v>
      </c>
      <c r="C51" s="73">
        <v>0.32</v>
      </c>
      <c r="D51" s="243">
        <f>+B51*C51</f>
        <v>429.43636306472638</v>
      </c>
      <c r="E51" s="245">
        <v>1351.2</v>
      </c>
      <c r="F51" s="73">
        <v>0.32</v>
      </c>
      <c r="G51" s="243">
        <f>+E51*F51</f>
        <v>432.38400000000001</v>
      </c>
      <c r="H51" s="5"/>
      <c r="I51" s="5"/>
    </row>
    <row r="52" spans="1:9" ht="18.75">
      <c r="A52" s="61" t="s">
        <v>1</v>
      </c>
      <c r="B52" s="245">
        <v>199</v>
      </c>
      <c r="C52" s="73">
        <v>0.33</v>
      </c>
      <c r="D52" s="243">
        <f>+B52*C52</f>
        <v>65.67</v>
      </c>
      <c r="E52" s="245">
        <v>217.6</v>
      </c>
      <c r="F52" s="73">
        <v>0.33</v>
      </c>
      <c r="G52" s="243">
        <f>+E52*F52</f>
        <v>71.808000000000007</v>
      </c>
      <c r="H52" s="5"/>
      <c r="I52" s="254"/>
    </row>
    <row r="53" spans="1:9" ht="18.75">
      <c r="A53" s="61" t="s">
        <v>2</v>
      </c>
      <c r="B53" s="245">
        <v>239.75</v>
      </c>
      <c r="C53" s="73">
        <v>0.16400000000000001</v>
      </c>
      <c r="D53" s="243">
        <f>+B53*C53</f>
        <v>39.319000000000003</v>
      </c>
      <c r="E53" s="245">
        <v>258</v>
      </c>
      <c r="F53" s="73">
        <v>0.16400000000000001</v>
      </c>
      <c r="G53" s="243">
        <f>+E53*F53</f>
        <v>42.312000000000005</v>
      </c>
      <c r="H53" s="5"/>
      <c r="I53" s="5"/>
    </row>
    <row r="54" spans="1:9" ht="18.75">
      <c r="A54" s="62" t="s">
        <v>113</v>
      </c>
      <c r="B54" s="256">
        <f>SUM(B51:B53)</f>
        <v>1780.73863457727</v>
      </c>
      <c r="C54" s="257"/>
      <c r="D54" s="256">
        <f>SUM(D51:D53)</f>
        <v>534.42536306472641</v>
      </c>
      <c r="E54" s="256">
        <f>SUM(E51:E53)</f>
        <v>1826.8</v>
      </c>
      <c r="F54" s="257"/>
      <c r="G54" s="256">
        <f>SUM(G51:G53)</f>
        <v>546.50400000000002</v>
      </c>
    </row>
    <row r="55" spans="1:9" ht="18.75">
      <c r="A55" s="61" t="s">
        <v>0</v>
      </c>
      <c r="B55" s="245">
        <v>555.73208198612804</v>
      </c>
      <c r="C55" s="73">
        <v>0.32</v>
      </c>
      <c r="D55" s="243">
        <f>+B55*C55</f>
        <v>177.83426623556099</v>
      </c>
      <c r="E55" s="245">
        <v>578</v>
      </c>
      <c r="F55" s="73">
        <v>0.32</v>
      </c>
      <c r="G55" s="243">
        <f>+E55*F55</f>
        <v>184.96</v>
      </c>
      <c r="H55" s="5"/>
      <c r="I55" s="5"/>
    </row>
    <row r="56" spans="1:9" ht="18.75">
      <c r="A56" s="61" t="s">
        <v>1</v>
      </c>
      <c r="B56" s="245">
        <v>186.58696252171799</v>
      </c>
      <c r="C56" s="73">
        <v>0.33</v>
      </c>
      <c r="D56" s="243">
        <f>+B56*C56</f>
        <v>61.57369763216694</v>
      </c>
      <c r="E56" s="245">
        <v>198</v>
      </c>
      <c r="F56" s="73">
        <v>0.33</v>
      </c>
      <c r="G56" s="243">
        <f>+E56*F56</f>
        <v>65.34</v>
      </c>
      <c r="H56" s="5"/>
      <c r="I56" s="5"/>
    </row>
    <row r="57" spans="1:9" ht="18.75">
      <c r="A57" s="61" t="s">
        <v>2</v>
      </c>
      <c r="B57" s="245">
        <v>560.00099999999998</v>
      </c>
      <c r="C57" s="73">
        <v>0.16400000000000001</v>
      </c>
      <c r="D57" s="243">
        <f>+B57*C57</f>
        <v>91.840164000000001</v>
      </c>
      <c r="E57" s="245">
        <v>596.6</v>
      </c>
      <c r="F57" s="73">
        <v>0.16400000000000001</v>
      </c>
      <c r="G57" s="243">
        <f>+E57*F57</f>
        <v>97.842400000000012</v>
      </c>
      <c r="H57" s="5"/>
      <c r="I57" s="5"/>
    </row>
    <row r="58" spans="1:9" ht="18.75">
      <c r="A58" s="62" t="s">
        <v>114</v>
      </c>
      <c r="B58" s="256">
        <f>SUM(B55:B57)</f>
        <v>1302.320044507846</v>
      </c>
      <c r="C58" s="257"/>
      <c r="D58" s="256">
        <f>SUM(D55:D57)</f>
        <v>331.24812786772793</v>
      </c>
      <c r="E58" s="256">
        <f>SUM(E55:E57)</f>
        <v>1372.6</v>
      </c>
      <c r="F58" s="257"/>
      <c r="G58" s="256">
        <f>SUM(G55:G57)</f>
        <v>348.14240000000001</v>
      </c>
    </row>
    <row r="59" spans="1:9" ht="18.75">
      <c r="A59" s="61" t="s">
        <v>0</v>
      </c>
      <c r="B59" s="245">
        <v>519.06461388713706</v>
      </c>
      <c r="C59" s="73">
        <v>0.32</v>
      </c>
      <c r="D59" s="243">
        <f>+B59*C59</f>
        <v>166.10067644388386</v>
      </c>
      <c r="E59" s="245">
        <v>540.9</v>
      </c>
      <c r="F59" s="73">
        <v>0.32</v>
      </c>
      <c r="G59" s="243">
        <f>+E59*F59</f>
        <v>173.08799999999999</v>
      </c>
      <c r="H59" s="5"/>
      <c r="I59" s="5"/>
    </row>
    <row r="60" spans="1:9" ht="18.75">
      <c r="A60" s="61" t="s">
        <v>1</v>
      </c>
      <c r="B60" s="245">
        <v>220.6668600435371</v>
      </c>
      <c r="C60" s="73">
        <v>0.33</v>
      </c>
      <c r="D60" s="243">
        <f>+B60*C60</f>
        <v>72.820063814367245</v>
      </c>
      <c r="E60" s="245">
        <v>232</v>
      </c>
      <c r="F60" s="73">
        <v>0.33</v>
      </c>
      <c r="G60" s="243">
        <f>+E60*F60</f>
        <v>76.56</v>
      </c>
      <c r="H60" s="5"/>
      <c r="I60" s="5"/>
    </row>
    <row r="61" spans="1:9" ht="18.75">
      <c r="A61" s="61" t="s">
        <v>2</v>
      </c>
      <c r="B61" s="245">
        <v>189</v>
      </c>
      <c r="C61" s="73">
        <v>0.16400000000000001</v>
      </c>
      <c r="D61" s="243">
        <f>+B61*C61</f>
        <v>30.996000000000002</v>
      </c>
      <c r="E61" s="245">
        <v>193.5</v>
      </c>
      <c r="F61" s="73">
        <v>0.16400000000000001</v>
      </c>
      <c r="G61" s="243">
        <f>+E61*F61</f>
        <v>31.734000000000002</v>
      </c>
      <c r="H61" s="5"/>
      <c r="I61" s="5"/>
    </row>
    <row r="62" spans="1:9" ht="18.75">
      <c r="A62" s="62" t="s">
        <v>115</v>
      </c>
      <c r="B62" s="256">
        <f>SUM(B59:B61)</f>
        <v>928.73147393067416</v>
      </c>
      <c r="C62" s="257"/>
      <c r="D62" s="256">
        <f>SUM(D59:D61)</f>
        <v>269.91674025825108</v>
      </c>
      <c r="E62" s="256">
        <f>SUM(E59:E61)</f>
        <v>966.4</v>
      </c>
      <c r="F62" s="257"/>
      <c r="G62" s="256">
        <f>SUM(G59:G61)</f>
        <v>281.38200000000001</v>
      </c>
    </row>
    <row r="63" spans="1:9" ht="18.75">
      <c r="A63" s="67"/>
      <c r="B63" s="68"/>
      <c r="C63" s="68"/>
      <c r="D63" s="68"/>
      <c r="E63" s="68"/>
      <c r="F63" s="68"/>
      <c r="G63" s="68"/>
    </row>
    <row r="64" spans="1:9" ht="21">
      <c r="A64" s="264" t="s">
        <v>123</v>
      </c>
      <c r="B64" s="269">
        <f>+B42+B46+B50+B54+B58+B62</f>
        <v>10330.455530634639</v>
      </c>
      <c r="C64" s="264"/>
      <c r="D64" s="267">
        <f>+D42+D46+D50+D54+D58+D62</f>
        <v>3086.0655531392877</v>
      </c>
      <c r="E64" s="267">
        <f>+E42+E46+E50+E54+E58+E62</f>
        <v>10585.199999999999</v>
      </c>
      <c r="F64" s="267"/>
      <c r="G64" s="267">
        <f>+G62+G58+G54+G50+G46+G42</f>
        <v>3157.6244000000006</v>
      </c>
    </row>
    <row r="65" spans="1:12" ht="18.75">
      <c r="A65" s="67"/>
      <c r="B65" s="68"/>
      <c r="C65" s="68"/>
      <c r="D65" s="70"/>
      <c r="E65" s="70"/>
      <c r="F65" s="70"/>
      <c r="G65" s="70"/>
    </row>
    <row r="66" spans="1:12" ht="18.75">
      <c r="A66" s="60" t="s">
        <v>0</v>
      </c>
      <c r="B66" s="165">
        <f>+B39+B43+B47+B51+B55+B59</f>
        <v>7085.5505970143322</v>
      </c>
      <c r="C66" s="165">
        <f>+D39+D43+D47+D51+D55+D59</f>
        <v>2267.376191044586</v>
      </c>
      <c r="D66" s="66"/>
      <c r="E66" s="60" t="s">
        <v>0</v>
      </c>
      <c r="F66" s="63">
        <f>+E39+E43+E47+E51+E55+E59</f>
        <v>7194.9999999999991</v>
      </c>
      <c r="G66" s="165">
        <f>+G39+G43+G47+G51+G55+G59</f>
        <v>2302.4</v>
      </c>
      <c r="J66" s="259" t="s">
        <v>287</v>
      </c>
      <c r="K66" s="259">
        <v>2012</v>
      </c>
      <c r="L66" s="259">
        <v>2013</v>
      </c>
    </row>
    <row r="67" spans="1:12" ht="18.75">
      <c r="A67" s="60" t="s">
        <v>1</v>
      </c>
      <c r="B67" s="165">
        <f>+B40+B44+B48+B52+B56+B60</f>
        <v>1726.0539336203074</v>
      </c>
      <c r="C67" s="165">
        <f>+D40+D44+D48+D52+D56+D60</f>
        <v>569.59779809470137</v>
      </c>
      <c r="D67" s="66"/>
      <c r="E67" s="60" t="s">
        <v>1</v>
      </c>
      <c r="F67" s="63">
        <f>+E40+E44+E48+E52+E56+E60</f>
        <v>1802.6</v>
      </c>
      <c r="G67" s="165">
        <f>+G40+G44+G48+G52+G56+G60</f>
        <v>594.85799999999995</v>
      </c>
      <c r="J67" s="60" t="s">
        <v>284</v>
      </c>
      <c r="K67" s="165">
        <f>+C31+C66</f>
        <v>14931.144934554144</v>
      </c>
      <c r="L67" s="165">
        <f>+G31+G66</f>
        <v>15881.686351467522</v>
      </c>
    </row>
    <row r="68" spans="1:12" ht="18.75">
      <c r="A68" s="60" t="s">
        <v>2</v>
      </c>
      <c r="B68" s="165">
        <f>+B41+B45+B49+B53+B57+B61</f>
        <v>1518.8510000000001</v>
      </c>
      <c r="C68" s="165">
        <f>+D41+D45+D49+D53+D57+D61</f>
        <v>249.09156400000003</v>
      </c>
      <c r="D68" s="66"/>
      <c r="E68" s="60" t="s">
        <v>2</v>
      </c>
      <c r="F68" s="63">
        <f>+E41+E45+E49+E53+E57+E61</f>
        <v>1587.6</v>
      </c>
      <c r="G68" s="165">
        <f>+G41+G45+G49+G53+G57+G61</f>
        <v>260.3664</v>
      </c>
      <c r="J68" s="60" t="s">
        <v>285</v>
      </c>
      <c r="K68" s="165">
        <f>+C32+C67</f>
        <v>8458.3106430192947</v>
      </c>
      <c r="L68" s="165">
        <f>+G32+G67</f>
        <v>8910.3125425204125</v>
      </c>
    </row>
    <row r="69" spans="1:12" ht="18.75">
      <c r="A69" s="252" t="s">
        <v>164</v>
      </c>
      <c r="B69" s="253">
        <f>SUM(B66:B68)</f>
        <v>10330.455530634639</v>
      </c>
      <c r="C69" s="253">
        <f>SUM(C66:C68)</f>
        <v>3086.0655531392872</v>
      </c>
      <c r="D69" s="66"/>
      <c r="E69" s="252" t="s">
        <v>164</v>
      </c>
      <c r="F69" s="253">
        <f>SUM(F66:F68)</f>
        <v>10585.199999999999</v>
      </c>
      <c r="G69" s="253">
        <f>SUM(G66:G68)</f>
        <v>3157.6243999999997</v>
      </c>
      <c r="J69" s="60" t="s">
        <v>286</v>
      </c>
      <c r="K69" s="165">
        <f>+C33+C68</f>
        <v>1418.0175640000002</v>
      </c>
      <c r="L69" s="165">
        <f>+G33+G68</f>
        <v>1488.3953999999999</v>
      </c>
    </row>
    <row r="70" spans="1:12" ht="21">
      <c r="A70" s="539">
        <v>2012</v>
      </c>
      <c r="B70" s="540"/>
      <c r="C70" s="541"/>
      <c r="D70" s="66"/>
      <c r="E70" s="542">
        <v>2013</v>
      </c>
      <c r="F70" s="543"/>
      <c r="G70" s="544"/>
      <c r="J70" s="260" t="s">
        <v>164</v>
      </c>
      <c r="K70" s="261">
        <f>SUM(K67:K69)</f>
        <v>24807.473141573442</v>
      </c>
      <c r="L70" s="261">
        <f>+G34+G69</f>
        <v>26280.394293987934</v>
      </c>
    </row>
    <row r="71" spans="1:12" ht="21">
      <c r="A71" s="286"/>
      <c r="B71" s="287"/>
      <c r="C71" s="288"/>
      <c r="D71" s="289"/>
      <c r="E71" s="290"/>
      <c r="F71" s="291"/>
      <c r="G71" s="292"/>
      <c r="H71" s="53"/>
      <c r="I71" s="293"/>
      <c r="J71" s="294"/>
      <c r="K71" s="294"/>
      <c r="L71" s="53"/>
    </row>
    <row r="72" spans="1:12" ht="18.75">
      <c r="A72" s="67"/>
      <c r="B72" s="295" t="s">
        <v>19</v>
      </c>
      <c r="C72" s="295" t="s">
        <v>82</v>
      </c>
      <c r="D72" s="295" t="s">
        <v>79</v>
      </c>
      <c r="E72" s="295" t="s">
        <v>80</v>
      </c>
      <c r="F72" s="295" t="s">
        <v>20</v>
      </c>
      <c r="G72" s="295" t="s">
        <v>81</v>
      </c>
      <c r="H72" s="295" t="s">
        <v>14</v>
      </c>
      <c r="I72" s="296" t="s">
        <v>13</v>
      </c>
    </row>
    <row r="73" spans="1:12" ht="18.75">
      <c r="A73" s="293" t="s">
        <v>304</v>
      </c>
      <c r="B73" s="156">
        <f>3150.784+1</f>
        <v>3151.7840000000001</v>
      </c>
      <c r="C73" s="156">
        <v>2112.6492430762828</v>
      </c>
      <c r="D73" s="156">
        <v>4179.8059465192991</v>
      </c>
      <c r="E73" s="156">
        <v>3403.2296800000004</v>
      </c>
      <c r="F73" s="156">
        <v>5690.1966417994181</v>
      </c>
      <c r="G73" s="156">
        <v>3184.7420770391532</v>
      </c>
      <c r="H73" s="156">
        <v>0</v>
      </c>
      <c r="I73" s="156">
        <f>SUM(B73:H73)</f>
        <v>21722.407588434155</v>
      </c>
    </row>
    <row r="74" spans="1:12" ht="18.75">
      <c r="A74" s="293" t="s">
        <v>305</v>
      </c>
      <c r="B74" s="156">
        <v>331.24812786772793</v>
      </c>
      <c r="C74" s="156">
        <v>269.91674025825108</v>
      </c>
      <c r="D74" s="156">
        <v>505.43308066637661</v>
      </c>
      <c r="E74" s="156">
        <v>662.42091179128181</v>
      </c>
      <c r="F74" s="156">
        <v>782.6213294909237</v>
      </c>
      <c r="G74" s="156">
        <v>534.42536306472641</v>
      </c>
      <c r="H74" s="156"/>
      <c r="I74" s="156">
        <v>3086.0655531392877</v>
      </c>
    </row>
    <row r="75" spans="1:12" ht="18.75">
      <c r="A75" s="297" t="s">
        <v>309</v>
      </c>
      <c r="B75" s="298">
        <f>+B73+B74</f>
        <v>3483.0321278677279</v>
      </c>
      <c r="C75" s="298">
        <f t="shared" ref="C75:H75" si="1">+C73+C74</f>
        <v>2382.5659833345339</v>
      </c>
      <c r="D75" s="298">
        <f t="shared" si="1"/>
        <v>4685.2390271856757</v>
      </c>
      <c r="E75" s="298">
        <f t="shared" si="1"/>
        <v>4065.6505917912823</v>
      </c>
      <c r="F75" s="298">
        <f t="shared" si="1"/>
        <v>6472.817971290342</v>
      </c>
      <c r="G75" s="298">
        <f t="shared" si="1"/>
        <v>3719.1674401038795</v>
      </c>
      <c r="H75" s="298">
        <f t="shared" si="1"/>
        <v>0</v>
      </c>
      <c r="I75" s="298">
        <f>SUM(B75:H75)</f>
        <v>24808.473141573442</v>
      </c>
    </row>
    <row r="76" spans="1:12" ht="18.75">
      <c r="A76" s="293" t="s">
        <v>306</v>
      </c>
      <c r="B76" s="411">
        <v>3285</v>
      </c>
      <c r="C76" s="411">
        <v>2260</v>
      </c>
      <c r="D76" s="156">
        <v>4362.8585499999999</v>
      </c>
      <c r="E76" s="156">
        <v>3773.6208331383436</v>
      </c>
      <c r="F76" s="156">
        <v>6070.0222170480693</v>
      </c>
      <c r="G76" s="156">
        <f>3371.23993754044</f>
        <v>3371.2399375404402</v>
      </c>
      <c r="H76" s="156">
        <v>0</v>
      </c>
      <c r="I76" s="156">
        <f>SUM(B76:H76)</f>
        <v>23122.741537726855</v>
      </c>
      <c r="J76" s="9"/>
    </row>
    <row r="77" spans="1:12" ht="18.75">
      <c r="A77" s="293" t="s">
        <v>307</v>
      </c>
      <c r="B77" s="156">
        <f>348.1424-1</f>
        <v>347.14240000000001</v>
      </c>
      <c r="C77" s="156">
        <f>281.382+1</f>
        <v>282.38200000000001</v>
      </c>
      <c r="D77" s="156">
        <v>495.38</v>
      </c>
      <c r="E77" s="156">
        <v>671.64600000000007</v>
      </c>
      <c r="F77" s="156">
        <v>814.57</v>
      </c>
      <c r="G77" s="156">
        <v>546.50400000000002</v>
      </c>
      <c r="H77" s="156">
        <v>0</v>
      </c>
      <c r="I77" s="156">
        <f>SUM(B77:H77)</f>
        <v>3157.6244000000002</v>
      </c>
    </row>
    <row r="78" spans="1:12" ht="18.75">
      <c r="A78" s="297" t="s">
        <v>308</v>
      </c>
      <c r="B78" s="298">
        <f>+B76+B77</f>
        <v>3632.1424000000002</v>
      </c>
      <c r="C78" s="298">
        <f t="shared" ref="C78" si="2">+C76+C77</f>
        <v>2542.3820000000001</v>
      </c>
      <c r="D78" s="298">
        <f t="shared" ref="D78" si="3">+D76+D77</f>
        <v>4858.23855</v>
      </c>
      <c r="E78" s="298">
        <f t="shared" ref="E78" si="4">+E76+E77</f>
        <v>4445.2668331383438</v>
      </c>
      <c r="F78" s="298">
        <f t="shared" ref="F78" si="5">+F76+F77</f>
        <v>6884.592217048069</v>
      </c>
      <c r="G78" s="298">
        <f>+G76+G77</f>
        <v>3917.7439375404401</v>
      </c>
      <c r="H78" s="298">
        <f t="shared" ref="H78" si="6">+H76+H77</f>
        <v>0</v>
      </c>
      <c r="I78" s="298">
        <f t="shared" ref="I78" si="7">+I76+I77</f>
        <v>26280.365937726856</v>
      </c>
    </row>
    <row r="79" spans="1:12" s="6" customFormat="1" ht="18.75">
      <c r="A79" s="67"/>
      <c r="B79" s="68"/>
      <c r="C79" s="68"/>
      <c r="D79" s="70"/>
      <c r="E79" s="70"/>
      <c r="F79" s="70"/>
      <c r="G79" s="70"/>
    </row>
    <row r="80" spans="1:12" s="6" customFormat="1" ht="18.75">
      <c r="A80" s="67"/>
      <c r="B80" s="68">
        <f>3285+348</f>
        <v>3633</v>
      </c>
      <c r="C80" s="68">
        <f>2260+281</f>
        <v>2541</v>
      </c>
      <c r="D80" s="70"/>
      <c r="E80" s="70"/>
      <c r="F80" s="70"/>
      <c r="G80" s="70"/>
    </row>
    <row r="81" spans="1:15">
      <c r="A81" s="8"/>
      <c r="B81" s="117"/>
      <c r="C81" s="117"/>
      <c r="D81" s="117"/>
      <c r="E81" s="117"/>
      <c r="F81" s="117"/>
      <c r="G81" s="117"/>
      <c r="H81" s="8"/>
      <c r="I81" s="8"/>
      <c r="J81" s="8"/>
      <c r="K81" s="8"/>
    </row>
    <row r="82" spans="1:15" ht="21">
      <c r="A82" s="146">
        <v>2012</v>
      </c>
      <c r="B82" s="119" t="s">
        <v>19</v>
      </c>
      <c r="C82" s="119" t="s">
        <v>82</v>
      </c>
      <c r="D82" s="119" t="s">
        <v>79</v>
      </c>
      <c r="E82" s="119" t="s">
        <v>80</v>
      </c>
      <c r="F82" s="119" t="s">
        <v>20</v>
      </c>
      <c r="G82" s="119" t="s">
        <v>81</v>
      </c>
      <c r="H82" s="119" t="s">
        <v>14</v>
      </c>
      <c r="I82" s="120" t="s">
        <v>13</v>
      </c>
    </row>
    <row r="83" spans="1:15">
      <c r="A83" s="121" t="s">
        <v>135</v>
      </c>
      <c r="B83" s="122">
        <v>3483.0321278677279</v>
      </c>
      <c r="C83" s="122">
        <v>2382.5659833345339</v>
      </c>
      <c r="D83" s="122">
        <v>4685.2390271856757</v>
      </c>
      <c r="E83" s="122">
        <v>4065.6505917912823</v>
      </c>
      <c r="F83" s="122">
        <v>6472.817971290342</v>
      </c>
      <c r="G83" s="122">
        <v>3719.1674401038795</v>
      </c>
      <c r="H83" s="123">
        <v>0</v>
      </c>
      <c r="I83" s="124">
        <f>SUM(B83:H83)</f>
        <v>24808.473141573442</v>
      </c>
      <c r="J83" s="4" t="s">
        <v>288</v>
      </c>
      <c r="M83" s="12" t="s">
        <v>157</v>
      </c>
      <c r="N83" s="12" t="s">
        <v>155</v>
      </c>
      <c r="O83" s="12" t="s">
        <v>156</v>
      </c>
    </row>
    <row r="84" spans="1:15">
      <c r="A84" s="125" t="s">
        <v>104</v>
      </c>
      <c r="B84" s="126">
        <f>+B83/I83</f>
        <v>0.14039687601857878</v>
      </c>
      <c r="C84" s="126">
        <f>+C83/I83</f>
        <v>9.6038396629169701E-2</v>
      </c>
      <c r="D84" s="126">
        <f>+D83/I83</f>
        <v>0.18885640403779083</v>
      </c>
      <c r="E84" s="126">
        <f>+E83/I83</f>
        <v>0.16388153227286539</v>
      </c>
      <c r="F84" s="126">
        <f>+F83/I83</f>
        <v>0.26091158187576441</v>
      </c>
      <c r="G84" s="126">
        <f>+G83/I83</f>
        <v>0.14991520916583084</v>
      </c>
      <c r="H84" s="90">
        <v>0</v>
      </c>
      <c r="I84" s="127">
        <f>SUM(B84:H84)</f>
        <v>1</v>
      </c>
      <c r="M84" s="151">
        <v>359</v>
      </c>
      <c r="N84" s="152">
        <v>1.95</v>
      </c>
      <c r="O84" s="153">
        <f>+M84*N84</f>
        <v>700.05</v>
      </c>
    </row>
    <row r="85" spans="1:15">
      <c r="A85" s="128" t="s">
        <v>151</v>
      </c>
      <c r="B85" s="129">
        <f>+$I$85*B84</f>
        <v>135.76377910996567</v>
      </c>
      <c r="C85" s="129">
        <f t="shared" ref="C85:H85" si="8">+$I$85*C84</f>
        <v>92.869129540407101</v>
      </c>
      <c r="D85" s="129">
        <f t="shared" si="8"/>
        <v>182.62414270454374</v>
      </c>
      <c r="E85" s="129">
        <f t="shared" si="8"/>
        <v>158.47344170786084</v>
      </c>
      <c r="F85" s="129">
        <f t="shared" si="8"/>
        <v>252.30149967386419</v>
      </c>
      <c r="G85" s="129">
        <f t="shared" si="8"/>
        <v>144.96800726335843</v>
      </c>
      <c r="H85" s="129">
        <f t="shared" si="8"/>
        <v>0</v>
      </c>
      <c r="I85" s="130">
        <v>967</v>
      </c>
      <c r="J85" s="4" t="s">
        <v>288</v>
      </c>
    </row>
    <row r="86" spans="1:15">
      <c r="A86" s="131" t="s">
        <v>158</v>
      </c>
      <c r="B86" s="132">
        <f>+$I$86*B84</f>
        <v>98.277813213005146</v>
      </c>
      <c r="C86" s="132">
        <f t="shared" ref="C86:H86" si="9">+$I$86*C84</f>
        <v>67.226877640418792</v>
      </c>
      <c r="D86" s="132">
        <f t="shared" si="9"/>
        <v>132.19948282645359</v>
      </c>
      <c r="E86" s="132">
        <f t="shared" si="9"/>
        <v>114.71707259100577</v>
      </c>
      <c r="F86" s="132">
        <f t="shared" si="9"/>
        <v>182.63810731303508</v>
      </c>
      <c r="G86" s="132">
        <f t="shared" si="9"/>
        <v>104.94064641608159</v>
      </c>
      <c r="H86" s="132">
        <f t="shared" si="9"/>
        <v>0</v>
      </c>
      <c r="I86" s="133">
        <v>700</v>
      </c>
      <c r="J86" s="4" t="s">
        <v>288</v>
      </c>
    </row>
    <row r="87" spans="1:15">
      <c r="A87" s="131" t="s">
        <v>168</v>
      </c>
      <c r="B87" s="132">
        <f>($I$87-H87)*B84</f>
        <v>11.231750081486302</v>
      </c>
      <c r="C87" s="132">
        <f>($I$87-H87)*C84</f>
        <v>7.6830717303335758</v>
      </c>
      <c r="D87" s="132">
        <f>(I87-H87)*D84</f>
        <v>15.108512323023266</v>
      </c>
      <c r="E87" s="132">
        <f>($I$87-H87)*E84</f>
        <v>13.110522581829231</v>
      </c>
      <c r="F87" s="132">
        <f>($I$87-H87)*F84</f>
        <v>20.872926550061152</v>
      </c>
      <c r="G87" s="132">
        <f>($I$87-H87)*G84</f>
        <v>11.993216733266468</v>
      </c>
      <c r="H87" s="132">
        <v>20</v>
      </c>
      <c r="I87" s="133">
        <v>100</v>
      </c>
    </row>
    <row r="88" spans="1:15">
      <c r="A88" s="128" t="s">
        <v>169</v>
      </c>
      <c r="B88" s="129">
        <f>SUM(B86:B87)</f>
        <v>109.50956329449144</v>
      </c>
      <c r="C88" s="129">
        <f t="shared" ref="C88:I88" si="10">SUM(C86:C87)</f>
        <v>74.909949370752372</v>
      </c>
      <c r="D88" s="129">
        <f t="shared" si="10"/>
        <v>147.30799514947685</v>
      </c>
      <c r="E88" s="129">
        <f t="shared" si="10"/>
        <v>127.827595172835</v>
      </c>
      <c r="F88" s="129">
        <f t="shared" si="10"/>
        <v>203.51103386309623</v>
      </c>
      <c r="G88" s="129">
        <f t="shared" si="10"/>
        <v>116.93386314934806</v>
      </c>
      <c r="H88" s="129">
        <f t="shared" si="10"/>
        <v>20</v>
      </c>
      <c r="I88" s="129">
        <f t="shared" si="10"/>
        <v>800</v>
      </c>
    </row>
    <row r="89" spans="1:15">
      <c r="A89" s="128" t="s">
        <v>146</v>
      </c>
      <c r="B89" s="129">
        <f>+B83+B85+B86</f>
        <v>3717.0737201906986</v>
      </c>
      <c r="C89" s="129">
        <f t="shared" ref="C89:I89" si="11">+C83+C85+C86</f>
        <v>2542.6619905153598</v>
      </c>
      <c r="D89" s="129">
        <f t="shared" si="11"/>
        <v>5000.0626527166723</v>
      </c>
      <c r="E89" s="129">
        <f t="shared" si="11"/>
        <v>4338.841106090149</v>
      </c>
      <c r="F89" s="129">
        <f t="shared" si="11"/>
        <v>6907.757578277241</v>
      </c>
      <c r="G89" s="129">
        <f t="shared" si="11"/>
        <v>3969.0760937833193</v>
      </c>
      <c r="H89" s="129">
        <f t="shared" si="11"/>
        <v>0</v>
      </c>
      <c r="I89" s="130">
        <f t="shared" si="11"/>
        <v>26475.473141573442</v>
      </c>
    </row>
    <row r="90" spans="1:15">
      <c r="A90" s="131" t="s">
        <v>147</v>
      </c>
      <c r="B90" s="132">
        <f>+B89*0.02</f>
        <v>74.341474403813976</v>
      </c>
      <c r="C90" s="132">
        <f t="shared" ref="C90:I90" si="12">+C89*0.02</f>
        <v>50.853239810307194</v>
      </c>
      <c r="D90" s="132">
        <f t="shared" si="12"/>
        <v>100.00125305433345</v>
      </c>
      <c r="E90" s="132">
        <f t="shared" si="12"/>
        <v>86.776822121802979</v>
      </c>
      <c r="F90" s="132">
        <f t="shared" si="12"/>
        <v>138.15515156554483</v>
      </c>
      <c r="G90" s="132">
        <f t="shared" si="12"/>
        <v>79.381521875666394</v>
      </c>
      <c r="H90" s="132">
        <f t="shared" si="12"/>
        <v>0</v>
      </c>
      <c r="I90" s="133">
        <f t="shared" si="12"/>
        <v>529.50946283146891</v>
      </c>
      <c r="J90" s="115"/>
      <c r="K90" s="116"/>
    </row>
    <row r="91" spans="1:15">
      <c r="A91" s="131" t="s">
        <v>148</v>
      </c>
      <c r="B91" s="132">
        <f t="shared" ref="B91:G91" si="13">+($I$91-$H$91)*B84</f>
        <v>45.557457716052291</v>
      </c>
      <c r="C91" s="132">
        <f t="shared" si="13"/>
        <v>31.163550911003721</v>
      </c>
      <c r="D91" s="132">
        <f t="shared" si="13"/>
        <v>61.28211599393989</v>
      </c>
      <c r="E91" s="132">
        <f t="shared" si="13"/>
        <v>53.178006439224056</v>
      </c>
      <c r="F91" s="132">
        <f t="shared" si="13"/>
        <v>84.66333935635798</v>
      </c>
      <c r="G91" s="132">
        <f t="shared" si="13"/>
        <v>48.646066751953143</v>
      </c>
      <c r="H91" s="132">
        <v>846</v>
      </c>
      <c r="I91" s="133">
        <f>1700-I90</f>
        <v>1170.4905371685311</v>
      </c>
    </row>
    <row r="92" spans="1:15">
      <c r="A92" s="128" t="s">
        <v>149</v>
      </c>
      <c r="B92" s="129">
        <f>+B90+B91</f>
        <v>119.89893211986626</v>
      </c>
      <c r="C92" s="129">
        <f t="shared" ref="C92:I92" si="14">+C90+C91</f>
        <v>82.016790721310912</v>
      </c>
      <c r="D92" s="129">
        <f t="shared" si="14"/>
        <v>161.28336904827333</v>
      </c>
      <c r="E92" s="129">
        <f t="shared" si="14"/>
        <v>139.95482856102703</v>
      </c>
      <c r="F92" s="129">
        <f t="shared" si="14"/>
        <v>222.81849092190282</v>
      </c>
      <c r="G92" s="129">
        <f t="shared" si="14"/>
        <v>128.02758862761954</v>
      </c>
      <c r="H92" s="129">
        <f t="shared" si="14"/>
        <v>846</v>
      </c>
      <c r="I92" s="130">
        <f t="shared" si="14"/>
        <v>1700</v>
      </c>
      <c r="J92" s="4" t="s">
        <v>288</v>
      </c>
    </row>
    <row r="93" spans="1:15">
      <c r="A93" s="134" t="s">
        <v>138</v>
      </c>
      <c r="B93" s="135">
        <f>+(I93-H93)*B84</f>
        <v>219.7211109690758</v>
      </c>
      <c r="C93" s="135">
        <f>+(I93-H93)*C84</f>
        <v>150.30009072465057</v>
      </c>
      <c r="D93" s="135">
        <f>+(I93-H93)*D84</f>
        <v>295.56027231914265</v>
      </c>
      <c r="E93" s="135">
        <f>+(I93-H93)*E84</f>
        <v>256.47459800703433</v>
      </c>
      <c r="F93" s="135">
        <f>+(I93-H93)*F84</f>
        <v>408.3266256355713</v>
      </c>
      <c r="G93" s="135">
        <f>+(I93-H93)*G84</f>
        <v>234.61730234452526</v>
      </c>
      <c r="H93" s="136">
        <v>283</v>
      </c>
      <c r="I93" s="137">
        <v>1848</v>
      </c>
      <c r="J93" s="4" t="s">
        <v>288</v>
      </c>
    </row>
    <row r="94" spans="1:15">
      <c r="A94" s="138" t="s">
        <v>139</v>
      </c>
      <c r="B94" s="139">
        <v>0</v>
      </c>
      <c r="C94" s="139">
        <v>0</v>
      </c>
      <c r="D94" s="139">
        <v>0</v>
      </c>
      <c r="E94" s="139">
        <v>0</v>
      </c>
      <c r="F94" s="139">
        <v>0</v>
      </c>
      <c r="G94" s="139">
        <v>0</v>
      </c>
      <c r="H94" s="140">
        <v>48</v>
      </c>
      <c r="I94" s="141">
        <f>SUM(B94:H94)</f>
        <v>48</v>
      </c>
      <c r="J94" s="1"/>
    </row>
    <row r="95" spans="1:15">
      <c r="A95" s="138" t="s">
        <v>165</v>
      </c>
      <c r="B95" s="139">
        <v>700.31433312061267</v>
      </c>
      <c r="C95" s="139">
        <v>530.52114103382257</v>
      </c>
      <c r="D95" s="139">
        <v>965.90524058710923</v>
      </c>
      <c r="E95" s="139">
        <v>916.35469814933003</v>
      </c>
      <c r="F95" s="139">
        <v>1363.6309278876836</v>
      </c>
      <c r="G95" s="139">
        <v>699.65365922144235</v>
      </c>
      <c r="H95" s="139"/>
      <c r="I95" s="139">
        <f>SUM(B95:H95)</f>
        <v>5176.380000000001</v>
      </c>
      <c r="J95" s="4" t="s">
        <v>288</v>
      </c>
      <c r="K95" s="115"/>
      <c r="L95" s="53"/>
      <c r="M95" s="53"/>
      <c r="N95" s="53"/>
      <c r="O95" s="53"/>
    </row>
    <row r="96" spans="1:15">
      <c r="A96" s="138" t="s">
        <v>166</v>
      </c>
      <c r="B96" s="139">
        <v>83.2</v>
      </c>
      <c r="C96" s="139">
        <v>76.52</v>
      </c>
      <c r="D96" s="139">
        <v>130</v>
      </c>
      <c r="E96" s="139">
        <v>135.28</v>
      </c>
      <c r="F96" s="139">
        <v>196.20000000000002</v>
      </c>
      <c r="G96" s="139">
        <v>99.960000000000008</v>
      </c>
      <c r="H96" s="139"/>
      <c r="I96" s="139">
        <v>721</v>
      </c>
      <c r="K96" s="53"/>
      <c r="L96" s="53"/>
      <c r="M96" s="53"/>
      <c r="N96" s="53"/>
      <c r="O96" s="53"/>
    </row>
    <row r="97" spans="1:15">
      <c r="A97" s="134" t="s">
        <v>167</v>
      </c>
      <c r="B97" s="135">
        <f>SUM(B95:B96)</f>
        <v>783.51433312061272</v>
      </c>
      <c r="C97" s="135">
        <f t="shared" ref="C97:I97" si="15">SUM(C95:C96)</f>
        <v>607.04114103382256</v>
      </c>
      <c r="D97" s="135">
        <f t="shared" si="15"/>
        <v>1095.9052405871093</v>
      </c>
      <c r="E97" s="135">
        <f t="shared" si="15"/>
        <v>1051.63469814933</v>
      </c>
      <c r="F97" s="135">
        <f t="shared" si="15"/>
        <v>1559.8309278876836</v>
      </c>
      <c r="G97" s="135">
        <f t="shared" si="15"/>
        <v>799.61365922144239</v>
      </c>
      <c r="H97" s="135">
        <f t="shared" si="15"/>
        <v>0</v>
      </c>
      <c r="I97" s="135">
        <f t="shared" si="15"/>
        <v>5897.380000000001</v>
      </c>
      <c r="K97" s="115"/>
      <c r="L97" s="53"/>
      <c r="M97" s="53"/>
      <c r="N97" s="53"/>
      <c r="O97" s="53"/>
    </row>
    <row r="98" spans="1:15">
      <c r="A98" s="134" t="s">
        <v>142</v>
      </c>
      <c r="B98" s="135">
        <v>5.195402298850575</v>
      </c>
      <c r="C98" s="135">
        <v>11.689655172413794</v>
      </c>
      <c r="D98" s="135">
        <v>16.885057471264368</v>
      </c>
      <c r="E98" s="135">
        <v>14.287356321839082</v>
      </c>
      <c r="F98" s="135">
        <v>36.367816091954019</v>
      </c>
      <c r="G98" s="135">
        <v>5.195402298850575</v>
      </c>
      <c r="H98" s="135">
        <v>23.379310344827587</v>
      </c>
      <c r="I98" s="137">
        <v>113</v>
      </c>
      <c r="J98" s="4" t="s">
        <v>288</v>
      </c>
      <c r="K98" s="115"/>
      <c r="L98" s="53"/>
      <c r="M98" s="53"/>
      <c r="N98" s="53"/>
      <c r="O98" s="53"/>
    </row>
    <row r="99" spans="1:15">
      <c r="A99" s="125" t="s">
        <v>143</v>
      </c>
      <c r="B99" s="142">
        <v>2</v>
      </c>
      <c r="C99" s="142">
        <v>2</v>
      </c>
      <c r="D99" s="142">
        <v>2</v>
      </c>
      <c r="E99" s="142">
        <v>2</v>
      </c>
      <c r="F99" s="142">
        <v>2</v>
      </c>
      <c r="G99" s="142">
        <v>2</v>
      </c>
      <c r="H99" s="142">
        <v>16</v>
      </c>
      <c r="I99" s="142">
        <v>28</v>
      </c>
      <c r="J99" s="1"/>
      <c r="K99" s="53"/>
      <c r="L99" s="53"/>
      <c r="M99" s="53"/>
      <c r="N99" s="53"/>
      <c r="O99" s="53"/>
    </row>
    <row r="100" spans="1:15">
      <c r="A100" s="121" t="s">
        <v>72</v>
      </c>
      <c r="B100" s="124">
        <f>+B93+B97+B98</f>
        <v>1008.4308463885391</v>
      </c>
      <c r="C100" s="124">
        <f t="shared" ref="C100:H100" si="16">+C93+C97+C98</f>
        <v>769.03088693088694</v>
      </c>
      <c r="D100" s="124">
        <f t="shared" si="16"/>
        <v>1408.3505703775165</v>
      </c>
      <c r="E100" s="124">
        <f t="shared" si="16"/>
        <v>1322.3966524782034</v>
      </c>
      <c r="F100" s="124">
        <f t="shared" si="16"/>
        <v>2004.525369615209</v>
      </c>
      <c r="G100" s="124">
        <f t="shared" si="16"/>
        <v>1039.4263638648181</v>
      </c>
      <c r="H100" s="124">
        <f t="shared" si="16"/>
        <v>306.37931034482756</v>
      </c>
      <c r="I100" s="124">
        <f>+I93+I97+I98</f>
        <v>7858.380000000001</v>
      </c>
      <c r="J100" s="157" t="s">
        <v>60</v>
      </c>
      <c r="K100" s="53"/>
      <c r="L100" s="53"/>
      <c r="M100" s="53"/>
      <c r="N100" s="53"/>
      <c r="O100" s="53"/>
    </row>
    <row r="101" spans="1:15">
      <c r="A101" s="143" t="s">
        <v>152</v>
      </c>
      <c r="B101" s="144">
        <f>+$I$101*B84</f>
        <v>11.147511955875157</v>
      </c>
      <c r="C101" s="144">
        <f t="shared" ref="C101:H101" si="17">+$I$101*C84</f>
        <v>7.6254486923560751</v>
      </c>
      <c r="D101" s="144">
        <f t="shared" si="17"/>
        <v>14.995198480600592</v>
      </c>
      <c r="E101" s="144">
        <f t="shared" si="17"/>
        <v>13.012193662465513</v>
      </c>
      <c r="F101" s="144">
        <f t="shared" si="17"/>
        <v>20.716379600935696</v>
      </c>
      <c r="G101" s="144">
        <f t="shared" si="17"/>
        <v>11.903267607766971</v>
      </c>
      <c r="H101" s="144">
        <f t="shared" si="17"/>
        <v>0</v>
      </c>
      <c r="I101" s="144">
        <v>79.400000000000006</v>
      </c>
      <c r="J101" s="147" t="s">
        <v>60</v>
      </c>
      <c r="K101" s="53"/>
      <c r="L101" s="53"/>
      <c r="M101" s="53"/>
      <c r="N101" s="53"/>
      <c r="O101" s="53"/>
    </row>
    <row r="102" spans="1:15">
      <c r="A102" s="143" t="s">
        <v>145</v>
      </c>
      <c r="B102" s="144">
        <f>+($I$102-$H$102)*B84</f>
        <v>4.211906280557363</v>
      </c>
      <c r="C102" s="144">
        <f t="shared" ref="C102:G102" si="18">+($I$102-$H$102)*C84</f>
        <v>2.8811518988750908</v>
      </c>
      <c r="D102" s="144">
        <f t="shared" si="18"/>
        <v>5.6656921211337252</v>
      </c>
      <c r="E102" s="144">
        <f t="shared" si="18"/>
        <v>4.916445968185962</v>
      </c>
      <c r="F102" s="144">
        <f t="shared" si="18"/>
        <v>7.8273474562729319</v>
      </c>
      <c r="G102" s="144">
        <f t="shared" si="18"/>
        <v>4.4974562749749252</v>
      </c>
      <c r="H102" s="144">
        <v>5</v>
      </c>
      <c r="I102" s="144">
        <v>35</v>
      </c>
      <c r="J102" s="147" t="s">
        <v>60</v>
      </c>
      <c r="K102" s="53"/>
      <c r="L102" s="53"/>
      <c r="M102" s="53"/>
      <c r="N102" s="53"/>
      <c r="O102" s="53"/>
    </row>
    <row r="103" spans="1:15">
      <c r="A103" s="143" t="s">
        <v>235</v>
      </c>
      <c r="B103" s="144">
        <f>+$I$103*B84</f>
        <v>29.90453459195728</v>
      </c>
      <c r="C103" s="144">
        <f t="shared" ref="C103:H103" si="19">+$I$103*C84</f>
        <v>20.456178482013147</v>
      </c>
      <c r="D103" s="144">
        <f t="shared" si="19"/>
        <v>40.22641406004945</v>
      </c>
      <c r="E103" s="144">
        <f t="shared" si="19"/>
        <v>34.90676637412033</v>
      </c>
      <c r="F103" s="144">
        <f t="shared" si="19"/>
        <v>55.574166939537818</v>
      </c>
      <c r="G103" s="144">
        <f t="shared" si="19"/>
        <v>31.931939552321971</v>
      </c>
      <c r="H103" s="144">
        <f t="shared" si="19"/>
        <v>0</v>
      </c>
      <c r="I103" s="144">
        <v>213</v>
      </c>
      <c r="J103" s="147"/>
      <c r="K103" s="53"/>
      <c r="L103" s="53"/>
      <c r="M103" s="53"/>
      <c r="N103" s="53"/>
      <c r="O103" s="53"/>
    </row>
    <row r="104" spans="1:15">
      <c r="A104" s="121" t="s">
        <v>144</v>
      </c>
      <c r="B104" s="122">
        <f>+B101+B102+B103</f>
        <v>45.263952828389797</v>
      </c>
      <c r="C104" s="122">
        <f t="shared" ref="C104:I104" si="20">+C101+C102+C103</f>
        <v>30.962779073244313</v>
      </c>
      <c r="D104" s="122">
        <f t="shared" si="20"/>
        <v>60.887304661783766</v>
      </c>
      <c r="E104" s="122">
        <f t="shared" si="20"/>
        <v>52.835406004771805</v>
      </c>
      <c r="F104" s="122">
        <f t="shared" si="20"/>
        <v>84.117893996746446</v>
      </c>
      <c r="G104" s="122">
        <f t="shared" si="20"/>
        <v>48.332663435063864</v>
      </c>
      <c r="H104" s="122">
        <f t="shared" si="20"/>
        <v>5</v>
      </c>
      <c r="I104" s="122">
        <f t="shared" si="20"/>
        <v>327.39999999999998</v>
      </c>
      <c r="J104" s="299" t="s">
        <v>288</v>
      </c>
    </row>
    <row r="105" spans="1:15">
      <c r="A105" s="125" t="s">
        <v>150</v>
      </c>
      <c r="B105" s="142">
        <f>860*B84</f>
        <v>120.74131337597775</v>
      </c>
      <c r="C105" s="142">
        <f t="shared" ref="C105:G105" si="21">860*C84</f>
        <v>82.593021101085938</v>
      </c>
      <c r="D105" s="142">
        <f>860*D84</f>
        <v>162.41650747250011</v>
      </c>
      <c r="E105" s="142">
        <f t="shared" si="21"/>
        <v>140.93811775466423</v>
      </c>
      <c r="F105" s="142">
        <f t="shared" si="21"/>
        <v>224.38396041315738</v>
      </c>
      <c r="G105" s="142">
        <f t="shared" si="21"/>
        <v>128.92707988261452</v>
      </c>
      <c r="H105" s="142">
        <v>190</v>
      </c>
      <c r="I105" s="120">
        <v>1050</v>
      </c>
      <c r="J105" s="4" t="s">
        <v>288</v>
      </c>
    </row>
    <row r="106" spans="1:15">
      <c r="A106" s="125" t="s">
        <v>162</v>
      </c>
      <c r="B106" s="142">
        <f>95*B84</f>
        <v>13.337703221764984</v>
      </c>
      <c r="C106" s="142">
        <f>95*C84</f>
        <v>9.1236476797711212</v>
      </c>
      <c r="D106" s="142">
        <f>95*D84</f>
        <v>17.941358383590128</v>
      </c>
      <c r="E106" s="142">
        <f t="shared" ref="E106:G106" si="22">95*E84</f>
        <v>15.568745565922212</v>
      </c>
      <c r="F106" s="142">
        <f t="shared" si="22"/>
        <v>24.786600278197618</v>
      </c>
      <c r="G106" s="142">
        <f t="shared" si="22"/>
        <v>14.24194487075393</v>
      </c>
      <c r="H106" s="142">
        <v>65</v>
      </c>
      <c r="I106" s="120">
        <v>160</v>
      </c>
      <c r="J106" s="4" t="s">
        <v>288</v>
      </c>
      <c r="K106">
        <v>1099</v>
      </c>
      <c r="L106">
        <v>2011</v>
      </c>
    </row>
    <row r="107" spans="1:15">
      <c r="A107" s="125" t="s">
        <v>137</v>
      </c>
      <c r="B107" s="139">
        <f>+$I$107*B84</f>
        <v>0</v>
      </c>
      <c r="C107" s="139">
        <f t="shared" ref="C107:H107" si="23">+$I$107*C84</f>
        <v>0</v>
      </c>
      <c r="D107" s="139">
        <f t="shared" si="23"/>
        <v>0</v>
      </c>
      <c r="E107" s="139">
        <f t="shared" si="23"/>
        <v>0</v>
      </c>
      <c r="F107" s="139">
        <f t="shared" si="23"/>
        <v>0</v>
      </c>
      <c r="G107" s="139">
        <f t="shared" si="23"/>
        <v>0</v>
      </c>
      <c r="H107" s="139">
        <f t="shared" si="23"/>
        <v>0</v>
      </c>
      <c r="I107" s="145">
        <v>0</v>
      </c>
      <c r="K107">
        <f>+K106*0.09</f>
        <v>98.91</v>
      </c>
      <c r="L107" s="148">
        <v>0.09</v>
      </c>
    </row>
    <row r="108" spans="1:15">
      <c r="A108" s="125" t="s">
        <v>161</v>
      </c>
      <c r="B108" s="139">
        <f>385*B84</f>
        <v>54.052797267152833</v>
      </c>
      <c r="C108" s="139">
        <f>385*C84</f>
        <v>36.974782702230335</v>
      </c>
      <c r="D108" s="139">
        <f t="shared" ref="D108:G108" si="24">385*D84</f>
        <v>72.709715554549476</v>
      </c>
      <c r="E108" s="139">
        <f t="shared" si="24"/>
        <v>63.094389925053179</v>
      </c>
      <c r="F108" s="139">
        <f t="shared" si="24"/>
        <v>100.4509590221693</v>
      </c>
      <c r="G108" s="139">
        <f t="shared" si="24"/>
        <v>57.717355528844877</v>
      </c>
      <c r="H108" s="139">
        <v>15</v>
      </c>
      <c r="I108" s="145">
        <v>400</v>
      </c>
      <c r="J108" t="s">
        <v>310</v>
      </c>
      <c r="L108" s="148"/>
    </row>
    <row r="109" spans="1:15">
      <c r="A109" s="107"/>
      <c r="B109" s="9"/>
      <c r="C109" s="9"/>
      <c r="D109" s="9"/>
      <c r="E109" s="9"/>
      <c r="F109" s="9"/>
      <c r="G109" s="9"/>
      <c r="H109" s="9"/>
      <c r="I109" s="109"/>
      <c r="K109" s="9">
        <f>SUM(K106:K107)</f>
        <v>1197.9100000000001</v>
      </c>
      <c r="L109">
        <v>2012</v>
      </c>
      <c r="M109" s="154" t="s">
        <v>159</v>
      </c>
    </row>
    <row r="110" spans="1:15">
      <c r="A110" s="107"/>
      <c r="B110" s="9"/>
      <c r="C110" s="9"/>
      <c r="D110" s="9"/>
      <c r="E110" s="9"/>
      <c r="F110" s="9"/>
      <c r="G110" s="9"/>
      <c r="H110" s="9"/>
      <c r="I110" s="109"/>
      <c r="K110" s="9"/>
      <c r="M110" s="154"/>
    </row>
    <row r="111" spans="1:15">
      <c r="A111" s="107"/>
      <c r="B111" s="9"/>
      <c r="C111" s="9"/>
      <c r="D111" s="9"/>
      <c r="E111" s="9"/>
      <c r="F111" s="9"/>
      <c r="G111" s="9"/>
      <c r="H111" s="9"/>
      <c r="I111" s="109"/>
      <c r="K111" s="9"/>
      <c r="M111" s="154"/>
    </row>
    <row r="112" spans="1:15">
      <c r="A112" s="241"/>
      <c r="B112" s="117"/>
      <c r="C112" s="117"/>
      <c r="D112" s="117"/>
      <c r="E112" s="117"/>
      <c r="F112" s="117"/>
      <c r="G112" s="117"/>
      <c r="H112" s="117"/>
      <c r="I112" s="118"/>
      <c r="J112" s="8"/>
      <c r="K112" s="8"/>
    </row>
    <row r="113" spans="1:15" ht="21">
      <c r="A113" s="146">
        <v>2013</v>
      </c>
      <c r="B113" s="119" t="s">
        <v>19</v>
      </c>
      <c r="C113" s="119" t="s">
        <v>82</v>
      </c>
      <c r="D113" s="119" t="s">
        <v>79</v>
      </c>
      <c r="E113" s="119" t="s">
        <v>80</v>
      </c>
      <c r="F113" s="119" t="s">
        <v>20</v>
      </c>
      <c r="G113" s="119" t="s">
        <v>81</v>
      </c>
      <c r="H113" s="119" t="s">
        <v>14</v>
      </c>
      <c r="I113" s="120" t="s">
        <v>13</v>
      </c>
      <c r="M113" s="12" t="s">
        <v>157</v>
      </c>
      <c r="N113" s="12" t="s">
        <v>155</v>
      </c>
      <c r="O113" s="12" t="s">
        <v>156</v>
      </c>
    </row>
    <row r="114" spans="1:15">
      <c r="A114" s="111" t="s">
        <v>136</v>
      </c>
      <c r="B114" s="112">
        <v>3632.1424000000002</v>
      </c>
      <c r="C114" s="112">
        <v>2542.3820000000001</v>
      </c>
      <c r="D114" s="112">
        <v>4858.23855</v>
      </c>
      <c r="E114" s="112">
        <v>4445.2668331383438</v>
      </c>
      <c r="F114" s="112">
        <v>6884.592217048069</v>
      </c>
      <c r="G114" s="112">
        <v>3917.7439375404401</v>
      </c>
      <c r="H114" s="113">
        <v>0</v>
      </c>
      <c r="I114" s="114">
        <f>SUM(B114:H114)</f>
        <v>26280.365937726852</v>
      </c>
      <c r="J114" s="4" t="s">
        <v>288</v>
      </c>
      <c r="M114" s="151">
        <v>368</v>
      </c>
      <c r="N114" s="152">
        <v>2.06</v>
      </c>
      <c r="O114" s="153">
        <f>+M114*N114</f>
        <v>758.08</v>
      </c>
    </row>
    <row r="115" spans="1:15">
      <c r="A115" s="107" t="s">
        <v>104</v>
      </c>
      <c r="B115" s="108">
        <f>+B114/I114</f>
        <v>0.1382074514718179</v>
      </c>
      <c r="C115" s="108">
        <f>+C114/I114</f>
        <v>9.6740738162640144E-2</v>
      </c>
      <c r="D115" s="108">
        <f>+D114/I114</f>
        <v>0.18486190647085862</v>
      </c>
      <c r="E115" s="108">
        <f>+E114/I114</f>
        <v>0.16914782859841873</v>
      </c>
      <c r="F115" s="108">
        <f>+F114/I114</f>
        <v>0.26196713673476191</v>
      </c>
      <c r="G115" s="108">
        <f>+G114/I114</f>
        <v>0.14907493856150275</v>
      </c>
      <c r="H115">
        <v>0</v>
      </c>
      <c r="I115" s="110">
        <f>SUM(B115:H115)</f>
        <v>1</v>
      </c>
      <c r="J115" s="159"/>
      <c r="K115">
        <f>967*0.05</f>
        <v>48.35</v>
      </c>
    </row>
    <row r="116" spans="1:15">
      <c r="A116" s="128" t="s">
        <v>153</v>
      </c>
      <c r="B116" s="129">
        <f>+$I116*B115</f>
        <v>140.28056324389516</v>
      </c>
      <c r="C116" s="129">
        <f t="shared" ref="C116:H116" si="25">+$I116*C115</f>
        <v>98.191849235079744</v>
      </c>
      <c r="D116" s="129">
        <f t="shared" si="25"/>
        <v>187.6348350679215</v>
      </c>
      <c r="E116" s="129">
        <f t="shared" si="25"/>
        <v>171.685046027395</v>
      </c>
      <c r="F116" s="129">
        <f t="shared" si="25"/>
        <v>265.89664378578334</v>
      </c>
      <c r="G116" s="129">
        <f t="shared" si="25"/>
        <v>151.3110626399253</v>
      </c>
      <c r="H116" s="129">
        <f t="shared" si="25"/>
        <v>0</v>
      </c>
      <c r="I116" s="130">
        <v>1015</v>
      </c>
      <c r="J116" s="4" t="s">
        <v>288</v>
      </c>
      <c r="K116">
        <f>967+K115</f>
        <v>1015.35</v>
      </c>
    </row>
    <row r="117" spans="1:15">
      <c r="A117" s="128" t="s">
        <v>158</v>
      </c>
      <c r="B117" s="129">
        <f>+$I$117*B115</f>
        <v>104.76124821563796</v>
      </c>
      <c r="C117" s="129">
        <f t="shared" ref="C117:G117" si="26">+$I$117*C115</f>
        <v>73.329479527281222</v>
      </c>
      <c r="D117" s="129">
        <f t="shared" si="26"/>
        <v>140.12532510491084</v>
      </c>
      <c r="E117" s="129">
        <f t="shared" si="26"/>
        <v>128.21405407760139</v>
      </c>
      <c r="F117" s="129">
        <f t="shared" si="26"/>
        <v>198.57108964494952</v>
      </c>
      <c r="G117" s="129">
        <f t="shared" si="26"/>
        <v>112.99880342961909</v>
      </c>
      <c r="H117" s="129">
        <f t="shared" ref="H117" si="27">+$I$86*H115</f>
        <v>0</v>
      </c>
      <c r="I117" s="130">
        <v>758</v>
      </c>
      <c r="J117" s="4" t="s">
        <v>288</v>
      </c>
    </row>
    <row r="118" spans="1:15">
      <c r="A118" s="131" t="s">
        <v>168</v>
      </c>
      <c r="B118" s="132">
        <f>+($I118-$H118)*B115</f>
        <v>10.365558860386342</v>
      </c>
      <c r="C118" s="132">
        <f>+($I118-$H118)*C115</f>
        <v>7.2555553621980104</v>
      </c>
      <c r="D118" s="132">
        <f t="shared" ref="D118:G118" si="28">+($I118-$H118)*D115</f>
        <v>13.864642985314397</v>
      </c>
      <c r="E118" s="132">
        <f t="shared" si="28"/>
        <v>12.686087144881405</v>
      </c>
      <c r="F118" s="132">
        <f t="shared" si="28"/>
        <v>19.647535255107144</v>
      </c>
      <c r="G118" s="132">
        <f t="shared" si="28"/>
        <v>11.180620392112706</v>
      </c>
      <c r="H118" s="132">
        <v>25</v>
      </c>
      <c r="I118" s="133">
        <v>100</v>
      </c>
      <c r="J118" s="4" t="s">
        <v>288</v>
      </c>
    </row>
    <row r="119" spans="1:15">
      <c r="A119" s="128" t="s">
        <v>169</v>
      </c>
      <c r="B119" s="129">
        <f>+B117+B118</f>
        <v>115.12680707602431</v>
      </c>
      <c r="C119" s="129">
        <f t="shared" ref="C119:I119" si="29">+C117+C118</f>
        <v>80.585034889479232</v>
      </c>
      <c r="D119" s="129">
        <f t="shared" si="29"/>
        <v>153.98996809022523</v>
      </c>
      <c r="E119" s="129">
        <f t="shared" si="29"/>
        <v>140.9001412224828</v>
      </c>
      <c r="F119" s="129">
        <f t="shared" si="29"/>
        <v>218.21862490005668</v>
      </c>
      <c r="G119" s="129">
        <f t="shared" si="29"/>
        <v>124.17942382173179</v>
      </c>
      <c r="H119" s="129">
        <f t="shared" si="29"/>
        <v>25</v>
      </c>
      <c r="I119" s="129">
        <f t="shared" si="29"/>
        <v>858</v>
      </c>
      <c r="J119" s="4" t="s">
        <v>288</v>
      </c>
    </row>
    <row r="120" spans="1:15">
      <c r="A120" s="128" t="s">
        <v>146</v>
      </c>
      <c r="B120" s="129">
        <f>+B114+B116+B117</f>
        <v>3877.1842114595333</v>
      </c>
      <c r="C120" s="129">
        <f t="shared" ref="C120:I120" si="30">+C114+C116+C117</f>
        <v>2713.9033287623611</v>
      </c>
      <c r="D120" s="129">
        <f t="shared" si="30"/>
        <v>5185.9987101728329</v>
      </c>
      <c r="E120" s="129">
        <f t="shared" si="30"/>
        <v>4745.165933243341</v>
      </c>
      <c r="F120" s="129">
        <f t="shared" si="30"/>
        <v>7349.0599504788015</v>
      </c>
      <c r="G120" s="129">
        <f t="shared" si="30"/>
        <v>4182.0538036099842</v>
      </c>
      <c r="H120" s="129">
        <f t="shared" si="30"/>
        <v>0</v>
      </c>
      <c r="I120" s="130">
        <f t="shared" si="30"/>
        <v>28053.365937726852</v>
      </c>
      <c r="J120" s="4" t="s">
        <v>288</v>
      </c>
    </row>
    <row r="121" spans="1:15">
      <c r="A121" s="131" t="s">
        <v>147</v>
      </c>
      <c r="B121" s="132">
        <f t="shared" ref="B121:I121" si="31">+B120*0.02</f>
        <v>77.543684229190674</v>
      </c>
      <c r="C121" s="132">
        <f t="shared" si="31"/>
        <v>54.278066575247223</v>
      </c>
      <c r="D121" s="132">
        <f t="shared" si="31"/>
        <v>103.71997420345666</v>
      </c>
      <c r="E121" s="132">
        <f t="shared" si="31"/>
        <v>94.903318664866816</v>
      </c>
      <c r="F121" s="132">
        <f t="shared" si="31"/>
        <v>146.98119900957605</v>
      </c>
      <c r="G121" s="132">
        <f t="shared" si="31"/>
        <v>83.641076072199681</v>
      </c>
      <c r="H121" s="132">
        <f t="shared" si="31"/>
        <v>0</v>
      </c>
      <c r="I121" s="133">
        <f t="shared" si="31"/>
        <v>561.06731875453704</v>
      </c>
      <c r="J121" s="4" t="s">
        <v>288</v>
      </c>
    </row>
    <row r="122" spans="1:15">
      <c r="A122" s="131" t="s">
        <v>148</v>
      </c>
      <c r="B122" s="132">
        <f t="shared" ref="B122:G122" si="32">+($I$122-$H122)*B115</f>
        <v>40.485479327741807</v>
      </c>
      <c r="C122" s="132">
        <f t="shared" si="32"/>
        <v>28.338523815647449</v>
      </c>
      <c r="D122" s="132">
        <f t="shared" si="32"/>
        <v>54.152093922656597</v>
      </c>
      <c r="E122" s="132">
        <f t="shared" si="32"/>
        <v>49.548926958182776</v>
      </c>
      <c r="F122" s="132">
        <f t="shared" si="32"/>
        <v>76.73873576191059</v>
      </c>
      <c r="G122" s="132">
        <f t="shared" si="32"/>
        <v>43.668921459323641</v>
      </c>
      <c r="H122" s="132">
        <v>846</v>
      </c>
      <c r="I122" s="133">
        <f>1700-I121</f>
        <v>1138.9326812454628</v>
      </c>
      <c r="J122" s="4" t="s">
        <v>288</v>
      </c>
    </row>
    <row r="123" spans="1:15">
      <c r="A123" s="128" t="s">
        <v>149</v>
      </c>
      <c r="B123" s="129">
        <f t="shared" ref="B123:I123" si="33">+B121+B122</f>
        <v>118.02916355693247</v>
      </c>
      <c r="C123" s="129">
        <f t="shared" si="33"/>
        <v>82.616590390894672</v>
      </c>
      <c r="D123" s="129">
        <f t="shared" si="33"/>
        <v>157.87206812611325</v>
      </c>
      <c r="E123" s="129">
        <f t="shared" si="33"/>
        <v>144.45224562304958</v>
      </c>
      <c r="F123" s="129">
        <f t="shared" si="33"/>
        <v>223.71993477148663</v>
      </c>
      <c r="G123" s="129">
        <f t="shared" si="33"/>
        <v>127.30999753152332</v>
      </c>
      <c r="H123" s="129">
        <f t="shared" si="33"/>
        <v>846</v>
      </c>
      <c r="I123" s="130">
        <f t="shared" si="33"/>
        <v>1700</v>
      </c>
      <c r="J123" s="4" t="s">
        <v>288</v>
      </c>
    </row>
    <row r="124" spans="1:15">
      <c r="A124" s="134" t="s">
        <v>140</v>
      </c>
      <c r="B124" s="135">
        <f>+(I124-H124)*B115</f>
        <v>223.48144902992954</v>
      </c>
      <c r="C124" s="135">
        <f>+(I124-H124)*C115</f>
        <v>156.42977360898911</v>
      </c>
      <c r="D124" s="135">
        <f>+(I124-H124)*D115</f>
        <v>298.92170276337839</v>
      </c>
      <c r="E124" s="135">
        <f>+(I124-H124)*E115</f>
        <v>273.5120388436431</v>
      </c>
      <c r="F124" s="135">
        <f>+(I124-H124)*F115</f>
        <v>423.60086010011003</v>
      </c>
      <c r="G124" s="135">
        <f>+(I124-H124)*G115</f>
        <v>241.05417565394995</v>
      </c>
      <c r="H124" s="136">
        <v>283</v>
      </c>
      <c r="I124" s="137">
        <v>1900</v>
      </c>
      <c r="J124" t="s">
        <v>60</v>
      </c>
    </row>
    <row r="125" spans="1:15">
      <c r="A125" s="125" t="s">
        <v>139</v>
      </c>
      <c r="B125" s="142">
        <v>0</v>
      </c>
      <c r="C125" s="142">
        <v>0</v>
      </c>
      <c r="D125" s="142">
        <v>0</v>
      </c>
      <c r="E125" s="142">
        <v>0</v>
      </c>
      <c r="F125" s="142">
        <v>0</v>
      </c>
      <c r="G125" s="142">
        <v>0</v>
      </c>
      <c r="H125" s="90">
        <v>50</v>
      </c>
      <c r="I125" s="149"/>
    </row>
    <row r="126" spans="1:15">
      <c r="A126" s="138" t="s">
        <v>165</v>
      </c>
      <c r="B126" s="139">
        <v>685.82899416909629</v>
      </c>
      <c r="C126" s="139">
        <v>514.7021064139941</v>
      </c>
      <c r="D126" s="139">
        <v>964.65349854227406</v>
      </c>
      <c r="E126" s="139">
        <v>999.01102040816329</v>
      </c>
      <c r="F126" s="139">
        <v>1542.7848760932945</v>
      </c>
      <c r="G126" s="139">
        <v>732.07950437317788</v>
      </c>
      <c r="H126" s="140"/>
      <c r="I126" s="141">
        <f>SUM(B126:H126)</f>
        <v>5439.06</v>
      </c>
      <c r="J126" s="4" t="s">
        <v>288</v>
      </c>
    </row>
    <row r="127" spans="1:15">
      <c r="A127" s="138" t="s">
        <v>166</v>
      </c>
      <c r="B127" s="139">
        <v>95.103999999999999</v>
      </c>
      <c r="C127" s="139">
        <v>90.475999999999999</v>
      </c>
      <c r="D127" s="139">
        <v>149.74</v>
      </c>
      <c r="E127" s="139">
        <v>149.68</v>
      </c>
      <c r="F127" s="139">
        <v>226.4</v>
      </c>
      <c r="G127" s="139">
        <v>109.24000000000001</v>
      </c>
      <c r="H127" s="136"/>
      <c r="I127" s="141">
        <v>821</v>
      </c>
    </row>
    <row r="128" spans="1:15">
      <c r="A128" s="134" t="s">
        <v>167</v>
      </c>
      <c r="B128" s="135">
        <f>SUM(B126:B127)</f>
        <v>780.93299416909633</v>
      </c>
      <c r="C128" s="135">
        <f t="shared" ref="C128:G128" si="34">SUM(C126:C127)</f>
        <v>605.1781064139941</v>
      </c>
      <c r="D128" s="135">
        <f t="shared" si="34"/>
        <v>1114.3934985422741</v>
      </c>
      <c r="E128" s="135">
        <f t="shared" si="34"/>
        <v>1148.6910204081632</v>
      </c>
      <c r="F128" s="135">
        <f t="shared" si="34"/>
        <v>1769.1848760932946</v>
      </c>
      <c r="G128" s="135">
        <f t="shared" si="34"/>
        <v>841.31950437317789</v>
      </c>
      <c r="H128" s="135"/>
      <c r="I128" s="137">
        <f>SUM(I126:I127)</f>
        <v>6260.06</v>
      </c>
    </row>
    <row r="129" spans="1:13">
      <c r="A129" s="134" t="s">
        <v>52</v>
      </c>
      <c r="B129" s="135">
        <v>8</v>
      </c>
      <c r="C129" s="135">
        <v>8</v>
      </c>
      <c r="D129" s="135">
        <v>8</v>
      </c>
      <c r="E129" s="135">
        <v>8</v>
      </c>
      <c r="F129" s="135">
        <v>10</v>
      </c>
      <c r="G129" s="135">
        <v>12</v>
      </c>
      <c r="H129" s="136">
        <f>30+5</f>
        <v>35</v>
      </c>
      <c r="I129" s="137">
        <f>SUM(B129:H129)</f>
        <v>89</v>
      </c>
      <c r="J129" t="s">
        <v>60</v>
      </c>
    </row>
    <row r="130" spans="1:13">
      <c r="A130" s="125" t="s">
        <v>143</v>
      </c>
      <c r="B130" s="142">
        <v>0</v>
      </c>
      <c r="C130" s="142">
        <v>0</v>
      </c>
      <c r="D130" s="142">
        <v>0</v>
      </c>
      <c r="E130" s="142">
        <v>0</v>
      </c>
      <c r="F130" s="142">
        <v>0</v>
      </c>
      <c r="G130" s="142">
        <v>0</v>
      </c>
      <c r="H130" s="90">
        <v>30</v>
      </c>
      <c r="I130" s="90">
        <v>30</v>
      </c>
    </row>
    <row r="131" spans="1:13">
      <c r="A131" s="121" t="s">
        <v>141</v>
      </c>
      <c r="B131" s="124">
        <f>+B124+B128+B129</f>
        <v>1012.4144431990259</v>
      </c>
      <c r="C131" s="124">
        <f t="shared" ref="C131:H131" si="35">+C124+C128+C129</f>
        <v>769.60788002298318</v>
      </c>
      <c r="D131" s="124">
        <f t="shared" si="35"/>
        <v>1421.3152013056524</v>
      </c>
      <c r="E131" s="124">
        <f t="shared" si="35"/>
        <v>1430.2030592518063</v>
      </c>
      <c r="F131" s="124">
        <f t="shared" si="35"/>
        <v>2202.7857361934048</v>
      </c>
      <c r="G131" s="124">
        <f t="shared" si="35"/>
        <v>1094.3736800271279</v>
      </c>
      <c r="H131" s="124">
        <f t="shared" si="35"/>
        <v>318</v>
      </c>
      <c r="I131" s="124">
        <f>+I124+I128+I129</f>
        <v>8249.0600000000013</v>
      </c>
      <c r="J131" s="158" t="s">
        <v>60</v>
      </c>
      <c r="K131" s="9"/>
    </row>
    <row r="132" spans="1:13">
      <c r="A132" s="143" t="s">
        <v>152</v>
      </c>
      <c r="B132" s="144">
        <f>(+I132-H132)*B115</f>
        <v>12.010227532900977</v>
      </c>
      <c r="C132" s="144">
        <f>(+I132-H132)*C115</f>
        <v>8.4067701463334288</v>
      </c>
      <c r="D132" s="144">
        <f>(+I132-H132)*D115</f>
        <v>16.064499672317616</v>
      </c>
      <c r="E132" s="144">
        <f>(+I132-H132)*E115</f>
        <v>14.698946305202588</v>
      </c>
      <c r="F132" s="144">
        <f>(+I132-H132)*F115</f>
        <v>22.764944182250812</v>
      </c>
      <c r="G132" s="144">
        <f>(+I132-H132)*G115</f>
        <v>12.954612160994589</v>
      </c>
      <c r="H132" s="144">
        <v>0</v>
      </c>
      <c r="I132" s="144">
        <v>86.9</v>
      </c>
      <c r="J132" s="2" t="s">
        <v>60</v>
      </c>
    </row>
    <row r="133" spans="1:13">
      <c r="A133" s="143" t="s">
        <v>145</v>
      </c>
      <c r="B133" s="144">
        <f>+($I$133-$H$133)*B115</f>
        <v>4.1462235441545374</v>
      </c>
      <c r="C133" s="144">
        <f t="shared" ref="C133:G133" si="36">+($I$133-$H$133)*C115</f>
        <v>2.9022221448792043</v>
      </c>
      <c r="D133" s="144">
        <f t="shared" si="36"/>
        <v>5.5458571941257588</v>
      </c>
      <c r="E133" s="144">
        <f t="shared" si="36"/>
        <v>5.0744348579525616</v>
      </c>
      <c r="F133" s="144">
        <f t="shared" si="36"/>
        <v>7.859014102042857</v>
      </c>
      <c r="G133" s="144">
        <f t="shared" si="36"/>
        <v>4.4722481568450823</v>
      </c>
      <c r="H133" s="144">
        <v>5</v>
      </c>
      <c r="I133" s="144">
        <v>35</v>
      </c>
      <c r="J133" s="2" t="s">
        <v>60</v>
      </c>
    </row>
    <row r="134" spans="1:13">
      <c r="A134" s="143" t="s">
        <v>235</v>
      </c>
      <c r="B134" s="144">
        <f>+$I$134*B115</f>
        <v>31.234884032630845</v>
      </c>
      <c r="C134" s="144">
        <f t="shared" ref="C134:H134" si="37">+$I$134*C115</f>
        <v>21.863406824756673</v>
      </c>
      <c r="D134" s="144">
        <f t="shared" si="37"/>
        <v>41.778790862414048</v>
      </c>
      <c r="E134" s="144">
        <f t="shared" si="37"/>
        <v>38.227409263242635</v>
      </c>
      <c r="F134" s="144">
        <f t="shared" si="37"/>
        <v>59.204572902056192</v>
      </c>
      <c r="G134" s="144">
        <f t="shared" si="37"/>
        <v>33.690936114899621</v>
      </c>
      <c r="H134" s="144">
        <f t="shared" si="37"/>
        <v>0</v>
      </c>
      <c r="I134" s="144">
        <v>226</v>
      </c>
      <c r="J134" s="2"/>
    </row>
    <row r="135" spans="1:13">
      <c r="A135" s="121" t="s">
        <v>144</v>
      </c>
      <c r="B135" s="122">
        <f>SUM(B132:B134)</f>
        <v>47.391335109686359</v>
      </c>
      <c r="C135" s="122">
        <f t="shared" ref="C135:I135" si="38">SUM(C132:C134)</f>
        <v>33.172399115969306</v>
      </c>
      <c r="D135" s="122">
        <f t="shared" si="38"/>
        <v>63.389147728857424</v>
      </c>
      <c r="E135" s="122">
        <f t="shared" si="38"/>
        <v>58.000790426397785</v>
      </c>
      <c r="F135" s="122">
        <f t="shared" si="38"/>
        <v>89.828531186349863</v>
      </c>
      <c r="G135" s="122">
        <f t="shared" si="38"/>
        <v>51.117796432739297</v>
      </c>
      <c r="H135" s="122">
        <f t="shared" si="38"/>
        <v>5</v>
      </c>
      <c r="I135" s="122">
        <f t="shared" si="38"/>
        <v>347.9</v>
      </c>
      <c r="J135" s="112" t="s">
        <v>60</v>
      </c>
      <c r="K135" s="1">
        <v>1200</v>
      </c>
      <c r="L135">
        <v>2012</v>
      </c>
      <c r="M135">
        <v>160</v>
      </c>
    </row>
    <row r="136" spans="1:13">
      <c r="A136" s="125" t="s">
        <v>150</v>
      </c>
      <c r="B136" s="142">
        <f>1120*B115</f>
        <v>154.79234564843605</v>
      </c>
      <c r="C136" s="142">
        <f t="shared" ref="C136:G136" si="39">1120*C115</f>
        <v>108.34962674215696</v>
      </c>
      <c r="D136" s="142">
        <f t="shared" si="39"/>
        <v>207.04533524736166</v>
      </c>
      <c r="E136" s="142">
        <f t="shared" si="39"/>
        <v>189.44556803022897</v>
      </c>
      <c r="F136" s="142">
        <f t="shared" si="39"/>
        <v>293.40319314293333</v>
      </c>
      <c r="G136" s="142">
        <f t="shared" si="39"/>
        <v>166.96393118888309</v>
      </c>
      <c r="H136" s="142">
        <v>200</v>
      </c>
      <c r="I136" s="120">
        <v>1320</v>
      </c>
      <c r="J136" t="s">
        <v>60</v>
      </c>
      <c r="K136">
        <f>+K135*0.1</f>
        <v>120</v>
      </c>
      <c r="L136" s="148">
        <v>0.1</v>
      </c>
      <c r="M136">
        <f>+M135*0.1</f>
        <v>16</v>
      </c>
    </row>
    <row r="137" spans="1:13">
      <c r="A137" s="125" t="s">
        <v>162</v>
      </c>
      <c r="B137" s="142">
        <f>98*B115</f>
        <v>13.544330244238154</v>
      </c>
      <c r="C137" s="142">
        <f t="shared" ref="C137:G137" si="40">98*C115</f>
        <v>9.4805923399387346</v>
      </c>
      <c r="D137" s="142">
        <f t="shared" si="40"/>
        <v>18.116466834144145</v>
      </c>
      <c r="E137" s="142">
        <f t="shared" si="40"/>
        <v>16.576487202645037</v>
      </c>
      <c r="F137" s="142">
        <f t="shared" si="40"/>
        <v>25.672779400006668</v>
      </c>
      <c r="G137" s="142">
        <f t="shared" si="40"/>
        <v>14.609343979027269</v>
      </c>
      <c r="H137" s="142">
        <v>67</v>
      </c>
      <c r="I137" s="120">
        <v>165</v>
      </c>
      <c r="J137" s="9"/>
    </row>
    <row r="138" spans="1:13">
      <c r="A138" s="125" t="s">
        <v>137</v>
      </c>
      <c r="B138" s="139">
        <v>0</v>
      </c>
      <c r="C138" s="139"/>
      <c r="D138" s="139"/>
      <c r="E138" s="139"/>
      <c r="F138" s="139"/>
      <c r="G138" s="139"/>
      <c r="H138" s="139"/>
      <c r="I138" s="145"/>
      <c r="J138" s="9"/>
    </row>
    <row r="139" spans="1:13">
      <c r="A139" s="125" t="s">
        <v>161</v>
      </c>
      <c r="B139" s="139">
        <f>383*B115</f>
        <v>52.933453913706252</v>
      </c>
      <c r="C139" s="139">
        <f t="shared" ref="C139:G139" si="41">383*C115</f>
        <v>37.051702716291175</v>
      </c>
      <c r="D139" s="139">
        <f t="shared" si="41"/>
        <v>70.80211017833885</v>
      </c>
      <c r="E139" s="139">
        <f t="shared" si="41"/>
        <v>64.78361835319437</v>
      </c>
      <c r="F139" s="139">
        <f t="shared" si="41"/>
        <v>100.3334133694138</v>
      </c>
      <c r="G139" s="139">
        <f t="shared" si="41"/>
        <v>57.095701469055555</v>
      </c>
      <c r="H139" s="139">
        <v>17</v>
      </c>
      <c r="I139" s="145">
        <v>400</v>
      </c>
    </row>
    <row r="140" spans="1:13" ht="15.75">
      <c r="A140" s="107"/>
      <c r="B140" s="34"/>
      <c r="C140" s="35"/>
      <c r="D140" s="35"/>
      <c r="E140" s="35"/>
      <c r="F140" s="35"/>
      <c r="G140" s="35"/>
      <c r="H140" s="36"/>
      <c r="I140" s="109"/>
    </row>
    <row r="141" spans="1:13" ht="15.75">
      <c r="A141" s="107"/>
      <c r="B141" s="34"/>
      <c r="C141" s="35"/>
      <c r="D141" s="35"/>
      <c r="E141" s="35"/>
      <c r="F141" s="35"/>
      <c r="G141" s="35"/>
      <c r="H141" s="36"/>
      <c r="I141" s="109"/>
    </row>
    <row r="142" spans="1:13" ht="15.75">
      <c r="A142" s="107"/>
      <c r="B142" s="34"/>
      <c r="C142" s="35"/>
      <c r="D142" s="35"/>
      <c r="E142" s="35"/>
      <c r="F142" s="35"/>
      <c r="G142" s="35"/>
      <c r="H142" s="36"/>
      <c r="I142" s="109"/>
    </row>
    <row r="143" spans="1:13" ht="15.75">
      <c r="A143" s="107"/>
      <c r="B143" s="34"/>
      <c r="C143" s="35"/>
      <c r="D143" s="35"/>
      <c r="E143" s="35"/>
      <c r="F143" s="35"/>
      <c r="G143" s="35"/>
      <c r="H143" s="36"/>
      <c r="I143" s="109"/>
    </row>
    <row r="144" spans="1:13" ht="15.75">
      <c r="A144" s="107"/>
      <c r="B144" s="34"/>
      <c r="C144" s="35"/>
      <c r="D144" s="35"/>
      <c r="E144" s="35"/>
      <c r="F144" s="35"/>
      <c r="G144" s="35"/>
      <c r="H144" s="36"/>
      <c r="I144" s="109"/>
    </row>
    <row r="145" spans="1:10" ht="15.75">
      <c r="A145" s="107"/>
      <c r="B145" s="34"/>
      <c r="C145" s="35"/>
      <c r="D145" s="35"/>
      <c r="E145" s="35"/>
      <c r="F145" s="35"/>
      <c r="G145" s="35"/>
      <c r="H145" s="36"/>
      <c r="I145" s="109"/>
    </row>
    <row r="146" spans="1:10" ht="15.75">
      <c r="A146" s="107"/>
      <c r="B146" s="34"/>
      <c r="C146" s="35"/>
      <c r="D146" s="35"/>
      <c r="E146" s="35"/>
      <c r="F146" s="35"/>
      <c r="G146" s="35"/>
      <c r="H146" s="36"/>
      <c r="I146" s="109"/>
    </row>
    <row r="147" spans="1:10" ht="15.75">
      <c r="A147" s="107"/>
      <c r="B147" s="34"/>
      <c r="C147" s="35"/>
      <c r="D147" s="35"/>
      <c r="E147" s="35"/>
      <c r="F147" s="35"/>
      <c r="G147" s="35"/>
      <c r="H147" s="36"/>
      <c r="I147" s="109"/>
    </row>
    <row r="148" spans="1:10" ht="15.75">
      <c r="A148" s="107"/>
      <c r="B148" s="34"/>
      <c r="C148" s="35"/>
      <c r="D148" s="35"/>
      <c r="E148" s="35"/>
      <c r="F148" s="35"/>
      <c r="G148" s="35"/>
      <c r="H148" s="36"/>
      <c r="I148" s="109"/>
    </row>
    <row r="149" spans="1:10" ht="15.75">
      <c r="A149" s="107"/>
      <c r="B149" s="34"/>
      <c r="C149" s="35"/>
      <c r="D149" s="35"/>
      <c r="E149" s="35"/>
      <c r="F149" s="35"/>
      <c r="G149" s="35"/>
      <c r="H149" s="36"/>
      <c r="I149" s="109"/>
    </row>
    <row r="150" spans="1:10" ht="15.75">
      <c r="A150" s="107"/>
      <c r="B150" s="34"/>
      <c r="C150" s="35"/>
      <c r="D150" s="35"/>
      <c r="E150" s="35"/>
      <c r="F150" s="35"/>
      <c r="G150" s="35"/>
      <c r="H150" s="36"/>
      <c r="I150" s="109"/>
    </row>
    <row r="151" spans="1:10" ht="15.75">
      <c r="A151" s="107"/>
      <c r="B151" s="34"/>
      <c r="C151" s="35"/>
      <c r="D151" s="35"/>
      <c r="E151" s="35"/>
      <c r="F151" s="35"/>
      <c r="G151" s="35"/>
      <c r="H151" s="36"/>
      <c r="I151" s="109"/>
    </row>
    <row r="152" spans="1:10" ht="15.75">
      <c r="A152" s="107"/>
      <c r="B152" s="34"/>
      <c r="C152" s="35"/>
      <c r="D152" s="35"/>
      <c r="E152" s="35"/>
      <c r="F152" s="35"/>
      <c r="G152" s="35"/>
      <c r="H152" s="36"/>
      <c r="I152" s="109"/>
    </row>
    <row r="153" spans="1:10" ht="15.75">
      <c r="A153" s="107"/>
      <c r="B153" s="34"/>
      <c r="C153" s="35"/>
      <c r="D153" s="35"/>
      <c r="E153" s="35"/>
      <c r="F153" s="35"/>
      <c r="G153" s="35"/>
      <c r="H153" s="36"/>
      <c r="I153" s="109"/>
    </row>
    <row r="154" spans="1:10" ht="15.75">
      <c r="A154" s="107"/>
      <c r="B154" s="34"/>
      <c r="C154" s="35"/>
      <c r="D154" s="35"/>
      <c r="E154" s="35"/>
      <c r="F154" s="35"/>
      <c r="G154" s="35"/>
      <c r="H154" s="36"/>
      <c r="I154" s="109"/>
    </row>
    <row r="155" spans="1:10" ht="15.75">
      <c r="A155" s="107"/>
      <c r="B155" s="34"/>
      <c r="C155" s="35"/>
      <c r="D155" s="35"/>
      <c r="E155" s="35"/>
      <c r="F155" s="35"/>
      <c r="G155" s="35"/>
      <c r="H155" s="36"/>
      <c r="I155" s="109"/>
    </row>
    <row r="156" spans="1:10" ht="15.75">
      <c r="A156" s="107"/>
      <c r="B156" s="34"/>
      <c r="C156" s="35"/>
      <c r="D156" s="35"/>
      <c r="E156" s="35"/>
      <c r="F156" s="35"/>
      <c r="G156" s="35"/>
      <c r="H156" s="36"/>
      <c r="I156" s="109"/>
    </row>
    <row r="157" spans="1:10" ht="15.75">
      <c r="A157" s="49"/>
      <c r="B157" s="50"/>
      <c r="C157" s="51"/>
      <c r="D157" s="51"/>
      <c r="E157" s="51"/>
      <c r="F157" s="51"/>
      <c r="G157" s="51"/>
      <c r="H157" s="52"/>
      <c r="I157" s="53"/>
    </row>
    <row r="158" spans="1:10">
      <c r="B158" s="5"/>
      <c r="D158" s="11"/>
      <c r="F158" s="11"/>
    </row>
    <row r="159" spans="1:10" ht="23.25">
      <c r="B159" s="548" t="s">
        <v>118</v>
      </c>
      <c r="C159" s="549"/>
      <c r="D159" s="549"/>
      <c r="E159" s="549"/>
      <c r="F159" s="549"/>
      <c r="G159" s="549"/>
      <c r="H159" s="550"/>
    </row>
    <row r="160" spans="1:10" ht="15.75">
      <c r="A160" s="270" t="s">
        <v>89</v>
      </c>
      <c r="B160" s="551" t="s">
        <v>19</v>
      </c>
      <c r="C160" s="551" t="s">
        <v>82</v>
      </c>
      <c r="D160" s="551" t="s">
        <v>79</v>
      </c>
      <c r="E160" s="551" t="s">
        <v>80</v>
      </c>
      <c r="F160" s="551" t="s">
        <v>20</v>
      </c>
      <c r="G160" s="551" t="s">
        <v>81</v>
      </c>
      <c r="H160" s="551" t="s">
        <v>13</v>
      </c>
      <c r="J160" s="57">
        <v>4035</v>
      </c>
    </row>
    <row r="161" spans="1:11" ht="15.75">
      <c r="A161" s="271" t="s">
        <v>90</v>
      </c>
      <c r="B161" s="552"/>
      <c r="C161" s="552"/>
      <c r="D161" s="552"/>
      <c r="E161" s="552"/>
      <c r="F161" s="552"/>
      <c r="G161" s="552"/>
      <c r="H161" s="552"/>
      <c r="J161" s="57"/>
      <c r="K161">
        <f>H162*H163</f>
        <v>6960.375</v>
      </c>
    </row>
    <row r="162" spans="1:11" ht="15.75">
      <c r="A162" s="222" t="s">
        <v>18</v>
      </c>
      <c r="B162" s="76">
        <v>546</v>
      </c>
      <c r="C162" s="76">
        <v>414</v>
      </c>
      <c r="D162" s="74">
        <v>753</v>
      </c>
      <c r="E162" s="74">
        <v>714</v>
      </c>
      <c r="F162" s="74">
        <v>1063</v>
      </c>
      <c r="G162" s="74">
        <v>545</v>
      </c>
      <c r="H162" s="33">
        <f>SUM(B162:G162)</f>
        <v>4035</v>
      </c>
      <c r="I162" s="56" t="s">
        <v>289</v>
      </c>
      <c r="J162" s="84"/>
    </row>
    <row r="163" spans="1:11" ht="15.75">
      <c r="A163" s="18" t="s">
        <v>84</v>
      </c>
      <c r="B163" s="19">
        <v>1.7250000000000001</v>
      </c>
      <c r="C163" s="19">
        <v>1.7250000000000001</v>
      </c>
      <c r="D163" s="20">
        <v>1.7250000000000001</v>
      </c>
      <c r="E163" s="20">
        <v>1.7250000000000001</v>
      </c>
      <c r="F163" s="20">
        <v>1.7250000000000001</v>
      </c>
      <c r="G163" s="20">
        <v>1.7250000000000001</v>
      </c>
      <c r="H163" s="20">
        <v>1.7250000000000001</v>
      </c>
      <c r="I163" s="56" t="s">
        <v>289</v>
      </c>
      <c r="J163" s="85">
        <v>713</v>
      </c>
    </row>
    <row r="164" spans="1:11" ht="15.75">
      <c r="A164" s="21" t="s">
        <v>83</v>
      </c>
      <c r="B164" s="26">
        <f t="shared" ref="B164:G164" si="42">+B162*B163</f>
        <v>941.85</v>
      </c>
      <c r="C164" s="26">
        <f t="shared" si="42"/>
        <v>714.15000000000009</v>
      </c>
      <c r="D164" s="26">
        <f t="shared" si="42"/>
        <v>1298.925</v>
      </c>
      <c r="E164" s="26">
        <f t="shared" si="42"/>
        <v>1231.6500000000001</v>
      </c>
      <c r="F164" s="26">
        <f t="shared" si="42"/>
        <v>1833.6750000000002</v>
      </c>
      <c r="G164" s="26">
        <f t="shared" si="42"/>
        <v>940.125</v>
      </c>
      <c r="H164" s="26">
        <f>SUM(B164:G164)</f>
        <v>6960.3750000000009</v>
      </c>
      <c r="I164" s="56" t="s">
        <v>289</v>
      </c>
      <c r="J164" s="58">
        <v>420</v>
      </c>
    </row>
    <row r="165" spans="1:11" ht="15.75">
      <c r="A165" s="22" t="s">
        <v>3</v>
      </c>
      <c r="B165" s="274">
        <v>96</v>
      </c>
      <c r="C165" s="275">
        <v>73</v>
      </c>
      <c r="D165" s="275">
        <v>133</v>
      </c>
      <c r="E165" s="275">
        <v>126</v>
      </c>
      <c r="F165" s="275">
        <v>188</v>
      </c>
      <c r="G165" s="275">
        <v>97</v>
      </c>
      <c r="H165" s="27">
        <f>SUM(B165:G165)</f>
        <v>713</v>
      </c>
      <c r="I165" s="56" t="s">
        <v>289</v>
      </c>
      <c r="J165" s="58">
        <v>427</v>
      </c>
    </row>
    <row r="166" spans="1:11" ht="15.75">
      <c r="A166" s="22" t="s">
        <v>4</v>
      </c>
      <c r="B166" s="274">
        <v>57</v>
      </c>
      <c r="C166" s="275">
        <v>43</v>
      </c>
      <c r="D166" s="275">
        <v>78</v>
      </c>
      <c r="E166" s="275">
        <v>74</v>
      </c>
      <c r="F166" s="275">
        <v>111</v>
      </c>
      <c r="G166" s="275">
        <v>57</v>
      </c>
      <c r="H166" s="27">
        <f t="shared" ref="H166:H171" si="43">SUM(B166:G166)</f>
        <v>420</v>
      </c>
      <c r="I166" s="56" t="s">
        <v>289</v>
      </c>
      <c r="J166" s="85">
        <v>1303</v>
      </c>
    </row>
    <row r="167" spans="1:11" ht="15.75">
      <c r="A167" s="22" t="s">
        <v>5</v>
      </c>
      <c r="B167" s="274">
        <v>58</v>
      </c>
      <c r="C167" s="275">
        <v>44</v>
      </c>
      <c r="D167" s="275">
        <v>80</v>
      </c>
      <c r="E167" s="275">
        <v>75</v>
      </c>
      <c r="F167" s="275">
        <v>112</v>
      </c>
      <c r="G167" s="275">
        <v>58</v>
      </c>
      <c r="H167" s="27">
        <f>SUM(B167:G167)</f>
        <v>427</v>
      </c>
      <c r="I167" s="56" t="s">
        <v>289</v>
      </c>
      <c r="J167" s="85">
        <v>187</v>
      </c>
    </row>
    <row r="168" spans="1:11" ht="15.75">
      <c r="A168" s="22" t="s">
        <v>6</v>
      </c>
      <c r="B168" s="274">
        <v>176</v>
      </c>
      <c r="C168" s="275">
        <v>134</v>
      </c>
      <c r="D168" s="275">
        <v>243</v>
      </c>
      <c r="E168" s="275">
        <v>231</v>
      </c>
      <c r="F168" s="275">
        <v>343</v>
      </c>
      <c r="G168" s="275">
        <v>176</v>
      </c>
      <c r="H168" s="27">
        <f t="shared" si="43"/>
        <v>1303</v>
      </c>
      <c r="I168" s="56" t="s">
        <v>289</v>
      </c>
      <c r="J168" s="58">
        <v>693</v>
      </c>
    </row>
    <row r="169" spans="1:11" ht="15.75">
      <c r="A169" s="22" t="s">
        <v>55</v>
      </c>
      <c r="B169" s="91">
        <v>25</v>
      </c>
      <c r="C169" s="65">
        <v>19</v>
      </c>
      <c r="D169" s="65">
        <v>35</v>
      </c>
      <c r="E169" s="65">
        <v>34</v>
      </c>
      <c r="F169" s="65">
        <v>49</v>
      </c>
      <c r="G169" s="65">
        <v>25</v>
      </c>
      <c r="H169" s="27">
        <f t="shared" si="43"/>
        <v>187</v>
      </c>
      <c r="I169" s="56" t="s">
        <v>289</v>
      </c>
      <c r="J169" s="85">
        <v>24</v>
      </c>
    </row>
    <row r="170" spans="1:11" ht="15.75">
      <c r="A170" s="22" t="s">
        <v>57</v>
      </c>
      <c r="B170" s="274">
        <v>94</v>
      </c>
      <c r="C170" s="275">
        <v>71</v>
      </c>
      <c r="D170" s="275">
        <v>129</v>
      </c>
      <c r="E170" s="275">
        <v>123</v>
      </c>
      <c r="F170" s="275">
        <v>183</v>
      </c>
      <c r="G170" s="275">
        <v>93</v>
      </c>
      <c r="H170" s="27">
        <f t="shared" si="43"/>
        <v>693</v>
      </c>
      <c r="I170" s="56" t="s">
        <v>289</v>
      </c>
      <c r="J170" s="85">
        <v>33</v>
      </c>
    </row>
    <row r="171" spans="1:11" ht="15.75">
      <c r="A171" s="22" t="s">
        <v>58</v>
      </c>
      <c r="B171" s="91">
        <v>4</v>
      </c>
      <c r="C171" s="65">
        <v>2</v>
      </c>
      <c r="D171" s="65">
        <v>5</v>
      </c>
      <c r="E171" s="65">
        <v>4</v>
      </c>
      <c r="F171" s="65">
        <v>6</v>
      </c>
      <c r="G171" s="65">
        <v>3</v>
      </c>
      <c r="H171" s="27">
        <f t="shared" si="43"/>
        <v>24</v>
      </c>
      <c r="I171" s="56" t="s">
        <v>289</v>
      </c>
      <c r="J171" s="86">
        <f>SUM(J160:J170)</f>
        <v>7835</v>
      </c>
    </row>
    <row r="172" spans="1:11" ht="15.75">
      <c r="A172" s="22" t="s">
        <v>108</v>
      </c>
      <c r="B172" s="91">
        <v>4</v>
      </c>
      <c r="C172" s="65">
        <v>3</v>
      </c>
      <c r="D172" s="65">
        <v>6</v>
      </c>
      <c r="E172" s="65">
        <v>6</v>
      </c>
      <c r="F172" s="65">
        <v>9</v>
      </c>
      <c r="G172" s="65">
        <v>5</v>
      </c>
      <c r="H172" s="27">
        <f>SUM(B172:G172)</f>
        <v>33</v>
      </c>
      <c r="I172" s="56" t="s">
        <v>289</v>
      </c>
      <c r="K172" t="s">
        <v>117</v>
      </c>
    </row>
    <row r="173" spans="1:11" ht="15.75">
      <c r="A173" s="272" t="s">
        <v>85</v>
      </c>
      <c r="B173" s="273">
        <f t="shared" ref="B173:G173" si="44">B165+B166+B167+B168+B169+B170+B171+B172</f>
        <v>514</v>
      </c>
      <c r="C173" s="273">
        <f t="shared" si="44"/>
        <v>389</v>
      </c>
      <c r="D173" s="273">
        <f t="shared" si="44"/>
        <v>709</v>
      </c>
      <c r="E173" s="273">
        <f t="shared" si="44"/>
        <v>673</v>
      </c>
      <c r="F173" s="273">
        <f t="shared" si="44"/>
        <v>1001</v>
      </c>
      <c r="G173" s="273">
        <f t="shared" si="44"/>
        <v>514</v>
      </c>
      <c r="H173" s="273">
        <f>SUM(H165:H172)</f>
        <v>3800</v>
      </c>
      <c r="I173" s="56" t="s">
        <v>289</v>
      </c>
    </row>
    <row r="174" spans="1:11" ht="15.75">
      <c r="A174" s="18" t="s">
        <v>86</v>
      </c>
      <c r="B174" s="18">
        <v>2.1800000000000002</v>
      </c>
      <c r="C174" s="18">
        <v>2.1800000000000002</v>
      </c>
      <c r="D174" s="18">
        <v>2.1800000000000002</v>
      </c>
      <c r="E174" s="18">
        <v>2.1800000000000002</v>
      </c>
      <c r="F174" s="18">
        <v>2.1800000000000002</v>
      </c>
      <c r="G174" s="18">
        <v>2.1800000000000002</v>
      </c>
      <c r="H174" s="18">
        <v>2.1800000000000002</v>
      </c>
      <c r="I174" s="56" t="s">
        <v>289</v>
      </c>
      <c r="K174" t="s">
        <v>154</v>
      </c>
    </row>
    <row r="175" spans="1:11" ht="15.75">
      <c r="A175" s="21" t="s">
        <v>83</v>
      </c>
      <c r="B175" s="26">
        <f>B173*B174</f>
        <v>1120.52</v>
      </c>
      <c r="C175" s="26">
        <f t="shared" ref="C175:H175" si="45">C173*C174</f>
        <v>848.0200000000001</v>
      </c>
      <c r="D175" s="26">
        <f t="shared" si="45"/>
        <v>1545.6200000000001</v>
      </c>
      <c r="E175" s="26">
        <f t="shared" si="45"/>
        <v>1467.14</v>
      </c>
      <c r="F175" s="26">
        <f t="shared" si="45"/>
        <v>2182.1800000000003</v>
      </c>
      <c r="G175" s="26">
        <f t="shared" si="45"/>
        <v>1120.52</v>
      </c>
      <c r="H175" s="26">
        <f t="shared" si="45"/>
        <v>8284</v>
      </c>
      <c r="I175" s="56" t="s">
        <v>289</v>
      </c>
      <c r="J175" s="150">
        <f>+H176/H177</f>
        <v>1.9456764518187619</v>
      </c>
    </row>
    <row r="176" spans="1:11" ht="15.75">
      <c r="A176" s="54" t="s">
        <v>102</v>
      </c>
      <c r="B176" s="55">
        <f t="shared" ref="B176:H176" si="46">+B164+B175</f>
        <v>2062.37</v>
      </c>
      <c r="C176" s="55">
        <f t="shared" si="46"/>
        <v>1562.17</v>
      </c>
      <c r="D176" s="55">
        <f t="shared" si="46"/>
        <v>2844.5450000000001</v>
      </c>
      <c r="E176" s="55">
        <f t="shared" si="46"/>
        <v>2698.79</v>
      </c>
      <c r="F176" s="55">
        <f t="shared" si="46"/>
        <v>4015.8550000000005</v>
      </c>
      <c r="G176" s="55">
        <f t="shared" si="46"/>
        <v>2060.645</v>
      </c>
      <c r="H176" s="55">
        <f t="shared" si="46"/>
        <v>15244.375</v>
      </c>
      <c r="I176" s="56" t="s">
        <v>289</v>
      </c>
    </row>
    <row r="177" spans="1:11" ht="15.75">
      <c r="A177" s="22" t="s">
        <v>87</v>
      </c>
      <c r="B177" s="28">
        <f t="shared" ref="B177:H177" si="47">+B162+B173</f>
        <v>1060</v>
      </c>
      <c r="C177" s="28">
        <f t="shared" si="47"/>
        <v>803</v>
      </c>
      <c r="D177" s="28">
        <f t="shared" si="47"/>
        <v>1462</v>
      </c>
      <c r="E177" s="28">
        <f t="shared" si="47"/>
        <v>1387</v>
      </c>
      <c r="F177" s="28">
        <f t="shared" si="47"/>
        <v>2064</v>
      </c>
      <c r="G177" s="28">
        <f t="shared" si="47"/>
        <v>1059</v>
      </c>
      <c r="H177" s="28">
        <f t="shared" si="47"/>
        <v>7835</v>
      </c>
      <c r="I177" s="56" t="s">
        <v>289</v>
      </c>
      <c r="J177" s="11"/>
    </row>
    <row r="178" spans="1:11" ht="15.75">
      <c r="A178" s="18" t="s">
        <v>88</v>
      </c>
      <c r="B178" s="18">
        <v>0.66</v>
      </c>
      <c r="C178" s="18">
        <v>0.66</v>
      </c>
      <c r="D178" s="18">
        <v>0.66</v>
      </c>
      <c r="E178" s="18">
        <v>0.66</v>
      </c>
      <c r="F178" s="18">
        <v>0.66</v>
      </c>
      <c r="G178" s="18">
        <v>0.66</v>
      </c>
      <c r="H178" s="18">
        <v>0.66</v>
      </c>
    </row>
    <row r="179" spans="1:11" ht="15.75">
      <c r="A179" s="21" t="s">
        <v>99</v>
      </c>
      <c r="B179" s="26">
        <f>B177*B178</f>
        <v>699.6</v>
      </c>
      <c r="C179" s="26">
        <f t="shared" ref="C179:H179" si="48">C177*C178</f>
        <v>529.98</v>
      </c>
      <c r="D179" s="26">
        <f t="shared" si="48"/>
        <v>964.92000000000007</v>
      </c>
      <c r="E179" s="26">
        <f t="shared" si="48"/>
        <v>915.42000000000007</v>
      </c>
      <c r="F179" s="26">
        <f t="shared" si="48"/>
        <v>1362.24</v>
      </c>
      <c r="G179" s="26">
        <f t="shared" si="48"/>
        <v>698.94</v>
      </c>
      <c r="H179" s="26">
        <f t="shared" si="48"/>
        <v>5171.1000000000004</v>
      </c>
      <c r="I179" s="56" t="s">
        <v>289</v>
      </c>
    </row>
    <row r="180" spans="1:11">
      <c r="A180" s="17" t="s">
        <v>97</v>
      </c>
      <c r="B180" s="39">
        <f>+B179/H179*100</f>
        <v>13.529036375239309</v>
      </c>
      <c r="C180" s="39">
        <f>+C179/H179*100</f>
        <v>10.248883216336949</v>
      </c>
      <c r="D180" s="39">
        <f>+D179/H179*100</f>
        <v>18.659859604339502</v>
      </c>
      <c r="E180" s="39">
        <f>+E179/H179*100</f>
        <v>17.702616464582004</v>
      </c>
      <c r="F180" s="39">
        <f>+F179/H179*100</f>
        <v>26.343331206126351</v>
      </c>
      <c r="G180" s="39">
        <f>+G179/H179*100</f>
        <v>13.516273133375877</v>
      </c>
      <c r="H180" s="39">
        <v>100</v>
      </c>
      <c r="I180" s="56" t="s">
        <v>289</v>
      </c>
      <c r="J180">
        <f>8*0.66</f>
        <v>5.28</v>
      </c>
      <c r="K180">
        <f>+H181*H182</f>
        <v>5.28</v>
      </c>
    </row>
    <row r="181" spans="1:11" ht="15.75">
      <c r="A181" s="44" t="s">
        <v>100</v>
      </c>
      <c r="B181" s="42">
        <f>+H181*B180/100</f>
        <v>1.0823229100191447</v>
      </c>
      <c r="C181" s="42">
        <f>+H181*C180/100</f>
        <v>0.819910657306956</v>
      </c>
      <c r="D181" s="42">
        <f>+H181*D180/100</f>
        <v>1.4927887683471601</v>
      </c>
      <c r="E181" s="42">
        <f>+H181*E180/100</f>
        <v>1.4162093171665604</v>
      </c>
      <c r="F181" s="42">
        <f>+H181*F180/100</f>
        <v>2.1074664964901082</v>
      </c>
      <c r="G181" s="42">
        <f>+H181*G180/100</f>
        <v>1.0813018506700702</v>
      </c>
      <c r="H181" s="28">
        <v>8</v>
      </c>
      <c r="I181" s="56" t="s">
        <v>289</v>
      </c>
    </row>
    <row r="182" spans="1:11" ht="15.75">
      <c r="A182" s="43" t="s">
        <v>88</v>
      </c>
      <c r="B182" s="18">
        <v>0.66</v>
      </c>
      <c r="C182" s="18">
        <v>0.66</v>
      </c>
      <c r="D182" s="18">
        <v>0.66</v>
      </c>
      <c r="E182" s="18">
        <v>0.66</v>
      </c>
      <c r="F182" s="18">
        <v>0.66</v>
      </c>
      <c r="G182" s="18">
        <v>0.66</v>
      </c>
      <c r="H182" s="18">
        <v>0.66</v>
      </c>
      <c r="I182" s="56" t="s">
        <v>289</v>
      </c>
    </row>
    <row r="183" spans="1:11" ht="15.75">
      <c r="A183" s="21" t="s">
        <v>98</v>
      </c>
      <c r="B183" s="40">
        <f t="shared" ref="B183:G183" si="49">+B182*B181</f>
        <v>0.71433312061263554</v>
      </c>
      <c r="C183" s="40">
        <f t="shared" si="49"/>
        <v>0.54114103382259093</v>
      </c>
      <c r="D183" s="40">
        <f t="shared" si="49"/>
        <v>0.98524058710912576</v>
      </c>
      <c r="E183" s="40">
        <f t="shared" si="49"/>
        <v>0.93469814932992989</v>
      </c>
      <c r="F183" s="40">
        <f t="shared" si="49"/>
        <v>1.3909278876834714</v>
      </c>
      <c r="G183" s="40">
        <f t="shared" si="49"/>
        <v>0.71365922144224636</v>
      </c>
      <c r="H183" s="26">
        <f>SUM(B183:G183)</f>
        <v>5.28</v>
      </c>
      <c r="I183" s="56" t="s">
        <v>289</v>
      </c>
      <c r="J183" s="155"/>
    </row>
    <row r="184" spans="1:11" ht="15.75">
      <c r="A184" s="45" t="s">
        <v>103</v>
      </c>
      <c r="B184" s="46">
        <f t="shared" ref="B184:G184" si="50">+B179+B183</f>
        <v>700.31433312061267</v>
      </c>
      <c r="C184" s="46">
        <f t="shared" si="50"/>
        <v>530.52114103382257</v>
      </c>
      <c r="D184" s="46">
        <f t="shared" si="50"/>
        <v>965.90524058710923</v>
      </c>
      <c r="E184" s="46">
        <f t="shared" si="50"/>
        <v>916.35469814933003</v>
      </c>
      <c r="F184" s="46">
        <f t="shared" si="50"/>
        <v>1363.6309278876836</v>
      </c>
      <c r="G184" s="46">
        <f t="shared" si="50"/>
        <v>699.65365922144235</v>
      </c>
      <c r="H184" s="46">
        <f>SUM(B184:G184)</f>
        <v>5176.380000000001</v>
      </c>
      <c r="I184" s="56" t="s">
        <v>289</v>
      </c>
      <c r="J184" s="53"/>
    </row>
    <row r="185" spans="1:11" ht="15.75">
      <c r="A185" s="87"/>
      <c r="B185" s="89"/>
      <c r="C185" s="89"/>
      <c r="D185" s="89"/>
      <c r="E185" s="89"/>
      <c r="F185" s="89"/>
      <c r="G185" s="89"/>
      <c r="H185" s="89"/>
      <c r="I185" s="88"/>
      <c r="J185" s="53"/>
    </row>
    <row r="186" spans="1:11" ht="15.75">
      <c r="A186" s="81" t="s">
        <v>126</v>
      </c>
      <c r="B186" s="82">
        <f>+B177</f>
        <v>1060</v>
      </c>
      <c r="C186" s="82">
        <f t="shared" ref="C186:H186" si="51">+C177</f>
        <v>803</v>
      </c>
      <c r="D186" s="82">
        <f t="shared" si="51"/>
        <v>1462</v>
      </c>
      <c r="E186" s="82">
        <f t="shared" si="51"/>
        <v>1387</v>
      </c>
      <c r="F186" s="82">
        <f t="shared" si="51"/>
        <v>2064</v>
      </c>
      <c r="G186" s="82">
        <f t="shared" si="51"/>
        <v>1059</v>
      </c>
      <c r="H186" s="82">
        <f t="shared" si="51"/>
        <v>7835</v>
      </c>
      <c r="I186" s="527" t="s">
        <v>130</v>
      </c>
      <c r="J186" s="53"/>
    </row>
    <row r="187" spans="1:11" ht="15.75">
      <c r="A187" s="81" t="s">
        <v>127</v>
      </c>
      <c r="B187" s="82"/>
      <c r="C187" s="82"/>
      <c r="D187" s="82"/>
      <c r="E187" s="82"/>
      <c r="F187" s="82"/>
      <c r="G187" s="82"/>
      <c r="H187" s="82">
        <f>SUM(B187:G187)</f>
        <v>0</v>
      </c>
      <c r="I187" s="528"/>
      <c r="J187" s="53"/>
    </row>
    <row r="188" spans="1:11" ht="15.75">
      <c r="A188" s="81" t="s">
        <v>128</v>
      </c>
      <c r="B188" s="82"/>
      <c r="C188" s="82"/>
      <c r="D188" s="82"/>
      <c r="E188" s="82"/>
      <c r="F188" s="82"/>
      <c r="G188" s="82"/>
      <c r="H188" s="82">
        <f t="shared" ref="H188" si="52">+H186-H187</f>
        <v>7835</v>
      </c>
      <c r="I188" s="528"/>
      <c r="J188" s="53"/>
    </row>
    <row r="189" spans="1:11" ht="15.75">
      <c r="A189" s="81" t="s">
        <v>129</v>
      </c>
      <c r="B189" s="82"/>
      <c r="C189" s="82"/>
      <c r="D189" s="82"/>
      <c r="E189" s="82"/>
      <c r="F189" s="82"/>
      <c r="G189" s="82"/>
      <c r="H189" s="82">
        <f>SUM(B189:G189)</f>
        <v>0</v>
      </c>
      <c r="I189" s="528"/>
      <c r="J189" s="53"/>
    </row>
    <row r="190" spans="1:11" ht="15.75">
      <c r="A190" s="81" t="s">
        <v>124</v>
      </c>
      <c r="B190" s="82"/>
      <c r="C190" s="93"/>
      <c r="D190" s="93"/>
      <c r="E190" s="93"/>
      <c r="F190" s="93"/>
      <c r="G190" s="93"/>
      <c r="H190" s="82">
        <f t="shared" ref="H190" si="53">+H188-H189</f>
        <v>7835</v>
      </c>
      <c r="I190" s="528"/>
      <c r="J190" s="53"/>
    </row>
    <row r="191" spans="1:11" ht="15.75">
      <c r="A191" s="81" t="s">
        <v>125</v>
      </c>
      <c r="B191" s="83" t="e">
        <f t="shared" ref="B191:H191" si="54">B190/B188</f>
        <v>#DIV/0!</v>
      </c>
      <c r="C191" s="83" t="e">
        <f t="shared" si="54"/>
        <v>#DIV/0!</v>
      </c>
      <c r="D191" s="83" t="e">
        <f t="shared" si="54"/>
        <v>#DIV/0!</v>
      </c>
      <c r="E191" s="83" t="e">
        <f t="shared" si="54"/>
        <v>#DIV/0!</v>
      </c>
      <c r="F191" s="83" t="e">
        <f t="shared" si="54"/>
        <v>#DIV/0!</v>
      </c>
      <c r="G191" s="83" t="e">
        <f t="shared" si="54"/>
        <v>#DIV/0!</v>
      </c>
      <c r="H191" s="83">
        <f t="shared" si="54"/>
        <v>1</v>
      </c>
      <c r="I191" s="529"/>
      <c r="J191" s="53"/>
    </row>
    <row r="192" spans="1:11" ht="15.75">
      <c r="A192" s="530" t="s">
        <v>131</v>
      </c>
      <c r="B192" s="94">
        <v>239</v>
      </c>
      <c r="C192" s="94">
        <v>204</v>
      </c>
      <c r="D192" s="94">
        <v>256</v>
      </c>
      <c r="E192" s="94">
        <v>419</v>
      </c>
      <c r="F192" s="94">
        <v>376</v>
      </c>
      <c r="G192" s="94">
        <v>223</v>
      </c>
      <c r="H192" s="94">
        <v>1716</v>
      </c>
      <c r="I192" s="88"/>
      <c r="J192" s="53"/>
    </row>
    <row r="193" spans="1:10" ht="15.75">
      <c r="A193" s="531"/>
      <c r="B193" s="95">
        <v>23.34</v>
      </c>
      <c r="C193" s="95">
        <v>29.75</v>
      </c>
      <c r="D193" s="95">
        <v>21.1</v>
      </c>
      <c r="E193" s="95">
        <v>30.18</v>
      </c>
      <c r="F193" s="95">
        <v>19.420000000000002</v>
      </c>
      <c r="G193" s="95">
        <v>21.07</v>
      </c>
      <c r="H193" s="95">
        <v>23.5</v>
      </c>
      <c r="I193" s="88"/>
    </row>
    <row r="194" spans="1:10" ht="15.75">
      <c r="A194" s="307"/>
      <c r="B194" s="308"/>
      <c r="C194" s="308"/>
      <c r="D194" s="308"/>
      <c r="E194" s="308"/>
      <c r="F194" s="308"/>
      <c r="G194" s="308"/>
      <c r="H194" s="308"/>
      <c r="I194" s="88"/>
    </row>
    <row r="195" spans="1:10" ht="15.75">
      <c r="A195" s="307"/>
      <c r="B195" s="308"/>
      <c r="C195" s="308"/>
      <c r="D195" s="308"/>
      <c r="E195" s="308"/>
      <c r="F195" s="308"/>
      <c r="G195" s="308"/>
      <c r="H195" s="308"/>
      <c r="I195" s="88"/>
    </row>
    <row r="196" spans="1:10" ht="15.75">
      <c r="A196" s="87"/>
      <c r="B196" s="89"/>
      <c r="C196" s="89"/>
      <c r="D196" s="89"/>
      <c r="E196" s="89"/>
      <c r="F196" s="89"/>
      <c r="G196" s="89"/>
      <c r="H196" s="89"/>
      <c r="I196" s="88"/>
    </row>
    <row r="197" spans="1:10" ht="15.75">
      <c r="A197" s="87"/>
      <c r="B197" s="89"/>
      <c r="C197" s="89"/>
      <c r="D197" s="89"/>
      <c r="E197" s="89"/>
      <c r="F197" s="89"/>
      <c r="G197" s="89"/>
      <c r="H197" s="89"/>
      <c r="I197" s="88"/>
    </row>
    <row r="198" spans="1:10" ht="23.25">
      <c r="A198" s="300"/>
      <c r="B198" s="532" t="s">
        <v>119</v>
      </c>
      <c r="C198" s="532"/>
      <c r="D198" s="532"/>
      <c r="E198" s="532"/>
      <c r="F198" s="532"/>
      <c r="G198" s="532"/>
      <c r="H198" s="532"/>
    </row>
    <row r="199" spans="1:10" ht="15.75">
      <c r="A199" s="301" t="s">
        <v>89</v>
      </c>
      <c r="B199" s="533" t="s">
        <v>19</v>
      </c>
      <c r="C199" s="533" t="s">
        <v>82</v>
      </c>
      <c r="D199" s="533" t="s">
        <v>79</v>
      </c>
      <c r="E199" s="533" t="s">
        <v>80</v>
      </c>
      <c r="F199" s="533" t="s">
        <v>20</v>
      </c>
      <c r="G199" s="533" t="s">
        <v>81</v>
      </c>
      <c r="H199" s="533" t="s">
        <v>13</v>
      </c>
      <c r="J199" s="96">
        <v>2974</v>
      </c>
    </row>
    <row r="200" spans="1:10" ht="15.75">
      <c r="A200" s="302" t="s">
        <v>107</v>
      </c>
      <c r="B200" s="534"/>
      <c r="C200" s="534"/>
      <c r="D200" s="534"/>
      <c r="E200" s="534"/>
      <c r="F200" s="534"/>
      <c r="G200" s="534"/>
      <c r="H200" s="534"/>
      <c r="J200" s="97"/>
    </row>
    <row r="201" spans="1:10" ht="15.75">
      <c r="A201" s="222" t="s">
        <v>18</v>
      </c>
      <c r="B201" s="24">
        <v>375</v>
      </c>
      <c r="C201" s="24">
        <v>281</v>
      </c>
      <c r="D201" s="303">
        <v>528</v>
      </c>
      <c r="E201" s="32">
        <v>546</v>
      </c>
      <c r="F201" s="32">
        <v>844</v>
      </c>
      <c r="G201" s="32">
        <v>400</v>
      </c>
      <c r="H201" s="33">
        <f>SUM(B201:G201)</f>
        <v>2974</v>
      </c>
      <c r="I201" s="10" t="s">
        <v>289</v>
      </c>
      <c r="J201" s="97"/>
    </row>
    <row r="202" spans="1:10" ht="15.75">
      <c r="A202" s="18" t="s">
        <v>84</v>
      </c>
      <c r="B202" s="19">
        <v>1.7250000000000001</v>
      </c>
      <c r="C202" s="19">
        <v>1.7250000000000001</v>
      </c>
      <c r="D202" s="304">
        <v>1.7250000000000001</v>
      </c>
      <c r="E202" s="64">
        <v>1.7250000000000001</v>
      </c>
      <c r="F202" s="20">
        <v>1.7250000000000001</v>
      </c>
      <c r="G202" s="64">
        <v>1.7250000000000001</v>
      </c>
      <c r="H202" s="64">
        <v>1.7250000000000001</v>
      </c>
      <c r="I202" s="10" t="s">
        <v>289</v>
      </c>
      <c r="J202" s="98">
        <v>973</v>
      </c>
    </row>
    <row r="203" spans="1:10" ht="15.75">
      <c r="A203" s="21" t="s">
        <v>83</v>
      </c>
      <c r="B203" s="26">
        <f>+B201*B202</f>
        <v>646.875</v>
      </c>
      <c r="C203" s="26">
        <f>+C201*C202</f>
        <v>484.72500000000002</v>
      </c>
      <c r="D203" s="26">
        <f>+D201*D202</f>
        <v>910.80000000000007</v>
      </c>
      <c r="E203" s="26">
        <f>+E201*E202</f>
        <v>941.85</v>
      </c>
      <c r="F203" s="26">
        <f>+F201*F202</f>
        <v>1455.9</v>
      </c>
      <c r="G203" s="26">
        <f>+G201*G202+1</f>
        <v>691</v>
      </c>
      <c r="H203" s="26">
        <f>SUM(B203:G203)</f>
        <v>5131.1499999999996</v>
      </c>
      <c r="I203" s="10" t="s">
        <v>289</v>
      </c>
      <c r="J203" s="98">
        <v>417</v>
      </c>
    </row>
    <row r="204" spans="1:10" ht="15.75">
      <c r="A204" s="23" t="s">
        <v>3</v>
      </c>
      <c r="B204" s="65">
        <v>123</v>
      </c>
      <c r="C204" s="65">
        <v>92</v>
      </c>
      <c r="D204" s="92">
        <v>173</v>
      </c>
      <c r="E204" s="65">
        <v>179</v>
      </c>
      <c r="F204" s="65">
        <v>275</v>
      </c>
      <c r="G204" s="65">
        <v>131</v>
      </c>
      <c r="H204" s="65">
        <f>SUM(B204:G204)</f>
        <v>973</v>
      </c>
      <c r="I204" s="10" t="s">
        <v>289</v>
      </c>
      <c r="J204" s="98">
        <v>351</v>
      </c>
    </row>
    <row r="205" spans="1:10" ht="15.75">
      <c r="A205" s="23" t="s">
        <v>4</v>
      </c>
      <c r="B205" s="65">
        <v>53</v>
      </c>
      <c r="C205" s="65">
        <v>40</v>
      </c>
      <c r="D205" s="92">
        <v>74</v>
      </c>
      <c r="E205" s="65">
        <v>77</v>
      </c>
      <c r="F205" s="65">
        <v>118</v>
      </c>
      <c r="G205" s="65">
        <v>56</v>
      </c>
      <c r="H205" s="65">
        <f t="shared" ref="H205:H211" si="55">SUM(B205:G205)</f>
        <v>418</v>
      </c>
      <c r="I205" s="10" t="s">
        <v>289</v>
      </c>
      <c r="J205" s="98">
        <v>1445</v>
      </c>
    </row>
    <row r="206" spans="1:10" ht="15.75">
      <c r="A206" s="23" t="s">
        <v>5</v>
      </c>
      <c r="B206" s="65">
        <v>44</v>
      </c>
      <c r="C206" s="65">
        <v>33</v>
      </c>
      <c r="D206" s="92">
        <v>62</v>
      </c>
      <c r="E206" s="65">
        <v>65</v>
      </c>
      <c r="F206" s="65">
        <v>100</v>
      </c>
      <c r="G206" s="65">
        <v>47</v>
      </c>
      <c r="H206" s="65">
        <f t="shared" si="55"/>
        <v>351</v>
      </c>
      <c r="I206" s="10" t="s">
        <v>289</v>
      </c>
      <c r="J206" s="98">
        <v>176</v>
      </c>
    </row>
    <row r="207" spans="1:10" ht="15.75">
      <c r="A207" s="23" t="s">
        <v>6</v>
      </c>
      <c r="B207" s="65">
        <v>182</v>
      </c>
      <c r="C207" s="65">
        <f>137</f>
        <v>137</v>
      </c>
      <c r="D207" s="92">
        <v>256</v>
      </c>
      <c r="E207" s="65">
        <v>265</v>
      </c>
      <c r="F207" s="65">
        <v>410</v>
      </c>
      <c r="G207" s="65">
        <v>194</v>
      </c>
      <c r="H207" s="65">
        <f t="shared" si="55"/>
        <v>1444</v>
      </c>
      <c r="I207" s="10" t="s">
        <v>289</v>
      </c>
      <c r="J207" s="98">
        <v>1037</v>
      </c>
    </row>
    <row r="208" spans="1:10" ht="15.75">
      <c r="A208" s="22" t="s">
        <v>55</v>
      </c>
      <c r="B208" s="101">
        <v>22</v>
      </c>
      <c r="C208" s="101">
        <v>17</v>
      </c>
      <c r="D208" s="92">
        <v>31</v>
      </c>
      <c r="E208" s="101">
        <v>32</v>
      </c>
      <c r="F208" s="101">
        <v>50</v>
      </c>
      <c r="G208" s="101">
        <v>24</v>
      </c>
      <c r="H208" s="27">
        <f t="shared" si="55"/>
        <v>176</v>
      </c>
      <c r="I208" s="10" t="s">
        <v>289</v>
      </c>
      <c r="J208" s="98">
        <v>859</v>
      </c>
    </row>
    <row r="209" spans="1:11" ht="15.75">
      <c r="A209" s="23" t="s">
        <v>57</v>
      </c>
      <c r="B209" s="65">
        <v>131</v>
      </c>
      <c r="C209" s="65">
        <v>98</v>
      </c>
      <c r="D209" s="92">
        <v>184</v>
      </c>
      <c r="E209" s="65">
        <v>190</v>
      </c>
      <c r="F209" s="65">
        <v>294</v>
      </c>
      <c r="G209" s="65">
        <v>140</v>
      </c>
      <c r="H209" s="65">
        <f t="shared" si="55"/>
        <v>1037</v>
      </c>
      <c r="I209" s="10" t="s">
        <v>289</v>
      </c>
      <c r="J209" s="98">
        <v>0</v>
      </c>
    </row>
    <row r="210" spans="1:11" ht="15.75">
      <c r="A210" s="22" t="s">
        <v>58</v>
      </c>
      <c r="B210" s="101">
        <v>108</v>
      </c>
      <c r="C210" s="101">
        <v>81</v>
      </c>
      <c r="D210" s="92">
        <v>152</v>
      </c>
      <c r="E210" s="101">
        <v>158</v>
      </c>
      <c r="F210" s="101">
        <v>244</v>
      </c>
      <c r="G210" s="101">
        <v>116</v>
      </c>
      <c r="H210" s="27">
        <f t="shared" si="55"/>
        <v>859</v>
      </c>
      <c r="I210" s="10" t="s">
        <v>289</v>
      </c>
      <c r="J210" s="84">
        <f>SUM(J199:J209)</f>
        <v>8232</v>
      </c>
    </row>
    <row r="211" spans="1:11" ht="15.75">
      <c r="A211" s="22" t="s">
        <v>108</v>
      </c>
      <c r="B211" s="101">
        <v>0</v>
      </c>
      <c r="C211" s="101">
        <v>0</v>
      </c>
      <c r="D211" s="92">
        <v>0</v>
      </c>
      <c r="E211" s="101">
        <v>0</v>
      </c>
      <c r="F211" s="101">
        <v>0</v>
      </c>
      <c r="G211" s="101">
        <v>0</v>
      </c>
      <c r="H211" s="27">
        <f t="shared" si="55"/>
        <v>0</v>
      </c>
      <c r="I211" s="10" t="s">
        <v>289</v>
      </c>
      <c r="J211" s="7">
        <f>+H201+H204+H205+H206+H207+H208+H209+H210+H211</f>
        <v>8232</v>
      </c>
    </row>
    <row r="212" spans="1:11" ht="15.75">
      <c r="A212" s="23" t="s">
        <v>85</v>
      </c>
      <c r="B212" s="25">
        <f t="shared" ref="B212:G212" si="56">SUM(B204:B211)</f>
        <v>663</v>
      </c>
      <c r="C212" s="25">
        <f t="shared" si="56"/>
        <v>498</v>
      </c>
      <c r="D212" s="28">
        <f t="shared" si="56"/>
        <v>932</v>
      </c>
      <c r="E212" s="25">
        <f t="shared" si="56"/>
        <v>966</v>
      </c>
      <c r="F212" s="25">
        <f t="shared" si="56"/>
        <v>1491</v>
      </c>
      <c r="G212" s="25">
        <f t="shared" si="56"/>
        <v>708</v>
      </c>
      <c r="H212" s="25">
        <f>SUM(H204:H210)</f>
        <v>5258</v>
      </c>
      <c r="I212" s="10" t="s">
        <v>289</v>
      </c>
    </row>
    <row r="213" spans="1:11" ht="15.75">
      <c r="A213" s="18" t="s">
        <v>86</v>
      </c>
      <c r="B213" s="29">
        <v>2.25</v>
      </c>
      <c r="C213" s="29">
        <v>2.25</v>
      </c>
      <c r="D213" s="305">
        <v>2.25</v>
      </c>
      <c r="E213" s="29">
        <v>2.25</v>
      </c>
      <c r="F213" s="29">
        <v>2.25</v>
      </c>
      <c r="G213" s="29">
        <v>2.25</v>
      </c>
      <c r="H213" s="29">
        <v>2.25</v>
      </c>
      <c r="I213" s="10" t="s">
        <v>289</v>
      </c>
      <c r="K213" t="s">
        <v>154</v>
      </c>
    </row>
    <row r="214" spans="1:11" ht="15.75">
      <c r="A214" s="21" t="s">
        <v>83</v>
      </c>
      <c r="B214" s="26">
        <f>B212*B213</f>
        <v>1491.75</v>
      </c>
      <c r="C214" s="26">
        <f>C212*C213</f>
        <v>1120.5</v>
      </c>
      <c r="D214" s="26">
        <f>D212*D213</f>
        <v>2097</v>
      </c>
      <c r="E214" s="26">
        <f>E212*E213</f>
        <v>2173.5</v>
      </c>
      <c r="F214" s="26">
        <f>F212*F213</f>
        <v>3354.75</v>
      </c>
      <c r="G214" s="26">
        <f>G212*G213-1</f>
        <v>1592</v>
      </c>
      <c r="H214" s="26">
        <f>SUM(B214:G214)</f>
        <v>11829.5</v>
      </c>
      <c r="I214" s="10" t="s">
        <v>289</v>
      </c>
      <c r="J214" s="150">
        <f>+H215/H216</f>
        <v>2.0603316326530612</v>
      </c>
    </row>
    <row r="215" spans="1:11" ht="15.75">
      <c r="A215" s="54" t="s">
        <v>102</v>
      </c>
      <c r="B215" s="55">
        <f>+B203+B214</f>
        <v>2138.625</v>
      </c>
      <c r="C215" s="55">
        <f t="shared" ref="C215:H215" si="57">+C203+C214</f>
        <v>1605.2249999999999</v>
      </c>
      <c r="D215" s="55">
        <f>+D203+D214</f>
        <v>3007.8</v>
      </c>
      <c r="E215" s="55">
        <f t="shared" si="57"/>
        <v>3115.35</v>
      </c>
      <c r="F215" s="55">
        <f t="shared" si="57"/>
        <v>4810.6499999999996</v>
      </c>
      <c r="G215" s="55">
        <f t="shared" si="57"/>
        <v>2283</v>
      </c>
      <c r="H215" s="55">
        <f t="shared" si="57"/>
        <v>16960.650000000001</v>
      </c>
      <c r="I215" s="10" t="s">
        <v>289</v>
      </c>
    </row>
    <row r="216" spans="1:11" ht="15.75">
      <c r="A216" s="22" t="s">
        <v>87</v>
      </c>
      <c r="B216" s="102">
        <f>+B201+B212</f>
        <v>1038</v>
      </c>
      <c r="C216" s="102">
        <f t="shared" ref="C216:H216" si="58">+C201+C212</f>
        <v>779</v>
      </c>
      <c r="D216" s="102">
        <f>+D201+D212</f>
        <v>1460</v>
      </c>
      <c r="E216" s="102">
        <f t="shared" si="58"/>
        <v>1512</v>
      </c>
      <c r="F216" s="102">
        <f t="shared" si="58"/>
        <v>2335</v>
      </c>
      <c r="G216" s="102">
        <f t="shared" si="58"/>
        <v>1108</v>
      </c>
      <c r="H216" s="28">
        <f t="shared" si="58"/>
        <v>8232</v>
      </c>
      <c r="I216" s="10" t="s">
        <v>289</v>
      </c>
    </row>
    <row r="217" spans="1:11" ht="15.75">
      <c r="A217" s="18" t="s">
        <v>88</v>
      </c>
      <c r="B217" s="18">
        <v>0.66</v>
      </c>
      <c r="C217" s="18">
        <v>0.66</v>
      </c>
      <c r="D217" s="18">
        <v>0.66</v>
      </c>
      <c r="E217" s="18">
        <v>0.66</v>
      </c>
      <c r="F217" s="18">
        <v>0.66</v>
      </c>
      <c r="G217" s="18">
        <v>0.66</v>
      </c>
      <c r="H217" s="18">
        <v>0.66</v>
      </c>
    </row>
    <row r="218" spans="1:11" ht="15.75">
      <c r="A218" s="21" t="s">
        <v>99</v>
      </c>
      <c r="B218" s="26">
        <f>+B216*B217</f>
        <v>685.08</v>
      </c>
      <c r="C218" s="26">
        <f t="shared" ref="C218:H218" si="59">+C216*C217</f>
        <v>514.14</v>
      </c>
      <c r="D218" s="26">
        <f t="shared" si="59"/>
        <v>963.6</v>
      </c>
      <c r="E218" s="26">
        <f t="shared" si="59"/>
        <v>997.92000000000007</v>
      </c>
      <c r="F218" s="26">
        <f t="shared" si="59"/>
        <v>1541.1000000000001</v>
      </c>
      <c r="G218" s="26">
        <f t="shared" si="59"/>
        <v>731.28000000000009</v>
      </c>
      <c r="H218" s="26">
        <f t="shared" si="59"/>
        <v>5433.12</v>
      </c>
      <c r="I218" s="10" t="s">
        <v>289</v>
      </c>
    </row>
    <row r="219" spans="1:11">
      <c r="A219" s="17" t="s">
        <v>97</v>
      </c>
      <c r="B219" s="39">
        <f>B218/H218*100</f>
        <v>12.609329446064141</v>
      </c>
      <c r="C219" s="39">
        <f>C218/H218*100</f>
        <v>9.4630709426627799</v>
      </c>
      <c r="D219" s="39">
        <f>D218/H218*100</f>
        <v>17.73566569484937</v>
      </c>
      <c r="E219" s="39">
        <f>E218/H218*100</f>
        <v>18.367346938775512</v>
      </c>
      <c r="F219" s="39">
        <f>F218/H218*100</f>
        <v>28.364917395529645</v>
      </c>
      <c r="G219" s="39">
        <f>G218/H218*100</f>
        <v>13.459669582118563</v>
      </c>
      <c r="H219" s="39">
        <f>SUM(B219:G219)</f>
        <v>100.00000000000001</v>
      </c>
      <c r="I219" s="10" t="s">
        <v>289</v>
      </c>
      <c r="K219" s="6"/>
    </row>
    <row r="220" spans="1:11" ht="15.75">
      <c r="A220" s="44" t="s">
        <v>100</v>
      </c>
      <c r="B220" s="42">
        <f>+H220*B219/100</f>
        <v>1.1348396501457727</v>
      </c>
      <c r="C220" s="41">
        <f>+H220*C219/100</f>
        <v>0.85167638483965025</v>
      </c>
      <c r="D220" s="41">
        <f>+H220*D219/100</f>
        <v>1.5962099125364433</v>
      </c>
      <c r="E220" s="41">
        <f>+H220*E219/100</f>
        <v>1.653061224489796</v>
      </c>
      <c r="F220" s="41">
        <f>+H220*F219/100</f>
        <v>2.5528425655976679</v>
      </c>
      <c r="G220" s="41">
        <f>+H220*G219/100</f>
        <v>1.2113702623906706</v>
      </c>
      <c r="H220" s="28">
        <v>9</v>
      </c>
      <c r="I220" s="10" t="s">
        <v>289</v>
      </c>
      <c r="K220" s="6"/>
    </row>
    <row r="221" spans="1:11" ht="15.75">
      <c r="A221" s="43" t="s">
        <v>88</v>
      </c>
      <c r="B221" s="18">
        <v>0.66</v>
      </c>
      <c r="C221" s="18">
        <v>0.66</v>
      </c>
      <c r="D221" s="18">
        <v>0.66</v>
      </c>
      <c r="E221" s="18">
        <v>0.66</v>
      </c>
      <c r="F221" s="18">
        <v>0.66</v>
      </c>
      <c r="G221" s="18">
        <v>0.66</v>
      </c>
      <c r="H221" s="18">
        <v>0.66</v>
      </c>
      <c r="I221" s="10"/>
      <c r="K221" s="6"/>
    </row>
    <row r="222" spans="1:11" ht="15.75">
      <c r="A222" s="21" t="s">
        <v>98</v>
      </c>
      <c r="B222" s="40">
        <f t="shared" ref="B222:G222" si="60">+B220*B221</f>
        <v>0.74899416909620997</v>
      </c>
      <c r="C222" s="40">
        <f t="shared" si="60"/>
        <v>0.56210641399416916</v>
      </c>
      <c r="D222" s="40">
        <f t="shared" si="60"/>
        <v>1.0534985422740526</v>
      </c>
      <c r="E222" s="40">
        <f t="shared" si="60"/>
        <v>1.0910204081632653</v>
      </c>
      <c r="F222" s="40">
        <f t="shared" si="60"/>
        <v>1.6848760932944609</v>
      </c>
      <c r="G222" s="40">
        <f t="shared" si="60"/>
        <v>0.79950437317784262</v>
      </c>
      <c r="H222" s="26">
        <f>+B222+C222+D222+E222+F222+G222</f>
        <v>5.9400000000000013</v>
      </c>
      <c r="I222" s="10" t="s">
        <v>289</v>
      </c>
      <c r="J222" s="6"/>
      <c r="K222" s="6"/>
    </row>
    <row r="223" spans="1:11" ht="15.75">
      <c r="A223" s="45" t="s">
        <v>103</v>
      </c>
      <c r="B223" s="46">
        <f>+B218+B222</f>
        <v>685.82899416909629</v>
      </c>
      <c r="C223" s="46">
        <f t="shared" ref="C223:H223" si="61">+C218+C222</f>
        <v>514.7021064139941</v>
      </c>
      <c r="D223" s="46">
        <f t="shared" si="61"/>
        <v>964.65349854227406</v>
      </c>
      <c r="E223" s="46">
        <f t="shared" si="61"/>
        <v>999.01102040816329</v>
      </c>
      <c r="F223" s="46">
        <f t="shared" si="61"/>
        <v>1542.7848760932945</v>
      </c>
      <c r="G223" s="46">
        <f t="shared" si="61"/>
        <v>732.07950437317788</v>
      </c>
      <c r="H223" s="46">
        <f t="shared" si="61"/>
        <v>5439.0599999999995</v>
      </c>
      <c r="I223" s="10" t="s">
        <v>289</v>
      </c>
      <c r="J223" s="6"/>
      <c r="K223" s="6"/>
    </row>
    <row r="224" spans="1:11" ht="15.75">
      <c r="A224" s="78"/>
      <c r="B224" s="79"/>
      <c r="C224" s="79"/>
      <c r="D224" s="79"/>
      <c r="E224" s="79"/>
      <c r="F224" s="79"/>
      <c r="G224" s="79"/>
      <c r="H224" s="79"/>
      <c r="I224" s="80"/>
      <c r="J224" s="6"/>
      <c r="K224" s="6"/>
    </row>
    <row r="225" spans="1:11" ht="15.75">
      <c r="A225" s="81" t="s">
        <v>126</v>
      </c>
      <c r="B225" s="82">
        <f t="shared" ref="B225:G225" si="62">+B216</f>
        <v>1038</v>
      </c>
      <c r="C225" s="82">
        <f t="shared" si="62"/>
        <v>779</v>
      </c>
      <c r="D225" s="100">
        <f t="shared" si="62"/>
        <v>1460</v>
      </c>
      <c r="E225" s="82">
        <f t="shared" si="62"/>
        <v>1512</v>
      </c>
      <c r="F225" s="82">
        <f t="shared" si="62"/>
        <v>2335</v>
      </c>
      <c r="G225" s="82">
        <f t="shared" si="62"/>
        <v>1108</v>
      </c>
      <c r="H225" s="82">
        <f>SUM(B225:G225)</f>
        <v>8232</v>
      </c>
      <c r="I225" s="527" t="s">
        <v>130</v>
      </c>
      <c r="J225" s="6"/>
      <c r="K225" s="6"/>
    </row>
    <row r="226" spans="1:11" ht="15.75">
      <c r="A226" s="81" t="s">
        <v>127</v>
      </c>
      <c r="B226" s="82">
        <f>+E22</f>
        <v>49</v>
      </c>
      <c r="C226" s="82">
        <f>+E26</f>
        <v>119</v>
      </c>
      <c r="D226" s="100">
        <f>+E6</f>
        <v>256</v>
      </c>
      <c r="E226" s="82">
        <f>+E10</f>
        <v>0</v>
      </c>
      <c r="F226" s="82">
        <f>+E14</f>
        <v>134</v>
      </c>
      <c r="G226" s="82">
        <f>+E18</f>
        <v>3</v>
      </c>
      <c r="H226" s="82">
        <f>SUM(B226:G226)</f>
        <v>561</v>
      </c>
      <c r="I226" s="528"/>
      <c r="J226" s="6"/>
      <c r="K226" s="6"/>
    </row>
    <row r="227" spans="1:11" ht="15.75">
      <c r="A227" s="81" t="s">
        <v>128</v>
      </c>
      <c r="B227" s="82">
        <f t="shared" ref="B227:H227" si="63">+B225-B226</f>
        <v>989</v>
      </c>
      <c r="C227" s="82">
        <f t="shared" si="63"/>
        <v>660</v>
      </c>
      <c r="D227" s="100">
        <f t="shared" si="63"/>
        <v>1204</v>
      </c>
      <c r="E227" s="82">
        <f t="shared" si="63"/>
        <v>1512</v>
      </c>
      <c r="F227" s="82">
        <f t="shared" si="63"/>
        <v>2201</v>
      </c>
      <c r="G227" s="82">
        <f t="shared" si="63"/>
        <v>1105</v>
      </c>
      <c r="H227" s="82">
        <f t="shared" si="63"/>
        <v>7671</v>
      </c>
      <c r="I227" s="528"/>
      <c r="J227" s="6"/>
      <c r="K227" s="6"/>
    </row>
    <row r="228" spans="1:11" ht="15.75">
      <c r="A228" s="81" t="s">
        <v>129</v>
      </c>
      <c r="B228" s="82">
        <f>E20+E21</f>
        <v>857.867454378405</v>
      </c>
      <c r="C228" s="82">
        <f>+E24+E25</f>
        <v>540.04656691039895</v>
      </c>
      <c r="D228" s="82">
        <f>+E4+E5</f>
        <v>1035.6500000000001</v>
      </c>
      <c r="E228" s="82">
        <f>+E8+E9</f>
        <v>1026.2336358934731</v>
      </c>
      <c r="F228" s="82">
        <f>+E12+E13</f>
        <v>1582.7698314297099</v>
      </c>
      <c r="G228" s="82">
        <f>+E16+E17</f>
        <v>902.7788966643559</v>
      </c>
      <c r="H228" s="82">
        <f>SUM(B228:G228)</f>
        <v>5945.3463852763425</v>
      </c>
      <c r="I228" s="528"/>
      <c r="J228" s="6"/>
    </row>
    <row r="229" spans="1:11" ht="15.75">
      <c r="A229" s="81" t="s">
        <v>124</v>
      </c>
      <c r="B229" s="103">
        <f t="shared" ref="B229:H229" si="64">+B227-B228</f>
        <v>131.132545621595</v>
      </c>
      <c r="C229" s="103">
        <f t="shared" si="64"/>
        <v>119.95343308960105</v>
      </c>
      <c r="D229" s="103">
        <f t="shared" si="64"/>
        <v>168.34999999999991</v>
      </c>
      <c r="E229" s="103">
        <f t="shared" si="64"/>
        <v>485.76636410652691</v>
      </c>
      <c r="F229" s="103">
        <f t="shared" si="64"/>
        <v>618.23016857029006</v>
      </c>
      <c r="G229" s="103">
        <f t="shared" si="64"/>
        <v>202.2211033356441</v>
      </c>
      <c r="H229" s="82">
        <f t="shared" si="64"/>
        <v>1725.6536147236575</v>
      </c>
      <c r="I229" s="528"/>
      <c r="J229" s="6"/>
    </row>
    <row r="230" spans="1:11" ht="15.75">
      <c r="A230" s="81" t="s">
        <v>125</v>
      </c>
      <c r="B230" s="104">
        <f t="shared" ref="B230:H230" si="65">B229/B227</f>
        <v>0.1325910471401365</v>
      </c>
      <c r="C230" s="104">
        <f t="shared" si="65"/>
        <v>0.18174762589333493</v>
      </c>
      <c r="D230" s="105">
        <f t="shared" si="65"/>
        <v>0.13982558139534876</v>
      </c>
      <c r="E230" s="105">
        <f t="shared" si="65"/>
        <v>0.32127405033500456</v>
      </c>
      <c r="F230" s="105">
        <f t="shared" si="65"/>
        <v>0.28088603751489782</v>
      </c>
      <c r="G230" s="104">
        <f t="shared" si="65"/>
        <v>0.18300552338067338</v>
      </c>
      <c r="H230" s="83">
        <f t="shared" si="65"/>
        <v>0.22495810386177259</v>
      </c>
      <c r="I230" s="529"/>
      <c r="J230" s="6"/>
    </row>
    <row r="231" spans="1:11" ht="15.75">
      <c r="A231" s="530" t="s">
        <v>131</v>
      </c>
      <c r="B231" s="94">
        <v>242</v>
      </c>
      <c r="C231" s="94">
        <v>207</v>
      </c>
      <c r="D231" s="94">
        <v>259</v>
      </c>
      <c r="E231" s="94">
        <v>444</v>
      </c>
      <c r="F231" s="94">
        <v>385</v>
      </c>
      <c r="G231" s="94">
        <v>190</v>
      </c>
      <c r="H231" s="94">
        <f>SUM(B231:G231)</f>
        <v>1727</v>
      </c>
      <c r="I231" s="80"/>
    </row>
    <row r="232" spans="1:11" ht="15.75">
      <c r="A232" s="531"/>
      <c r="B232" s="99">
        <v>24.42</v>
      </c>
      <c r="C232" s="95">
        <v>31.39</v>
      </c>
      <c r="D232" s="99">
        <v>21.5</v>
      </c>
      <c r="E232" s="99">
        <v>29.35</v>
      </c>
      <c r="F232" s="99">
        <v>17.48</v>
      </c>
      <c r="G232" s="99">
        <v>17.190000000000001</v>
      </c>
      <c r="H232" s="95" t="s">
        <v>132</v>
      </c>
      <c r="I232" s="80"/>
    </row>
    <row r="239" spans="1:11">
      <c r="A239" s="47"/>
      <c r="B239" s="48"/>
      <c r="C239" s="48"/>
      <c r="D239" s="48"/>
      <c r="E239" s="48"/>
      <c r="F239" s="48"/>
      <c r="G239" s="48"/>
      <c r="H239" s="47"/>
      <c r="I239" s="53"/>
    </row>
    <row r="240" spans="1:11" ht="23.25">
      <c r="A240" s="90"/>
      <c r="B240" s="537" t="s">
        <v>120</v>
      </c>
      <c r="C240" s="537"/>
      <c r="D240" s="537"/>
      <c r="E240" s="537"/>
      <c r="F240" s="537"/>
      <c r="G240" s="537"/>
      <c r="H240" s="537"/>
    </row>
    <row r="241" spans="1:11" ht="15.75">
      <c r="A241" s="30" t="s">
        <v>59</v>
      </c>
      <c r="B241" s="535" t="s">
        <v>19</v>
      </c>
      <c r="C241" s="535" t="s">
        <v>82</v>
      </c>
      <c r="D241" s="535" t="s">
        <v>79</v>
      </c>
      <c r="E241" s="535" t="s">
        <v>80</v>
      </c>
      <c r="F241" s="535" t="s">
        <v>20</v>
      </c>
      <c r="G241" s="535" t="s">
        <v>81</v>
      </c>
      <c r="H241" s="535" t="s">
        <v>13</v>
      </c>
    </row>
    <row r="242" spans="1:11" ht="15.75">
      <c r="A242" s="31" t="s">
        <v>90</v>
      </c>
      <c r="B242" s="536"/>
      <c r="C242" s="536"/>
      <c r="D242" s="536"/>
      <c r="E242" s="536"/>
      <c r="F242" s="536"/>
      <c r="G242" s="536"/>
      <c r="H242" s="536"/>
    </row>
    <row r="243" spans="1:11" ht="15.75">
      <c r="A243" s="222" t="s">
        <v>91</v>
      </c>
      <c r="B243" s="24">
        <v>1366</v>
      </c>
      <c r="C243" s="24">
        <v>985</v>
      </c>
      <c r="D243" s="32">
        <v>1672</v>
      </c>
      <c r="E243" s="32">
        <v>2397</v>
      </c>
      <c r="F243" s="32">
        <v>2761</v>
      </c>
      <c r="G243" s="32">
        <v>1919</v>
      </c>
      <c r="H243" s="33">
        <f>SUM(B243:G243)</f>
        <v>11100</v>
      </c>
      <c r="I243" s="10" t="s">
        <v>288</v>
      </c>
    </row>
    <row r="244" spans="1:11" ht="15.75">
      <c r="A244" s="18" t="s">
        <v>92</v>
      </c>
      <c r="B244" s="37">
        <v>0.102427</v>
      </c>
      <c r="C244" s="37">
        <v>0.102427</v>
      </c>
      <c r="D244" s="37">
        <v>0.102427</v>
      </c>
      <c r="E244" s="37">
        <v>0.102427</v>
      </c>
      <c r="F244" s="37">
        <v>0.102427</v>
      </c>
      <c r="G244" s="37">
        <v>0.102427</v>
      </c>
      <c r="H244" s="37">
        <v>0.102427</v>
      </c>
      <c r="I244" s="10" t="s">
        <v>288</v>
      </c>
      <c r="K244" s="7"/>
    </row>
    <row r="245" spans="1:11" ht="15.75">
      <c r="A245" s="21" t="s">
        <v>83</v>
      </c>
      <c r="B245" s="26">
        <f t="shared" ref="B245:G245" si="66">+B243*B244</f>
        <v>139.91528200000002</v>
      </c>
      <c r="C245" s="26">
        <f t="shared" si="66"/>
        <v>100.890595</v>
      </c>
      <c r="D245" s="26">
        <f t="shared" si="66"/>
        <v>171.25794400000001</v>
      </c>
      <c r="E245" s="26">
        <f t="shared" si="66"/>
        <v>245.51751900000002</v>
      </c>
      <c r="F245" s="26">
        <f t="shared" si="66"/>
        <v>282.80094700000001</v>
      </c>
      <c r="G245" s="26">
        <f t="shared" si="66"/>
        <v>196.557413</v>
      </c>
      <c r="H245" s="26">
        <f t="shared" ref="H245:H251" si="67">SUM(B245:G245)</f>
        <v>1136.9397000000001</v>
      </c>
      <c r="I245" s="10" t="s">
        <v>288</v>
      </c>
    </row>
    <row r="246" spans="1:11" ht="15.75">
      <c r="A246" s="22" t="s">
        <v>3</v>
      </c>
      <c r="B246" s="65">
        <v>132</v>
      </c>
      <c r="C246" s="65">
        <v>171</v>
      </c>
      <c r="D246" s="65">
        <v>291</v>
      </c>
      <c r="E246" s="65">
        <v>182</v>
      </c>
      <c r="F246" s="65">
        <f>396-1</f>
        <v>395</v>
      </c>
      <c r="G246" s="65">
        <f>107</f>
        <v>107</v>
      </c>
      <c r="H246" s="27">
        <f t="shared" si="67"/>
        <v>1278</v>
      </c>
      <c r="I246" s="10" t="s">
        <v>288</v>
      </c>
    </row>
    <row r="247" spans="1:11" ht="15.75">
      <c r="A247" s="22" t="s">
        <v>4</v>
      </c>
      <c r="B247" s="65">
        <v>122</v>
      </c>
      <c r="C247" s="65">
        <v>159</v>
      </c>
      <c r="D247" s="65">
        <v>271</v>
      </c>
      <c r="E247" s="65">
        <v>169</v>
      </c>
      <c r="F247" s="65">
        <f>368+1</f>
        <v>369</v>
      </c>
      <c r="G247" s="65">
        <f>99</f>
        <v>99</v>
      </c>
      <c r="H247" s="27">
        <f t="shared" si="67"/>
        <v>1189</v>
      </c>
      <c r="I247" s="10" t="s">
        <v>288</v>
      </c>
    </row>
    <row r="248" spans="1:11" ht="15.75">
      <c r="A248" s="22" t="s">
        <v>5</v>
      </c>
      <c r="B248" s="65">
        <v>114</v>
      </c>
      <c r="C248" s="65">
        <v>148</v>
      </c>
      <c r="D248" s="65">
        <v>252</v>
      </c>
      <c r="E248" s="65">
        <v>157</v>
      </c>
      <c r="F248" s="65">
        <v>342</v>
      </c>
      <c r="G248" s="65">
        <f>92+1</f>
        <v>93</v>
      </c>
      <c r="H248" s="27">
        <f t="shared" si="67"/>
        <v>1106</v>
      </c>
      <c r="I248" s="10" t="s">
        <v>288</v>
      </c>
    </row>
    <row r="249" spans="1:11" ht="15.75">
      <c r="A249" s="22" t="s">
        <v>6</v>
      </c>
      <c r="B249" s="65">
        <v>217</v>
      </c>
      <c r="C249" s="65">
        <v>282</v>
      </c>
      <c r="D249" s="65">
        <v>479</v>
      </c>
      <c r="E249" s="65">
        <v>299</v>
      </c>
      <c r="F249" s="65">
        <v>651</v>
      </c>
      <c r="G249" s="65">
        <v>176</v>
      </c>
      <c r="H249" s="27">
        <f t="shared" si="67"/>
        <v>2104</v>
      </c>
      <c r="I249" s="10" t="s">
        <v>288</v>
      </c>
    </row>
    <row r="250" spans="1:11" ht="15.75">
      <c r="A250" s="22" t="s">
        <v>57</v>
      </c>
      <c r="B250" s="65">
        <v>125</v>
      </c>
      <c r="C250" s="65">
        <v>163</v>
      </c>
      <c r="D250" s="65">
        <v>277</v>
      </c>
      <c r="E250" s="65">
        <v>173</v>
      </c>
      <c r="F250" s="65">
        <v>376</v>
      </c>
      <c r="G250" s="65">
        <v>102</v>
      </c>
      <c r="H250" s="27">
        <f t="shared" si="67"/>
        <v>1216</v>
      </c>
      <c r="I250" s="10" t="s">
        <v>288</v>
      </c>
    </row>
    <row r="251" spans="1:11" ht="15.75">
      <c r="A251" s="22" t="s">
        <v>58</v>
      </c>
      <c r="B251" s="65">
        <v>4</v>
      </c>
      <c r="C251" s="77">
        <v>5</v>
      </c>
      <c r="D251" s="65">
        <v>8</v>
      </c>
      <c r="E251" s="65">
        <v>5</v>
      </c>
      <c r="F251" s="65">
        <v>11</v>
      </c>
      <c r="G251" s="65">
        <v>3</v>
      </c>
      <c r="H251" s="27">
        <f t="shared" si="67"/>
        <v>36</v>
      </c>
      <c r="I251" s="10" t="s">
        <v>288</v>
      </c>
    </row>
    <row r="252" spans="1:11" ht="15.75">
      <c r="A252" s="23" t="s">
        <v>95</v>
      </c>
      <c r="B252" s="25">
        <f t="shared" ref="B252:H252" si="68">SUM(B246:B251)</f>
        <v>714</v>
      </c>
      <c r="C252" s="25">
        <f t="shared" si="68"/>
        <v>928</v>
      </c>
      <c r="D252" s="25">
        <f t="shared" si="68"/>
        <v>1578</v>
      </c>
      <c r="E252" s="25">
        <f t="shared" si="68"/>
        <v>985</v>
      </c>
      <c r="F252" s="25">
        <f t="shared" si="68"/>
        <v>2144</v>
      </c>
      <c r="G252" s="25">
        <f t="shared" si="68"/>
        <v>580</v>
      </c>
      <c r="H252" s="25">
        <f t="shared" si="68"/>
        <v>6929</v>
      </c>
      <c r="I252" s="10" t="s">
        <v>288</v>
      </c>
      <c r="J252" s="166"/>
      <c r="K252" s="106"/>
    </row>
    <row r="253" spans="1:11" ht="15.75">
      <c r="A253" s="18" t="s">
        <v>93</v>
      </c>
      <c r="B253" s="37">
        <v>0.102427</v>
      </c>
      <c r="C253" s="37">
        <v>0.102427</v>
      </c>
      <c r="D253" s="37">
        <v>0.102427</v>
      </c>
      <c r="E253" s="37">
        <v>0.102427</v>
      </c>
      <c r="F253" s="37">
        <v>0.102427</v>
      </c>
      <c r="G253" s="37">
        <v>0.102427</v>
      </c>
      <c r="H253" s="37">
        <v>0.102427</v>
      </c>
      <c r="I253" s="10" t="s">
        <v>288</v>
      </c>
      <c r="J253" s="106"/>
      <c r="K253" s="106"/>
    </row>
    <row r="254" spans="1:11" ht="15.75">
      <c r="A254" s="21" t="s">
        <v>83</v>
      </c>
      <c r="B254" s="26">
        <f t="shared" ref="B254:H254" si="69">B252*B253</f>
        <v>73.132878000000005</v>
      </c>
      <c r="C254" s="26">
        <f t="shared" si="69"/>
        <v>95.052256</v>
      </c>
      <c r="D254" s="26">
        <f t="shared" si="69"/>
        <v>161.629806</v>
      </c>
      <c r="E254" s="26">
        <f t="shared" si="69"/>
        <v>100.890595</v>
      </c>
      <c r="F254" s="26">
        <f t="shared" si="69"/>
        <v>219.603488</v>
      </c>
      <c r="G254" s="26">
        <f t="shared" si="69"/>
        <v>59.40766</v>
      </c>
      <c r="H254" s="26">
        <f t="shared" si="69"/>
        <v>709.71668299999999</v>
      </c>
      <c r="I254" s="10" t="s">
        <v>288</v>
      </c>
      <c r="J254" s="166"/>
      <c r="K254" s="106"/>
    </row>
    <row r="255" spans="1:11" ht="15.75">
      <c r="A255" s="21" t="s">
        <v>105</v>
      </c>
      <c r="B255" s="38">
        <f t="shared" ref="B255:G255" si="70">+B245+B254</f>
        <v>213.04816000000002</v>
      </c>
      <c r="C255" s="38">
        <f t="shared" si="70"/>
        <v>195.94285100000002</v>
      </c>
      <c r="D255" s="38">
        <f t="shared" si="70"/>
        <v>332.88774999999998</v>
      </c>
      <c r="E255" s="38">
        <f t="shared" si="70"/>
        <v>346.40811400000001</v>
      </c>
      <c r="F255" s="38">
        <f t="shared" si="70"/>
        <v>502.40443500000003</v>
      </c>
      <c r="G255" s="38">
        <f t="shared" si="70"/>
        <v>255.96507299999999</v>
      </c>
      <c r="H255" s="38">
        <f>+H245+H254</f>
        <v>1846.656383</v>
      </c>
      <c r="I255" s="10" t="s">
        <v>288</v>
      </c>
      <c r="J255" s="106"/>
      <c r="K255" s="106"/>
    </row>
    <row r="256" spans="1:11" ht="15.75">
      <c r="A256" s="22" t="s">
        <v>94</v>
      </c>
      <c r="B256" s="28">
        <f>+B243+B252</f>
        <v>2080</v>
      </c>
      <c r="C256" s="28">
        <f t="shared" ref="C256:H256" si="71">+C243+C252</f>
        <v>1913</v>
      </c>
      <c r="D256" s="28">
        <f t="shared" si="71"/>
        <v>3250</v>
      </c>
      <c r="E256" s="28">
        <f t="shared" si="71"/>
        <v>3382</v>
      </c>
      <c r="F256" s="28">
        <f t="shared" si="71"/>
        <v>4905</v>
      </c>
      <c r="G256" s="28">
        <f t="shared" si="71"/>
        <v>2499</v>
      </c>
      <c r="H256" s="28">
        <f t="shared" si="71"/>
        <v>18029</v>
      </c>
      <c r="I256" s="10" t="s">
        <v>288</v>
      </c>
      <c r="J256" s="106"/>
      <c r="K256" s="106"/>
    </row>
    <row r="257" spans="1:11" ht="15.75">
      <c r="A257" s="18" t="s">
        <v>96</v>
      </c>
      <c r="B257" s="18">
        <v>0.04</v>
      </c>
      <c r="C257" s="18">
        <v>0.04</v>
      </c>
      <c r="D257" s="18">
        <v>0.04</v>
      </c>
      <c r="E257" s="18">
        <v>0.04</v>
      </c>
      <c r="F257" s="18">
        <v>0.04</v>
      </c>
      <c r="G257" s="18">
        <v>0.04</v>
      </c>
      <c r="H257" s="18">
        <v>0.04</v>
      </c>
      <c r="I257" s="10" t="s">
        <v>288</v>
      </c>
      <c r="J257" s="166"/>
      <c r="K257" s="106"/>
    </row>
    <row r="258" spans="1:11" ht="15.75">
      <c r="A258" s="21" t="s">
        <v>101</v>
      </c>
      <c r="B258" s="26">
        <f t="shared" ref="B258:H258" si="72">B256*B257</f>
        <v>83.2</v>
      </c>
      <c r="C258" s="26">
        <f t="shared" si="72"/>
        <v>76.52</v>
      </c>
      <c r="D258" s="26">
        <f t="shared" si="72"/>
        <v>130</v>
      </c>
      <c r="E258" s="26">
        <f t="shared" si="72"/>
        <v>135.28</v>
      </c>
      <c r="F258" s="26">
        <f t="shared" si="72"/>
        <v>196.20000000000002</v>
      </c>
      <c r="G258" s="26">
        <f t="shared" si="72"/>
        <v>99.960000000000008</v>
      </c>
      <c r="H258" s="26">
        <f t="shared" si="72"/>
        <v>721.16</v>
      </c>
      <c r="I258" s="10" t="s">
        <v>288</v>
      </c>
      <c r="J258" s="3"/>
      <c r="K258" s="106"/>
    </row>
    <row r="259" spans="1:11" ht="23.25">
      <c r="B259" s="545" t="s">
        <v>121</v>
      </c>
      <c r="C259" s="546"/>
      <c r="D259" s="546"/>
      <c r="E259" s="546"/>
      <c r="F259" s="546"/>
      <c r="G259" s="546"/>
      <c r="H259" s="547"/>
      <c r="J259" s="167"/>
      <c r="K259" s="106"/>
    </row>
    <row r="260" spans="1:11" ht="15.75">
      <c r="A260" s="30" t="s">
        <v>59</v>
      </c>
      <c r="B260" s="535" t="s">
        <v>19</v>
      </c>
      <c r="C260" s="535" t="s">
        <v>82</v>
      </c>
      <c r="D260" s="535" t="s">
        <v>79</v>
      </c>
      <c r="E260" s="535" t="s">
        <v>80</v>
      </c>
      <c r="F260" s="535" t="s">
        <v>20</v>
      </c>
      <c r="G260" s="535" t="s">
        <v>81</v>
      </c>
      <c r="H260" s="535" t="s">
        <v>13</v>
      </c>
    </row>
    <row r="261" spans="1:11" ht="15.75">
      <c r="A261" s="31" t="s">
        <v>107</v>
      </c>
      <c r="B261" s="536"/>
      <c r="C261" s="536"/>
      <c r="D261" s="536"/>
      <c r="E261" s="536"/>
      <c r="F261" s="536"/>
      <c r="G261" s="536"/>
      <c r="H261" s="536"/>
    </row>
    <row r="262" spans="1:11" ht="15.75">
      <c r="A262" s="222" t="s">
        <v>91</v>
      </c>
      <c r="B262" s="24">
        <v>1423.6</v>
      </c>
      <c r="C262" s="24">
        <v>1022.9</v>
      </c>
      <c r="D262" s="32">
        <v>1635.5</v>
      </c>
      <c r="E262" s="32">
        <v>2426</v>
      </c>
      <c r="F262" s="32">
        <v>2795</v>
      </c>
      <c r="G262" s="32">
        <v>1959</v>
      </c>
      <c r="H262" s="33">
        <f>SUM(B262:G262)</f>
        <v>11262</v>
      </c>
      <c r="I262" s="306" t="s">
        <v>288</v>
      </c>
    </row>
    <row r="263" spans="1:11" ht="15.75">
      <c r="A263" s="18" t="s">
        <v>92</v>
      </c>
      <c r="B263" s="37">
        <v>0.102427</v>
      </c>
      <c r="C263" s="37">
        <v>0.102427</v>
      </c>
      <c r="D263" s="37">
        <v>0.102427</v>
      </c>
      <c r="E263" s="37">
        <v>0.102427</v>
      </c>
      <c r="F263" s="37">
        <v>0.102427</v>
      </c>
      <c r="G263" s="37">
        <v>0.102427</v>
      </c>
      <c r="H263" s="37">
        <v>0.102427</v>
      </c>
      <c r="I263" s="306" t="s">
        <v>288</v>
      </c>
      <c r="J263" s="7"/>
    </row>
    <row r="264" spans="1:11" ht="15.75">
      <c r="A264" s="21" t="s">
        <v>83</v>
      </c>
      <c r="B264" s="26">
        <f>+B262*B263</f>
        <v>145.81507719999999</v>
      </c>
      <c r="C264" s="26">
        <f>+C262*C263</f>
        <v>104.77257830000001</v>
      </c>
      <c r="D264" s="26">
        <f>+D262*D263</f>
        <v>167.51935850000001</v>
      </c>
      <c r="E264" s="26">
        <f>+E262*E263</f>
        <v>248.48790200000002</v>
      </c>
      <c r="F264" s="26">
        <f>+F262*F263-1</f>
        <v>285.28346500000004</v>
      </c>
      <c r="G264" s="26">
        <f>+G262*G263+1</f>
        <v>201.654493</v>
      </c>
      <c r="H264" s="26">
        <f t="shared" ref="H264:H270" si="73">SUM(B264:G264)</f>
        <v>1153.532874</v>
      </c>
      <c r="I264" s="306" t="s">
        <v>288</v>
      </c>
    </row>
    <row r="265" spans="1:11" ht="15.75">
      <c r="A265" s="22" t="s">
        <v>3</v>
      </c>
      <c r="B265" s="75">
        <v>172</v>
      </c>
      <c r="C265" s="75">
        <v>224</v>
      </c>
      <c r="D265" s="75">
        <v>381</v>
      </c>
      <c r="E265" s="75">
        <v>238</v>
      </c>
      <c r="F265" s="75">
        <f>518</f>
        <v>518</v>
      </c>
      <c r="G265" s="75">
        <f>140+1</f>
        <v>141</v>
      </c>
      <c r="H265" s="75">
        <f t="shared" si="73"/>
        <v>1674</v>
      </c>
      <c r="I265" s="306" t="s">
        <v>288</v>
      </c>
    </row>
    <row r="266" spans="1:11" ht="15.75">
      <c r="A266" s="22" t="s">
        <v>4</v>
      </c>
      <c r="B266" s="75">
        <v>123</v>
      </c>
      <c r="C266" s="75">
        <v>160</v>
      </c>
      <c r="D266" s="75">
        <v>273</v>
      </c>
      <c r="E266" s="75">
        <v>170</v>
      </c>
      <c r="F266" s="75">
        <f>370</f>
        <v>370</v>
      </c>
      <c r="G266" s="75">
        <f>100+1</f>
        <v>101</v>
      </c>
      <c r="H266" s="75">
        <f t="shared" si="73"/>
        <v>1197</v>
      </c>
      <c r="I266" s="306" t="s">
        <v>288</v>
      </c>
    </row>
    <row r="267" spans="1:11" ht="15.75">
      <c r="A267" s="22" t="s">
        <v>5</v>
      </c>
      <c r="B267" s="75">
        <v>97</v>
      </c>
      <c r="C267" s="75">
        <v>126</v>
      </c>
      <c r="D267" s="75">
        <v>214</v>
      </c>
      <c r="E267" s="75">
        <v>134</v>
      </c>
      <c r="F267" s="75">
        <v>291</v>
      </c>
      <c r="G267" s="75">
        <f>78-1</f>
        <v>77</v>
      </c>
      <c r="H267" s="75">
        <f t="shared" si="73"/>
        <v>939</v>
      </c>
      <c r="I267" s="306" t="s">
        <v>288</v>
      </c>
    </row>
    <row r="268" spans="1:11" ht="15.75">
      <c r="A268" s="22" t="s">
        <v>6</v>
      </c>
      <c r="B268" s="75">
        <v>241</v>
      </c>
      <c r="C268" s="75">
        <v>313</v>
      </c>
      <c r="D268" s="75">
        <v>532</v>
      </c>
      <c r="E268" s="75">
        <v>332</v>
      </c>
      <c r="F268" s="75">
        <v>723</v>
      </c>
      <c r="G268" s="75">
        <f>195-1</f>
        <v>194</v>
      </c>
      <c r="H268" s="75">
        <f t="shared" si="73"/>
        <v>2335</v>
      </c>
      <c r="I268" s="306" t="s">
        <v>288</v>
      </c>
    </row>
    <row r="269" spans="1:11" ht="15.75">
      <c r="A269" s="22" t="s">
        <v>57</v>
      </c>
      <c r="B269" s="75">
        <v>188</v>
      </c>
      <c r="C269" s="75">
        <v>244</v>
      </c>
      <c r="D269" s="75">
        <v>415</v>
      </c>
      <c r="E269" s="75">
        <v>259</v>
      </c>
      <c r="F269" s="75">
        <v>564</v>
      </c>
      <c r="G269" s="75">
        <f>152-1</f>
        <v>151</v>
      </c>
      <c r="H269" s="75">
        <f t="shared" si="73"/>
        <v>1821</v>
      </c>
      <c r="I269" s="306" t="s">
        <v>288</v>
      </c>
    </row>
    <row r="270" spans="1:11" ht="15.75">
      <c r="A270" s="22" t="s">
        <v>58</v>
      </c>
      <c r="B270" s="75">
        <v>133</v>
      </c>
      <c r="C270" s="75">
        <v>172</v>
      </c>
      <c r="D270" s="75">
        <v>293</v>
      </c>
      <c r="E270" s="75">
        <v>183</v>
      </c>
      <c r="F270" s="75">
        <v>399</v>
      </c>
      <c r="G270" s="75">
        <v>108</v>
      </c>
      <c r="H270" s="75">
        <f t="shared" si="73"/>
        <v>1288</v>
      </c>
      <c r="I270" s="306" t="s">
        <v>288</v>
      </c>
    </row>
    <row r="271" spans="1:11" ht="15.75">
      <c r="A271" s="23" t="s">
        <v>95</v>
      </c>
      <c r="B271" s="25">
        <f t="shared" ref="B271:H271" si="74">SUM(B265:B270)</f>
        <v>954</v>
      </c>
      <c r="C271" s="25">
        <f t="shared" si="74"/>
        <v>1239</v>
      </c>
      <c r="D271" s="25">
        <f t="shared" si="74"/>
        <v>2108</v>
      </c>
      <c r="E271" s="25">
        <f t="shared" si="74"/>
        <v>1316</v>
      </c>
      <c r="F271" s="25">
        <f t="shared" si="74"/>
        <v>2865</v>
      </c>
      <c r="G271" s="25">
        <f t="shared" si="74"/>
        <v>772</v>
      </c>
      <c r="H271" s="25">
        <f t="shared" si="74"/>
        <v>9254</v>
      </c>
      <c r="I271" s="306" t="s">
        <v>288</v>
      </c>
    </row>
    <row r="272" spans="1:11" ht="15.75">
      <c r="A272" s="18" t="s">
        <v>93</v>
      </c>
      <c r="B272" s="37">
        <v>0.102427</v>
      </c>
      <c r="C272" s="37">
        <v>0.102427</v>
      </c>
      <c r="D272" s="37">
        <v>0.102427</v>
      </c>
      <c r="E272" s="37">
        <v>0.102427</v>
      </c>
      <c r="F272" s="37">
        <v>0.102427</v>
      </c>
      <c r="G272" s="37">
        <v>0.102427</v>
      </c>
      <c r="H272" s="37">
        <v>0.102427</v>
      </c>
      <c r="I272" s="306" t="s">
        <v>288</v>
      </c>
      <c r="J272" s="7"/>
    </row>
    <row r="273" spans="1:10" ht="15.75">
      <c r="A273" s="21" t="s">
        <v>83</v>
      </c>
      <c r="B273" s="38">
        <f t="shared" ref="B273:H273" si="75">B271*B272</f>
        <v>97.715358000000009</v>
      </c>
      <c r="C273" s="38">
        <f t="shared" si="75"/>
        <v>126.907053</v>
      </c>
      <c r="D273" s="38">
        <f t="shared" si="75"/>
        <v>215.91611600000002</v>
      </c>
      <c r="E273" s="38">
        <f t="shared" si="75"/>
        <v>134.79393200000001</v>
      </c>
      <c r="F273" s="38">
        <f t="shared" si="75"/>
        <v>293.45335499999999</v>
      </c>
      <c r="G273" s="38">
        <f t="shared" si="75"/>
        <v>79.073644000000002</v>
      </c>
      <c r="H273" s="38">
        <f t="shared" si="75"/>
        <v>947.85945800000002</v>
      </c>
      <c r="I273" s="306" t="s">
        <v>288</v>
      </c>
      <c r="J273" s="7"/>
    </row>
    <row r="274" spans="1:10" ht="15" customHeight="1">
      <c r="A274" s="21" t="s">
        <v>106</v>
      </c>
      <c r="B274" s="38">
        <f>+B264+B273</f>
        <v>243.5304352</v>
      </c>
      <c r="C274" s="38">
        <f>+C264+C273</f>
        <v>231.67963130000001</v>
      </c>
      <c r="D274" s="38">
        <f>+D264+D273</f>
        <v>383.43547450000005</v>
      </c>
      <c r="E274" s="38">
        <f>+E264+E273</f>
        <v>383.281834</v>
      </c>
      <c r="F274" s="38">
        <f>+F264+F273</f>
        <v>578.73682000000008</v>
      </c>
      <c r="G274" s="38">
        <f>+G264+G273-1</f>
        <v>279.728137</v>
      </c>
      <c r="H274" s="38">
        <f>SUM(B274:G274)</f>
        <v>2100.3923320000004</v>
      </c>
      <c r="I274" s="306" t="s">
        <v>288</v>
      </c>
    </row>
    <row r="275" spans="1:10" ht="15" customHeight="1">
      <c r="A275" s="22" t="s">
        <v>94</v>
      </c>
      <c r="B275" s="28">
        <f t="shared" ref="B275:H275" si="76">+B262+B271</f>
        <v>2377.6</v>
      </c>
      <c r="C275" s="28">
        <f t="shared" si="76"/>
        <v>2261.9</v>
      </c>
      <c r="D275" s="28">
        <f t="shared" si="76"/>
        <v>3743.5</v>
      </c>
      <c r="E275" s="28">
        <f t="shared" si="76"/>
        <v>3742</v>
      </c>
      <c r="F275" s="28">
        <f t="shared" si="76"/>
        <v>5660</v>
      </c>
      <c r="G275" s="28">
        <f t="shared" si="76"/>
        <v>2731</v>
      </c>
      <c r="H275" s="28">
        <f t="shared" si="76"/>
        <v>20516</v>
      </c>
      <c r="I275" s="306" t="s">
        <v>288</v>
      </c>
    </row>
    <row r="276" spans="1:10" ht="15.75">
      <c r="A276" s="18" t="s">
        <v>88</v>
      </c>
      <c r="B276" s="18">
        <v>0.04</v>
      </c>
      <c r="C276" s="18">
        <v>0.04</v>
      </c>
      <c r="D276" s="18">
        <v>0.04</v>
      </c>
      <c r="E276" s="18">
        <v>0.04</v>
      </c>
      <c r="F276" s="18">
        <v>0.04</v>
      </c>
      <c r="G276" s="18">
        <v>0.04</v>
      </c>
      <c r="H276" s="18">
        <v>0.04</v>
      </c>
      <c r="I276" s="306" t="s">
        <v>288</v>
      </c>
    </row>
    <row r="277" spans="1:10" ht="15.75">
      <c r="A277" s="21" t="s">
        <v>101</v>
      </c>
      <c r="B277" s="26">
        <f t="shared" ref="B277:H277" si="77">B275*B276</f>
        <v>95.103999999999999</v>
      </c>
      <c r="C277" s="26">
        <f t="shared" si="77"/>
        <v>90.475999999999999</v>
      </c>
      <c r="D277" s="26">
        <f t="shared" si="77"/>
        <v>149.74</v>
      </c>
      <c r="E277" s="26">
        <f t="shared" si="77"/>
        <v>149.68</v>
      </c>
      <c r="F277" s="26">
        <f t="shared" si="77"/>
        <v>226.4</v>
      </c>
      <c r="G277" s="26">
        <f t="shared" si="77"/>
        <v>109.24000000000001</v>
      </c>
      <c r="H277" s="26">
        <f t="shared" si="77"/>
        <v>820.64</v>
      </c>
      <c r="I277" s="306" t="s">
        <v>288</v>
      </c>
    </row>
    <row r="280" spans="1:10">
      <c r="B280" s="9"/>
      <c r="C280" s="9"/>
      <c r="D280" s="9"/>
      <c r="E280" s="9"/>
      <c r="F280" s="9"/>
      <c r="G280" s="9"/>
      <c r="I280" s="9"/>
    </row>
    <row r="281" spans="1:10">
      <c r="C281" s="10"/>
      <c r="D281" s="10"/>
      <c r="E281" s="10"/>
      <c r="F281" s="10"/>
      <c r="G281" s="10"/>
      <c r="H281" s="10"/>
      <c r="I281" s="10"/>
    </row>
    <row r="282" spans="1:10">
      <c r="C282" s="16" t="s">
        <v>73</v>
      </c>
      <c r="D282" s="16" t="s">
        <v>74</v>
      </c>
      <c r="E282" s="16" t="s">
        <v>75</v>
      </c>
      <c r="F282" s="16" t="s">
        <v>76</v>
      </c>
      <c r="G282" s="16" t="s">
        <v>77</v>
      </c>
      <c r="H282" s="16" t="s">
        <v>78</v>
      </c>
      <c r="I282" s="16">
        <v>1</v>
      </c>
      <c r="J282" s="7"/>
    </row>
    <row r="283" spans="1:10">
      <c r="A283" t="s">
        <v>39</v>
      </c>
      <c r="B283" t="s">
        <v>281</v>
      </c>
      <c r="C283" s="9">
        <v>342.6</v>
      </c>
      <c r="D283" s="9">
        <v>49.3</v>
      </c>
      <c r="E283" s="9">
        <v>4.4000000000000004</v>
      </c>
      <c r="F283" s="9">
        <v>94.04</v>
      </c>
      <c r="G283" s="9">
        <v>242.2</v>
      </c>
      <c r="H283" s="9">
        <v>299.8</v>
      </c>
      <c r="I283" s="9">
        <v>8.8000000000000007</v>
      </c>
      <c r="J283" s="9">
        <f>SUM(C283:I283)</f>
        <v>1041.1399999999999</v>
      </c>
    </row>
    <row r="284" spans="1:10">
      <c r="B284" t="s">
        <v>250</v>
      </c>
      <c r="C284" s="242">
        <f>+C283/$J$283</f>
        <v>0.32906237393626225</v>
      </c>
      <c r="D284" s="242">
        <f t="shared" ref="D284:I284" si="78">+D283/$J$283</f>
        <v>4.7351941141441117E-2</v>
      </c>
      <c r="E284" s="242">
        <f t="shared" si="78"/>
        <v>4.2261367347330818E-3</v>
      </c>
      <c r="F284" s="242">
        <f t="shared" si="78"/>
        <v>9.0324067848704323E-2</v>
      </c>
      <c r="G284" s="242">
        <f t="shared" si="78"/>
        <v>0.23262961753462552</v>
      </c>
      <c r="H284" s="242">
        <f t="shared" si="78"/>
        <v>0.28795358933476772</v>
      </c>
      <c r="I284" s="242">
        <f t="shared" si="78"/>
        <v>8.4522734694661636E-3</v>
      </c>
      <c r="J284" s="9"/>
    </row>
    <row r="285" spans="1:10">
      <c r="B285" s="4">
        <v>2012</v>
      </c>
      <c r="C285" s="160">
        <f>+$J$285*C284</f>
        <v>329.06237393626225</v>
      </c>
      <c r="D285" s="160">
        <f t="shared" ref="D285:I285" si="79">+$J$285*D284</f>
        <v>47.351941141441117</v>
      </c>
      <c r="E285" s="160">
        <f t="shared" si="79"/>
        <v>4.2261367347330818</v>
      </c>
      <c r="F285" s="160">
        <f t="shared" si="79"/>
        <v>90.324067848704317</v>
      </c>
      <c r="G285" s="160">
        <f t="shared" si="79"/>
        <v>232.62961753462551</v>
      </c>
      <c r="H285" s="160">
        <f t="shared" si="79"/>
        <v>287.95358933476774</v>
      </c>
      <c r="I285" s="160">
        <f t="shared" si="79"/>
        <v>8.4522734694661636</v>
      </c>
      <c r="J285" s="4">
        <v>1000</v>
      </c>
    </row>
    <row r="286" spans="1:10">
      <c r="B286" s="4">
        <v>2013</v>
      </c>
      <c r="C286" s="160">
        <f>+$J$286*C284</f>
        <v>394.87484872351473</v>
      </c>
      <c r="D286" s="160">
        <f t="shared" ref="D286:I286" si="80">+$J$286*D284</f>
        <v>56.822329369729339</v>
      </c>
      <c r="E286" s="160">
        <f t="shared" si="80"/>
        <v>5.0713640816796985</v>
      </c>
      <c r="F286" s="160">
        <f t="shared" si="80"/>
        <v>108.38888141844519</v>
      </c>
      <c r="G286" s="160">
        <f t="shared" si="80"/>
        <v>279.15554104155063</v>
      </c>
      <c r="H286" s="160">
        <f t="shared" si="80"/>
        <v>345.54430720172127</v>
      </c>
      <c r="I286" s="160">
        <f t="shared" si="80"/>
        <v>10.142728163359397</v>
      </c>
      <c r="J286" s="4">
        <v>1200</v>
      </c>
    </row>
    <row r="287" spans="1:10">
      <c r="C287" s="107"/>
      <c r="D287" s="107"/>
      <c r="E287" s="107"/>
      <c r="F287" s="107"/>
      <c r="G287" s="107"/>
      <c r="H287" s="107"/>
      <c r="I287" s="107"/>
    </row>
    <row r="288" spans="1:10">
      <c r="A288" s="13"/>
      <c r="C288" s="162"/>
      <c r="D288" s="162"/>
      <c r="E288" s="163"/>
      <c r="F288" s="163"/>
      <c r="G288" s="163"/>
      <c r="H288" s="163"/>
      <c r="I288" s="163"/>
      <c r="J288" s="164"/>
    </row>
    <row r="289" spans="1:10">
      <c r="A289" s="13" t="s">
        <v>48</v>
      </c>
      <c r="B289" t="s">
        <v>163</v>
      </c>
      <c r="C289" s="161">
        <v>3.7569143020003275</v>
      </c>
      <c r="D289" s="161">
        <v>2.083309761932961</v>
      </c>
      <c r="E289" s="161">
        <v>4.2585703871950011</v>
      </c>
      <c r="F289" s="161">
        <v>2.1330134420875888</v>
      </c>
      <c r="G289" s="161">
        <v>2.1403516844677659</v>
      </c>
      <c r="H289" s="161">
        <v>2.3076124073624156</v>
      </c>
      <c r="I289" s="161">
        <v>83.320228014953997</v>
      </c>
      <c r="J289" s="164">
        <v>100.00000000000006</v>
      </c>
    </row>
    <row r="290" spans="1:10">
      <c r="A290" s="13"/>
      <c r="B290">
        <v>2012</v>
      </c>
      <c r="C290" s="161">
        <v>0.11270742906000983</v>
      </c>
      <c r="D290" s="161">
        <v>6.2499292857988831E-2</v>
      </c>
      <c r="E290" s="161">
        <v>0.12775711161585004</v>
      </c>
      <c r="F290" s="161">
        <v>6.3990403262627671E-2</v>
      </c>
      <c r="G290" s="161">
        <v>6.4210550534032976E-2</v>
      </c>
      <c r="H290" s="161">
        <v>6.9228372220872469E-2</v>
      </c>
      <c r="I290" s="161">
        <v>2.4996068404486196</v>
      </c>
      <c r="J290">
        <v>3</v>
      </c>
    </row>
    <row r="291" spans="1:10">
      <c r="A291" s="13"/>
      <c r="B291">
        <v>2013</v>
      </c>
      <c r="C291" s="161">
        <v>0.1502765720800131</v>
      </c>
      <c r="D291" s="161">
        <v>8.3332390477318441E-2</v>
      </c>
      <c r="E291" s="161">
        <v>0.17034281548780006</v>
      </c>
      <c r="F291" s="161">
        <v>8.5320537683503547E-2</v>
      </c>
      <c r="G291" s="161">
        <v>8.5614067378710634E-2</v>
      </c>
      <c r="H291" s="161">
        <v>9.2304496294496621E-2</v>
      </c>
      <c r="I291" s="161">
        <v>3.33280912059816</v>
      </c>
      <c r="J291">
        <v>4</v>
      </c>
    </row>
    <row r="292" spans="1:10">
      <c r="A292" s="13"/>
      <c r="C292" s="15"/>
      <c r="D292" s="15"/>
      <c r="E292" s="16"/>
      <c r="F292" s="16"/>
      <c r="G292" s="16"/>
      <c r="H292" s="16"/>
      <c r="I292" s="16"/>
      <c r="J292" s="14"/>
    </row>
    <row r="293" spans="1:10">
      <c r="A293" t="s">
        <v>49</v>
      </c>
      <c r="B293" t="s">
        <v>163</v>
      </c>
      <c r="C293" s="161">
        <v>18.732983853847461</v>
      </c>
      <c r="D293" s="161">
        <v>18.241950042524543</v>
      </c>
      <c r="E293" s="161">
        <v>24.411544409970627</v>
      </c>
      <c r="F293" s="161">
        <v>13.823463972142786</v>
      </c>
      <c r="G293" s="161">
        <v>12.010095799786489</v>
      </c>
      <c r="H293" s="161">
        <v>11.089340662352864</v>
      </c>
      <c r="I293" s="161">
        <v>1.6906212593751382</v>
      </c>
    </row>
    <row r="294" spans="1:10">
      <c r="B294">
        <v>2012</v>
      </c>
      <c r="C294" s="161">
        <v>0.7493193541538985</v>
      </c>
      <c r="D294" s="161">
        <v>0.72967800170098174</v>
      </c>
      <c r="E294" s="161">
        <v>0.97646177639882514</v>
      </c>
      <c r="F294" s="161">
        <v>0.55293855888571142</v>
      </c>
      <c r="G294" s="161">
        <v>0.48040383199145958</v>
      </c>
      <c r="H294" s="161">
        <v>0.44357362649411458</v>
      </c>
      <c r="I294" s="161">
        <v>6.7624850375005527E-2</v>
      </c>
      <c r="J294">
        <v>4</v>
      </c>
    </row>
    <row r="295" spans="1:10">
      <c r="B295">
        <v>2013</v>
      </c>
      <c r="C295" s="161">
        <v>0.93664919269237301</v>
      </c>
      <c r="D295" s="161">
        <v>0.91209750212622709</v>
      </c>
      <c r="E295" s="161">
        <v>1.2205772204985315</v>
      </c>
      <c r="F295" s="161">
        <v>0.69117319860713933</v>
      </c>
      <c r="G295" s="161">
        <v>0.60050478998932444</v>
      </c>
      <c r="H295" s="161">
        <v>0.55446703311764323</v>
      </c>
      <c r="I295" s="161">
        <v>8.4531062968756898E-2</v>
      </c>
      <c r="J295">
        <v>5</v>
      </c>
    </row>
    <row r="299" spans="1:10">
      <c r="B299" s="276" t="s">
        <v>290</v>
      </c>
      <c r="C299" s="276" t="s">
        <v>291</v>
      </c>
      <c r="D299" s="276" t="s">
        <v>292</v>
      </c>
      <c r="E299" s="276" t="s">
        <v>293</v>
      </c>
      <c r="F299" s="276" t="s">
        <v>294</v>
      </c>
      <c r="G299" s="276" t="s">
        <v>295</v>
      </c>
      <c r="H299" s="276" t="s">
        <v>296</v>
      </c>
      <c r="I299" s="276" t="s">
        <v>297</v>
      </c>
    </row>
    <row r="300" spans="1:10">
      <c r="A300" s="277" t="s">
        <v>302</v>
      </c>
      <c r="B300" s="278">
        <v>2</v>
      </c>
      <c r="C300" s="278">
        <v>7</v>
      </c>
      <c r="D300" s="278">
        <v>11</v>
      </c>
      <c r="E300" s="278">
        <v>9</v>
      </c>
      <c r="F300" s="278">
        <v>26</v>
      </c>
      <c r="G300" s="278">
        <v>2</v>
      </c>
      <c r="H300" s="278">
        <v>2</v>
      </c>
      <c r="I300" s="278">
        <v>59</v>
      </c>
    </row>
    <row r="301" spans="1:10">
      <c r="A301" s="277" t="s">
        <v>301</v>
      </c>
      <c r="B301" s="278">
        <v>2</v>
      </c>
      <c r="C301" s="278">
        <v>2</v>
      </c>
      <c r="D301" s="278">
        <v>2</v>
      </c>
      <c r="E301" s="278">
        <v>2</v>
      </c>
      <c r="F301" s="278">
        <v>2</v>
      </c>
      <c r="G301" s="278">
        <v>2</v>
      </c>
      <c r="H301" s="278">
        <v>16</v>
      </c>
      <c r="I301" s="278">
        <v>28</v>
      </c>
    </row>
    <row r="302" spans="1:10">
      <c r="A302" s="90" t="s">
        <v>298</v>
      </c>
      <c r="B302" s="279">
        <v>4</v>
      </c>
      <c r="C302" s="279">
        <v>9</v>
      </c>
      <c r="D302" s="279">
        <v>13</v>
      </c>
      <c r="E302" s="279">
        <v>11</v>
      </c>
      <c r="F302" s="279">
        <v>28</v>
      </c>
      <c r="G302" s="279">
        <v>4</v>
      </c>
      <c r="H302" s="279">
        <v>18</v>
      </c>
      <c r="I302" s="279">
        <v>87</v>
      </c>
    </row>
    <row r="303" spans="1:10">
      <c r="A303" s="90" t="s">
        <v>250</v>
      </c>
      <c r="B303" s="126">
        <v>4.5977011494252873E-2</v>
      </c>
      <c r="C303" s="126">
        <v>0.10344827586206896</v>
      </c>
      <c r="D303" s="126">
        <v>0.14942528735632185</v>
      </c>
      <c r="E303" s="126">
        <v>0.12643678160919541</v>
      </c>
      <c r="F303" s="126">
        <v>0.32183908045977011</v>
      </c>
      <c r="G303" s="126">
        <v>4.5977011494252873E-2</v>
      </c>
      <c r="H303" s="126">
        <v>0.20689655172413793</v>
      </c>
      <c r="I303" s="126">
        <v>0.95402298850574718</v>
      </c>
    </row>
    <row r="304" spans="1:10">
      <c r="A304" s="280" t="s">
        <v>299</v>
      </c>
      <c r="B304" s="281">
        <v>5.195402298850575</v>
      </c>
      <c r="C304" s="281">
        <v>11.689655172413794</v>
      </c>
      <c r="D304" s="281">
        <v>16.885057471264368</v>
      </c>
      <c r="E304" s="281">
        <v>14.287356321839082</v>
      </c>
      <c r="F304" s="281">
        <v>36.367816091954019</v>
      </c>
      <c r="G304" s="281">
        <v>5.195402298850575</v>
      </c>
      <c r="H304" s="281">
        <v>23.379310344827587</v>
      </c>
      <c r="I304" s="280">
        <v>113</v>
      </c>
    </row>
    <row r="307" spans="1:9">
      <c r="B307" s="276" t="s">
        <v>290</v>
      </c>
      <c r="C307" s="276" t="s">
        <v>291</v>
      </c>
      <c r="D307" s="276" t="s">
        <v>292</v>
      </c>
      <c r="E307" s="276" t="s">
        <v>293</v>
      </c>
      <c r="F307" s="276" t="s">
        <v>294</v>
      </c>
      <c r="G307" s="276" t="s">
        <v>295</v>
      </c>
      <c r="H307" s="276" t="s">
        <v>296</v>
      </c>
      <c r="I307" s="276" t="s">
        <v>297</v>
      </c>
    </row>
    <row r="308" spans="1:9">
      <c r="A308" s="277" t="s">
        <v>303</v>
      </c>
      <c r="B308" s="282">
        <v>285.88235294117641</v>
      </c>
      <c r="C308" s="282">
        <v>243.52941176470588</v>
      </c>
      <c r="D308" s="282">
        <v>211.76470588235293</v>
      </c>
      <c r="E308" s="282">
        <v>232.94117647058829</v>
      </c>
      <c r="F308" s="282">
        <v>254.11764705882354</v>
      </c>
      <c r="G308" s="282">
        <v>307.05882352941177</v>
      </c>
      <c r="H308" s="282">
        <v>264.70588235294122</v>
      </c>
      <c r="I308" s="282">
        <v>1800</v>
      </c>
    </row>
    <row r="309" spans="1:9">
      <c r="A309" s="277" t="s">
        <v>300</v>
      </c>
      <c r="B309" s="282"/>
      <c r="C309" s="282"/>
      <c r="D309" s="282"/>
      <c r="E309" s="282"/>
      <c r="F309" s="282"/>
      <c r="G309" s="282"/>
      <c r="H309" s="282">
        <v>48</v>
      </c>
      <c r="I309" s="282">
        <v>48</v>
      </c>
    </row>
    <row r="310" spans="1:9">
      <c r="A310" s="90" t="s">
        <v>298</v>
      </c>
      <c r="B310" s="283">
        <v>285.88235294117641</v>
      </c>
      <c r="C310" s="283">
        <v>243.52941176470588</v>
      </c>
      <c r="D310" s="283">
        <v>211.76470588235293</v>
      </c>
      <c r="E310" s="283">
        <v>232.94117647058829</v>
      </c>
      <c r="F310" s="283">
        <v>254.11764705882354</v>
      </c>
      <c r="G310" s="283">
        <v>307.05882352941177</v>
      </c>
      <c r="H310" s="283">
        <v>312.70588235294122</v>
      </c>
      <c r="I310" s="283">
        <v>1848</v>
      </c>
    </row>
    <row r="311" spans="1:9">
      <c r="A311" s="284"/>
      <c r="B311" s="285"/>
      <c r="C311" s="285"/>
      <c r="D311" s="285"/>
      <c r="E311" s="285"/>
      <c r="F311" s="285"/>
      <c r="G311" s="285"/>
      <c r="H311" s="285"/>
      <c r="I311" s="244"/>
    </row>
    <row r="315" spans="1:9" ht="15.75">
      <c r="A315" s="538" t="s">
        <v>311</v>
      </c>
      <c r="B315" s="538"/>
      <c r="C315" s="538"/>
      <c r="D315" s="538"/>
      <c r="E315" s="538"/>
      <c r="F315" s="538"/>
    </row>
    <row r="317" spans="1:9">
      <c r="F317" t="s">
        <v>312</v>
      </c>
    </row>
    <row r="318" spans="1:9">
      <c r="A318" s="120" t="s">
        <v>313</v>
      </c>
      <c r="B318" s="120" t="s">
        <v>322</v>
      </c>
      <c r="C318" s="120" t="s">
        <v>314</v>
      </c>
      <c r="D318" s="223" t="s">
        <v>315</v>
      </c>
      <c r="E318" s="120" t="s">
        <v>316</v>
      </c>
      <c r="F318" s="120" t="s">
        <v>317</v>
      </c>
    </row>
    <row r="319" spans="1:9">
      <c r="A319" s="398" t="s">
        <v>318</v>
      </c>
      <c r="B319" s="399">
        <v>32519255.170000002</v>
      </c>
      <c r="C319" s="400">
        <f>B319/1000000</f>
        <v>32.519255170000001</v>
      </c>
      <c r="D319" s="401">
        <f>+C319/$C$326</f>
        <v>6.3124136374290193E-2</v>
      </c>
      <c r="E319" s="409">
        <f>+$E$326*D319</f>
        <v>239.87171822230275</v>
      </c>
      <c r="F319" s="410">
        <f>+$F$326*D319</f>
        <v>249.34033867844627</v>
      </c>
    </row>
    <row r="320" spans="1:9" ht="15.75">
      <c r="A320" s="402" t="s">
        <v>319</v>
      </c>
      <c r="B320" s="403">
        <v>54294147.259999998</v>
      </c>
      <c r="C320" s="400">
        <f t="shared" ref="C320:C325" si="81">B320/1000000</f>
        <v>54.294147259999995</v>
      </c>
      <c r="D320" s="401">
        <f t="shared" ref="D320:D325" si="82">+C320/$C$326</f>
        <v>0.10539205581583541</v>
      </c>
      <c r="E320" s="409">
        <f t="shared" ref="E320:E325" si="83">+$E$326*D320</f>
        <v>400.48981210017456</v>
      </c>
      <c r="F320" s="410">
        <f t="shared" ref="F320:F325" si="84">+$F$326*D320</f>
        <v>416.29862047254989</v>
      </c>
    </row>
    <row r="321" spans="1:6" ht="15.75">
      <c r="A321" s="402" t="s">
        <v>263</v>
      </c>
      <c r="B321" s="403">
        <v>221555530.09000003</v>
      </c>
      <c r="C321" s="400">
        <f t="shared" si="81"/>
        <v>221.55553009000005</v>
      </c>
      <c r="D321" s="401">
        <f t="shared" si="82"/>
        <v>0.43006832176099064</v>
      </c>
      <c r="E321" s="409">
        <f t="shared" si="83"/>
        <v>1634.2596226917644</v>
      </c>
      <c r="F321" s="410">
        <f t="shared" si="84"/>
        <v>1698.7698709559131</v>
      </c>
    </row>
    <row r="322" spans="1:6" ht="15.75">
      <c r="A322" s="402" t="s">
        <v>262</v>
      </c>
      <c r="B322" s="403">
        <v>58284544.289999999</v>
      </c>
      <c r="C322" s="400">
        <f t="shared" si="81"/>
        <v>58.284544289999999</v>
      </c>
      <c r="D322" s="401">
        <f t="shared" si="82"/>
        <v>0.11313793944670218</v>
      </c>
      <c r="E322" s="409">
        <f t="shared" si="83"/>
        <v>429.92416989746829</v>
      </c>
      <c r="F322" s="410">
        <f t="shared" si="84"/>
        <v>446.89486081447365</v>
      </c>
    </row>
    <row r="323" spans="1:6" ht="15.75">
      <c r="A323" s="402" t="s">
        <v>320</v>
      </c>
      <c r="B323" s="404">
        <v>9672570.370000001</v>
      </c>
      <c r="C323" s="400">
        <f t="shared" si="81"/>
        <v>9.6725703700000008</v>
      </c>
      <c r="D323" s="401">
        <f t="shared" si="82"/>
        <v>1.8775726809667843E-2</v>
      </c>
      <c r="E323" s="409">
        <f t="shared" si="83"/>
        <v>71.347761876737806</v>
      </c>
      <c r="F323" s="410">
        <f t="shared" si="84"/>
        <v>74.164120898187974</v>
      </c>
    </row>
    <row r="324" spans="1:6" ht="15.75">
      <c r="A324" s="402" t="s">
        <v>249</v>
      </c>
      <c r="B324" s="404">
        <v>131100783.37</v>
      </c>
      <c r="C324" s="400">
        <f t="shared" si="81"/>
        <v>131.10078337000002</v>
      </c>
      <c r="D324" s="401">
        <f t="shared" si="82"/>
        <v>0.25448380305643259</v>
      </c>
      <c r="E324" s="409">
        <f t="shared" si="83"/>
        <v>967.03845161444383</v>
      </c>
      <c r="F324" s="410">
        <f t="shared" si="84"/>
        <v>1005.2110220729087</v>
      </c>
    </row>
    <row r="325" spans="1:6" ht="15.75">
      <c r="A325" s="402" t="s">
        <v>321</v>
      </c>
      <c r="B325" s="403">
        <v>7736735.0499999998</v>
      </c>
      <c r="C325" s="400">
        <f t="shared" si="81"/>
        <v>7.7367350500000001</v>
      </c>
      <c r="D325" s="401">
        <f t="shared" si="82"/>
        <v>1.5018016736081071E-2</v>
      </c>
      <c r="E325" s="409">
        <f t="shared" si="83"/>
        <v>57.068463597108071</v>
      </c>
      <c r="F325" s="410">
        <f t="shared" si="84"/>
        <v>59.321166107520234</v>
      </c>
    </row>
    <row r="326" spans="1:6">
      <c r="A326" s="405" t="s">
        <v>53</v>
      </c>
      <c r="B326" s="406">
        <f>SUM(B319:B325)</f>
        <v>515163565.60000008</v>
      </c>
      <c r="C326" s="407">
        <f>SUM(C319:C325)</f>
        <v>515.16356560000008</v>
      </c>
      <c r="D326" s="408">
        <f>SUM(D319:D325)</f>
        <v>0.99999999999999989</v>
      </c>
      <c r="E326" s="405">
        <v>3800</v>
      </c>
      <c r="F326" s="405">
        <v>3950</v>
      </c>
    </row>
  </sheetData>
  <mergeCells count="47">
    <mergeCell ref="A315:F315"/>
    <mergeCell ref="F260:F261"/>
    <mergeCell ref="A35:C35"/>
    <mergeCell ref="E35:G35"/>
    <mergeCell ref="A70:C70"/>
    <mergeCell ref="E70:G70"/>
    <mergeCell ref="B259:H259"/>
    <mergeCell ref="B159:H159"/>
    <mergeCell ref="B160:B161"/>
    <mergeCell ref="C160:C161"/>
    <mergeCell ref="D160:D161"/>
    <mergeCell ref="E160:E161"/>
    <mergeCell ref="F160:F161"/>
    <mergeCell ref="G160:G161"/>
    <mergeCell ref="H160:H161"/>
    <mergeCell ref="G260:G261"/>
    <mergeCell ref="H260:H261"/>
    <mergeCell ref="I225:I230"/>
    <mergeCell ref="A231:A232"/>
    <mergeCell ref="B240:H240"/>
    <mergeCell ref="B241:B242"/>
    <mergeCell ref="C241:C242"/>
    <mergeCell ref="D241:D242"/>
    <mergeCell ref="E241:E242"/>
    <mergeCell ref="F241:F242"/>
    <mergeCell ref="G241:G242"/>
    <mergeCell ref="H241:H242"/>
    <mergeCell ref="B260:B261"/>
    <mergeCell ref="C260:C261"/>
    <mergeCell ref="D260:D261"/>
    <mergeCell ref="E260:E261"/>
    <mergeCell ref="I186:I191"/>
    <mergeCell ref="A192:A193"/>
    <mergeCell ref="B198:H198"/>
    <mergeCell ref="B199:B200"/>
    <mergeCell ref="C199:C200"/>
    <mergeCell ref="D199:D200"/>
    <mergeCell ref="E199:E200"/>
    <mergeCell ref="F199:F200"/>
    <mergeCell ref="G199:G200"/>
    <mergeCell ref="H199:H200"/>
    <mergeCell ref="A2:A3"/>
    <mergeCell ref="B2:D2"/>
    <mergeCell ref="E2:G2"/>
    <mergeCell ref="A37:A38"/>
    <mergeCell ref="B37:D37"/>
    <mergeCell ref="E37:G37"/>
  </mergeCells>
  <pageMargins left="0.7" right="0.7" top="0.75" bottom="0.75" header="0.3" footer="0.3"/>
  <pageSetup paperSize="9" scale="65" orientation="landscape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K112"/>
  <sheetViews>
    <sheetView topLeftCell="A73" workbookViewId="0">
      <selection activeCell="A17" sqref="A17:S18"/>
    </sheetView>
  </sheetViews>
  <sheetFormatPr baseColWidth="10" defaultRowHeight="15"/>
  <cols>
    <col min="1" max="1" width="66.7109375" customWidth="1"/>
    <col min="2" max="2" width="15.140625" customWidth="1"/>
    <col min="3" max="3" width="18.140625" customWidth="1"/>
    <col min="4" max="4" width="13" bestFit="1" customWidth="1"/>
    <col min="5" max="5" width="9.28515625" customWidth="1"/>
    <col min="6" max="6" width="17" customWidth="1"/>
    <col min="10" max="10" width="43.28515625" customWidth="1"/>
  </cols>
  <sheetData>
    <row r="2" spans="1:7" ht="15.75" thickBot="1"/>
    <row r="3" spans="1:7" ht="20.100000000000001" customHeight="1" thickBot="1">
      <c r="A3" s="580" t="s">
        <v>195</v>
      </c>
      <c r="B3" s="182" t="s">
        <v>196</v>
      </c>
      <c r="C3" s="182" t="s">
        <v>197</v>
      </c>
      <c r="D3" s="580" t="s">
        <v>198</v>
      </c>
      <c r="E3" s="576" t="s">
        <v>199</v>
      </c>
      <c r="F3" s="577"/>
      <c r="G3" s="578"/>
    </row>
    <row r="4" spans="1:7" ht="20.100000000000001" customHeight="1" thickBot="1">
      <c r="A4" s="581"/>
      <c r="B4" s="183">
        <v>2012</v>
      </c>
      <c r="C4" s="183">
        <v>2013</v>
      </c>
      <c r="D4" s="581"/>
      <c r="E4" s="183" t="s">
        <v>200</v>
      </c>
      <c r="F4" s="183" t="s">
        <v>201</v>
      </c>
      <c r="G4" s="183" t="s">
        <v>202</v>
      </c>
    </row>
    <row r="5" spans="1:7" ht="20.100000000000001" customHeight="1" thickBot="1">
      <c r="A5" s="174" t="s">
        <v>230</v>
      </c>
      <c r="B5" s="187">
        <v>5</v>
      </c>
      <c r="C5" s="187">
        <v>169</v>
      </c>
      <c r="D5" s="211">
        <f>+(C5-B5)/B5</f>
        <v>32.799999999999997</v>
      </c>
      <c r="E5" s="187">
        <v>0</v>
      </c>
      <c r="F5" s="187">
        <v>0</v>
      </c>
      <c r="G5" s="187">
        <f>+C5</f>
        <v>169</v>
      </c>
    </row>
    <row r="6" spans="1:7" ht="20.100000000000001" customHeight="1" thickBot="1">
      <c r="A6" s="170" t="s">
        <v>203</v>
      </c>
      <c r="B6" s="173">
        <f>+B7+B8</f>
        <v>84.2</v>
      </c>
      <c r="C6" s="189">
        <f>+C7+C8</f>
        <v>118</v>
      </c>
      <c r="D6" s="209">
        <f t="shared" ref="D6:D24" si="0">+(C6-B6)/B6</f>
        <v>0.40142517814726836</v>
      </c>
      <c r="E6" s="173">
        <f>+E7+E8</f>
        <v>88.5</v>
      </c>
      <c r="F6" s="173">
        <f t="shared" ref="F6" si="1">+F7+F8</f>
        <v>0</v>
      </c>
      <c r="G6" s="173">
        <f>+G7+G8</f>
        <v>29.5</v>
      </c>
    </row>
    <row r="7" spans="1:7" ht="20.100000000000001" customHeight="1" thickBot="1">
      <c r="A7" s="171" t="s">
        <v>204</v>
      </c>
      <c r="B7" s="214">
        <v>78.2</v>
      </c>
      <c r="C7" s="215">
        <v>93</v>
      </c>
      <c r="D7" s="208">
        <f t="shared" si="0"/>
        <v>0.18925831202046031</v>
      </c>
      <c r="E7" s="188">
        <f>+C7*0.75</f>
        <v>69.75</v>
      </c>
      <c r="F7" s="188">
        <v>0</v>
      </c>
      <c r="G7" s="188">
        <f>+C7*0.25</f>
        <v>23.25</v>
      </c>
    </row>
    <row r="8" spans="1:7" ht="20.100000000000001" customHeight="1" thickBot="1">
      <c r="A8" s="171" t="s">
        <v>205</v>
      </c>
      <c r="B8" s="185">
        <v>6</v>
      </c>
      <c r="C8" s="185">
        <v>25</v>
      </c>
      <c r="D8" s="208">
        <f t="shared" si="0"/>
        <v>3.1666666666666665</v>
      </c>
      <c r="E8" s="188">
        <f>+C8*0.75</f>
        <v>18.75</v>
      </c>
      <c r="F8" s="185">
        <v>0</v>
      </c>
      <c r="G8" s="188">
        <f>+C8*0.25</f>
        <v>6.25</v>
      </c>
    </row>
    <row r="9" spans="1:7" ht="20.100000000000001" customHeight="1" thickBot="1">
      <c r="A9" s="170" t="s">
        <v>206</v>
      </c>
      <c r="B9" s="173">
        <f>+B10+B11</f>
        <v>727.8</v>
      </c>
      <c r="C9" s="189">
        <f>+C10+C11</f>
        <v>1100</v>
      </c>
      <c r="D9" s="209">
        <f t="shared" si="0"/>
        <v>0.51140423193184947</v>
      </c>
      <c r="E9" s="189">
        <f>+E10+E11</f>
        <v>0</v>
      </c>
      <c r="F9" s="189">
        <f>+F10+F11</f>
        <v>715</v>
      </c>
      <c r="G9" s="189">
        <f>+G10+G11</f>
        <v>385</v>
      </c>
    </row>
    <row r="10" spans="1:7" ht="20.100000000000001" customHeight="1" thickBot="1">
      <c r="A10" s="171" t="s">
        <v>207</v>
      </c>
      <c r="B10" s="188">
        <v>4.8</v>
      </c>
      <c r="C10" s="215">
        <v>0</v>
      </c>
      <c r="D10" s="208">
        <f t="shared" si="0"/>
        <v>-1</v>
      </c>
      <c r="E10" s="185">
        <f>+C10*0.75</f>
        <v>0</v>
      </c>
      <c r="F10" s="185">
        <v>0</v>
      </c>
      <c r="G10" s="185">
        <f>+C10*0.25</f>
        <v>0</v>
      </c>
    </row>
    <row r="11" spans="1:7" ht="20.100000000000001" customHeight="1" thickBot="1">
      <c r="A11" s="171" t="s">
        <v>208</v>
      </c>
      <c r="B11" s="185">
        <v>723</v>
      </c>
      <c r="C11" s="212">
        <f>1200-100</f>
        <v>1100</v>
      </c>
      <c r="D11" s="208">
        <f t="shared" si="0"/>
        <v>0.52143845089903185</v>
      </c>
      <c r="E11" s="185">
        <v>0</v>
      </c>
      <c r="F11" s="185">
        <f>+C11*0.65</f>
        <v>715</v>
      </c>
      <c r="G11" s="185">
        <f>C11*0.35</f>
        <v>385</v>
      </c>
    </row>
    <row r="12" spans="1:7" ht="20.100000000000001" customHeight="1" thickBot="1">
      <c r="A12" s="170" t="s">
        <v>231</v>
      </c>
      <c r="B12" s="189">
        <v>1465</v>
      </c>
      <c r="C12" s="189">
        <f>5464+36</f>
        <v>5500</v>
      </c>
      <c r="D12" s="209">
        <f t="shared" si="0"/>
        <v>2.7542662116040955</v>
      </c>
      <c r="E12" s="189">
        <v>0</v>
      </c>
      <c r="F12" s="189">
        <v>0</v>
      </c>
      <c r="G12" s="189">
        <f>+C12</f>
        <v>5500</v>
      </c>
    </row>
    <row r="13" spans="1:7" ht="20.100000000000001" customHeight="1" thickBot="1">
      <c r="A13" s="174" t="s">
        <v>232</v>
      </c>
      <c r="B13" s="176">
        <f>+B6+B9+B12</f>
        <v>2277</v>
      </c>
      <c r="C13" s="177">
        <f>+C6+C9+C12</f>
        <v>6718</v>
      </c>
      <c r="D13" s="203">
        <f t="shared" si="0"/>
        <v>1.9503732981993851</v>
      </c>
      <c r="E13" s="176">
        <f t="shared" ref="E13:G13" si="2">+E6+E9+E12</f>
        <v>88.5</v>
      </c>
      <c r="F13" s="175">
        <f t="shared" si="2"/>
        <v>715</v>
      </c>
      <c r="G13" s="177">
        <f t="shared" si="2"/>
        <v>5914.5</v>
      </c>
    </row>
    <row r="14" spans="1:7" ht="20.100000000000001" customHeight="1" thickBot="1">
      <c r="A14" s="178" t="s">
        <v>209</v>
      </c>
      <c r="B14" s="179">
        <f>+B5+B13</f>
        <v>2282</v>
      </c>
      <c r="C14" s="179">
        <f>+C5+C13</f>
        <v>6887</v>
      </c>
      <c r="D14" s="204">
        <f>+(C14-B14)/B14</f>
        <v>2.0179666958808062</v>
      </c>
      <c r="E14" s="179">
        <f>+E5+E13</f>
        <v>88.5</v>
      </c>
      <c r="F14" s="179">
        <f t="shared" ref="F14:G14" si="3">+F5+F13</f>
        <v>715</v>
      </c>
      <c r="G14" s="179">
        <f t="shared" si="3"/>
        <v>6083.5</v>
      </c>
    </row>
    <row r="15" spans="1:7" ht="20.100000000000001" customHeight="1" thickBot="1">
      <c r="A15" s="170" t="s">
        <v>210</v>
      </c>
      <c r="B15" s="206">
        <f>+B16+B17</f>
        <v>411</v>
      </c>
      <c r="C15" s="206">
        <f>+C16+C17</f>
        <v>306</v>
      </c>
      <c r="D15" s="207">
        <f t="shared" si="0"/>
        <v>-0.25547445255474455</v>
      </c>
      <c r="E15" s="173">
        <f>+E16+E17</f>
        <v>229.5</v>
      </c>
      <c r="F15" s="173">
        <f t="shared" ref="F15" si="4">+F16+F17</f>
        <v>0</v>
      </c>
      <c r="G15" s="173">
        <f>+G16+G17</f>
        <v>76.5</v>
      </c>
    </row>
    <row r="16" spans="1:7" ht="20.100000000000001" customHeight="1" thickBot="1">
      <c r="A16" s="171" t="s">
        <v>211</v>
      </c>
      <c r="B16" s="185">
        <v>308</v>
      </c>
      <c r="C16" s="215">
        <v>219</v>
      </c>
      <c r="D16" s="208">
        <f t="shared" si="0"/>
        <v>-0.28896103896103897</v>
      </c>
      <c r="E16" s="188">
        <f>+C16*0.75</f>
        <v>164.25</v>
      </c>
      <c r="F16" s="188">
        <v>0</v>
      </c>
      <c r="G16" s="188">
        <f>+C16*0.25</f>
        <v>54.75</v>
      </c>
    </row>
    <row r="17" spans="1:11" ht="20.100000000000001" customHeight="1" thickBot="1">
      <c r="A17" s="171" t="s">
        <v>212</v>
      </c>
      <c r="B17" s="185">
        <v>103</v>
      </c>
      <c r="C17" s="185">
        <v>87</v>
      </c>
      <c r="D17" s="208">
        <f t="shared" si="0"/>
        <v>-0.1553398058252427</v>
      </c>
      <c r="E17" s="188">
        <f>+C17*0.75</f>
        <v>65.25</v>
      </c>
      <c r="F17" s="185">
        <v>0</v>
      </c>
      <c r="G17" s="188">
        <f>+C17*0.25</f>
        <v>21.75</v>
      </c>
    </row>
    <row r="18" spans="1:11" ht="20.100000000000001" customHeight="1" thickBot="1">
      <c r="A18" s="170" t="s">
        <v>213</v>
      </c>
      <c r="B18" s="189">
        <f>+B19+B20+B21</f>
        <v>611</v>
      </c>
      <c r="C18" s="189">
        <f>+C19+C20+C21</f>
        <v>700</v>
      </c>
      <c r="D18" s="209">
        <f t="shared" si="0"/>
        <v>0.14566284779050737</v>
      </c>
      <c r="E18" s="189">
        <f t="shared" ref="E18:G18" si="5">+E19+E20+E21</f>
        <v>0</v>
      </c>
      <c r="F18" s="189">
        <f t="shared" si="5"/>
        <v>455</v>
      </c>
      <c r="G18" s="189">
        <f t="shared" si="5"/>
        <v>244.99999999999997</v>
      </c>
    </row>
    <row r="19" spans="1:11" ht="20.100000000000001" customHeight="1" thickBot="1">
      <c r="A19" s="171" t="s">
        <v>214</v>
      </c>
      <c r="B19" s="185">
        <v>578</v>
      </c>
      <c r="C19" s="185">
        <v>700</v>
      </c>
      <c r="D19" s="208">
        <f t="shared" si="0"/>
        <v>0.21107266435986158</v>
      </c>
      <c r="E19" s="185">
        <v>0</v>
      </c>
      <c r="F19" s="185">
        <f>+C19*0.65</f>
        <v>455</v>
      </c>
      <c r="G19" s="185">
        <f>+C19*0.35</f>
        <v>244.99999999999997</v>
      </c>
    </row>
    <row r="20" spans="1:11" ht="20.100000000000001" customHeight="1" thickBot="1">
      <c r="A20" s="171" t="s">
        <v>215</v>
      </c>
      <c r="B20" s="185">
        <v>26</v>
      </c>
      <c r="C20" s="215">
        <v>0</v>
      </c>
      <c r="D20" s="208">
        <f t="shared" si="0"/>
        <v>-1</v>
      </c>
      <c r="E20" s="185">
        <f>+C20*0.75</f>
        <v>0</v>
      </c>
      <c r="F20" s="185">
        <v>0</v>
      </c>
      <c r="G20" s="185">
        <f>+C20*0.25</f>
        <v>0</v>
      </c>
    </row>
    <row r="21" spans="1:11" ht="20.100000000000001" customHeight="1" thickBot="1">
      <c r="A21" s="171" t="s">
        <v>216</v>
      </c>
      <c r="B21" s="185">
        <v>7</v>
      </c>
      <c r="C21" s="215">
        <v>0</v>
      </c>
      <c r="D21" s="208">
        <f t="shared" si="0"/>
        <v>-1</v>
      </c>
      <c r="E21" s="185">
        <f>+C21*0.75</f>
        <v>0</v>
      </c>
      <c r="F21" s="185">
        <v>0</v>
      </c>
      <c r="G21" s="185">
        <f>+C21*0.25</f>
        <v>0</v>
      </c>
    </row>
    <row r="22" spans="1:11" ht="20.100000000000001" customHeight="1" thickBot="1">
      <c r="A22" s="170" t="s">
        <v>217</v>
      </c>
      <c r="B22" s="189">
        <v>405</v>
      </c>
      <c r="C22" s="210">
        <f>183+243+1</f>
        <v>427</v>
      </c>
      <c r="D22" s="209">
        <f t="shared" si="0"/>
        <v>5.4320987654320987E-2</v>
      </c>
      <c r="E22" s="189">
        <v>0</v>
      </c>
      <c r="F22" s="189">
        <v>0</v>
      </c>
      <c r="G22" s="189">
        <f>+C22</f>
        <v>427</v>
      </c>
    </row>
    <row r="23" spans="1:11" ht="20.100000000000001" customHeight="1" thickBot="1">
      <c r="A23" s="178" t="s">
        <v>218</v>
      </c>
      <c r="B23" s="181">
        <f>+B15+B18+B22+1</f>
        <v>1428</v>
      </c>
      <c r="C23" s="180">
        <f>+C15+C18+C22</f>
        <v>1433</v>
      </c>
      <c r="D23" s="204">
        <f t="shared" si="0"/>
        <v>3.5014005602240898E-3</v>
      </c>
      <c r="E23" s="179">
        <f>+E15+E18+E22</f>
        <v>229.5</v>
      </c>
      <c r="F23" s="179">
        <f t="shared" ref="F23:G23" si="6">+F15+F18+F22</f>
        <v>455</v>
      </c>
      <c r="G23" s="179">
        <f t="shared" si="6"/>
        <v>748.5</v>
      </c>
    </row>
    <row r="24" spans="1:11" ht="20.100000000000001" customHeight="1" thickBot="1">
      <c r="A24" s="178" t="s">
        <v>233</v>
      </c>
      <c r="B24" s="181">
        <f>1290</f>
        <v>1290</v>
      </c>
      <c r="C24" s="180">
        <f>150+20+25+45+70+75+20+16+600+10+519+30+100</f>
        <v>1680</v>
      </c>
      <c r="D24" s="204">
        <f t="shared" si="0"/>
        <v>0.30232558139534882</v>
      </c>
      <c r="E24" s="180">
        <v>0</v>
      </c>
      <c r="F24" s="180">
        <v>0</v>
      </c>
      <c r="G24" s="180">
        <f t="shared" ref="G24" si="7">150+20+25+45+70+75+20+16+600+10+519+30+100</f>
        <v>1680</v>
      </c>
    </row>
    <row r="25" spans="1:11" ht="20.100000000000001" customHeight="1" thickBot="1">
      <c r="A25" s="418" t="s">
        <v>323</v>
      </c>
      <c r="B25" s="419">
        <v>100</v>
      </c>
      <c r="C25" s="420">
        <v>100</v>
      </c>
      <c r="D25" s="421">
        <v>0</v>
      </c>
      <c r="E25" s="215">
        <v>0</v>
      </c>
      <c r="F25" s="215">
        <v>0</v>
      </c>
      <c r="G25" s="422">
        <v>100</v>
      </c>
    </row>
    <row r="26" spans="1:11" ht="20.100000000000001" customHeight="1" thickBot="1">
      <c r="A26" s="184" t="s">
        <v>56</v>
      </c>
      <c r="B26" s="186">
        <f>+B14+B23+B24</f>
        <v>5000</v>
      </c>
      <c r="C26" s="186">
        <f>+C14+C23+C24</f>
        <v>10000</v>
      </c>
      <c r="D26" s="205">
        <f>+(C26-B26)/B26</f>
        <v>1</v>
      </c>
      <c r="E26" s="186">
        <f>+E14+E23+E24</f>
        <v>318</v>
      </c>
      <c r="F26" s="186">
        <f t="shared" ref="F26:G26" si="8">+F14+F23+F24</f>
        <v>1170</v>
      </c>
      <c r="G26" s="186">
        <f t="shared" si="8"/>
        <v>8512</v>
      </c>
    </row>
    <row r="27" spans="1:11" ht="20.100000000000001" customHeight="1">
      <c r="B27" s="192"/>
      <c r="C27" s="194"/>
      <c r="D27" s="195"/>
      <c r="E27" s="196"/>
      <c r="F27" s="193"/>
    </row>
    <row r="28" spans="1:11">
      <c r="C28" s="7"/>
    </row>
    <row r="31" spans="1:11" ht="18.75">
      <c r="A31" s="572" t="s">
        <v>252</v>
      </c>
      <c r="B31" s="572"/>
      <c r="D31" s="238"/>
      <c r="E31" s="238"/>
      <c r="F31" s="238"/>
      <c r="G31" s="238"/>
      <c r="H31" s="238"/>
      <c r="I31" s="238"/>
      <c r="J31" s="238"/>
      <c r="K31" s="238"/>
    </row>
    <row r="32" spans="1:11" ht="15.75" thickBot="1"/>
    <row r="33" spans="1:3" ht="19.5" customHeight="1" thickBot="1">
      <c r="A33" s="240" t="s">
        <v>253</v>
      </c>
      <c r="B33" s="239" t="s">
        <v>273</v>
      </c>
    </row>
    <row r="34" spans="1:3" ht="19.5" thickBot="1">
      <c r="A34" s="579" t="s">
        <v>254</v>
      </c>
      <c r="B34" s="579"/>
    </row>
    <row r="35" spans="1:3" ht="16.5" thickBot="1">
      <c r="A35" s="224" t="s">
        <v>258</v>
      </c>
      <c r="B35" s="224">
        <f>+B36+B37</f>
        <v>29105</v>
      </c>
    </row>
    <row r="36" spans="1:3" ht="16.5" thickBot="1">
      <c r="A36" s="227" t="s">
        <v>219</v>
      </c>
      <c r="B36" s="227">
        <v>28154</v>
      </c>
    </row>
    <row r="37" spans="1:3" ht="16.5" thickBot="1">
      <c r="A37" s="227" t="s">
        <v>220</v>
      </c>
      <c r="B37" s="227">
        <f>9785-8834</f>
        <v>951</v>
      </c>
    </row>
    <row r="38" spans="1:3" ht="16.5" thickBot="1">
      <c r="A38" s="224" t="s">
        <v>221</v>
      </c>
      <c r="B38" s="225">
        <f>+B39+B45+B51+B52+B55</f>
        <v>33469.102332000002</v>
      </c>
    </row>
    <row r="39" spans="1:3" ht="16.5" thickBot="1">
      <c r="A39" s="232" t="s">
        <v>269</v>
      </c>
      <c r="B39" s="233">
        <v>19461.042332000001</v>
      </c>
    </row>
    <row r="40" spans="1:3" ht="16.5" thickBot="1">
      <c r="A40" s="234" t="s">
        <v>267</v>
      </c>
      <c r="B40" s="235">
        <v>2100.3923320000004</v>
      </c>
    </row>
    <row r="41" spans="1:3" ht="16.5" thickBot="1">
      <c r="A41" s="234" t="s">
        <v>270</v>
      </c>
      <c r="B41" s="235">
        <v>947.85945800000002</v>
      </c>
      <c r="C41" s="7"/>
    </row>
    <row r="42" spans="1:3" ht="16.5" thickBot="1">
      <c r="A42" s="234" t="s">
        <v>271</v>
      </c>
      <c r="B42" s="235">
        <v>5131.1499999999996</v>
      </c>
    </row>
    <row r="43" spans="1:3" ht="16.5" thickBot="1">
      <c r="A43" s="234" t="s">
        <v>268</v>
      </c>
      <c r="B43" s="235">
        <v>11829.5</v>
      </c>
    </row>
    <row r="44" spans="1:3" ht="16.5" thickBot="1">
      <c r="A44" s="234" t="s">
        <v>272</v>
      </c>
      <c r="B44" s="235">
        <v>400</v>
      </c>
      <c r="C44" s="7"/>
    </row>
    <row r="45" spans="1:3" ht="16.5" thickBot="1">
      <c r="A45" s="232" t="s">
        <v>255</v>
      </c>
      <c r="B45" s="236">
        <v>8249.0600000000013</v>
      </c>
    </row>
    <row r="46" spans="1:3" ht="16.5" thickBot="1">
      <c r="A46" s="234" t="s">
        <v>264</v>
      </c>
      <c r="B46" s="235">
        <v>5439.06</v>
      </c>
      <c r="C46" s="9"/>
    </row>
    <row r="47" spans="1:3" ht="16.5" thickBot="1">
      <c r="A47" s="234" t="s">
        <v>265</v>
      </c>
      <c r="B47" s="235">
        <v>821</v>
      </c>
    </row>
    <row r="48" spans="1:3" ht="16.5" thickBot="1">
      <c r="A48" s="234" t="s">
        <v>275</v>
      </c>
      <c r="B48" s="235">
        <v>1900</v>
      </c>
    </row>
    <row r="49" spans="1:4" ht="16.5" thickBot="1">
      <c r="A49" s="234" t="s">
        <v>276</v>
      </c>
      <c r="B49" s="235">
        <v>50</v>
      </c>
    </row>
    <row r="50" spans="1:4" ht="16.5" thickBot="1">
      <c r="A50" s="234" t="s">
        <v>266</v>
      </c>
      <c r="B50" s="235">
        <v>89</v>
      </c>
    </row>
    <row r="51" spans="1:4" ht="16.5" thickBot="1">
      <c r="A51" s="232" t="s">
        <v>222</v>
      </c>
      <c r="B51" s="236">
        <v>3711</v>
      </c>
    </row>
    <row r="52" spans="1:4" ht="16.5" thickBot="1">
      <c r="A52" s="232" t="s">
        <v>274</v>
      </c>
      <c r="B52" s="236">
        <v>1700</v>
      </c>
    </row>
    <row r="53" spans="1:4" ht="16.5" thickBot="1">
      <c r="A53" s="234" t="s">
        <v>277</v>
      </c>
      <c r="B53" s="235">
        <v>563</v>
      </c>
    </row>
    <row r="54" spans="1:4" ht="16.5" thickBot="1">
      <c r="A54" s="234" t="s">
        <v>278</v>
      </c>
      <c r="B54" s="237">
        <f>+B52-B53</f>
        <v>1137</v>
      </c>
      <c r="D54" s="9"/>
    </row>
    <row r="55" spans="1:4" ht="16.5" thickBot="1">
      <c r="A55" s="232" t="s">
        <v>223</v>
      </c>
      <c r="B55" s="236">
        <v>348</v>
      </c>
    </row>
    <row r="56" spans="1:4" ht="16.5" thickBot="1">
      <c r="A56" s="226" t="s">
        <v>256</v>
      </c>
      <c r="B56" s="229">
        <f>+B35-B38</f>
        <v>-4364.1023320000022</v>
      </c>
    </row>
    <row r="57" spans="1:4" ht="19.5" thickBot="1">
      <c r="A57" s="579" t="s">
        <v>257</v>
      </c>
      <c r="B57" s="579"/>
    </row>
    <row r="58" spans="1:4" ht="16.5" thickBot="1">
      <c r="A58" s="224" t="s">
        <v>258</v>
      </c>
      <c r="B58" s="224">
        <f>+B59+B60</f>
        <v>1488</v>
      </c>
    </row>
    <row r="59" spans="1:4" ht="16.5" thickBot="1">
      <c r="A59" s="227" t="s">
        <v>224</v>
      </c>
      <c r="B59" s="227">
        <v>1170</v>
      </c>
    </row>
    <row r="60" spans="1:4" ht="16.5" thickBot="1">
      <c r="A60" s="227" t="s">
        <v>225</v>
      </c>
      <c r="B60" s="227">
        <v>318</v>
      </c>
    </row>
    <row r="61" spans="1:4" ht="16.5" thickBot="1">
      <c r="A61" s="224" t="s">
        <v>259</v>
      </c>
      <c r="B61" s="224">
        <f>+B62+B63+B64+B65+B66+B67+B68</f>
        <v>10000</v>
      </c>
    </row>
    <row r="62" spans="1:4" ht="16.5" thickBot="1">
      <c r="A62" s="227" t="s">
        <v>226</v>
      </c>
      <c r="B62" s="227">
        <v>169</v>
      </c>
    </row>
    <row r="63" spans="1:4" ht="16.5" thickBot="1">
      <c r="A63" s="227" t="s">
        <v>227</v>
      </c>
      <c r="B63" s="227">
        <v>87</v>
      </c>
    </row>
    <row r="64" spans="1:4" ht="16.5" thickBot="1">
      <c r="A64" s="227" t="s">
        <v>228</v>
      </c>
      <c r="B64" s="227">
        <v>25</v>
      </c>
    </row>
    <row r="65" spans="1:7" ht="16.5" thickBot="1">
      <c r="A65" s="227" t="s">
        <v>280</v>
      </c>
      <c r="B65" s="227">
        <f>5500+427</f>
        <v>5927</v>
      </c>
    </row>
    <row r="66" spans="1:7" ht="16.5" thickBot="1">
      <c r="A66" s="227" t="s">
        <v>279</v>
      </c>
      <c r="B66" s="227">
        <f>1100+700</f>
        <v>1800</v>
      </c>
    </row>
    <row r="67" spans="1:7" ht="16.5" thickBot="1">
      <c r="A67" s="227" t="s">
        <v>229</v>
      </c>
      <c r="B67" s="227">
        <f>93+219</f>
        <v>312</v>
      </c>
    </row>
    <row r="68" spans="1:7" ht="16.5" thickBot="1">
      <c r="A68" s="227" t="s">
        <v>233</v>
      </c>
      <c r="B68" s="227">
        <f>60+100+25+45+70+75+20+685+600</f>
        <v>1680</v>
      </c>
    </row>
    <row r="69" spans="1:7" ht="16.5" thickBot="1">
      <c r="A69" s="228" t="s">
        <v>260</v>
      </c>
      <c r="B69" s="228">
        <f>+B58-B61</f>
        <v>-8512</v>
      </c>
    </row>
    <row r="70" spans="1:7" ht="16.5" thickBot="1">
      <c r="A70" s="230" t="s">
        <v>261</v>
      </c>
      <c r="B70" s="231">
        <f>+B56+B69</f>
        <v>-12876.102332000002</v>
      </c>
    </row>
    <row r="73" spans="1:7" ht="18.75">
      <c r="A73" s="572" t="s">
        <v>324</v>
      </c>
      <c r="B73" s="572"/>
      <c r="C73" s="572"/>
      <c r="D73" s="572"/>
    </row>
    <row r="74" spans="1:7" ht="15.75" thickBot="1">
      <c r="E74" s="57"/>
      <c r="F74" s="57"/>
    </row>
    <row r="75" spans="1:7" ht="18.75" customHeight="1" thickBot="1">
      <c r="A75" s="240" t="s">
        <v>253</v>
      </c>
      <c r="B75" s="239" t="s">
        <v>133</v>
      </c>
      <c r="C75" s="239" t="s">
        <v>273</v>
      </c>
      <c r="D75" s="239" t="s">
        <v>198</v>
      </c>
      <c r="E75" s="57"/>
      <c r="F75" s="57"/>
    </row>
    <row r="76" spans="1:7" ht="23.25" customHeight="1" thickBot="1">
      <c r="A76" s="573" t="s">
        <v>254</v>
      </c>
      <c r="B76" s="574"/>
      <c r="C76" s="574"/>
      <c r="D76" s="575"/>
      <c r="E76" s="57"/>
      <c r="F76" s="57"/>
    </row>
    <row r="77" spans="1:7" ht="16.5" thickBot="1">
      <c r="A77" s="224" t="s">
        <v>258</v>
      </c>
      <c r="B77" s="224">
        <v>26586</v>
      </c>
      <c r="C77" s="224">
        <f>+C78+C79</f>
        <v>29105</v>
      </c>
      <c r="D77" s="429">
        <f>+(C77-B77)/B77*100</f>
        <v>9.4749116076130289</v>
      </c>
      <c r="E77">
        <f>+B78+B79</f>
        <v>26586</v>
      </c>
      <c r="F77">
        <f>+C78+C79</f>
        <v>29105</v>
      </c>
      <c r="G77" s="57"/>
    </row>
    <row r="78" spans="1:7" ht="16.5" thickBot="1">
      <c r="A78" s="227" t="s">
        <v>219</v>
      </c>
      <c r="B78" s="227">
        <v>25563</v>
      </c>
      <c r="C78" s="227">
        <v>28154</v>
      </c>
      <c r="D78" s="430">
        <f t="shared" ref="D78:D111" si="9">+(C78-B78)/B78*100</f>
        <v>10.135743066150296</v>
      </c>
      <c r="F78" s="57"/>
      <c r="G78" s="57"/>
    </row>
    <row r="79" spans="1:7" ht="16.5" thickBot="1">
      <c r="A79" s="227" t="s">
        <v>220</v>
      </c>
      <c r="B79" s="227">
        <v>1023</v>
      </c>
      <c r="C79" s="227">
        <f>9785-8834</f>
        <v>951</v>
      </c>
      <c r="D79" s="430">
        <f t="shared" si="9"/>
        <v>-7.0381231671554261</v>
      </c>
      <c r="F79" s="57"/>
      <c r="G79" s="57"/>
    </row>
    <row r="80" spans="1:7" ht="16.5" thickBot="1">
      <c r="A80" s="224" t="s">
        <v>221</v>
      </c>
      <c r="B80" s="225">
        <v>29736</v>
      </c>
      <c r="C80" s="225">
        <f>+C81+C87+C93+C94+C97</f>
        <v>33469.102332000002</v>
      </c>
      <c r="D80" s="225">
        <f t="shared" si="9"/>
        <v>12.554150968523009</v>
      </c>
      <c r="E80" s="7">
        <f>+B81+B87+B93+B94+B97</f>
        <v>29736</v>
      </c>
      <c r="F80" s="7">
        <f>+C81+C87+C93+C94+C97</f>
        <v>33469.102332000002</v>
      </c>
      <c r="G80" s="57"/>
    </row>
    <row r="81" spans="1:7" ht="16.5" thickBot="1">
      <c r="A81" s="232" t="s">
        <v>269</v>
      </c>
      <c r="B81" s="233">
        <f>+B82+B84+B85+B86</f>
        <v>16807</v>
      </c>
      <c r="C81" s="233">
        <v>19461.042332000001</v>
      </c>
      <c r="D81" s="233">
        <f t="shared" si="9"/>
        <v>15.79129131909324</v>
      </c>
      <c r="E81" s="9">
        <f>+B82+B84+B85+B86</f>
        <v>16807</v>
      </c>
      <c r="F81" s="9">
        <f>+C82+C84+C85+C86</f>
        <v>19461.042332000001</v>
      </c>
      <c r="G81" s="425"/>
    </row>
    <row r="82" spans="1:7" ht="16.5" thickBot="1">
      <c r="A82" s="234" t="s">
        <v>267</v>
      </c>
      <c r="B82" s="235">
        <v>2058</v>
      </c>
      <c r="C82" s="235">
        <v>2100.3923320000004</v>
      </c>
      <c r="D82" s="235">
        <f t="shared" si="9"/>
        <v>2.0598800777454009</v>
      </c>
      <c r="F82" s="426"/>
      <c r="G82" s="425"/>
    </row>
    <row r="83" spans="1:7" ht="16.5" thickBot="1">
      <c r="A83" s="234" t="s">
        <v>270</v>
      </c>
      <c r="B83" s="235">
        <v>866</v>
      </c>
      <c r="C83" s="235">
        <v>947.85945800000002</v>
      </c>
      <c r="D83" s="235">
        <f t="shared" si="9"/>
        <v>9.4525933025404179</v>
      </c>
      <c r="F83" s="424"/>
      <c r="G83" s="425"/>
    </row>
    <row r="84" spans="1:7" ht="16.5" thickBot="1">
      <c r="A84" s="234" t="s">
        <v>271</v>
      </c>
      <c r="B84" s="235">
        <v>4363</v>
      </c>
      <c r="C84" s="235">
        <v>5131.1499999999996</v>
      </c>
      <c r="D84" s="235">
        <f t="shared" si="9"/>
        <v>17.60600504240201</v>
      </c>
      <c r="F84" s="426"/>
      <c r="G84" s="425"/>
    </row>
    <row r="85" spans="1:7" ht="16.5" thickBot="1">
      <c r="A85" s="234" t="s">
        <v>268</v>
      </c>
      <c r="B85" s="235">
        <v>9986</v>
      </c>
      <c r="C85" s="235">
        <v>11829.5</v>
      </c>
      <c r="D85" s="235">
        <f t="shared" si="9"/>
        <v>18.460845183256559</v>
      </c>
      <c r="F85" s="426"/>
      <c r="G85" s="425"/>
    </row>
    <row r="86" spans="1:7" ht="16.5" thickBot="1">
      <c r="A86" s="234" t="s">
        <v>272</v>
      </c>
      <c r="B86" s="235">
        <v>400</v>
      </c>
      <c r="C86" s="235">
        <v>400</v>
      </c>
      <c r="D86" s="235">
        <f t="shared" si="9"/>
        <v>0</v>
      </c>
      <c r="F86" s="426"/>
      <c r="G86" s="425"/>
    </row>
    <row r="87" spans="1:7" ht="16.5" thickBot="1">
      <c r="A87" s="232" t="s">
        <v>255</v>
      </c>
      <c r="B87" s="236">
        <f>+B88+B89+B90+B92</f>
        <v>7499</v>
      </c>
      <c r="C87" s="236">
        <v>8249.0600000000013</v>
      </c>
      <c r="D87" s="236">
        <f t="shared" si="9"/>
        <v>10.002133617815726</v>
      </c>
      <c r="E87" s="9">
        <f>+B88+B89+B90+B92</f>
        <v>7499</v>
      </c>
      <c r="F87" s="9">
        <f>+C88+C89+C90+C92</f>
        <v>8249.0600000000013</v>
      </c>
      <c r="G87" s="425"/>
    </row>
    <row r="88" spans="1:7" ht="16.5" thickBot="1">
      <c r="A88" s="234" t="s">
        <v>264</v>
      </c>
      <c r="B88" s="235">
        <v>4724</v>
      </c>
      <c r="C88" s="235">
        <v>5439.06</v>
      </c>
      <c r="D88" s="235">
        <f t="shared" si="9"/>
        <v>15.13674851820492</v>
      </c>
      <c r="F88" s="426"/>
      <c r="G88" s="425"/>
    </row>
    <row r="89" spans="1:7" ht="16.5" thickBot="1">
      <c r="A89" s="234" t="s">
        <v>265</v>
      </c>
      <c r="B89" s="235">
        <v>766</v>
      </c>
      <c r="C89" s="235">
        <v>821</v>
      </c>
      <c r="D89" s="235">
        <f t="shared" si="9"/>
        <v>7.1801566579634466</v>
      </c>
      <c r="F89" s="424"/>
      <c r="G89" s="425"/>
    </row>
    <row r="90" spans="1:7" ht="16.5" thickBot="1">
      <c r="A90" s="234" t="s">
        <v>275</v>
      </c>
      <c r="B90" s="235">
        <f>1848+48</f>
        <v>1896</v>
      </c>
      <c r="C90" s="235">
        <v>1900</v>
      </c>
      <c r="D90" s="235">
        <f t="shared" si="9"/>
        <v>0.21097046413502107</v>
      </c>
      <c r="F90" s="424"/>
      <c r="G90" s="425"/>
    </row>
    <row r="91" spans="1:7" ht="16.5" thickBot="1">
      <c r="A91" s="234" t="s">
        <v>276</v>
      </c>
      <c r="B91" s="235">
        <v>48</v>
      </c>
      <c r="C91" s="235">
        <v>50</v>
      </c>
      <c r="D91" s="235">
        <f t="shared" si="9"/>
        <v>4.1666666666666661</v>
      </c>
      <c r="F91" s="427"/>
      <c r="G91" s="428"/>
    </row>
    <row r="92" spans="1:7" ht="16.5" thickBot="1">
      <c r="A92" s="234" t="s">
        <v>266</v>
      </c>
      <c r="B92" s="235">
        <v>113</v>
      </c>
      <c r="C92" s="235">
        <v>89</v>
      </c>
      <c r="D92" s="235">
        <f t="shared" si="9"/>
        <v>-21.238938053097346</v>
      </c>
      <c r="F92" s="57"/>
      <c r="G92" s="57"/>
    </row>
    <row r="93" spans="1:7" ht="16.5" thickBot="1">
      <c r="A93" s="232" t="s">
        <v>222</v>
      </c>
      <c r="B93" s="236">
        <v>3616</v>
      </c>
      <c r="C93" s="236">
        <v>3711</v>
      </c>
      <c r="D93" s="236">
        <f t="shared" si="9"/>
        <v>2.627212389380531</v>
      </c>
      <c r="F93" s="57"/>
      <c r="G93" s="57"/>
    </row>
    <row r="94" spans="1:7" ht="16.5" thickBot="1">
      <c r="A94" s="232" t="s">
        <v>274</v>
      </c>
      <c r="B94" s="236">
        <v>1700</v>
      </c>
      <c r="C94" s="236">
        <v>1700</v>
      </c>
      <c r="D94" s="236">
        <f t="shared" si="9"/>
        <v>0</v>
      </c>
      <c r="F94" s="57"/>
      <c r="G94" s="57"/>
    </row>
    <row r="95" spans="1:7" ht="16.5" thickBot="1">
      <c r="A95" s="234" t="s">
        <v>277</v>
      </c>
      <c r="B95" s="235">
        <v>511</v>
      </c>
      <c r="C95" s="235">
        <v>563</v>
      </c>
      <c r="D95" s="235">
        <f t="shared" si="9"/>
        <v>10.176125244618394</v>
      </c>
      <c r="E95" s="9">
        <f>+B95+B96</f>
        <v>1700</v>
      </c>
      <c r="F95" s="9">
        <f>+C95+C96</f>
        <v>1700</v>
      </c>
      <c r="G95" s="57"/>
    </row>
    <row r="96" spans="1:7" ht="16.5" thickBot="1">
      <c r="A96" s="234" t="s">
        <v>278</v>
      </c>
      <c r="B96" s="237">
        <v>1189</v>
      </c>
      <c r="C96" s="237">
        <f>+C94-C95</f>
        <v>1137</v>
      </c>
      <c r="D96" s="237">
        <f t="shared" si="9"/>
        <v>-4.3734230445752731</v>
      </c>
      <c r="F96" s="57"/>
      <c r="G96" s="57"/>
    </row>
    <row r="97" spans="1:6" ht="16.5" thickBot="1">
      <c r="A97" s="232" t="s">
        <v>223</v>
      </c>
      <c r="B97" s="236">
        <v>114</v>
      </c>
      <c r="C97" s="236">
        <v>348</v>
      </c>
      <c r="D97" s="236">
        <f t="shared" si="9"/>
        <v>205.26315789473685</v>
      </c>
    </row>
    <row r="98" spans="1:6" ht="16.5" thickBot="1">
      <c r="A98" s="226" t="s">
        <v>256</v>
      </c>
      <c r="B98" s="229">
        <f>+B77-B80</f>
        <v>-3150</v>
      </c>
      <c r="C98" s="229">
        <f>+C77-C80</f>
        <v>-4364.1023320000022</v>
      </c>
      <c r="D98" s="229">
        <f t="shared" si="9"/>
        <v>38.542931174603247</v>
      </c>
      <c r="E98" s="7">
        <f>+B77-B80</f>
        <v>-3150</v>
      </c>
      <c r="F98" s="7">
        <f>+C77-C80</f>
        <v>-4364.1023320000022</v>
      </c>
    </row>
    <row r="99" spans="1:6" ht="19.5" thickBot="1">
      <c r="A99" s="573" t="s">
        <v>257</v>
      </c>
      <c r="B99" s="574"/>
      <c r="C99" s="574"/>
      <c r="D99" s="575"/>
    </row>
    <row r="100" spans="1:6" ht="16.5" thickBot="1">
      <c r="A100" s="224" t="s">
        <v>258</v>
      </c>
      <c r="B100" s="224">
        <v>1245</v>
      </c>
      <c r="C100" s="224">
        <f>+C101+C102</f>
        <v>1488</v>
      </c>
      <c r="D100" s="429">
        <f t="shared" si="9"/>
        <v>19.518072289156628</v>
      </c>
      <c r="E100">
        <f>+B101+B102</f>
        <v>1245</v>
      </c>
      <c r="F100">
        <f>+C101+C102</f>
        <v>1488</v>
      </c>
    </row>
    <row r="101" spans="1:6" ht="16.5" thickBot="1">
      <c r="A101" s="227" t="s">
        <v>224</v>
      </c>
      <c r="B101" s="227">
        <v>846</v>
      </c>
      <c r="C101" s="227">
        <v>1170</v>
      </c>
      <c r="D101" s="430">
        <f t="shared" si="9"/>
        <v>38.297872340425535</v>
      </c>
    </row>
    <row r="102" spans="1:6" ht="16.5" thickBot="1">
      <c r="A102" s="227" t="s">
        <v>225</v>
      </c>
      <c r="B102" s="227">
        <v>399</v>
      </c>
      <c r="C102" s="227">
        <v>318</v>
      </c>
      <c r="D102" s="430">
        <f t="shared" si="9"/>
        <v>-20.300751879699249</v>
      </c>
    </row>
    <row r="103" spans="1:6" ht="16.5" thickBot="1">
      <c r="A103" s="224" t="s">
        <v>259</v>
      </c>
      <c r="B103" s="224">
        <v>5000</v>
      </c>
      <c r="C103" s="224">
        <f>+C104+C105+C106+C107+C108+C109+C110</f>
        <v>10000</v>
      </c>
      <c r="D103" s="429">
        <f t="shared" si="9"/>
        <v>100</v>
      </c>
      <c r="E103">
        <f>+B104+B105+B106+B107+B108+B109+B110</f>
        <v>5000</v>
      </c>
      <c r="F103">
        <f>+C104+C105+C106+C107+C108+C109+C110</f>
        <v>10000</v>
      </c>
    </row>
    <row r="104" spans="1:6" ht="16.5" thickBot="1">
      <c r="A104" s="227" t="s">
        <v>226</v>
      </c>
      <c r="B104" s="227">
        <v>5</v>
      </c>
      <c r="C104" s="227">
        <v>169</v>
      </c>
      <c r="D104" s="430">
        <f t="shared" si="9"/>
        <v>3279.9999999999995</v>
      </c>
    </row>
    <row r="105" spans="1:6" ht="16.5" thickBot="1">
      <c r="A105" s="227" t="s">
        <v>227</v>
      </c>
      <c r="B105" s="227">
        <v>103</v>
      </c>
      <c r="C105" s="227">
        <v>87</v>
      </c>
      <c r="D105" s="430">
        <f t="shared" si="9"/>
        <v>-15.53398058252427</v>
      </c>
    </row>
    <row r="106" spans="1:6" ht="16.5" thickBot="1">
      <c r="A106" s="227" t="s">
        <v>228</v>
      </c>
      <c r="B106" s="227">
        <v>6</v>
      </c>
      <c r="C106" s="227">
        <v>25</v>
      </c>
      <c r="D106" s="430">
        <f t="shared" si="9"/>
        <v>316.66666666666663</v>
      </c>
    </row>
    <row r="107" spans="1:6" ht="16.5" thickBot="1">
      <c r="A107" s="227" t="s">
        <v>280</v>
      </c>
      <c r="B107" s="227">
        <v>1870</v>
      </c>
      <c r="C107" s="227">
        <f>5500+427</f>
        <v>5927</v>
      </c>
      <c r="D107" s="430">
        <f t="shared" si="9"/>
        <v>216.951871657754</v>
      </c>
    </row>
    <row r="108" spans="1:6" ht="16.5" thickBot="1">
      <c r="A108" s="227" t="s">
        <v>279</v>
      </c>
      <c r="B108" s="227">
        <v>1301</v>
      </c>
      <c r="C108" s="227">
        <f>1100+700</f>
        <v>1800</v>
      </c>
      <c r="D108" s="430">
        <f t="shared" si="9"/>
        <v>38.355111452728671</v>
      </c>
    </row>
    <row r="109" spans="1:6" ht="16.5" thickBot="1">
      <c r="A109" s="227" t="s">
        <v>229</v>
      </c>
      <c r="B109" s="227">
        <f>418+7</f>
        <v>425</v>
      </c>
      <c r="C109" s="227">
        <f>93+219</f>
        <v>312</v>
      </c>
      <c r="D109" s="430">
        <f t="shared" si="9"/>
        <v>-26.588235294117645</v>
      </c>
    </row>
    <row r="110" spans="1:6" ht="16.5" thickBot="1">
      <c r="A110" s="227" t="s">
        <v>233</v>
      </c>
      <c r="B110" s="227">
        <v>1290</v>
      </c>
      <c r="C110" s="227">
        <f>60+100+25+45+70+75+20+685+600</f>
        <v>1680</v>
      </c>
      <c r="D110" s="430">
        <f t="shared" si="9"/>
        <v>30.232558139534881</v>
      </c>
    </row>
    <row r="111" spans="1:6" ht="16.5" thickBot="1">
      <c r="A111" s="228" t="s">
        <v>260</v>
      </c>
      <c r="B111" s="228">
        <f>+B100-B103</f>
        <v>-3755</v>
      </c>
      <c r="C111" s="228">
        <f>+C100-C103</f>
        <v>-8512</v>
      </c>
      <c r="D111" s="431">
        <f t="shared" si="9"/>
        <v>126.6844207723036</v>
      </c>
      <c r="E111">
        <f>+B100-B103</f>
        <v>-3755</v>
      </c>
      <c r="F111">
        <f>+C100-C103</f>
        <v>-8512</v>
      </c>
    </row>
    <row r="112" spans="1:6" ht="16.5" thickBot="1">
      <c r="A112" s="230" t="s">
        <v>261</v>
      </c>
      <c r="B112" s="231">
        <f>+B98+B111</f>
        <v>-6905</v>
      </c>
      <c r="C112" s="231">
        <f>+C98+C111</f>
        <v>-12876.102332000002</v>
      </c>
      <c r="D112" s="432">
        <f>+(C112-B112)/B112*100</f>
        <v>86.475051875452607</v>
      </c>
      <c r="E112" s="7">
        <f>+E98+E111</f>
        <v>-6905</v>
      </c>
      <c r="F112" s="7">
        <f>+F98+F111</f>
        <v>-12876.102332000002</v>
      </c>
    </row>
  </sheetData>
  <mergeCells count="9">
    <mergeCell ref="A73:D73"/>
    <mergeCell ref="A76:D76"/>
    <mergeCell ref="A99:D99"/>
    <mergeCell ref="E3:G3"/>
    <mergeCell ref="A31:B31"/>
    <mergeCell ref="A57:B57"/>
    <mergeCell ref="A34:B34"/>
    <mergeCell ref="A3:A4"/>
    <mergeCell ref="D3:D4"/>
  </mergeCells>
  <pageMargins left="0.7" right="0.7" top="0.75" bottom="0.75" header="0.3" footer="0.3"/>
  <pageSetup paperSize="9" scale="75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2"/>
  <sheetViews>
    <sheetView topLeftCell="A7" workbookViewId="0">
      <selection activeCell="A17" sqref="A17:S18"/>
    </sheetView>
  </sheetViews>
  <sheetFormatPr baseColWidth="10" defaultRowHeight="15"/>
  <cols>
    <col min="1" max="1" width="20.28515625" customWidth="1"/>
    <col min="2" max="2" width="15.42578125" bestFit="1" customWidth="1"/>
    <col min="3" max="3" width="19.28515625" bestFit="1" customWidth="1"/>
    <col min="4" max="4" width="17.42578125" customWidth="1"/>
    <col min="5" max="5" width="13.85546875" bestFit="1" customWidth="1"/>
    <col min="6" max="6" width="17.85546875" bestFit="1" customWidth="1"/>
    <col min="7" max="7" width="15.42578125" bestFit="1" customWidth="1"/>
    <col min="8" max="8" width="15.140625" bestFit="1" customWidth="1"/>
    <col min="9" max="9" width="13.85546875" bestFit="1" customWidth="1"/>
    <col min="10" max="10" width="16.140625" customWidth="1"/>
  </cols>
  <sheetData>
    <row r="1" spans="1:10" ht="18.75">
      <c r="A1" s="433"/>
      <c r="B1" s="556" t="s">
        <v>325</v>
      </c>
      <c r="C1" s="556"/>
      <c r="D1" s="556"/>
      <c r="E1" s="556"/>
      <c r="F1" s="556"/>
      <c r="G1" s="556"/>
      <c r="H1" s="556"/>
      <c r="I1" s="434"/>
      <c r="J1" s="434"/>
    </row>
    <row r="2" spans="1:10" ht="15.75">
      <c r="B2" s="435">
        <v>2012</v>
      </c>
      <c r="C2" s="107" t="s">
        <v>326</v>
      </c>
      <c r="D2" s="107" t="s">
        <v>327</v>
      </c>
      <c r="F2" s="435">
        <v>2013</v>
      </c>
      <c r="G2" s="107" t="s">
        <v>326</v>
      </c>
      <c r="H2" s="107" t="s">
        <v>327</v>
      </c>
      <c r="I2" s="106"/>
      <c r="J2" s="106"/>
    </row>
    <row r="3" spans="1:10">
      <c r="A3" s="120" t="s">
        <v>328</v>
      </c>
      <c r="B3" s="90">
        <v>735</v>
      </c>
      <c r="C3" s="156">
        <v>1368350</v>
      </c>
      <c r="D3" s="156">
        <f>+B3*C3</f>
        <v>1005737250</v>
      </c>
      <c r="F3" s="90">
        <v>826</v>
      </c>
      <c r="G3" s="156">
        <v>1424747</v>
      </c>
      <c r="H3" s="156">
        <f>+F3*G3</f>
        <v>1176841022</v>
      </c>
      <c r="I3" s="434"/>
      <c r="J3" s="434"/>
    </row>
    <row r="4" spans="1:10">
      <c r="A4" s="120" t="s">
        <v>329</v>
      </c>
      <c r="B4" s="90">
        <v>1708</v>
      </c>
      <c r="C4" s="156">
        <v>1058072</v>
      </c>
      <c r="D4" s="156">
        <f>+B4*C4</f>
        <v>1807186976</v>
      </c>
      <c r="F4" s="90">
        <v>1743</v>
      </c>
      <c r="G4" s="156">
        <v>1099082</v>
      </c>
      <c r="H4" s="156">
        <f>+F4*G4</f>
        <v>1915699926</v>
      </c>
      <c r="I4" s="436"/>
      <c r="J4" s="437"/>
    </row>
    <row r="5" spans="1:10">
      <c r="A5" s="120" t="s">
        <v>330</v>
      </c>
      <c r="B5" s="90">
        <v>775</v>
      </c>
      <c r="C5" s="156">
        <v>702737</v>
      </c>
      <c r="D5" s="156">
        <f>+B5*C5</f>
        <v>544621175</v>
      </c>
      <c r="F5" s="90">
        <v>848</v>
      </c>
      <c r="G5" s="156">
        <v>728788</v>
      </c>
      <c r="H5" s="156">
        <f>+F5*G5</f>
        <v>618012224</v>
      </c>
      <c r="I5" s="436"/>
      <c r="J5" s="437"/>
    </row>
    <row r="6" spans="1:10">
      <c r="B6" s="438">
        <f>SUM(B3:B5)</f>
        <v>3218</v>
      </c>
      <c r="C6" s="439">
        <v>1059240</v>
      </c>
      <c r="D6" s="439">
        <f>SUM(D3:D5)</f>
        <v>3357545401</v>
      </c>
      <c r="F6" s="438">
        <f>SUM(F3:F5)</f>
        <v>3417</v>
      </c>
      <c r="G6" s="439">
        <v>1100907</v>
      </c>
      <c r="H6" s="439">
        <f>SUM(H3:H5)</f>
        <v>3710553172</v>
      </c>
      <c r="I6" s="436"/>
      <c r="J6" s="437"/>
    </row>
    <row r="7" spans="1:10">
      <c r="B7" s="6"/>
      <c r="C7" s="440"/>
      <c r="D7" s="440"/>
      <c r="F7" s="441"/>
      <c r="G7" s="436"/>
      <c r="H7" s="436"/>
      <c r="I7" s="436"/>
      <c r="J7" s="437"/>
    </row>
    <row r="8" spans="1:10" ht="15.75">
      <c r="A8" s="433"/>
      <c r="B8" s="6"/>
      <c r="C8" s="442"/>
      <c r="D8" s="6"/>
      <c r="F8" s="441"/>
      <c r="G8" s="436"/>
      <c r="H8" s="436"/>
      <c r="I8" s="436"/>
      <c r="J8" s="437"/>
    </row>
    <row r="9" spans="1:10" ht="15.75" thickBot="1"/>
    <row r="10" spans="1:10" ht="16.5" thickBot="1">
      <c r="A10" s="443"/>
      <c r="B10" s="584" t="s">
        <v>134</v>
      </c>
      <c r="C10" s="585"/>
      <c r="D10" s="585"/>
      <c r="E10" s="586"/>
      <c r="F10" s="584" t="s">
        <v>331</v>
      </c>
      <c r="G10" s="585"/>
      <c r="H10" s="585"/>
      <c r="I10" s="586"/>
      <c r="J10" s="444"/>
    </row>
    <row r="11" spans="1:10" ht="15.75" thickBot="1">
      <c r="E11" s="445"/>
      <c r="F11" s="446"/>
      <c r="G11" s="446"/>
      <c r="H11" s="446"/>
      <c r="I11" s="446"/>
      <c r="J11" s="444"/>
    </row>
    <row r="12" spans="1:10" ht="15.75" thickBot="1">
      <c r="A12" s="587"/>
      <c r="B12" s="589" t="s">
        <v>332</v>
      </c>
      <c r="C12" s="590"/>
      <c r="D12" s="590"/>
      <c r="E12" s="586"/>
      <c r="F12" s="589" t="s">
        <v>332</v>
      </c>
      <c r="G12" s="590"/>
      <c r="H12" s="590"/>
      <c r="I12" s="586"/>
      <c r="J12" s="444"/>
    </row>
    <row r="13" spans="1:10" ht="15.75" thickBot="1">
      <c r="A13" s="588"/>
      <c r="B13" s="447" t="s">
        <v>333</v>
      </c>
      <c r="C13" s="447" t="s">
        <v>334</v>
      </c>
      <c r="D13" s="448" t="s">
        <v>335</v>
      </c>
      <c r="E13" s="448" t="s">
        <v>336</v>
      </c>
      <c r="F13" s="449" t="s">
        <v>333</v>
      </c>
      <c r="G13" s="450" t="s">
        <v>334</v>
      </c>
      <c r="H13" s="451" t="s">
        <v>335</v>
      </c>
      <c r="I13" s="448" t="s">
        <v>336</v>
      </c>
    </row>
    <row r="14" spans="1:10">
      <c r="A14" s="452" t="s">
        <v>337</v>
      </c>
      <c r="B14" s="453">
        <v>1424747</v>
      </c>
      <c r="C14" s="453">
        <v>1099082</v>
      </c>
      <c r="D14" s="454">
        <v>728788</v>
      </c>
      <c r="E14" s="454"/>
      <c r="F14" s="455">
        <v>1368350</v>
      </c>
      <c r="G14" s="455">
        <v>1058072</v>
      </c>
      <c r="H14" s="456">
        <v>702737</v>
      </c>
      <c r="I14" s="454"/>
    </row>
    <row r="15" spans="1:10">
      <c r="A15" s="457" t="s">
        <v>338</v>
      </c>
      <c r="B15" s="458">
        <v>102</v>
      </c>
      <c r="C15" s="458">
        <v>298</v>
      </c>
      <c r="D15" s="459">
        <v>126</v>
      </c>
      <c r="E15" s="459">
        <f>+B15+C15+D15</f>
        <v>526</v>
      </c>
      <c r="F15" s="458">
        <v>91</v>
      </c>
      <c r="G15" s="458">
        <v>296</v>
      </c>
      <c r="H15" s="459">
        <v>121</v>
      </c>
      <c r="I15" s="459">
        <f t="shared" ref="I15:I25" si="0">SUM(F15:H15)</f>
        <v>508</v>
      </c>
    </row>
    <row r="16" spans="1:10" ht="15.75" thickBot="1">
      <c r="A16" s="460" t="s">
        <v>339</v>
      </c>
      <c r="B16" s="461">
        <f>+B14*B15</f>
        <v>145324194</v>
      </c>
      <c r="C16" s="461">
        <f>+C14*C15</f>
        <v>327526436</v>
      </c>
      <c r="D16" s="461">
        <f>+D14*D15</f>
        <v>91827288</v>
      </c>
      <c r="E16" s="462">
        <f>+B16+C16+D16</f>
        <v>564677918</v>
      </c>
      <c r="F16" s="461">
        <f>+F14*F15</f>
        <v>124519850</v>
      </c>
      <c r="G16" s="461">
        <f>+G14*G15</f>
        <v>313189312</v>
      </c>
      <c r="H16" s="461">
        <f>+H14*H15</f>
        <v>85031177</v>
      </c>
      <c r="I16" s="462">
        <f t="shared" si="0"/>
        <v>522740339</v>
      </c>
    </row>
    <row r="17" spans="1:9">
      <c r="A17" s="452" t="s">
        <v>340</v>
      </c>
      <c r="B17" s="453">
        <v>1424747</v>
      </c>
      <c r="C17" s="453">
        <v>1099082</v>
      </c>
      <c r="D17" s="454">
        <v>728788</v>
      </c>
      <c r="E17" s="454"/>
      <c r="F17" s="455">
        <v>1368350</v>
      </c>
      <c r="G17" s="455">
        <v>1058072</v>
      </c>
      <c r="H17" s="456">
        <v>702737</v>
      </c>
      <c r="I17" s="454"/>
    </row>
    <row r="18" spans="1:9">
      <c r="A18" s="457" t="s">
        <v>338</v>
      </c>
      <c r="B18" s="458">
        <v>114</v>
      </c>
      <c r="C18" s="458">
        <v>305</v>
      </c>
      <c r="D18" s="459">
        <v>141</v>
      </c>
      <c r="E18" s="459">
        <f>+B18+C18+D18</f>
        <v>560</v>
      </c>
      <c r="F18" s="458">
        <v>102</v>
      </c>
      <c r="G18" s="458">
        <v>306</v>
      </c>
      <c r="H18" s="459">
        <v>135</v>
      </c>
      <c r="I18" s="459">
        <f t="shared" si="0"/>
        <v>543</v>
      </c>
    </row>
    <row r="19" spans="1:9" ht="15.75" thickBot="1">
      <c r="A19" s="460" t="s">
        <v>339</v>
      </c>
      <c r="B19" s="461">
        <f>+B17*B18</f>
        <v>162421158</v>
      </c>
      <c r="C19" s="461">
        <f>+C17*C18</f>
        <v>335220010</v>
      </c>
      <c r="D19" s="461">
        <f>+D17*D18</f>
        <v>102759108</v>
      </c>
      <c r="E19" s="462">
        <f>+B19+C19+D19</f>
        <v>600400276</v>
      </c>
      <c r="F19" s="461">
        <f>+F17*F18</f>
        <v>139571700</v>
      </c>
      <c r="G19" s="461">
        <f>+G17*G18</f>
        <v>323770032</v>
      </c>
      <c r="H19" s="461">
        <f>+H17*H18</f>
        <v>94869495</v>
      </c>
      <c r="I19" s="462">
        <f t="shared" si="0"/>
        <v>558211227</v>
      </c>
    </row>
    <row r="20" spans="1:9">
      <c r="A20" s="452" t="s">
        <v>341</v>
      </c>
      <c r="B20" s="453">
        <v>1424747</v>
      </c>
      <c r="C20" s="453">
        <v>1099082</v>
      </c>
      <c r="D20" s="454">
        <v>728788</v>
      </c>
      <c r="E20" s="454"/>
      <c r="F20" s="455">
        <v>1368350</v>
      </c>
      <c r="G20" s="455">
        <v>1058072</v>
      </c>
      <c r="H20" s="456">
        <v>702737</v>
      </c>
      <c r="I20" s="454"/>
    </row>
    <row r="21" spans="1:9">
      <c r="A21" s="457" t="s">
        <v>338</v>
      </c>
      <c r="B21" s="458">
        <v>114</v>
      </c>
      <c r="C21" s="458">
        <v>340</v>
      </c>
      <c r="D21" s="459">
        <v>135</v>
      </c>
      <c r="E21" s="459">
        <f>+B21+C21+D21</f>
        <v>589</v>
      </c>
      <c r="F21" s="458">
        <v>104</v>
      </c>
      <c r="G21" s="458">
        <v>334</v>
      </c>
      <c r="H21" s="459">
        <v>132</v>
      </c>
      <c r="I21" s="459">
        <f t="shared" si="0"/>
        <v>570</v>
      </c>
    </row>
    <row r="22" spans="1:9" ht="15.75" thickBot="1">
      <c r="A22" s="460" t="s">
        <v>339</v>
      </c>
      <c r="B22" s="461">
        <f>+B20*B21</f>
        <v>162421158</v>
      </c>
      <c r="C22" s="461">
        <f>+C20*C21</f>
        <v>373687880</v>
      </c>
      <c r="D22" s="461">
        <f>+D20*D21</f>
        <v>98386380</v>
      </c>
      <c r="E22" s="462">
        <f>+B22+C22+D22</f>
        <v>634495418</v>
      </c>
      <c r="F22" s="461">
        <f>+F20*F21</f>
        <v>142308400</v>
      </c>
      <c r="G22" s="461">
        <f>+G20*G21</f>
        <v>353396048</v>
      </c>
      <c r="H22" s="461">
        <f>+H20*H21</f>
        <v>92761284</v>
      </c>
      <c r="I22" s="462">
        <f t="shared" si="0"/>
        <v>588465732</v>
      </c>
    </row>
    <row r="23" spans="1:9">
      <c r="A23" s="452" t="s">
        <v>342</v>
      </c>
      <c r="B23" s="453">
        <v>1424747</v>
      </c>
      <c r="C23" s="453">
        <v>1099082</v>
      </c>
      <c r="D23" s="454">
        <v>728788</v>
      </c>
      <c r="E23" s="454"/>
      <c r="F23" s="455">
        <v>1368350</v>
      </c>
      <c r="G23" s="455">
        <v>1058072</v>
      </c>
      <c r="H23" s="456">
        <v>702737</v>
      </c>
      <c r="I23" s="454"/>
    </row>
    <row r="24" spans="1:9">
      <c r="A24" s="457" t="s">
        <v>338</v>
      </c>
      <c r="B24" s="458">
        <v>118</v>
      </c>
      <c r="C24" s="458">
        <v>246</v>
      </c>
      <c r="D24" s="459">
        <v>137</v>
      </c>
      <c r="E24" s="459">
        <f>+B24+C24+D24</f>
        <v>501</v>
      </c>
      <c r="F24" s="458">
        <v>105</v>
      </c>
      <c r="G24" s="458">
        <v>233</v>
      </c>
      <c r="H24" s="459">
        <v>105</v>
      </c>
      <c r="I24" s="459">
        <f t="shared" si="0"/>
        <v>443</v>
      </c>
    </row>
    <row r="25" spans="1:9" ht="15.75" thickBot="1">
      <c r="A25" s="460" t="s">
        <v>339</v>
      </c>
      <c r="B25" s="461">
        <f>+B23*B24</f>
        <v>168120146</v>
      </c>
      <c r="C25" s="461">
        <f>+C23*C24</f>
        <v>270374172</v>
      </c>
      <c r="D25" s="461">
        <f>+D23*D24</f>
        <v>99843956</v>
      </c>
      <c r="E25" s="462">
        <f>+B25+C25+D25</f>
        <v>538338274</v>
      </c>
      <c r="F25" s="461">
        <f>+F23*F24</f>
        <v>143676750</v>
      </c>
      <c r="G25" s="461">
        <f>+G23*G24</f>
        <v>246530776</v>
      </c>
      <c r="H25" s="461">
        <f>+H23*H24</f>
        <v>73787385</v>
      </c>
      <c r="I25" s="462">
        <f t="shared" si="0"/>
        <v>463994911</v>
      </c>
    </row>
    <row r="26" spans="1:9">
      <c r="A26" s="452" t="s">
        <v>343</v>
      </c>
      <c r="B26" s="453">
        <v>1424747</v>
      </c>
      <c r="C26" s="453">
        <v>1099082</v>
      </c>
      <c r="D26" s="454">
        <v>728788</v>
      </c>
      <c r="E26" s="454"/>
      <c r="F26" s="455">
        <v>1368350</v>
      </c>
      <c r="G26" s="455">
        <v>1058072</v>
      </c>
      <c r="H26" s="456">
        <v>702737</v>
      </c>
      <c r="I26" s="454"/>
    </row>
    <row r="27" spans="1:9">
      <c r="A27" s="457" t="s">
        <v>338</v>
      </c>
      <c r="B27" s="458">
        <v>127</v>
      </c>
      <c r="C27" s="458">
        <v>273</v>
      </c>
      <c r="D27" s="459">
        <v>151</v>
      </c>
      <c r="E27" s="459">
        <f>+B27+C27+D27</f>
        <v>551</v>
      </c>
      <c r="F27" s="458">
        <v>111</v>
      </c>
      <c r="G27" s="458">
        <v>269</v>
      </c>
      <c r="H27" s="459">
        <v>142</v>
      </c>
      <c r="I27" s="459">
        <f>SUM(F27:H27)</f>
        <v>522</v>
      </c>
    </row>
    <row r="28" spans="1:9" ht="15.75" thickBot="1">
      <c r="A28" s="460" t="s">
        <v>339</v>
      </c>
      <c r="B28" s="463">
        <f>+B26*B27</f>
        <v>180942869</v>
      </c>
      <c r="C28" s="463">
        <f>+C26*C27</f>
        <v>300049386</v>
      </c>
      <c r="D28" s="463">
        <f>+D26*D27</f>
        <v>110046988</v>
      </c>
      <c r="E28" s="464">
        <f>+B28+C28+D28</f>
        <v>591039243</v>
      </c>
      <c r="F28" s="461">
        <f>+F26*F27</f>
        <v>151886850</v>
      </c>
      <c r="G28" s="461">
        <f>+G26*G27</f>
        <v>284621368</v>
      </c>
      <c r="H28" s="461">
        <f>+H26*H27</f>
        <v>99788654</v>
      </c>
      <c r="I28" s="464">
        <f>SUM(F28:H28)</f>
        <v>536296872</v>
      </c>
    </row>
    <row r="29" spans="1:9">
      <c r="A29" s="452" t="s">
        <v>344</v>
      </c>
      <c r="B29" s="453">
        <v>1424747</v>
      </c>
      <c r="C29" s="453">
        <v>1099082</v>
      </c>
      <c r="D29" s="454">
        <v>728788</v>
      </c>
      <c r="E29" s="454"/>
      <c r="F29" s="455">
        <v>1368350</v>
      </c>
      <c r="G29" s="455">
        <v>1058072</v>
      </c>
      <c r="H29" s="456">
        <v>702737</v>
      </c>
      <c r="I29" s="454"/>
    </row>
    <row r="30" spans="1:9">
      <c r="A30" s="457" t="s">
        <v>338</v>
      </c>
      <c r="B30" s="458">
        <v>107</v>
      </c>
      <c r="C30" s="458">
        <v>205</v>
      </c>
      <c r="D30" s="459">
        <v>138</v>
      </c>
      <c r="E30" s="459">
        <f>+B30+C30+D30</f>
        <v>450</v>
      </c>
      <c r="F30" s="458">
        <v>96</v>
      </c>
      <c r="G30" s="458">
        <v>205</v>
      </c>
      <c r="H30" s="459">
        <v>119</v>
      </c>
      <c r="I30" s="459">
        <f>SUM(F30:H30)</f>
        <v>420</v>
      </c>
    </row>
    <row r="31" spans="1:9" ht="15.75" thickBot="1">
      <c r="A31" s="460" t="s">
        <v>339</v>
      </c>
      <c r="B31" s="461">
        <f>+B29*B30</f>
        <v>152447929</v>
      </c>
      <c r="C31" s="461">
        <f>+C29*C30</f>
        <v>225311810</v>
      </c>
      <c r="D31" s="465">
        <f>+D29*D30</f>
        <v>100572744</v>
      </c>
      <c r="E31" s="466">
        <f>+B31+C31+D31</f>
        <v>478332483</v>
      </c>
      <c r="F31" s="461">
        <f>+F29*F30</f>
        <v>131361600</v>
      </c>
      <c r="G31" s="461">
        <f>+G29*G30</f>
        <v>216904760</v>
      </c>
      <c r="H31" s="461">
        <f>+H29*H30</f>
        <v>83625703</v>
      </c>
      <c r="I31" s="466">
        <f>SUM(F31:H31)</f>
        <v>431892063</v>
      </c>
    </row>
    <row r="32" spans="1:9">
      <c r="A32" s="452" t="s">
        <v>345</v>
      </c>
      <c r="B32" s="453">
        <v>1424747</v>
      </c>
      <c r="C32" s="453">
        <v>1099082</v>
      </c>
      <c r="D32" s="454">
        <v>728788</v>
      </c>
      <c r="E32" s="454"/>
      <c r="F32" s="455">
        <v>1368350</v>
      </c>
      <c r="G32" s="455">
        <v>1058072</v>
      </c>
      <c r="H32" s="456">
        <v>702737</v>
      </c>
      <c r="I32" s="454"/>
    </row>
    <row r="33" spans="1:10">
      <c r="A33" s="457" t="s">
        <v>338</v>
      </c>
      <c r="B33" s="458">
        <v>144</v>
      </c>
      <c r="C33" s="458">
        <v>76</v>
      </c>
      <c r="D33" s="459">
        <v>20</v>
      </c>
      <c r="E33" s="459">
        <f>+B33+C33+D33</f>
        <v>240</v>
      </c>
      <c r="F33" s="458">
        <v>126</v>
      </c>
      <c r="G33" s="458">
        <v>65</v>
      </c>
      <c r="H33" s="459">
        <v>21</v>
      </c>
      <c r="I33" s="459">
        <f>SUM(F33:H33)</f>
        <v>212</v>
      </c>
    </row>
    <row r="34" spans="1:10" ht="15.75" thickBot="1">
      <c r="A34" s="460" t="s">
        <v>339</v>
      </c>
      <c r="B34" s="467">
        <f>+B32*B33</f>
        <v>205163568</v>
      </c>
      <c r="C34" s="467">
        <f>+C32*C33</f>
        <v>83530232</v>
      </c>
      <c r="D34" s="467">
        <f>+D32*D33</f>
        <v>14575760</v>
      </c>
      <c r="E34" s="468">
        <f>+B34+C34+D34</f>
        <v>303269560</v>
      </c>
      <c r="F34" s="467">
        <f>+F32*F33</f>
        <v>172412100</v>
      </c>
      <c r="G34" s="467">
        <f>+G32*G33</f>
        <v>68774680</v>
      </c>
      <c r="H34" s="467">
        <f>+H32*H33</f>
        <v>14757477</v>
      </c>
      <c r="I34" s="468">
        <f>SUM(F34:H34)</f>
        <v>255944257</v>
      </c>
    </row>
    <row r="35" spans="1:10">
      <c r="F35" s="469"/>
      <c r="G35" s="470"/>
      <c r="H35" s="470"/>
      <c r="I35" s="470"/>
      <c r="J35" s="444"/>
    </row>
    <row r="36" spans="1:10" ht="15.75" thickBot="1">
      <c r="A36" s="469"/>
      <c r="B36" s="470"/>
      <c r="C36" s="470"/>
      <c r="D36" s="470"/>
      <c r="E36" s="471"/>
      <c r="F36" s="469"/>
      <c r="G36" s="470"/>
      <c r="H36" s="470"/>
      <c r="I36" s="470"/>
      <c r="J36" s="444"/>
    </row>
    <row r="37" spans="1:10" ht="15.75" thickBot="1">
      <c r="A37" s="591" t="s">
        <v>338</v>
      </c>
      <c r="B37" s="472">
        <f>+B15+B18+B21+B24+B27+B30+B33</f>
        <v>826</v>
      </c>
      <c r="C37" s="472">
        <f>+C15+C18+C21+C24+C27+C30+C33</f>
        <v>1743</v>
      </c>
      <c r="D37" s="472">
        <f>+D15+D18+D21+D24+D27+D30+D33</f>
        <v>848</v>
      </c>
      <c r="E37" s="473"/>
      <c r="F37" s="591" t="s">
        <v>338</v>
      </c>
      <c r="G37" s="472">
        <f>+F15+F18+F21+F24+F27+F30+F33</f>
        <v>735</v>
      </c>
      <c r="H37" s="472">
        <f>+G15+G18+G21+G24+G27+G30+G33</f>
        <v>1708</v>
      </c>
      <c r="I37" s="472">
        <f>+H15+H18+H21+H24+H27+H30+H33</f>
        <v>775</v>
      </c>
      <c r="J37" s="474"/>
    </row>
    <row r="38" spans="1:10" ht="15.75" thickBot="1">
      <c r="A38" s="592"/>
      <c r="B38" s="475"/>
      <c r="C38" s="476">
        <f>+B37+C37+D37</f>
        <v>3417</v>
      </c>
      <c r="D38" s="477"/>
      <c r="E38" s="478"/>
      <c r="F38" s="592"/>
      <c r="G38" s="475"/>
      <c r="H38" s="476">
        <f>+G37+H37+I37</f>
        <v>3218</v>
      </c>
      <c r="I38" s="477"/>
      <c r="J38" s="444"/>
    </row>
    <row r="39" spans="1:10" ht="15.75" thickBot="1">
      <c r="A39" s="593" t="s">
        <v>339</v>
      </c>
      <c r="B39" s="479">
        <f>+B16+B19+B22+B25+B28+B31+B34</f>
        <v>1176841022</v>
      </c>
      <c r="C39" s="479">
        <f>+C16+C19+C22+C25+C28+C31+C34</f>
        <v>1915699926</v>
      </c>
      <c r="D39" s="479">
        <f>+D16+D19+D22+D25+D28+D31+D34</f>
        <v>618012224</v>
      </c>
      <c r="E39" s="445"/>
      <c r="F39" s="593" t="s">
        <v>339</v>
      </c>
      <c r="G39" s="479">
        <f>+F16+F19+F22+F25+F28+F31+F34</f>
        <v>1005737250</v>
      </c>
      <c r="H39" s="479">
        <f>+G16+G19+G22+G25+G28+G31+G34</f>
        <v>1807186976</v>
      </c>
      <c r="I39" s="479">
        <f>+H16+H19+H22+H25+H28+H31+H34</f>
        <v>544621175</v>
      </c>
      <c r="J39" s="444"/>
    </row>
    <row r="40" spans="1:10" ht="16.5" thickBot="1">
      <c r="A40" s="594"/>
      <c r="B40" s="480"/>
      <c r="C40" s="481">
        <f>+B39+C39+D39</f>
        <v>3710553172</v>
      </c>
      <c r="D40" s="482"/>
      <c r="E40" s="445"/>
      <c r="F40" s="594"/>
      <c r="G40" s="480"/>
      <c r="H40" s="483">
        <f>+G39+H39+I39</f>
        <v>3357545401</v>
      </c>
      <c r="I40" s="482"/>
      <c r="J40" s="444"/>
    </row>
    <row r="41" spans="1:10">
      <c r="A41" s="484"/>
      <c r="B41" s="582"/>
      <c r="C41" s="583"/>
      <c r="D41" s="583"/>
      <c r="E41" s="484"/>
      <c r="F41" s="484"/>
      <c r="G41" s="582"/>
      <c r="H41" s="583"/>
      <c r="I41" s="583"/>
      <c r="J41" s="444"/>
    </row>
    <row r="42" spans="1:10">
      <c r="A42" s="444"/>
      <c r="B42" s="444"/>
      <c r="C42" s="444"/>
      <c r="D42" s="444"/>
      <c r="E42" s="485"/>
      <c r="F42" s="444"/>
      <c r="G42" s="444"/>
      <c r="H42" s="444"/>
      <c r="I42" s="444"/>
      <c r="J42" s="486"/>
    </row>
  </sheetData>
  <mergeCells count="12">
    <mergeCell ref="G41:I41"/>
    <mergeCell ref="B1:H1"/>
    <mergeCell ref="B10:E10"/>
    <mergeCell ref="F10:I10"/>
    <mergeCell ref="A12:A13"/>
    <mergeCell ref="B12:E12"/>
    <mergeCell ref="F12:I12"/>
    <mergeCell ref="A37:A38"/>
    <mergeCell ref="F37:F38"/>
    <mergeCell ref="A39:A40"/>
    <mergeCell ref="F39:F40"/>
    <mergeCell ref="B41:D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4"/>
  <sheetViews>
    <sheetView topLeftCell="A19" workbookViewId="0">
      <selection activeCell="E35" sqref="E35"/>
    </sheetView>
  </sheetViews>
  <sheetFormatPr baseColWidth="10" defaultRowHeight="15"/>
  <cols>
    <col min="1" max="1" width="48.7109375" customWidth="1"/>
    <col min="2" max="2" width="9.28515625" customWidth="1"/>
    <col min="3" max="3" width="10.85546875" customWidth="1"/>
    <col min="4" max="4" width="9.28515625" customWidth="1"/>
    <col min="5" max="5" width="8.7109375" customWidth="1"/>
    <col min="6" max="6" width="10.42578125" customWidth="1"/>
    <col min="7" max="7" width="8.140625" customWidth="1"/>
    <col min="8" max="8" width="10" customWidth="1"/>
    <col min="9" max="9" width="10.7109375" customWidth="1"/>
    <col min="10" max="10" width="8.5703125" customWidth="1"/>
    <col min="11" max="11" width="8" customWidth="1"/>
    <col min="12" max="12" width="8.85546875" customWidth="1"/>
    <col min="13" max="13" width="8.28515625" customWidth="1"/>
    <col min="14" max="14" width="7.7109375" customWidth="1"/>
    <col min="15" max="15" width="8.85546875" customWidth="1"/>
    <col min="16" max="16" width="8.140625" customWidth="1"/>
    <col min="17" max="17" width="8.85546875" customWidth="1"/>
    <col min="18" max="18" width="7.28515625" customWidth="1"/>
    <col min="19" max="19" width="8.28515625" customWidth="1"/>
  </cols>
  <sheetData>
    <row r="1" spans="1:19" ht="18.75">
      <c r="A1" s="556" t="s">
        <v>234</v>
      </c>
      <c r="B1" s="556"/>
      <c r="C1" s="556"/>
      <c r="D1" s="556"/>
      <c r="E1" s="556"/>
      <c r="F1" s="556"/>
      <c r="G1" s="556"/>
      <c r="H1" s="556"/>
      <c r="I1" s="556"/>
      <c r="J1" s="556"/>
      <c r="K1" s="556"/>
      <c r="L1" s="556"/>
      <c r="M1" s="556"/>
      <c r="N1" s="556"/>
      <c r="O1" s="556"/>
      <c r="P1" s="556"/>
      <c r="Q1" s="556"/>
      <c r="R1" s="556"/>
      <c r="S1" s="556"/>
    </row>
    <row r="2" spans="1:19" ht="15.75" thickBot="1"/>
    <row r="3" spans="1:19" ht="16.5" thickTop="1" thickBot="1">
      <c r="A3" s="557" t="s">
        <v>21</v>
      </c>
      <c r="B3" s="555" t="s">
        <v>13</v>
      </c>
      <c r="C3" s="555"/>
      <c r="D3" s="555" t="s">
        <v>9</v>
      </c>
      <c r="E3" s="555"/>
      <c r="F3" s="555" t="s">
        <v>10</v>
      </c>
      <c r="G3" s="555"/>
      <c r="H3" s="553" t="s">
        <v>11</v>
      </c>
      <c r="I3" s="554"/>
      <c r="J3" s="555" t="s">
        <v>12</v>
      </c>
      <c r="K3" s="555"/>
      <c r="L3" s="553" t="s">
        <v>7</v>
      </c>
      <c r="M3" s="554"/>
      <c r="N3" s="555" t="s">
        <v>8</v>
      </c>
      <c r="O3" s="555"/>
      <c r="P3" s="553" t="s">
        <v>14</v>
      </c>
      <c r="Q3" s="554"/>
      <c r="R3" s="555" t="s">
        <v>53</v>
      </c>
      <c r="S3" s="555"/>
    </row>
    <row r="4" spans="1:19" ht="16.5" thickTop="1" thickBot="1">
      <c r="A4" s="557"/>
      <c r="B4" s="320" t="s">
        <v>160</v>
      </c>
      <c r="C4" s="320" t="s">
        <v>134</v>
      </c>
      <c r="D4" s="320" t="s">
        <v>133</v>
      </c>
      <c r="E4" s="320">
        <v>2013</v>
      </c>
      <c r="F4" s="320" t="s">
        <v>133</v>
      </c>
      <c r="G4" s="320">
        <v>2013</v>
      </c>
      <c r="H4" s="321" t="s">
        <v>133</v>
      </c>
      <c r="I4" s="322">
        <v>2013</v>
      </c>
      <c r="J4" s="320" t="s">
        <v>133</v>
      </c>
      <c r="K4" s="320">
        <v>2013</v>
      </c>
      <c r="L4" s="321" t="s">
        <v>133</v>
      </c>
      <c r="M4" s="322">
        <v>2013</v>
      </c>
      <c r="N4" s="320" t="s">
        <v>133</v>
      </c>
      <c r="O4" s="320">
        <v>2013</v>
      </c>
      <c r="P4" s="321" t="s">
        <v>133</v>
      </c>
      <c r="Q4" s="322">
        <v>2013</v>
      </c>
      <c r="R4" s="320" t="s">
        <v>160</v>
      </c>
      <c r="S4" s="320" t="s">
        <v>134</v>
      </c>
    </row>
    <row r="5" spans="1:19" ht="15.75" thickTop="1">
      <c r="A5" s="309" t="s">
        <v>26</v>
      </c>
      <c r="B5" s="323">
        <f>+B6+B7+B8+B9</f>
        <v>26575</v>
      </c>
      <c r="C5" s="324">
        <f t="shared" ref="C5:S5" si="0">+C6+C7+C8+C9</f>
        <v>28154</v>
      </c>
      <c r="D5" s="325">
        <f t="shared" si="0"/>
        <v>5015</v>
      </c>
      <c r="E5" s="326">
        <f t="shared" si="0"/>
        <v>5200</v>
      </c>
      <c r="F5" s="325">
        <f t="shared" si="0"/>
        <v>4352</v>
      </c>
      <c r="G5" s="326">
        <f t="shared" si="0"/>
        <v>4759</v>
      </c>
      <c r="H5" s="327">
        <f t="shared" si="0"/>
        <v>6929</v>
      </c>
      <c r="I5" s="328">
        <f t="shared" si="0"/>
        <v>7369</v>
      </c>
      <c r="J5" s="325">
        <f t="shared" si="0"/>
        <v>3981</v>
      </c>
      <c r="K5" s="326">
        <f t="shared" si="0"/>
        <v>4193</v>
      </c>
      <c r="L5" s="327">
        <f t="shared" si="0"/>
        <v>3727</v>
      </c>
      <c r="M5" s="328">
        <f t="shared" si="0"/>
        <v>3887.1424000000002</v>
      </c>
      <c r="N5" s="325">
        <f t="shared" si="0"/>
        <v>2551</v>
      </c>
      <c r="O5" s="326">
        <f t="shared" si="0"/>
        <v>2720.3820000000001</v>
      </c>
      <c r="P5" s="327">
        <f t="shared" si="0"/>
        <v>20</v>
      </c>
      <c r="Q5" s="328">
        <f t="shared" si="0"/>
        <v>25</v>
      </c>
      <c r="R5" s="323">
        <f t="shared" si="0"/>
        <v>26575</v>
      </c>
      <c r="S5" s="324">
        <f t="shared" si="0"/>
        <v>28153.524400000002</v>
      </c>
    </row>
    <row r="6" spans="1:19">
      <c r="A6" s="310" t="s">
        <v>63</v>
      </c>
      <c r="B6" s="329">
        <v>21722</v>
      </c>
      <c r="C6" s="330">
        <v>23123</v>
      </c>
      <c r="D6" s="331">
        <f>4180-1</f>
        <v>4179</v>
      </c>
      <c r="E6" s="332">
        <v>4363</v>
      </c>
      <c r="F6" s="331">
        <v>3404</v>
      </c>
      <c r="G6" s="332">
        <v>3774</v>
      </c>
      <c r="H6" s="333">
        <v>5690</v>
      </c>
      <c r="I6" s="334">
        <v>6070</v>
      </c>
      <c r="J6" s="331">
        <v>3185</v>
      </c>
      <c r="K6" s="332">
        <v>3371</v>
      </c>
      <c r="L6" s="333">
        <v>3151</v>
      </c>
      <c r="M6" s="411">
        <v>3285</v>
      </c>
      <c r="N6" s="331">
        <v>2113</v>
      </c>
      <c r="O6" s="332">
        <v>2260</v>
      </c>
      <c r="P6" s="335">
        <v>0</v>
      </c>
      <c r="Q6" s="336">
        <v>0</v>
      </c>
      <c r="R6" s="329">
        <f t="shared" ref="R6:S7" si="1">+D6+F6+H6+J6+L6+N6+P6</f>
        <v>21722</v>
      </c>
      <c r="S6" s="330">
        <f>+E6+G6+I6+K6+M6+O6+Q6</f>
        <v>23123</v>
      </c>
    </row>
    <row r="7" spans="1:19">
      <c r="A7" s="310" t="s">
        <v>64</v>
      </c>
      <c r="B7" s="329">
        <v>3086</v>
      </c>
      <c r="C7" s="330">
        <v>3158</v>
      </c>
      <c r="D7" s="331">
        <f>505+1</f>
        <v>506</v>
      </c>
      <c r="E7" s="337">
        <v>495</v>
      </c>
      <c r="F7" s="331">
        <v>662</v>
      </c>
      <c r="G7" s="332">
        <v>672</v>
      </c>
      <c r="H7" s="333">
        <v>783</v>
      </c>
      <c r="I7" s="334">
        <v>815</v>
      </c>
      <c r="J7" s="331">
        <v>534</v>
      </c>
      <c r="K7" s="332">
        <v>547</v>
      </c>
      <c r="L7" s="333">
        <v>331</v>
      </c>
      <c r="M7" s="156">
        <f>348.1424-1</f>
        <v>347.14240000000001</v>
      </c>
      <c r="N7" s="331">
        <v>270</v>
      </c>
      <c r="O7" s="337">
        <f>282.382-1</f>
        <v>281.38200000000001</v>
      </c>
      <c r="P7" s="335">
        <v>0</v>
      </c>
      <c r="Q7" s="336">
        <v>0</v>
      </c>
      <c r="R7" s="329">
        <f t="shared" si="1"/>
        <v>3086</v>
      </c>
      <c r="S7" s="330">
        <f t="shared" si="1"/>
        <v>3157.5244000000002</v>
      </c>
    </row>
    <row r="8" spans="1:19">
      <c r="A8" s="310" t="s">
        <v>65</v>
      </c>
      <c r="B8" s="329">
        <v>967</v>
      </c>
      <c r="C8" s="330">
        <v>1015</v>
      </c>
      <c r="D8" s="331">
        <v>183</v>
      </c>
      <c r="E8" s="332">
        <v>188</v>
      </c>
      <c r="F8" s="331">
        <v>158</v>
      </c>
      <c r="G8" s="332">
        <v>172</v>
      </c>
      <c r="H8" s="333">
        <v>252</v>
      </c>
      <c r="I8" s="334">
        <v>266</v>
      </c>
      <c r="J8" s="331">
        <v>145</v>
      </c>
      <c r="K8" s="332">
        <v>151</v>
      </c>
      <c r="L8" s="333">
        <v>136</v>
      </c>
      <c r="M8" s="334">
        <v>140</v>
      </c>
      <c r="N8" s="331">
        <v>93</v>
      </c>
      <c r="O8" s="332">
        <v>98</v>
      </c>
      <c r="P8" s="335">
        <v>0</v>
      </c>
      <c r="Q8" s="336">
        <v>0</v>
      </c>
      <c r="R8" s="329">
        <f>+D8+F8+H8+J8+L8+N8+P8</f>
        <v>967</v>
      </c>
      <c r="S8" s="330">
        <f>+E8+G8+I8+K8+M8+O8+Q8</f>
        <v>1015</v>
      </c>
    </row>
    <row r="9" spans="1:19">
      <c r="A9" s="310" t="s">
        <v>66</v>
      </c>
      <c r="B9" s="329">
        <f>700+100</f>
        <v>800</v>
      </c>
      <c r="C9" s="412">
        <f>758+100</f>
        <v>858</v>
      </c>
      <c r="D9" s="339">
        <v>147</v>
      </c>
      <c r="E9" s="332">
        <v>154</v>
      </c>
      <c r="F9" s="339">
        <v>128</v>
      </c>
      <c r="G9" s="332">
        <v>141</v>
      </c>
      <c r="H9" s="340">
        <v>204</v>
      </c>
      <c r="I9" s="334">
        <v>218</v>
      </c>
      <c r="J9" s="339">
        <v>117</v>
      </c>
      <c r="K9" s="332">
        <v>124</v>
      </c>
      <c r="L9" s="340">
        <f>110-1</f>
        <v>109</v>
      </c>
      <c r="M9" s="341">
        <v>115</v>
      </c>
      <c r="N9" s="339">
        <v>75</v>
      </c>
      <c r="O9" s="332">
        <v>81</v>
      </c>
      <c r="P9" s="340">
        <v>20</v>
      </c>
      <c r="Q9" s="334">
        <v>25</v>
      </c>
      <c r="R9" s="329">
        <f>+D9+F9+H9+J9+L9+N9+P9</f>
        <v>800</v>
      </c>
      <c r="S9" s="412">
        <f>+E9+G9+I9+K9+M9+O9+Q9</f>
        <v>858</v>
      </c>
    </row>
    <row r="10" spans="1:19">
      <c r="A10" s="310" t="s">
        <v>30</v>
      </c>
      <c r="B10" s="342">
        <v>0</v>
      </c>
      <c r="C10" s="343">
        <v>0</v>
      </c>
      <c r="D10" s="344"/>
      <c r="E10" s="345"/>
      <c r="F10" s="344"/>
      <c r="G10" s="345"/>
      <c r="H10" s="346"/>
      <c r="I10" s="347"/>
      <c r="J10" s="344"/>
      <c r="K10" s="345"/>
      <c r="L10" s="346"/>
      <c r="M10" s="347"/>
      <c r="N10" s="344"/>
      <c r="O10" s="345"/>
      <c r="P10" s="346"/>
      <c r="Q10" s="347"/>
      <c r="R10" s="342"/>
      <c r="S10" s="343"/>
    </row>
    <row r="11" spans="1:19">
      <c r="A11" s="310" t="s">
        <v>27</v>
      </c>
      <c r="B11" s="348">
        <v>0</v>
      </c>
      <c r="C11" s="338">
        <v>0</v>
      </c>
      <c r="D11" s="344">
        <v>0</v>
      </c>
      <c r="E11" s="345">
        <v>0</v>
      </c>
      <c r="F11" s="344">
        <v>0</v>
      </c>
      <c r="G11" s="345">
        <v>0</v>
      </c>
      <c r="H11" s="346">
        <v>0</v>
      </c>
      <c r="I11" s="347">
        <v>0</v>
      </c>
      <c r="J11" s="344">
        <v>0</v>
      </c>
      <c r="K11" s="345">
        <v>0</v>
      </c>
      <c r="L11" s="346"/>
      <c r="M11" s="347">
        <v>0</v>
      </c>
      <c r="N11" s="344">
        <v>0</v>
      </c>
      <c r="O11" s="345">
        <v>0</v>
      </c>
      <c r="P11" s="346">
        <v>0</v>
      </c>
      <c r="Q11" s="347">
        <v>0</v>
      </c>
      <c r="R11" s="348">
        <f>+D11+F11+H11+J11+L11+N11+P11</f>
        <v>0</v>
      </c>
      <c r="S11" s="338">
        <f>+E11+G11+I11+K11+M11+O11</f>
        <v>0</v>
      </c>
    </row>
    <row r="12" spans="1:19" ht="15.75" thickBot="1">
      <c r="A12" s="311" t="s">
        <v>31</v>
      </c>
      <c r="B12" s="349"/>
      <c r="C12" s="350"/>
      <c r="D12" s="351"/>
      <c r="E12" s="352"/>
      <c r="F12" s="351"/>
      <c r="G12" s="352"/>
      <c r="H12" s="353"/>
      <c r="I12" s="354"/>
      <c r="J12" s="351"/>
      <c r="K12" s="352"/>
      <c r="L12" s="353"/>
      <c r="M12" s="354"/>
      <c r="N12" s="351"/>
      <c r="O12" s="352"/>
      <c r="P12" s="353"/>
      <c r="Q12" s="354"/>
      <c r="R12" s="349">
        <f t="shared" ref="R12:S12" si="2">+D12+F12+H12+J12+L12+N12+P12</f>
        <v>0</v>
      </c>
      <c r="S12" s="350">
        <f t="shared" si="2"/>
        <v>0</v>
      </c>
    </row>
    <row r="13" spans="1:19" ht="16.5" thickTop="1" thickBot="1">
      <c r="A13" s="312" t="s">
        <v>32</v>
      </c>
      <c r="B13" s="355">
        <f>+B5+B11</f>
        <v>26575</v>
      </c>
      <c r="C13" s="356">
        <f>+C5+C11</f>
        <v>28154</v>
      </c>
      <c r="D13" s="357">
        <f t="shared" ref="D13:S13" si="3">+D5+D11</f>
        <v>5015</v>
      </c>
      <c r="E13" s="358">
        <f t="shared" si="3"/>
        <v>5200</v>
      </c>
      <c r="F13" s="357">
        <f t="shared" si="3"/>
        <v>4352</v>
      </c>
      <c r="G13" s="358">
        <f t="shared" si="3"/>
        <v>4759</v>
      </c>
      <c r="H13" s="359">
        <f t="shared" si="3"/>
        <v>6929</v>
      </c>
      <c r="I13" s="360">
        <f t="shared" si="3"/>
        <v>7369</v>
      </c>
      <c r="J13" s="357">
        <f t="shared" si="3"/>
        <v>3981</v>
      </c>
      <c r="K13" s="358">
        <f t="shared" si="3"/>
        <v>4193</v>
      </c>
      <c r="L13" s="359">
        <f t="shared" si="3"/>
        <v>3727</v>
      </c>
      <c r="M13" s="360">
        <f t="shared" si="3"/>
        <v>3887.1424000000002</v>
      </c>
      <c r="N13" s="357">
        <f t="shared" si="3"/>
        <v>2551</v>
      </c>
      <c r="O13" s="358">
        <f t="shared" si="3"/>
        <v>2720.3820000000001</v>
      </c>
      <c r="P13" s="359">
        <f t="shared" si="3"/>
        <v>20</v>
      </c>
      <c r="Q13" s="360">
        <f t="shared" si="3"/>
        <v>25</v>
      </c>
      <c r="R13" s="355">
        <f t="shared" si="3"/>
        <v>26575</v>
      </c>
      <c r="S13" s="356">
        <f t="shared" si="3"/>
        <v>28153.524400000002</v>
      </c>
    </row>
    <row r="14" spans="1:19" ht="15.75" thickTop="1">
      <c r="A14" s="313" t="s">
        <v>22</v>
      </c>
      <c r="B14" s="361">
        <f>+(B15+B16+B17+B18+B19)*-1</f>
        <v>-17491.031383000001</v>
      </c>
      <c r="C14" s="362">
        <f>+(C15+C16+C17+C18+C19)*-1</f>
        <v>-19461.042332000001</v>
      </c>
      <c r="D14" s="363">
        <f t="shared" ref="D14:Q14" si="4">+(D15+D16+D17+D18+D19)*(-1)</f>
        <v>-3251</v>
      </c>
      <c r="E14" s="364">
        <f t="shared" si="4"/>
        <v>-3462</v>
      </c>
      <c r="F14" s="363">
        <f t="shared" si="4"/>
        <v>-3108</v>
      </c>
      <c r="G14" s="364">
        <f t="shared" si="4"/>
        <v>-3563</v>
      </c>
      <c r="H14" s="365">
        <f t="shared" si="4"/>
        <v>-4618</v>
      </c>
      <c r="I14" s="366">
        <f t="shared" si="4"/>
        <v>-5490</v>
      </c>
      <c r="J14" s="363">
        <f t="shared" si="4"/>
        <v>-2374</v>
      </c>
      <c r="K14" s="364">
        <f t="shared" si="4"/>
        <v>-2620</v>
      </c>
      <c r="L14" s="365">
        <f t="shared" si="4"/>
        <v>-2330</v>
      </c>
      <c r="M14" s="366">
        <f t="shared" si="4"/>
        <v>-2436</v>
      </c>
      <c r="N14" s="363">
        <f t="shared" si="4"/>
        <v>-1795</v>
      </c>
      <c r="O14" s="364">
        <f t="shared" si="4"/>
        <v>-1874</v>
      </c>
      <c r="P14" s="365">
        <f t="shared" si="4"/>
        <v>-15</v>
      </c>
      <c r="Q14" s="366">
        <f t="shared" si="4"/>
        <v>-16</v>
      </c>
      <c r="R14" s="361">
        <f>+D14+F14+H14+J14+L14+N14+P14</f>
        <v>-17491</v>
      </c>
      <c r="S14" s="362">
        <f>+E14+G14+I14+K14+M14+O14+Q14</f>
        <v>-19461</v>
      </c>
    </row>
    <row r="15" spans="1:19">
      <c r="A15" s="310" t="s">
        <v>67</v>
      </c>
      <c r="B15" s="329">
        <v>400</v>
      </c>
      <c r="C15" s="330">
        <v>400</v>
      </c>
      <c r="D15" s="331">
        <v>73</v>
      </c>
      <c r="E15" s="332">
        <f>71</f>
        <v>71</v>
      </c>
      <c r="F15" s="331">
        <v>63</v>
      </c>
      <c r="G15" s="332">
        <v>65</v>
      </c>
      <c r="H15" s="333">
        <v>100</v>
      </c>
      <c r="I15" s="334">
        <f>100</f>
        <v>100</v>
      </c>
      <c r="J15" s="331">
        <v>58</v>
      </c>
      <c r="K15" s="332">
        <f>57+1</f>
        <v>58</v>
      </c>
      <c r="L15" s="333">
        <v>54</v>
      </c>
      <c r="M15" s="334">
        <f>53</f>
        <v>53</v>
      </c>
      <c r="N15" s="331">
        <v>37</v>
      </c>
      <c r="O15" s="332">
        <f>37</f>
        <v>37</v>
      </c>
      <c r="P15" s="333">
        <f>15</f>
        <v>15</v>
      </c>
      <c r="Q15" s="334">
        <f>17-1</f>
        <v>16</v>
      </c>
      <c r="R15" s="329">
        <f>+D15+F15+H15+J15+L15+N15+P15</f>
        <v>400</v>
      </c>
      <c r="S15" s="330">
        <f t="shared" ref="S15:S18" si="5">+E15+G15+I15+K15+M15+O15+Q15</f>
        <v>400</v>
      </c>
    </row>
    <row r="16" spans="1:19">
      <c r="A16" s="310" t="s">
        <v>68</v>
      </c>
      <c r="B16" s="329">
        <v>1846.656383</v>
      </c>
      <c r="C16" s="330">
        <v>2100.3923320000004</v>
      </c>
      <c r="D16" s="331">
        <v>333</v>
      </c>
      <c r="E16" s="332">
        <v>383</v>
      </c>
      <c r="F16" s="331">
        <v>346</v>
      </c>
      <c r="G16" s="332">
        <v>383</v>
      </c>
      <c r="H16" s="333">
        <v>502</v>
      </c>
      <c r="I16" s="334">
        <v>579</v>
      </c>
      <c r="J16" s="331">
        <v>256</v>
      </c>
      <c r="K16" s="332">
        <v>280</v>
      </c>
      <c r="L16" s="333">
        <v>213</v>
      </c>
      <c r="M16" s="334">
        <v>244</v>
      </c>
      <c r="N16" s="331">
        <f>196+1</f>
        <v>197</v>
      </c>
      <c r="O16" s="332">
        <f>232-1</f>
        <v>231</v>
      </c>
      <c r="P16" s="335">
        <v>0</v>
      </c>
      <c r="Q16" s="336">
        <v>0</v>
      </c>
      <c r="R16" s="329">
        <f t="shared" ref="R16:R17" si="6">+D16+F16+H16+J16+L16+N16+P16</f>
        <v>1847</v>
      </c>
      <c r="S16" s="330">
        <f t="shared" si="5"/>
        <v>2100</v>
      </c>
    </row>
    <row r="17" spans="1:19">
      <c r="A17" s="310" t="s">
        <v>69</v>
      </c>
      <c r="B17" s="329">
        <v>6960.375</v>
      </c>
      <c r="C17" s="330">
        <v>5131.1499999999996</v>
      </c>
      <c r="D17" s="331">
        <v>1299</v>
      </c>
      <c r="E17" s="332">
        <v>911</v>
      </c>
      <c r="F17" s="331">
        <v>1232</v>
      </c>
      <c r="G17" s="332">
        <f>942-1</f>
        <v>941</v>
      </c>
      <c r="H17" s="333">
        <v>1834</v>
      </c>
      <c r="I17" s="334">
        <v>1456</v>
      </c>
      <c r="J17" s="331">
        <v>940</v>
      </c>
      <c r="K17" s="332">
        <v>691</v>
      </c>
      <c r="L17" s="333">
        <v>942</v>
      </c>
      <c r="M17" s="334">
        <v>647</v>
      </c>
      <c r="N17" s="331">
        <f>714-1</f>
        <v>713</v>
      </c>
      <c r="O17" s="332">
        <v>485</v>
      </c>
      <c r="P17" s="335">
        <v>0</v>
      </c>
      <c r="Q17" s="336">
        <v>0</v>
      </c>
      <c r="R17" s="329">
        <f t="shared" si="6"/>
        <v>6960</v>
      </c>
      <c r="S17" s="330">
        <f t="shared" si="5"/>
        <v>5131</v>
      </c>
    </row>
    <row r="18" spans="1:19">
      <c r="A18" s="310" t="s">
        <v>70</v>
      </c>
      <c r="B18" s="329">
        <v>8284</v>
      </c>
      <c r="C18" s="330">
        <v>11829.5</v>
      </c>
      <c r="D18" s="331">
        <v>1546</v>
      </c>
      <c r="E18" s="332">
        <v>2097</v>
      </c>
      <c r="F18" s="331">
        <v>1467</v>
      </c>
      <c r="G18" s="332">
        <v>2174</v>
      </c>
      <c r="H18" s="333">
        <v>2182</v>
      </c>
      <c r="I18" s="334">
        <v>3355</v>
      </c>
      <c r="J18" s="331">
        <f>1121-1</f>
        <v>1120</v>
      </c>
      <c r="K18" s="332">
        <f>1592-1</f>
        <v>1591</v>
      </c>
      <c r="L18" s="333">
        <v>1121</v>
      </c>
      <c r="M18" s="334">
        <v>1492</v>
      </c>
      <c r="N18" s="331">
        <v>848</v>
      </c>
      <c r="O18" s="332">
        <v>1121</v>
      </c>
      <c r="P18" s="335">
        <v>0</v>
      </c>
      <c r="Q18" s="336">
        <v>0</v>
      </c>
      <c r="R18" s="329">
        <f>+D18+F18+H18+J18+L18+N18+P18</f>
        <v>8284</v>
      </c>
      <c r="S18" s="330">
        <f t="shared" si="5"/>
        <v>11830</v>
      </c>
    </row>
    <row r="19" spans="1:19">
      <c r="A19" s="310" t="s">
        <v>71</v>
      </c>
      <c r="B19" s="348">
        <v>0</v>
      </c>
      <c r="C19" s="338">
        <v>0</v>
      </c>
      <c r="D19" s="344"/>
      <c r="E19" s="345"/>
      <c r="F19" s="344"/>
      <c r="G19" s="345"/>
      <c r="H19" s="346"/>
      <c r="I19" s="347"/>
      <c r="J19" s="344"/>
      <c r="K19" s="345"/>
      <c r="L19" s="346"/>
      <c r="M19" s="347"/>
      <c r="N19" s="344"/>
      <c r="O19" s="345"/>
      <c r="P19" s="346">
        <v>0</v>
      </c>
      <c r="Q19" s="347">
        <v>0</v>
      </c>
      <c r="R19" s="348"/>
      <c r="S19" s="338"/>
    </row>
    <row r="20" spans="1:19" ht="15.75" thickBot="1">
      <c r="A20" s="311" t="s">
        <v>33</v>
      </c>
      <c r="B20" s="367">
        <v>-7858</v>
      </c>
      <c r="C20" s="368">
        <v>-8249</v>
      </c>
      <c r="D20" s="369">
        <v>-1408</v>
      </c>
      <c r="E20" s="370">
        <v>-1421</v>
      </c>
      <c r="F20" s="369">
        <v>-1322</v>
      </c>
      <c r="G20" s="370">
        <v>-1430</v>
      </c>
      <c r="H20" s="371">
        <v>-2004</v>
      </c>
      <c r="I20" s="372">
        <v>-2203</v>
      </c>
      <c r="J20" s="369">
        <v>-1039</v>
      </c>
      <c r="K20" s="370">
        <v>-1094</v>
      </c>
      <c r="L20" s="371">
        <f>-1008</f>
        <v>-1008</v>
      </c>
      <c r="M20" s="372">
        <v>-1012</v>
      </c>
      <c r="N20" s="369">
        <f>-769</f>
        <v>-769</v>
      </c>
      <c r="O20" s="370">
        <v>-770</v>
      </c>
      <c r="P20" s="371">
        <f>-306-2</f>
        <v>-308</v>
      </c>
      <c r="Q20" s="372">
        <f>-318-1</f>
        <v>-319</v>
      </c>
      <c r="R20" s="367">
        <f>+D20+F20+H20+J20+L20+N20+P20</f>
        <v>-7858</v>
      </c>
      <c r="S20" s="368">
        <f>+E20+G20+I20+K20+M20+O20+Q20</f>
        <v>-8249</v>
      </c>
    </row>
    <row r="21" spans="1:19" ht="16.5" thickTop="1" thickBot="1">
      <c r="A21" s="312" t="s">
        <v>34</v>
      </c>
      <c r="B21" s="355">
        <f>+B14+B20+1</f>
        <v>-25348.031383000001</v>
      </c>
      <c r="C21" s="356">
        <f>+C14+C20+1</f>
        <v>-27709.042332000001</v>
      </c>
      <c r="D21" s="357">
        <f t="shared" ref="D21:Q21" si="7">+D14+D20</f>
        <v>-4659</v>
      </c>
      <c r="E21" s="358">
        <f t="shared" si="7"/>
        <v>-4883</v>
      </c>
      <c r="F21" s="357">
        <f t="shared" si="7"/>
        <v>-4430</v>
      </c>
      <c r="G21" s="358">
        <f t="shared" si="7"/>
        <v>-4993</v>
      </c>
      <c r="H21" s="359">
        <f t="shared" si="7"/>
        <v>-6622</v>
      </c>
      <c r="I21" s="360">
        <f t="shared" si="7"/>
        <v>-7693</v>
      </c>
      <c r="J21" s="357">
        <f t="shared" si="7"/>
        <v>-3413</v>
      </c>
      <c r="K21" s="358">
        <f t="shared" si="7"/>
        <v>-3714</v>
      </c>
      <c r="L21" s="359">
        <f t="shared" si="7"/>
        <v>-3338</v>
      </c>
      <c r="M21" s="360">
        <f t="shared" si="7"/>
        <v>-3448</v>
      </c>
      <c r="N21" s="357">
        <f t="shared" si="7"/>
        <v>-2564</v>
      </c>
      <c r="O21" s="358">
        <f t="shared" si="7"/>
        <v>-2644</v>
      </c>
      <c r="P21" s="359">
        <f t="shared" si="7"/>
        <v>-323</v>
      </c>
      <c r="Q21" s="360">
        <f t="shared" si="7"/>
        <v>-335</v>
      </c>
      <c r="R21" s="355">
        <f>+R14+R20+1</f>
        <v>-25348</v>
      </c>
      <c r="S21" s="356">
        <f>+S14+S20+1</f>
        <v>-27709</v>
      </c>
    </row>
    <row r="22" spans="1:19" ht="16.5" thickTop="1" thickBot="1">
      <c r="A22" s="312" t="s">
        <v>35</v>
      </c>
      <c r="B22" s="355">
        <f>B13+B21-1</f>
        <v>1225.9686169999986</v>
      </c>
      <c r="C22" s="356">
        <f>C13+C21-1</f>
        <v>443.9576679999991</v>
      </c>
      <c r="D22" s="357">
        <f t="shared" ref="D22:Q22" si="8">+D13+D21</f>
        <v>356</v>
      </c>
      <c r="E22" s="358">
        <f t="shared" si="8"/>
        <v>317</v>
      </c>
      <c r="F22" s="357">
        <f t="shared" si="8"/>
        <v>-78</v>
      </c>
      <c r="G22" s="358">
        <f t="shared" si="8"/>
        <v>-234</v>
      </c>
      <c r="H22" s="359">
        <f t="shared" si="8"/>
        <v>307</v>
      </c>
      <c r="I22" s="360">
        <f t="shared" si="8"/>
        <v>-324</v>
      </c>
      <c r="J22" s="357">
        <f t="shared" si="8"/>
        <v>568</v>
      </c>
      <c r="K22" s="358">
        <f t="shared" si="8"/>
        <v>479</v>
      </c>
      <c r="L22" s="359">
        <f t="shared" si="8"/>
        <v>389</v>
      </c>
      <c r="M22" s="360">
        <f t="shared" si="8"/>
        <v>439.14240000000018</v>
      </c>
      <c r="N22" s="357">
        <f t="shared" si="8"/>
        <v>-13</v>
      </c>
      <c r="O22" s="358">
        <f t="shared" si="8"/>
        <v>76.382000000000062</v>
      </c>
      <c r="P22" s="359">
        <f t="shared" si="8"/>
        <v>-303</v>
      </c>
      <c r="Q22" s="360">
        <f t="shared" si="8"/>
        <v>-310</v>
      </c>
      <c r="R22" s="355">
        <f>+R13+R21-1</f>
        <v>1226</v>
      </c>
      <c r="S22" s="356">
        <f>+S13+S21-1</f>
        <v>443.52440000000206</v>
      </c>
    </row>
    <row r="23" spans="1:19" ht="15.75" thickTop="1">
      <c r="A23" s="314" t="s">
        <v>23</v>
      </c>
      <c r="B23" s="361">
        <v>-3358</v>
      </c>
      <c r="C23" s="362">
        <v>-3711</v>
      </c>
      <c r="D23" s="363">
        <v>-523</v>
      </c>
      <c r="E23" s="364">
        <v>-565</v>
      </c>
      <c r="F23" s="363">
        <v>-558</v>
      </c>
      <c r="G23" s="364">
        <v>-600</v>
      </c>
      <c r="H23" s="365">
        <f>-588-1</f>
        <v>-589</v>
      </c>
      <c r="I23" s="366">
        <v>-634</v>
      </c>
      <c r="J23" s="363">
        <v>-464</v>
      </c>
      <c r="K23" s="364">
        <f>-538-1</f>
        <v>-539</v>
      </c>
      <c r="L23" s="365">
        <v>-536</v>
      </c>
      <c r="M23" s="366">
        <v>-591</v>
      </c>
      <c r="N23" s="363">
        <v>-432</v>
      </c>
      <c r="O23" s="364">
        <f>-478</f>
        <v>-478</v>
      </c>
      <c r="P23" s="365">
        <v>-256</v>
      </c>
      <c r="Q23" s="366">
        <f>-303-1</f>
        <v>-304</v>
      </c>
      <c r="R23" s="361">
        <f t="shared" ref="R23:S23" si="9">+D23+F23+H23+J23+L23+N23+P23</f>
        <v>-3358</v>
      </c>
      <c r="S23" s="362">
        <f t="shared" si="9"/>
        <v>-3711</v>
      </c>
    </row>
    <row r="24" spans="1:19" ht="15.75" thickBot="1">
      <c r="A24" s="315" t="s">
        <v>36</v>
      </c>
      <c r="B24" s="373">
        <f>-B5*0.02</f>
        <v>-531.5</v>
      </c>
      <c r="C24" s="414">
        <f>-C5*0.02</f>
        <v>-563.08000000000004</v>
      </c>
      <c r="D24" s="375">
        <f t="shared" ref="D24:S24" si="10">(+D5*0.02)*(-1)</f>
        <v>-100.3</v>
      </c>
      <c r="E24" s="376">
        <f t="shared" si="10"/>
        <v>-104</v>
      </c>
      <c r="F24" s="375">
        <f t="shared" si="10"/>
        <v>-87.04</v>
      </c>
      <c r="G24" s="376">
        <f t="shared" si="10"/>
        <v>-95.18</v>
      </c>
      <c r="H24" s="377">
        <f t="shared" si="10"/>
        <v>-138.58000000000001</v>
      </c>
      <c r="I24" s="378">
        <f t="shared" si="10"/>
        <v>-147.38</v>
      </c>
      <c r="J24" s="375">
        <f t="shared" si="10"/>
        <v>-79.62</v>
      </c>
      <c r="K24" s="376">
        <f t="shared" si="10"/>
        <v>-83.86</v>
      </c>
      <c r="L24" s="377">
        <f t="shared" si="10"/>
        <v>-74.540000000000006</v>
      </c>
      <c r="M24" s="378">
        <f t="shared" si="10"/>
        <v>-77.742848000000009</v>
      </c>
      <c r="N24" s="375">
        <f t="shared" si="10"/>
        <v>-51.02</v>
      </c>
      <c r="O24" s="376">
        <f t="shared" si="10"/>
        <v>-54.407640000000001</v>
      </c>
      <c r="P24" s="377">
        <f t="shared" si="10"/>
        <v>-0.4</v>
      </c>
      <c r="Q24" s="378">
        <f t="shared" si="10"/>
        <v>-0.5</v>
      </c>
      <c r="R24" s="373">
        <f t="shared" si="10"/>
        <v>-531.5</v>
      </c>
      <c r="S24" s="374">
        <f t="shared" si="10"/>
        <v>-563.07048800000007</v>
      </c>
    </row>
    <row r="25" spans="1:19" ht="16.5" thickTop="1" thickBot="1">
      <c r="A25" s="312" t="s">
        <v>37</v>
      </c>
      <c r="B25" s="355">
        <f>+B22+B23+B24</f>
        <v>-2663.5313830000014</v>
      </c>
      <c r="C25" s="356">
        <f>+C22+C23+C24</f>
        <v>-3830.1223320000008</v>
      </c>
      <c r="D25" s="357">
        <f t="shared" ref="D25:Q25" si="11">+D22+D23+D24</f>
        <v>-267.3</v>
      </c>
      <c r="E25" s="358">
        <f t="shared" si="11"/>
        <v>-352</v>
      </c>
      <c r="F25" s="357">
        <f t="shared" si="11"/>
        <v>-723.04</v>
      </c>
      <c r="G25" s="358">
        <f t="shared" si="11"/>
        <v>-929.18000000000006</v>
      </c>
      <c r="H25" s="359">
        <f t="shared" si="11"/>
        <v>-420.58000000000004</v>
      </c>
      <c r="I25" s="360">
        <f t="shared" si="11"/>
        <v>-1105.3800000000001</v>
      </c>
      <c r="J25" s="357">
        <f t="shared" si="11"/>
        <v>24.379999999999995</v>
      </c>
      <c r="K25" s="358">
        <f t="shared" si="11"/>
        <v>-143.86000000000001</v>
      </c>
      <c r="L25" s="359">
        <f t="shared" si="11"/>
        <v>-221.54000000000002</v>
      </c>
      <c r="M25" s="360">
        <f t="shared" si="11"/>
        <v>-229.60044799999983</v>
      </c>
      <c r="N25" s="357">
        <f t="shared" si="11"/>
        <v>-496.02</v>
      </c>
      <c r="O25" s="358">
        <f t="shared" si="11"/>
        <v>-456.02563999999995</v>
      </c>
      <c r="P25" s="359">
        <f>+P22+P23+P24</f>
        <v>-559.4</v>
      </c>
      <c r="Q25" s="360">
        <f t="shared" si="11"/>
        <v>-614.5</v>
      </c>
      <c r="R25" s="355">
        <f>+D25+F25+H25+J25+L25+N25+P25</f>
        <v>-2663.5</v>
      </c>
      <c r="S25" s="356">
        <f>+E25+G25+I25+K25+M25+O25+Q25+1</f>
        <v>-3829.5460880000001</v>
      </c>
    </row>
    <row r="26" spans="1:19" ht="15.75" thickTop="1">
      <c r="A26" s="310" t="s">
        <v>28</v>
      </c>
      <c r="B26" s="329">
        <v>1050</v>
      </c>
      <c r="C26" s="330">
        <v>1320</v>
      </c>
      <c r="D26" s="331">
        <v>162</v>
      </c>
      <c r="E26" s="332">
        <f>207+1</f>
        <v>208</v>
      </c>
      <c r="F26" s="331">
        <v>141</v>
      </c>
      <c r="G26" s="332">
        <v>189</v>
      </c>
      <c r="H26" s="333">
        <v>224</v>
      </c>
      <c r="I26" s="334">
        <v>293</v>
      </c>
      <c r="J26" s="331">
        <v>129</v>
      </c>
      <c r="K26" s="332">
        <v>167</v>
      </c>
      <c r="L26" s="333">
        <v>121</v>
      </c>
      <c r="M26" s="334">
        <v>155</v>
      </c>
      <c r="N26" s="331">
        <v>83</v>
      </c>
      <c r="O26" s="332">
        <v>108</v>
      </c>
      <c r="P26" s="333">
        <v>190</v>
      </c>
      <c r="Q26" s="334">
        <v>200</v>
      </c>
      <c r="R26" s="329">
        <f t="shared" ref="R26:R28" si="12">+D26+F26+H26+J26+L26+N26+P26</f>
        <v>1050</v>
      </c>
      <c r="S26" s="330">
        <f t="shared" ref="S26:S33" si="13">+E26+G26+I26+K26+M26+O26+Q26</f>
        <v>1320</v>
      </c>
    </row>
    <row r="27" spans="1:19">
      <c r="A27" s="310" t="s">
        <v>24</v>
      </c>
      <c r="B27" s="329">
        <v>-160</v>
      </c>
      <c r="C27" s="330">
        <v>-165</v>
      </c>
      <c r="D27" s="331">
        <v>-18</v>
      </c>
      <c r="E27" s="332">
        <f>-17-1</f>
        <v>-18</v>
      </c>
      <c r="F27" s="331">
        <v>-16</v>
      </c>
      <c r="G27" s="332">
        <v>-17</v>
      </c>
      <c r="H27" s="333">
        <v>-25</v>
      </c>
      <c r="I27" s="334">
        <v>-26</v>
      </c>
      <c r="J27" s="331">
        <v>-14</v>
      </c>
      <c r="K27" s="332">
        <v>-15</v>
      </c>
      <c r="L27" s="333">
        <v>-13</v>
      </c>
      <c r="M27" s="334">
        <f>-14</f>
        <v>-14</v>
      </c>
      <c r="N27" s="331">
        <v>-9</v>
      </c>
      <c r="O27" s="332">
        <v>-9</v>
      </c>
      <c r="P27" s="335">
        <v>-65</v>
      </c>
      <c r="Q27" s="336">
        <f>-67+1</f>
        <v>-66</v>
      </c>
      <c r="R27" s="329">
        <f t="shared" si="12"/>
        <v>-160</v>
      </c>
      <c r="S27" s="330">
        <f t="shared" si="13"/>
        <v>-165</v>
      </c>
    </row>
    <row r="28" spans="1:19" ht="15.75" thickBot="1">
      <c r="A28" s="310" t="s">
        <v>38</v>
      </c>
      <c r="B28" s="329">
        <v>-3800</v>
      </c>
      <c r="C28" s="330">
        <v>-3950</v>
      </c>
      <c r="D28" s="331">
        <f>+B28*0.1393</f>
        <v>-529.34</v>
      </c>
      <c r="E28" s="332">
        <f>+C28*0.1393</f>
        <v>-550.23500000000001</v>
      </c>
      <c r="F28" s="331">
        <f>+B28*0.2219</f>
        <v>-843.21999999999991</v>
      </c>
      <c r="G28" s="332">
        <f>+C28*0.2219</f>
        <v>-876.505</v>
      </c>
      <c r="H28" s="333">
        <f>+B28*0.3155</f>
        <v>-1198.9000000000001</v>
      </c>
      <c r="I28" s="334">
        <f>+C28*0.3155</f>
        <v>-1246.2249999999999</v>
      </c>
      <c r="J28" s="331">
        <f>+B28*0.0993</f>
        <v>-377.34</v>
      </c>
      <c r="K28" s="332">
        <f>+C28*0.0993</f>
        <v>-392.23500000000001</v>
      </c>
      <c r="L28" s="333">
        <f>+B28*0.1144</f>
        <v>-434.72</v>
      </c>
      <c r="M28" s="334">
        <f>+C28*0.1144</f>
        <v>-451.88</v>
      </c>
      <c r="N28" s="331">
        <f>+B28*0.0873</f>
        <v>-331.74</v>
      </c>
      <c r="O28" s="332">
        <f>+C28*0.0873</f>
        <v>-344.83500000000004</v>
      </c>
      <c r="P28" s="335">
        <f>+B28*0.0224</f>
        <v>-85.12</v>
      </c>
      <c r="Q28" s="336">
        <f>+C28*0.0224</f>
        <v>-88.48</v>
      </c>
      <c r="R28" s="329">
        <f t="shared" si="12"/>
        <v>-3800.38</v>
      </c>
      <c r="S28" s="330">
        <f t="shared" si="13"/>
        <v>-3950.3950000000004</v>
      </c>
    </row>
    <row r="29" spans="1:19" ht="15.75" thickBot="1">
      <c r="A29" s="316" t="s">
        <v>39</v>
      </c>
      <c r="B29" s="379">
        <v>1000</v>
      </c>
      <c r="C29" s="413">
        <v>1200</v>
      </c>
      <c r="D29" s="380">
        <v>329</v>
      </c>
      <c r="E29" s="381">
        <f>395-1</f>
        <v>394</v>
      </c>
      <c r="F29" s="380">
        <v>47</v>
      </c>
      <c r="G29" s="381">
        <v>57</v>
      </c>
      <c r="H29" s="382">
        <f>4+1</f>
        <v>5</v>
      </c>
      <c r="I29" s="383">
        <f>5-1</f>
        <v>4</v>
      </c>
      <c r="J29" s="380">
        <v>90</v>
      </c>
      <c r="K29" s="381">
        <v>108</v>
      </c>
      <c r="L29" s="382">
        <v>233</v>
      </c>
      <c r="M29" s="383">
        <v>279</v>
      </c>
      <c r="N29" s="380">
        <v>288</v>
      </c>
      <c r="O29" s="381">
        <v>348</v>
      </c>
      <c r="P29" s="382">
        <v>8</v>
      </c>
      <c r="Q29" s="383">
        <v>10</v>
      </c>
      <c r="R29" s="379">
        <f>+P29+N29+L29+J29+H29+F29+D29</f>
        <v>1000</v>
      </c>
      <c r="S29" s="413">
        <f>+Q29+O29+M29+K29+I29+G29+E29</f>
        <v>1200</v>
      </c>
    </row>
    <row r="30" spans="1:19" ht="16.5" thickTop="1" thickBot="1">
      <c r="A30" s="312" t="s">
        <v>40</v>
      </c>
      <c r="B30" s="355">
        <f>+B25+B26+B27+B28+B29</f>
        <v>-4573.5313830000014</v>
      </c>
      <c r="C30" s="356">
        <f>+C25+C26+C27+C28+C29</f>
        <v>-5425.1223320000008</v>
      </c>
      <c r="D30" s="357">
        <f t="shared" ref="D30:Q30" si="14">+D25+D26+D27+D28+D29</f>
        <v>-323.6400000000001</v>
      </c>
      <c r="E30" s="358">
        <f t="shared" si="14"/>
        <v>-318.23500000000001</v>
      </c>
      <c r="F30" s="357">
        <f t="shared" si="14"/>
        <v>-1394.2599999999998</v>
      </c>
      <c r="G30" s="358">
        <f t="shared" si="14"/>
        <v>-1576.6849999999999</v>
      </c>
      <c r="H30" s="359">
        <f t="shared" si="14"/>
        <v>-1415.48</v>
      </c>
      <c r="I30" s="360">
        <f t="shared" si="14"/>
        <v>-2080.605</v>
      </c>
      <c r="J30" s="357">
        <f t="shared" si="14"/>
        <v>-147.95999999999998</v>
      </c>
      <c r="K30" s="358">
        <f t="shared" si="14"/>
        <v>-276.09500000000003</v>
      </c>
      <c r="L30" s="359">
        <f t="shared" si="14"/>
        <v>-315.26</v>
      </c>
      <c r="M30" s="360">
        <f t="shared" si="14"/>
        <v>-261.4804479999998</v>
      </c>
      <c r="N30" s="357">
        <f t="shared" si="14"/>
        <v>-465.76</v>
      </c>
      <c r="O30" s="358">
        <f t="shared" si="14"/>
        <v>-353.86063999999999</v>
      </c>
      <c r="P30" s="359">
        <f t="shared" si="14"/>
        <v>-511.52</v>
      </c>
      <c r="Q30" s="360">
        <f t="shared" si="14"/>
        <v>-558.98</v>
      </c>
      <c r="R30" s="355">
        <f>+D30+F30+H30+J30+L30+N30+P30</f>
        <v>-4573.880000000001</v>
      </c>
      <c r="S30" s="356">
        <f>+E30+G30+I30+K30+M30+O30+Q30+1</f>
        <v>-5424.9410879999996</v>
      </c>
    </row>
    <row r="31" spans="1:19" ht="15.75" thickTop="1">
      <c r="A31" s="317" t="s">
        <v>29</v>
      </c>
      <c r="B31" s="361">
        <v>5</v>
      </c>
      <c r="C31" s="384">
        <v>10</v>
      </c>
      <c r="D31" s="385">
        <v>0</v>
      </c>
      <c r="E31" s="364">
        <v>0</v>
      </c>
      <c r="F31" s="385"/>
      <c r="G31" s="364">
        <v>0</v>
      </c>
      <c r="H31" s="386">
        <v>0</v>
      </c>
      <c r="I31" s="366">
        <v>0</v>
      </c>
      <c r="J31" s="385">
        <v>0</v>
      </c>
      <c r="K31" s="364">
        <v>0</v>
      </c>
      <c r="L31" s="386">
        <v>0</v>
      </c>
      <c r="M31" s="366">
        <v>0</v>
      </c>
      <c r="N31" s="385">
        <v>0</v>
      </c>
      <c r="O31" s="364">
        <v>0</v>
      </c>
      <c r="P31" s="386">
        <v>5</v>
      </c>
      <c r="Q31" s="366">
        <v>10</v>
      </c>
      <c r="R31" s="361">
        <f t="shared" ref="R31:R32" si="15">+D31+F31+H31+J31+L31+N31+P31</f>
        <v>5</v>
      </c>
      <c r="S31" s="384">
        <f t="shared" si="13"/>
        <v>10</v>
      </c>
    </row>
    <row r="32" spans="1:19" ht="15.75" thickBot="1">
      <c r="A32" s="311" t="s">
        <v>25</v>
      </c>
      <c r="B32" s="387">
        <v>-327</v>
      </c>
      <c r="C32" s="368">
        <v>-348</v>
      </c>
      <c r="D32" s="388">
        <f>-61</f>
        <v>-61</v>
      </c>
      <c r="E32" s="370">
        <f>-63</f>
        <v>-63</v>
      </c>
      <c r="F32" s="388">
        <f>-53</f>
        <v>-53</v>
      </c>
      <c r="G32" s="370">
        <f>-58</f>
        <v>-58</v>
      </c>
      <c r="H32" s="389">
        <f>-84</f>
        <v>-84</v>
      </c>
      <c r="I32" s="372">
        <f>-90</f>
        <v>-90</v>
      </c>
      <c r="J32" s="388">
        <f>-48</f>
        <v>-48</v>
      </c>
      <c r="K32" s="370">
        <f>-51</f>
        <v>-51</v>
      </c>
      <c r="L32" s="389">
        <f>-45</f>
        <v>-45</v>
      </c>
      <c r="M32" s="372">
        <f>-47</f>
        <v>-47</v>
      </c>
      <c r="N32" s="388">
        <f>-31</f>
        <v>-31</v>
      </c>
      <c r="O32" s="370">
        <f>-33</f>
        <v>-33</v>
      </c>
      <c r="P32" s="389">
        <f>-5</f>
        <v>-5</v>
      </c>
      <c r="Q32" s="372">
        <f>-5-1</f>
        <v>-6</v>
      </c>
      <c r="R32" s="367">
        <f t="shared" si="15"/>
        <v>-327</v>
      </c>
      <c r="S32" s="368">
        <f t="shared" si="13"/>
        <v>-348</v>
      </c>
    </row>
    <row r="33" spans="1:19" ht="16.5" thickTop="1" thickBot="1">
      <c r="A33" s="312" t="s">
        <v>41</v>
      </c>
      <c r="B33" s="355">
        <f>B31+B32</f>
        <v>-322</v>
      </c>
      <c r="C33" s="356">
        <f>C31+C32</f>
        <v>-338</v>
      </c>
      <c r="D33" s="357">
        <f t="shared" ref="D33:Q33" si="16">+D31+D32</f>
        <v>-61</v>
      </c>
      <c r="E33" s="358">
        <f t="shared" si="16"/>
        <v>-63</v>
      </c>
      <c r="F33" s="357">
        <f t="shared" si="16"/>
        <v>-53</v>
      </c>
      <c r="G33" s="358">
        <f t="shared" si="16"/>
        <v>-58</v>
      </c>
      <c r="H33" s="359">
        <f t="shared" si="16"/>
        <v>-84</v>
      </c>
      <c r="I33" s="360">
        <f t="shared" si="16"/>
        <v>-90</v>
      </c>
      <c r="J33" s="357">
        <f t="shared" si="16"/>
        <v>-48</v>
      </c>
      <c r="K33" s="358">
        <f t="shared" si="16"/>
        <v>-51</v>
      </c>
      <c r="L33" s="359">
        <f t="shared" si="16"/>
        <v>-45</v>
      </c>
      <c r="M33" s="360">
        <f t="shared" si="16"/>
        <v>-47</v>
      </c>
      <c r="N33" s="357">
        <f t="shared" si="16"/>
        <v>-31</v>
      </c>
      <c r="O33" s="358">
        <f t="shared" si="16"/>
        <v>-33</v>
      </c>
      <c r="P33" s="359">
        <f t="shared" si="16"/>
        <v>0</v>
      </c>
      <c r="Q33" s="360">
        <f t="shared" si="16"/>
        <v>4</v>
      </c>
      <c r="R33" s="355">
        <f>+D33+F33+H33+J33+L33+N33+P33</f>
        <v>-322</v>
      </c>
      <c r="S33" s="356">
        <f t="shared" si="13"/>
        <v>-338</v>
      </c>
    </row>
    <row r="34" spans="1:19" ht="16.5" thickTop="1" thickBot="1">
      <c r="A34" s="312" t="s">
        <v>42</v>
      </c>
      <c r="B34" s="355">
        <f>+B30+B33</f>
        <v>-4895.5313830000014</v>
      </c>
      <c r="C34" s="356">
        <f>+C30+C33</f>
        <v>-5763.1223320000008</v>
      </c>
      <c r="D34" s="357">
        <f t="shared" ref="D34:Q34" si="17">+D30+D33</f>
        <v>-384.6400000000001</v>
      </c>
      <c r="E34" s="358">
        <f t="shared" si="17"/>
        <v>-381.23500000000001</v>
      </c>
      <c r="F34" s="357">
        <f t="shared" si="17"/>
        <v>-1447.2599999999998</v>
      </c>
      <c r="G34" s="358">
        <f t="shared" si="17"/>
        <v>-1634.6849999999999</v>
      </c>
      <c r="H34" s="359">
        <f t="shared" si="17"/>
        <v>-1499.48</v>
      </c>
      <c r="I34" s="360">
        <f t="shared" si="17"/>
        <v>-2170.605</v>
      </c>
      <c r="J34" s="357">
        <f t="shared" si="17"/>
        <v>-195.95999999999998</v>
      </c>
      <c r="K34" s="358">
        <f t="shared" si="17"/>
        <v>-327.09500000000003</v>
      </c>
      <c r="L34" s="359">
        <f t="shared" si="17"/>
        <v>-360.26</v>
      </c>
      <c r="M34" s="360">
        <f t="shared" si="17"/>
        <v>-308.4804479999998</v>
      </c>
      <c r="N34" s="357">
        <f t="shared" si="17"/>
        <v>-496.76</v>
      </c>
      <c r="O34" s="358">
        <f t="shared" si="17"/>
        <v>-386.86063999999999</v>
      </c>
      <c r="P34" s="359">
        <f t="shared" si="17"/>
        <v>-511.52</v>
      </c>
      <c r="Q34" s="360">
        <f t="shared" si="17"/>
        <v>-554.98</v>
      </c>
      <c r="R34" s="355">
        <f>+D34+F34+H34+J34+L34+N34+P34</f>
        <v>-4895.880000000001</v>
      </c>
      <c r="S34" s="356">
        <f>+E34+G34+I34+K34+M34+O34+Q34+1</f>
        <v>-5762.9410879999996</v>
      </c>
    </row>
    <row r="35" spans="1:19" ht="15.75" thickTop="1">
      <c r="A35" s="317" t="s">
        <v>43</v>
      </c>
      <c r="B35" s="361">
        <v>0</v>
      </c>
      <c r="C35" s="384">
        <v>0</v>
      </c>
      <c r="D35" s="385">
        <v>0</v>
      </c>
      <c r="E35" s="364">
        <v>0</v>
      </c>
      <c r="F35" s="385">
        <v>0</v>
      </c>
      <c r="G35" s="364">
        <v>0</v>
      </c>
      <c r="H35" s="386">
        <v>0</v>
      </c>
      <c r="I35" s="366">
        <v>0</v>
      </c>
      <c r="J35" s="385">
        <v>0</v>
      </c>
      <c r="K35" s="364">
        <v>0</v>
      </c>
      <c r="L35" s="386">
        <v>0</v>
      </c>
      <c r="M35" s="366">
        <v>0</v>
      </c>
      <c r="N35" s="385">
        <v>0</v>
      </c>
      <c r="O35" s="364">
        <v>0</v>
      </c>
      <c r="P35" s="386">
        <v>0</v>
      </c>
      <c r="Q35" s="366">
        <v>0</v>
      </c>
      <c r="R35" s="361">
        <f t="shared" ref="R35:S42" si="18">+D35+F35+H35+J35+L35+N35+P35</f>
        <v>0</v>
      </c>
      <c r="S35" s="384">
        <f t="shared" si="18"/>
        <v>0</v>
      </c>
    </row>
    <row r="36" spans="1:19" ht="15.75" thickBot="1">
      <c r="A36" s="311" t="s">
        <v>44</v>
      </c>
      <c r="B36" s="387">
        <v>0</v>
      </c>
      <c r="C36" s="368">
        <v>0</v>
      </c>
      <c r="D36" s="388">
        <v>0</v>
      </c>
      <c r="E36" s="370">
        <v>0</v>
      </c>
      <c r="F36" s="388">
        <v>0</v>
      </c>
      <c r="G36" s="370">
        <v>0</v>
      </c>
      <c r="H36" s="389">
        <v>0</v>
      </c>
      <c r="I36" s="372">
        <v>0</v>
      </c>
      <c r="J36" s="388">
        <v>0</v>
      </c>
      <c r="K36" s="370">
        <v>0</v>
      </c>
      <c r="L36" s="389">
        <v>0</v>
      </c>
      <c r="M36" s="372">
        <v>0</v>
      </c>
      <c r="N36" s="388">
        <v>0</v>
      </c>
      <c r="O36" s="370">
        <v>0</v>
      </c>
      <c r="P36" s="389">
        <v>0</v>
      </c>
      <c r="Q36" s="372">
        <v>0</v>
      </c>
      <c r="R36" s="367">
        <f t="shared" si="18"/>
        <v>0</v>
      </c>
      <c r="S36" s="368">
        <f t="shared" si="18"/>
        <v>0</v>
      </c>
    </row>
    <row r="37" spans="1:19" ht="16.5" thickTop="1" thickBot="1">
      <c r="A37" s="312" t="s">
        <v>45</v>
      </c>
      <c r="B37" s="355">
        <f>+B13+B26+B29+B31</f>
        <v>28630</v>
      </c>
      <c r="C37" s="356">
        <f>+C13+C26+C29+C31</f>
        <v>30684</v>
      </c>
      <c r="D37" s="357">
        <f t="shared" ref="D37:Q37" si="19">D13+D26+D29+D31</f>
        <v>5506</v>
      </c>
      <c r="E37" s="358">
        <f t="shared" si="19"/>
        <v>5802</v>
      </c>
      <c r="F37" s="357">
        <f t="shared" si="19"/>
        <v>4540</v>
      </c>
      <c r="G37" s="358">
        <f t="shared" si="19"/>
        <v>5005</v>
      </c>
      <c r="H37" s="359">
        <f t="shared" si="19"/>
        <v>7158</v>
      </c>
      <c r="I37" s="360">
        <f t="shared" si="19"/>
        <v>7666</v>
      </c>
      <c r="J37" s="357">
        <f t="shared" si="19"/>
        <v>4200</v>
      </c>
      <c r="K37" s="358">
        <f t="shared" si="19"/>
        <v>4468</v>
      </c>
      <c r="L37" s="359">
        <f t="shared" si="19"/>
        <v>4081</v>
      </c>
      <c r="M37" s="360">
        <f t="shared" si="19"/>
        <v>4321.1424000000006</v>
      </c>
      <c r="N37" s="357">
        <f t="shared" si="19"/>
        <v>2922</v>
      </c>
      <c r="O37" s="358">
        <f t="shared" si="19"/>
        <v>3176.3820000000001</v>
      </c>
      <c r="P37" s="359">
        <f t="shared" si="19"/>
        <v>223</v>
      </c>
      <c r="Q37" s="360">
        <f t="shared" si="19"/>
        <v>245</v>
      </c>
      <c r="R37" s="355">
        <f t="shared" si="18"/>
        <v>28630</v>
      </c>
      <c r="S37" s="356">
        <f>+E37+G37+I37+K37+M37+O37+Q37</f>
        <v>30683.524400000002</v>
      </c>
    </row>
    <row r="38" spans="1:19" ht="16.5" thickTop="1" thickBot="1">
      <c r="A38" s="312" t="s">
        <v>46</v>
      </c>
      <c r="B38" s="355">
        <f>+B21+B23+B24+B27+B28+B32+B36</f>
        <v>-33524.531383000001</v>
      </c>
      <c r="C38" s="356">
        <f>+C21+C23+C24+C27+C28+C32+C36</f>
        <v>-36446.122331999999</v>
      </c>
      <c r="D38" s="357">
        <f t="shared" ref="D38:Q38" si="20">D21+D23+D24+D27+D28+D32</f>
        <v>-5890.64</v>
      </c>
      <c r="E38" s="358">
        <f t="shared" si="20"/>
        <v>-6183.2349999999997</v>
      </c>
      <c r="F38" s="357">
        <f t="shared" si="20"/>
        <v>-5987.26</v>
      </c>
      <c r="G38" s="358">
        <f t="shared" si="20"/>
        <v>-6639.6850000000004</v>
      </c>
      <c r="H38" s="359">
        <f t="shared" si="20"/>
        <v>-8657.48</v>
      </c>
      <c r="I38" s="360">
        <f t="shared" si="20"/>
        <v>-9836.6049999999996</v>
      </c>
      <c r="J38" s="357">
        <f t="shared" si="20"/>
        <v>-4395.96</v>
      </c>
      <c r="K38" s="358">
        <f t="shared" si="20"/>
        <v>-4795.0949999999993</v>
      </c>
      <c r="L38" s="359">
        <f t="shared" si="20"/>
        <v>-4441.26</v>
      </c>
      <c r="M38" s="360">
        <f t="shared" si="20"/>
        <v>-4629.622848</v>
      </c>
      <c r="N38" s="357">
        <f t="shared" si="20"/>
        <v>-3418.76</v>
      </c>
      <c r="O38" s="358">
        <f t="shared" si="20"/>
        <v>-3563.2426399999999</v>
      </c>
      <c r="P38" s="359">
        <f t="shared" si="20"/>
        <v>-734.52</v>
      </c>
      <c r="Q38" s="360">
        <f t="shared" si="20"/>
        <v>-799.98</v>
      </c>
      <c r="R38" s="355">
        <f>+D38+F38+H38+J38+L38+N38+P38+1</f>
        <v>-33524.879999999997</v>
      </c>
      <c r="S38" s="356">
        <f>+E38+G38+I38+K38+M38+O38+Q38+1</f>
        <v>-36446.465488000002</v>
      </c>
    </row>
    <row r="39" spans="1:19" ht="16.5" thickTop="1" thickBot="1">
      <c r="A39" s="312" t="s">
        <v>47</v>
      </c>
      <c r="B39" s="355">
        <f>+B34+B36</f>
        <v>-4895.5313830000014</v>
      </c>
      <c r="C39" s="356">
        <f>+C34+C36</f>
        <v>-5763.1223320000008</v>
      </c>
      <c r="D39" s="357">
        <f t="shared" ref="D39:Q39" si="21">+D34+D36</f>
        <v>-384.6400000000001</v>
      </c>
      <c r="E39" s="358">
        <f t="shared" si="21"/>
        <v>-381.23500000000001</v>
      </c>
      <c r="F39" s="357">
        <f t="shared" si="21"/>
        <v>-1447.2599999999998</v>
      </c>
      <c r="G39" s="358">
        <f t="shared" si="21"/>
        <v>-1634.6849999999999</v>
      </c>
      <c r="H39" s="359">
        <f t="shared" si="21"/>
        <v>-1499.48</v>
      </c>
      <c r="I39" s="360">
        <f t="shared" si="21"/>
        <v>-2170.605</v>
      </c>
      <c r="J39" s="357">
        <f t="shared" si="21"/>
        <v>-195.95999999999998</v>
      </c>
      <c r="K39" s="358">
        <f t="shared" si="21"/>
        <v>-327.09500000000003</v>
      </c>
      <c r="L39" s="359">
        <f t="shared" si="21"/>
        <v>-360.26</v>
      </c>
      <c r="M39" s="360">
        <f t="shared" si="21"/>
        <v>-308.4804479999998</v>
      </c>
      <c r="N39" s="357">
        <f t="shared" si="21"/>
        <v>-496.76</v>
      </c>
      <c r="O39" s="358">
        <f t="shared" si="21"/>
        <v>-386.86063999999999</v>
      </c>
      <c r="P39" s="359">
        <f t="shared" si="21"/>
        <v>-511.52</v>
      </c>
      <c r="Q39" s="360">
        <f t="shared" si="21"/>
        <v>-554.98</v>
      </c>
      <c r="R39" s="355">
        <f>+D39+F39+H39+J39+L39+N39+P39</f>
        <v>-4895.880000000001</v>
      </c>
      <c r="S39" s="356">
        <f>+E39+G39+I39+K39+M39+O39+Q39+1</f>
        <v>-5762.9410879999996</v>
      </c>
    </row>
    <row r="40" spans="1:19" ht="15.75" thickTop="1">
      <c r="A40" s="317" t="s">
        <v>48</v>
      </c>
      <c r="B40" s="361">
        <v>0</v>
      </c>
      <c r="C40" s="384">
        <v>0</v>
      </c>
      <c r="D40" s="385">
        <v>0</v>
      </c>
      <c r="E40" s="364">
        <v>0</v>
      </c>
      <c r="F40" s="385">
        <v>0</v>
      </c>
      <c r="G40" s="364">
        <v>0</v>
      </c>
      <c r="H40" s="386">
        <v>0</v>
      </c>
      <c r="I40" s="366">
        <v>0</v>
      </c>
      <c r="J40" s="385">
        <v>0</v>
      </c>
      <c r="K40" s="364">
        <v>0</v>
      </c>
      <c r="L40" s="386">
        <v>0</v>
      </c>
      <c r="M40" s="366">
        <v>0</v>
      </c>
      <c r="N40" s="385">
        <v>0</v>
      </c>
      <c r="O40" s="364">
        <v>0</v>
      </c>
      <c r="P40" s="386">
        <v>0</v>
      </c>
      <c r="Q40" s="366">
        <v>0</v>
      </c>
      <c r="R40" s="361">
        <f>+D40+F40+H40+J40+L40+N40+P40</f>
        <v>0</v>
      </c>
      <c r="S40" s="384">
        <f t="shared" si="18"/>
        <v>0</v>
      </c>
    </row>
    <row r="41" spans="1:19" ht="15.75" thickBot="1">
      <c r="A41" s="311" t="s">
        <v>49</v>
      </c>
      <c r="B41" s="387">
        <v>0</v>
      </c>
      <c r="C41" s="368">
        <v>0</v>
      </c>
      <c r="D41" s="388"/>
      <c r="E41" s="370"/>
      <c r="F41" s="388"/>
      <c r="G41" s="370"/>
      <c r="H41" s="389"/>
      <c r="I41" s="372"/>
      <c r="J41" s="388"/>
      <c r="K41" s="370"/>
      <c r="L41" s="389"/>
      <c r="M41" s="372"/>
      <c r="N41" s="388"/>
      <c r="O41" s="370"/>
      <c r="P41" s="389"/>
      <c r="Q41" s="372"/>
      <c r="R41" s="367">
        <f t="shared" ref="R41:R42" si="22">+D41+F41+H41+J41+L41+N41+P41</f>
        <v>0</v>
      </c>
      <c r="S41" s="368">
        <f t="shared" si="18"/>
        <v>0</v>
      </c>
    </row>
    <row r="42" spans="1:19" ht="16.5" thickTop="1" thickBot="1">
      <c r="A42" s="318" t="s">
        <v>50</v>
      </c>
      <c r="B42" s="390">
        <f>+B40+B41</f>
        <v>0</v>
      </c>
      <c r="C42" s="391">
        <f>+C40+C41</f>
        <v>0</v>
      </c>
      <c r="D42" s="392">
        <f>+D40+D41</f>
        <v>0</v>
      </c>
      <c r="E42" s="393">
        <f>+E40+E41</f>
        <v>0</v>
      </c>
      <c r="F42" s="392">
        <f>+F40+F41</f>
        <v>0</v>
      </c>
      <c r="G42" s="393">
        <f t="shared" ref="G42:Q42" si="23">+G40+G41</f>
        <v>0</v>
      </c>
      <c r="H42" s="394">
        <f t="shared" si="23"/>
        <v>0</v>
      </c>
      <c r="I42" s="395">
        <f t="shared" si="23"/>
        <v>0</v>
      </c>
      <c r="J42" s="392">
        <f t="shared" si="23"/>
        <v>0</v>
      </c>
      <c r="K42" s="393">
        <f t="shared" si="23"/>
        <v>0</v>
      </c>
      <c r="L42" s="394">
        <f t="shared" si="23"/>
        <v>0</v>
      </c>
      <c r="M42" s="395">
        <f t="shared" si="23"/>
        <v>0</v>
      </c>
      <c r="N42" s="392">
        <f t="shared" si="23"/>
        <v>0</v>
      </c>
      <c r="O42" s="393">
        <f t="shared" si="23"/>
        <v>0</v>
      </c>
      <c r="P42" s="394">
        <f t="shared" si="23"/>
        <v>0</v>
      </c>
      <c r="Q42" s="395">
        <f t="shared" si="23"/>
        <v>0</v>
      </c>
      <c r="R42" s="390">
        <f t="shared" si="22"/>
        <v>0</v>
      </c>
      <c r="S42" s="391">
        <f t="shared" si="18"/>
        <v>0</v>
      </c>
    </row>
    <row r="43" spans="1:19" ht="16.5" thickTop="1" thickBot="1">
      <c r="A43" s="319" t="s">
        <v>51</v>
      </c>
      <c r="B43" s="396">
        <f>B39+B42</f>
        <v>-4895.5313830000014</v>
      </c>
      <c r="C43" s="397">
        <f>C39+C42</f>
        <v>-5763.1223320000008</v>
      </c>
      <c r="D43" s="415">
        <f t="shared" ref="D43:S43" si="24">+D39+D42</f>
        <v>-384.6400000000001</v>
      </c>
      <c r="E43" s="415">
        <f t="shared" si="24"/>
        <v>-381.23500000000001</v>
      </c>
      <c r="F43" s="415">
        <f t="shared" si="24"/>
        <v>-1447.2599999999998</v>
      </c>
      <c r="G43" s="415">
        <f t="shared" si="24"/>
        <v>-1634.6849999999999</v>
      </c>
      <c r="H43" s="416">
        <f t="shared" si="24"/>
        <v>-1499.48</v>
      </c>
      <c r="I43" s="417">
        <f t="shared" si="24"/>
        <v>-2170.605</v>
      </c>
      <c r="J43" s="415">
        <f t="shared" si="24"/>
        <v>-195.95999999999998</v>
      </c>
      <c r="K43" s="415">
        <f t="shared" si="24"/>
        <v>-327.09500000000003</v>
      </c>
      <c r="L43" s="416">
        <f t="shared" si="24"/>
        <v>-360.26</v>
      </c>
      <c r="M43" s="417">
        <f t="shared" si="24"/>
        <v>-308.4804479999998</v>
      </c>
      <c r="N43" s="415">
        <f t="shared" si="24"/>
        <v>-496.76</v>
      </c>
      <c r="O43" s="415">
        <f t="shared" si="24"/>
        <v>-386.86063999999999</v>
      </c>
      <c r="P43" s="416">
        <f t="shared" si="24"/>
        <v>-511.52</v>
      </c>
      <c r="Q43" s="417">
        <f t="shared" si="24"/>
        <v>-554.98</v>
      </c>
      <c r="R43" s="396">
        <f t="shared" si="24"/>
        <v>-4895.880000000001</v>
      </c>
      <c r="S43" s="397">
        <f t="shared" si="24"/>
        <v>-5762.9410879999996</v>
      </c>
    </row>
    <row r="44" spans="1:19" ht="15.75" thickTop="1"/>
  </sheetData>
  <mergeCells count="11">
    <mergeCell ref="P3:Q3"/>
    <mergeCell ref="R3:S3"/>
    <mergeCell ref="A1:S1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S44"/>
  <sheetViews>
    <sheetView topLeftCell="A10" workbookViewId="0">
      <selection activeCell="A2" sqref="A2"/>
    </sheetView>
  </sheetViews>
  <sheetFormatPr baseColWidth="10" defaultRowHeight="15"/>
  <cols>
    <col min="1" max="1" width="48.7109375" customWidth="1"/>
    <col min="2" max="2" width="9.28515625" customWidth="1"/>
    <col min="3" max="3" width="10.85546875" customWidth="1"/>
    <col min="4" max="4" width="9.28515625" customWidth="1"/>
    <col min="5" max="5" width="8.7109375" customWidth="1"/>
    <col min="6" max="6" width="10.42578125" customWidth="1"/>
    <col min="7" max="7" width="8.140625" customWidth="1"/>
    <col min="8" max="8" width="10" customWidth="1"/>
    <col min="9" max="9" width="10.7109375" customWidth="1"/>
    <col min="10" max="10" width="8.5703125" customWidth="1"/>
    <col min="11" max="11" width="8" customWidth="1"/>
    <col min="12" max="12" width="8.85546875" customWidth="1"/>
    <col min="13" max="13" width="8.28515625" customWidth="1"/>
    <col min="14" max="14" width="7.7109375" customWidth="1"/>
    <col min="15" max="15" width="8.85546875" customWidth="1"/>
    <col min="16" max="16" width="8.140625" customWidth="1"/>
    <col min="17" max="17" width="8.85546875" customWidth="1"/>
    <col min="18" max="18" width="7.28515625" customWidth="1"/>
    <col min="19" max="19" width="8.28515625" customWidth="1"/>
  </cols>
  <sheetData>
    <row r="1" spans="1:19" ht="18.75">
      <c r="A1" s="556" t="s">
        <v>234</v>
      </c>
      <c r="B1" s="556"/>
      <c r="C1" s="556"/>
      <c r="D1" s="556"/>
      <c r="E1" s="556"/>
      <c r="F1" s="556"/>
      <c r="G1" s="556"/>
      <c r="H1" s="556"/>
      <c r="I1" s="556"/>
      <c r="J1" s="556"/>
      <c r="K1" s="556"/>
      <c r="L1" s="556"/>
      <c r="M1" s="556"/>
      <c r="N1" s="556"/>
      <c r="O1" s="556"/>
      <c r="P1" s="556"/>
      <c r="Q1" s="556"/>
      <c r="R1" s="556"/>
      <c r="S1" s="556"/>
    </row>
    <row r="2" spans="1:19" ht="15.75" thickBot="1"/>
    <row r="3" spans="1:19" ht="16.5" thickTop="1" thickBot="1">
      <c r="A3" s="557" t="s">
        <v>21</v>
      </c>
      <c r="B3" s="555" t="s">
        <v>13</v>
      </c>
      <c r="C3" s="555"/>
      <c r="D3" s="555" t="s">
        <v>9</v>
      </c>
      <c r="E3" s="555"/>
      <c r="F3" s="555" t="s">
        <v>10</v>
      </c>
      <c r="G3" s="555"/>
      <c r="H3" s="553" t="s">
        <v>11</v>
      </c>
      <c r="I3" s="554"/>
      <c r="J3" s="555" t="s">
        <v>12</v>
      </c>
      <c r="K3" s="555"/>
      <c r="L3" s="553" t="s">
        <v>7</v>
      </c>
      <c r="M3" s="554"/>
      <c r="N3" s="555" t="s">
        <v>8</v>
      </c>
      <c r="O3" s="555"/>
      <c r="P3" s="553" t="s">
        <v>14</v>
      </c>
      <c r="Q3" s="554"/>
      <c r="R3" s="555" t="s">
        <v>53</v>
      </c>
      <c r="S3" s="555"/>
    </row>
    <row r="4" spans="1:19" ht="16.5" thickTop="1" thickBot="1">
      <c r="A4" s="557"/>
      <c r="B4" s="320" t="s">
        <v>160</v>
      </c>
      <c r="C4" s="320" t="s">
        <v>134</v>
      </c>
      <c r="D4" s="320" t="s">
        <v>133</v>
      </c>
      <c r="E4" s="320">
        <v>2013</v>
      </c>
      <c r="F4" s="320" t="s">
        <v>133</v>
      </c>
      <c r="G4" s="320">
        <v>2013</v>
      </c>
      <c r="H4" s="321" t="s">
        <v>133</v>
      </c>
      <c r="I4" s="322">
        <v>2013</v>
      </c>
      <c r="J4" s="320" t="s">
        <v>133</v>
      </c>
      <c r="K4" s="320">
        <v>2013</v>
      </c>
      <c r="L4" s="321" t="s">
        <v>133</v>
      </c>
      <c r="M4" s="322">
        <v>2013</v>
      </c>
      <c r="N4" s="320" t="s">
        <v>133</v>
      </c>
      <c r="O4" s="320">
        <v>2013</v>
      </c>
      <c r="P4" s="321" t="s">
        <v>133</v>
      </c>
      <c r="Q4" s="322">
        <v>2013</v>
      </c>
      <c r="R4" s="320" t="s">
        <v>160</v>
      </c>
      <c r="S4" s="320" t="s">
        <v>134</v>
      </c>
    </row>
    <row r="5" spans="1:19" ht="15.75" thickTop="1">
      <c r="A5" s="309" t="s">
        <v>26</v>
      </c>
      <c r="B5" s="323">
        <f>+B6+B7+B8+B9</f>
        <v>26575</v>
      </c>
      <c r="C5" s="324">
        <f t="shared" ref="C5:S5" si="0">+C6+C7+C8+C9</f>
        <v>28154</v>
      </c>
      <c r="D5" s="325">
        <f t="shared" si="0"/>
        <v>5015</v>
      </c>
      <c r="E5" s="326">
        <f t="shared" si="0"/>
        <v>5200</v>
      </c>
      <c r="F5" s="325">
        <f t="shared" si="0"/>
        <v>4352</v>
      </c>
      <c r="G5" s="326">
        <f t="shared" si="0"/>
        <v>4759</v>
      </c>
      <c r="H5" s="327">
        <f t="shared" si="0"/>
        <v>6929</v>
      </c>
      <c r="I5" s="328">
        <f t="shared" si="0"/>
        <v>7369</v>
      </c>
      <c r="J5" s="325">
        <f t="shared" si="0"/>
        <v>3981</v>
      </c>
      <c r="K5" s="326">
        <f t="shared" si="0"/>
        <v>4193</v>
      </c>
      <c r="L5" s="327">
        <f t="shared" si="0"/>
        <v>3727</v>
      </c>
      <c r="M5" s="328">
        <f t="shared" si="0"/>
        <v>3887.1424000000002</v>
      </c>
      <c r="N5" s="325">
        <f t="shared" si="0"/>
        <v>2551</v>
      </c>
      <c r="O5" s="326">
        <f t="shared" si="0"/>
        <v>2720.3820000000001</v>
      </c>
      <c r="P5" s="327">
        <f t="shared" si="0"/>
        <v>20</v>
      </c>
      <c r="Q5" s="328">
        <f t="shared" si="0"/>
        <v>25</v>
      </c>
      <c r="R5" s="323">
        <f t="shared" si="0"/>
        <v>26575</v>
      </c>
      <c r="S5" s="324">
        <f t="shared" si="0"/>
        <v>28153.524400000002</v>
      </c>
    </row>
    <row r="6" spans="1:19">
      <c r="A6" s="310" t="s">
        <v>63</v>
      </c>
      <c r="B6" s="329">
        <v>21722</v>
      </c>
      <c r="C6" s="330">
        <v>23123</v>
      </c>
      <c r="D6" s="331">
        <f>4180-1</f>
        <v>4179</v>
      </c>
      <c r="E6" s="332">
        <v>4363</v>
      </c>
      <c r="F6" s="331">
        <v>3404</v>
      </c>
      <c r="G6" s="332">
        <v>3774</v>
      </c>
      <c r="H6" s="333">
        <v>5690</v>
      </c>
      <c r="I6" s="334">
        <v>6070</v>
      </c>
      <c r="J6" s="331">
        <v>3185</v>
      </c>
      <c r="K6" s="332">
        <v>3371</v>
      </c>
      <c r="L6" s="333">
        <v>3151</v>
      </c>
      <c r="M6" s="411">
        <v>3285</v>
      </c>
      <c r="N6" s="331">
        <v>2113</v>
      </c>
      <c r="O6" s="332">
        <v>2260</v>
      </c>
      <c r="P6" s="335">
        <v>0</v>
      </c>
      <c r="Q6" s="336">
        <v>0</v>
      </c>
      <c r="R6" s="329">
        <f t="shared" ref="R6:S7" si="1">+D6+F6+H6+J6+L6+N6+P6</f>
        <v>21722</v>
      </c>
      <c r="S6" s="330">
        <f>+E6+G6+I6+K6+M6+O6+Q6</f>
        <v>23123</v>
      </c>
    </row>
    <row r="7" spans="1:19">
      <c r="A7" s="310" t="s">
        <v>64</v>
      </c>
      <c r="B7" s="329">
        <v>3086</v>
      </c>
      <c r="C7" s="330">
        <v>3158</v>
      </c>
      <c r="D7" s="331">
        <f>505+1</f>
        <v>506</v>
      </c>
      <c r="E7" s="337">
        <v>495</v>
      </c>
      <c r="F7" s="331">
        <v>662</v>
      </c>
      <c r="G7" s="332">
        <v>672</v>
      </c>
      <c r="H7" s="333">
        <v>783</v>
      </c>
      <c r="I7" s="334">
        <v>815</v>
      </c>
      <c r="J7" s="331">
        <v>534</v>
      </c>
      <c r="K7" s="332">
        <v>547</v>
      </c>
      <c r="L7" s="333">
        <v>331</v>
      </c>
      <c r="M7" s="156">
        <f>348.1424-1</f>
        <v>347.14240000000001</v>
      </c>
      <c r="N7" s="331">
        <v>270</v>
      </c>
      <c r="O7" s="337">
        <f>282.382-1</f>
        <v>281.38200000000001</v>
      </c>
      <c r="P7" s="335">
        <v>0</v>
      </c>
      <c r="Q7" s="336">
        <v>0</v>
      </c>
      <c r="R7" s="329">
        <f t="shared" si="1"/>
        <v>3086</v>
      </c>
      <c r="S7" s="330">
        <f t="shared" si="1"/>
        <v>3157.5244000000002</v>
      </c>
    </row>
    <row r="8" spans="1:19">
      <c r="A8" s="310" t="s">
        <v>65</v>
      </c>
      <c r="B8" s="329">
        <v>967</v>
      </c>
      <c r="C8" s="330">
        <v>1015</v>
      </c>
      <c r="D8" s="331">
        <v>183</v>
      </c>
      <c r="E8" s="332">
        <v>188</v>
      </c>
      <c r="F8" s="331">
        <v>158</v>
      </c>
      <c r="G8" s="332">
        <v>172</v>
      </c>
      <c r="H8" s="333">
        <v>252</v>
      </c>
      <c r="I8" s="334">
        <v>266</v>
      </c>
      <c r="J8" s="331">
        <v>145</v>
      </c>
      <c r="K8" s="332">
        <v>151</v>
      </c>
      <c r="L8" s="333">
        <v>136</v>
      </c>
      <c r="M8" s="334">
        <v>140</v>
      </c>
      <c r="N8" s="331">
        <v>93</v>
      </c>
      <c r="O8" s="332">
        <v>98</v>
      </c>
      <c r="P8" s="335">
        <v>0</v>
      </c>
      <c r="Q8" s="336">
        <v>0</v>
      </c>
      <c r="R8" s="329">
        <f>+D8+F8+H8+J8+L8+N8+P8</f>
        <v>967</v>
      </c>
      <c r="S8" s="330">
        <f>+E8+G8+I8+K8+M8+O8+Q8</f>
        <v>1015</v>
      </c>
    </row>
    <row r="9" spans="1:19">
      <c r="A9" s="310" t="s">
        <v>66</v>
      </c>
      <c r="B9" s="329">
        <f>700+100</f>
        <v>800</v>
      </c>
      <c r="C9" s="412">
        <f>758+100</f>
        <v>858</v>
      </c>
      <c r="D9" s="339">
        <v>147</v>
      </c>
      <c r="E9" s="332">
        <v>154</v>
      </c>
      <c r="F9" s="339">
        <v>128</v>
      </c>
      <c r="G9" s="332">
        <v>141</v>
      </c>
      <c r="H9" s="340">
        <v>204</v>
      </c>
      <c r="I9" s="334">
        <v>218</v>
      </c>
      <c r="J9" s="339">
        <v>117</v>
      </c>
      <c r="K9" s="332">
        <v>124</v>
      </c>
      <c r="L9" s="340">
        <f>110-1</f>
        <v>109</v>
      </c>
      <c r="M9" s="341">
        <v>115</v>
      </c>
      <c r="N9" s="339">
        <v>75</v>
      </c>
      <c r="O9" s="332">
        <v>81</v>
      </c>
      <c r="P9" s="340">
        <v>20</v>
      </c>
      <c r="Q9" s="334">
        <v>25</v>
      </c>
      <c r="R9" s="329">
        <f>+D9+F9+H9+J9+L9+N9+P9</f>
        <v>800</v>
      </c>
      <c r="S9" s="412">
        <f>+E9+G9+I9+K9+M9+O9+Q9</f>
        <v>858</v>
      </c>
    </row>
    <row r="10" spans="1:19">
      <c r="A10" s="310" t="s">
        <v>30</v>
      </c>
      <c r="B10" s="342">
        <v>0</v>
      </c>
      <c r="C10" s="343">
        <v>0</v>
      </c>
      <c r="D10" s="344"/>
      <c r="E10" s="345"/>
      <c r="F10" s="344"/>
      <c r="G10" s="345"/>
      <c r="H10" s="346"/>
      <c r="I10" s="347"/>
      <c r="J10" s="344"/>
      <c r="K10" s="345"/>
      <c r="L10" s="346"/>
      <c r="M10" s="347"/>
      <c r="N10" s="344"/>
      <c r="O10" s="345"/>
      <c r="P10" s="346"/>
      <c r="Q10" s="347"/>
      <c r="R10" s="342"/>
      <c r="S10" s="343"/>
    </row>
    <row r="11" spans="1:19">
      <c r="A11" s="310" t="s">
        <v>27</v>
      </c>
      <c r="B11" s="348">
        <v>0</v>
      </c>
      <c r="C11" s="338">
        <v>0</v>
      </c>
      <c r="D11" s="344">
        <v>0</v>
      </c>
      <c r="E11" s="345">
        <v>0</v>
      </c>
      <c r="F11" s="344">
        <v>0</v>
      </c>
      <c r="G11" s="345">
        <v>0</v>
      </c>
      <c r="H11" s="346">
        <v>0</v>
      </c>
      <c r="I11" s="347">
        <v>0</v>
      </c>
      <c r="J11" s="344">
        <v>0</v>
      </c>
      <c r="K11" s="345">
        <v>0</v>
      </c>
      <c r="L11" s="346"/>
      <c r="M11" s="347">
        <v>0</v>
      </c>
      <c r="N11" s="344">
        <v>0</v>
      </c>
      <c r="O11" s="345">
        <v>0</v>
      </c>
      <c r="P11" s="346">
        <v>0</v>
      </c>
      <c r="Q11" s="347">
        <v>0</v>
      </c>
      <c r="R11" s="348">
        <f>+D11+F11+H11+J11+L11+N11+P11</f>
        <v>0</v>
      </c>
      <c r="S11" s="338">
        <f>+E11+G11+I11+K11+M11+O11</f>
        <v>0</v>
      </c>
    </row>
    <row r="12" spans="1:19" ht="15.75" thickBot="1">
      <c r="A12" s="311" t="s">
        <v>31</v>
      </c>
      <c r="B12" s="349"/>
      <c r="C12" s="350"/>
      <c r="D12" s="351"/>
      <c r="E12" s="352"/>
      <c r="F12" s="351"/>
      <c r="G12" s="352"/>
      <c r="H12" s="353"/>
      <c r="I12" s="354"/>
      <c r="J12" s="351"/>
      <c r="K12" s="352"/>
      <c r="L12" s="353"/>
      <c r="M12" s="354"/>
      <c r="N12" s="351"/>
      <c r="O12" s="352"/>
      <c r="P12" s="353"/>
      <c r="Q12" s="354"/>
      <c r="R12" s="349">
        <f t="shared" ref="R12:S12" si="2">+D12+F12+H12+J12+L12+N12+P12</f>
        <v>0</v>
      </c>
      <c r="S12" s="350">
        <f t="shared" si="2"/>
        <v>0</v>
      </c>
    </row>
    <row r="13" spans="1:19" ht="16.5" thickTop="1" thickBot="1">
      <c r="A13" s="312" t="s">
        <v>32</v>
      </c>
      <c r="B13" s="355">
        <f>+B5+B11</f>
        <v>26575</v>
      </c>
      <c r="C13" s="356">
        <f>+C5+C11</f>
        <v>28154</v>
      </c>
      <c r="D13" s="357">
        <f t="shared" ref="D13:S13" si="3">+D5+D11</f>
        <v>5015</v>
      </c>
      <c r="E13" s="358">
        <f t="shared" si="3"/>
        <v>5200</v>
      </c>
      <c r="F13" s="357">
        <f t="shared" si="3"/>
        <v>4352</v>
      </c>
      <c r="G13" s="358">
        <f t="shared" si="3"/>
        <v>4759</v>
      </c>
      <c r="H13" s="359">
        <f t="shared" si="3"/>
        <v>6929</v>
      </c>
      <c r="I13" s="360">
        <f t="shared" si="3"/>
        <v>7369</v>
      </c>
      <c r="J13" s="357">
        <f t="shared" si="3"/>
        <v>3981</v>
      </c>
      <c r="K13" s="358">
        <f t="shared" si="3"/>
        <v>4193</v>
      </c>
      <c r="L13" s="359">
        <f t="shared" si="3"/>
        <v>3727</v>
      </c>
      <c r="M13" s="360">
        <f t="shared" si="3"/>
        <v>3887.1424000000002</v>
      </c>
      <c r="N13" s="357">
        <f t="shared" si="3"/>
        <v>2551</v>
      </c>
      <c r="O13" s="358">
        <f t="shared" si="3"/>
        <v>2720.3820000000001</v>
      </c>
      <c r="P13" s="359">
        <f t="shared" si="3"/>
        <v>20</v>
      </c>
      <c r="Q13" s="360">
        <f t="shared" si="3"/>
        <v>25</v>
      </c>
      <c r="R13" s="355">
        <f t="shared" si="3"/>
        <v>26575</v>
      </c>
      <c r="S13" s="356">
        <f t="shared" si="3"/>
        <v>28153.524400000002</v>
      </c>
    </row>
    <row r="14" spans="1:19" ht="15.75" thickTop="1">
      <c r="A14" s="313" t="s">
        <v>22</v>
      </c>
      <c r="B14" s="361">
        <f>+(B15+B16+B17+B18+B19)*-1</f>
        <v>-17491.031383000001</v>
      </c>
      <c r="C14" s="362">
        <f>+(C15+C16+C17+C18+C19)*-1</f>
        <v>-19461.042332000001</v>
      </c>
      <c r="D14" s="363">
        <f t="shared" ref="D14:Q14" si="4">+(D15+D16+D17+D18+D19)*(-1)</f>
        <v>-3313</v>
      </c>
      <c r="E14" s="364">
        <f t="shared" si="4"/>
        <v>-3636</v>
      </c>
      <c r="F14" s="363">
        <f t="shared" si="4"/>
        <v>-2859</v>
      </c>
      <c r="G14" s="364">
        <f t="shared" si="4"/>
        <v>-3282</v>
      </c>
      <c r="H14" s="365">
        <f t="shared" si="4"/>
        <v>-4476</v>
      </c>
      <c r="I14" s="366">
        <f t="shared" si="4"/>
        <v>-4960</v>
      </c>
      <c r="J14" s="363">
        <f t="shared" si="4"/>
        <v>-2520</v>
      </c>
      <c r="K14" s="364">
        <f t="shared" si="4"/>
        <v>-2788</v>
      </c>
      <c r="L14" s="365">
        <f t="shared" si="4"/>
        <v>-2488</v>
      </c>
      <c r="M14" s="366">
        <f t="shared" si="4"/>
        <v>-2770</v>
      </c>
      <c r="N14" s="363">
        <f t="shared" si="4"/>
        <v>-1821</v>
      </c>
      <c r="O14" s="364">
        <f t="shared" si="4"/>
        <v>-2008</v>
      </c>
      <c r="P14" s="365">
        <f t="shared" si="4"/>
        <v>-15</v>
      </c>
      <c r="Q14" s="366">
        <f t="shared" si="4"/>
        <v>-16</v>
      </c>
      <c r="R14" s="361">
        <f>+D14+F14+H14+J14+L14+N14+P14</f>
        <v>-17492</v>
      </c>
      <c r="S14" s="362">
        <f>+E14+G14+I14+K14+M14+O14+Q14</f>
        <v>-19460</v>
      </c>
    </row>
    <row r="15" spans="1:19">
      <c r="A15" s="310" t="s">
        <v>67</v>
      </c>
      <c r="B15" s="329">
        <v>400</v>
      </c>
      <c r="C15" s="330">
        <v>400</v>
      </c>
      <c r="D15" s="331">
        <v>73</v>
      </c>
      <c r="E15" s="332">
        <f>71</f>
        <v>71</v>
      </c>
      <c r="F15" s="331">
        <v>63</v>
      </c>
      <c r="G15" s="332">
        <v>65</v>
      </c>
      <c r="H15" s="333">
        <v>100</v>
      </c>
      <c r="I15" s="334">
        <f>100</f>
        <v>100</v>
      </c>
      <c r="J15" s="331">
        <v>58</v>
      </c>
      <c r="K15" s="332">
        <f>57+1</f>
        <v>58</v>
      </c>
      <c r="L15" s="333">
        <v>54</v>
      </c>
      <c r="M15" s="334">
        <f>53</f>
        <v>53</v>
      </c>
      <c r="N15" s="331">
        <v>37</v>
      </c>
      <c r="O15" s="332">
        <f>37</f>
        <v>37</v>
      </c>
      <c r="P15" s="333">
        <f>15</f>
        <v>15</v>
      </c>
      <c r="Q15" s="334">
        <f>17-1</f>
        <v>16</v>
      </c>
      <c r="R15" s="329">
        <f>+D15+F15+H15+J15+L15+N15+P15</f>
        <v>400</v>
      </c>
      <c r="S15" s="330">
        <f t="shared" ref="S15:S18" si="5">+E15+G15+I15+K15+M15+O15+Q15</f>
        <v>400</v>
      </c>
    </row>
    <row r="16" spans="1:19">
      <c r="A16" s="310" t="s">
        <v>68</v>
      </c>
      <c r="B16" s="329">
        <v>1846.656383</v>
      </c>
      <c r="C16" s="330">
        <v>2100.3923320000004</v>
      </c>
      <c r="D16" s="331">
        <v>333</v>
      </c>
      <c r="E16" s="332">
        <v>383</v>
      </c>
      <c r="F16" s="331">
        <v>346</v>
      </c>
      <c r="G16" s="332">
        <v>383</v>
      </c>
      <c r="H16" s="333">
        <v>502</v>
      </c>
      <c r="I16" s="334">
        <v>579</v>
      </c>
      <c r="J16" s="331">
        <v>256</v>
      </c>
      <c r="K16" s="332">
        <v>280</v>
      </c>
      <c r="L16" s="333">
        <v>213</v>
      </c>
      <c r="M16" s="334">
        <v>244</v>
      </c>
      <c r="N16" s="331">
        <f>196+1</f>
        <v>197</v>
      </c>
      <c r="O16" s="332">
        <f>232-1</f>
        <v>231</v>
      </c>
      <c r="P16" s="335">
        <v>0</v>
      </c>
      <c r="Q16" s="336">
        <v>0</v>
      </c>
      <c r="R16" s="329">
        <f t="shared" ref="R16:R17" si="6">+D16+F16+H16+J16+L16+N16+P16</f>
        <v>1847</v>
      </c>
      <c r="S16" s="330">
        <f t="shared" si="5"/>
        <v>2100</v>
      </c>
    </row>
    <row r="17" spans="1:19">
      <c r="A17" s="310" t="s">
        <v>69</v>
      </c>
      <c r="B17" s="329">
        <v>6960.375</v>
      </c>
      <c r="C17" s="330">
        <v>5131.1499999999996</v>
      </c>
      <c r="D17" s="331">
        <v>1408</v>
      </c>
      <c r="E17" s="332">
        <f>1003-1</f>
        <v>1002</v>
      </c>
      <c r="F17" s="331">
        <v>1097</v>
      </c>
      <c r="G17" s="332">
        <v>900</v>
      </c>
      <c r="H17" s="333">
        <v>1791</v>
      </c>
      <c r="I17" s="334">
        <f>1352-1</f>
        <v>1351</v>
      </c>
      <c r="J17" s="331">
        <v>1006</v>
      </c>
      <c r="K17" s="332">
        <v>746</v>
      </c>
      <c r="L17" s="333">
        <v>1036</v>
      </c>
      <c r="M17" s="334">
        <v>647</v>
      </c>
      <c r="N17" s="331">
        <v>623</v>
      </c>
      <c r="O17" s="332">
        <v>485</v>
      </c>
      <c r="P17" s="333">
        <v>0</v>
      </c>
      <c r="Q17" s="334">
        <v>0</v>
      </c>
      <c r="R17" s="329">
        <f t="shared" si="6"/>
        <v>6961</v>
      </c>
      <c r="S17" s="330">
        <f t="shared" si="5"/>
        <v>5131</v>
      </c>
    </row>
    <row r="18" spans="1:19">
      <c r="A18" s="310" t="s">
        <v>70</v>
      </c>
      <c r="B18" s="329">
        <v>8284</v>
      </c>
      <c r="C18" s="330">
        <v>11829.5</v>
      </c>
      <c r="D18" s="331">
        <v>1499</v>
      </c>
      <c r="E18" s="332">
        <v>2180</v>
      </c>
      <c r="F18" s="331">
        <v>1353</v>
      </c>
      <c r="G18" s="332">
        <v>1934</v>
      </c>
      <c r="H18" s="333">
        <v>2083</v>
      </c>
      <c r="I18" s="334">
        <v>2930</v>
      </c>
      <c r="J18" s="331">
        <v>1200</v>
      </c>
      <c r="K18" s="332">
        <v>1704</v>
      </c>
      <c r="L18" s="333">
        <v>1185</v>
      </c>
      <c r="M18" s="334">
        <v>1826</v>
      </c>
      <c r="N18" s="331">
        <v>964</v>
      </c>
      <c r="O18" s="332">
        <v>1255</v>
      </c>
      <c r="P18" s="335">
        <v>0</v>
      </c>
      <c r="Q18" s="336">
        <v>0</v>
      </c>
      <c r="R18" s="329">
        <f>+D18+F18+H18+J18+L18+N18+P18</f>
        <v>8284</v>
      </c>
      <c r="S18" s="330">
        <f t="shared" si="5"/>
        <v>11829</v>
      </c>
    </row>
    <row r="19" spans="1:19">
      <c r="A19" s="310" t="s">
        <v>71</v>
      </c>
      <c r="B19" s="348">
        <v>0</v>
      </c>
      <c r="C19" s="338">
        <v>0</v>
      </c>
      <c r="D19" s="344"/>
      <c r="E19" s="345"/>
      <c r="F19" s="344"/>
      <c r="G19" s="345"/>
      <c r="H19" s="346"/>
      <c r="I19" s="347"/>
      <c r="J19" s="344"/>
      <c r="K19" s="345"/>
      <c r="L19" s="346"/>
      <c r="M19" s="347"/>
      <c r="N19" s="344"/>
      <c r="O19" s="345"/>
      <c r="P19" s="346">
        <v>0</v>
      </c>
      <c r="Q19" s="347">
        <v>0</v>
      </c>
      <c r="R19" s="348"/>
      <c r="S19" s="338"/>
    </row>
    <row r="20" spans="1:19" ht="15.75" thickBot="1">
      <c r="A20" s="311" t="s">
        <v>33</v>
      </c>
      <c r="B20" s="367">
        <v>-7858</v>
      </c>
      <c r="C20" s="368">
        <v>-8249</v>
      </c>
      <c r="D20" s="369">
        <v>-1408</v>
      </c>
      <c r="E20" s="370">
        <v>-1421</v>
      </c>
      <c r="F20" s="369">
        <v>-1322</v>
      </c>
      <c r="G20" s="370">
        <v>-1430</v>
      </c>
      <c r="H20" s="371">
        <v>-2004</v>
      </c>
      <c r="I20" s="372">
        <v>-2203</v>
      </c>
      <c r="J20" s="369">
        <v>-1039</v>
      </c>
      <c r="K20" s="370">
        <v>-1094</v>
      </c>
      <c r="L20" s="371">
        <f>-1008</f>
        <v>-1008</v>
      </c>
      <c r="M20" s="372">
        <v>-1012</v>
      </c>
      <c r="N20" s="369">
        <f>-769</f>
        <v>-769</v>
      </c>
      <c r="O20" s="370">
        <v>-770</v>
      </c>
      <c r="P20" s="371">
        <f>-306-2</f>
        <v>-308</v>
      </c>
      <c r="Q20" s="372">
        <f>-318-1</f>
        <v>-319</v>
      </c>
      <c r="R20" s="367">
        <f>+D20+F20+H20+J20+L20+N20+P20</f>
        <v>-7858</v>
      </c>
      <c r="S20" s="368">
        <f>+E20+G20+I20+K20+M20+O20+Q20</f>
        <v>-8249</v>
      </c>
    </row>
    <row r="21" spans="1:19" ht="16.5" thickTop="1" thickBot="1">
      <c r="A21" s="312" t="s">
        <v>34</v>
      </c>
      <c r="B21" s="355">
        <f>+B14+B20+1</f>
        <v>-25348.031383000001</v>
      </c>
      <c r="C21" s="356">
        <f>+C14+C20+1</f>
        <v>-27709.042332000001</v>
      </c>
      <c r="D21" s="357">
        <f t="shared" ref="D21:Q21" si="7">+D14+D20</f>
        <v>-4721</v>
      </c>
      <c r="E21" s="358">
        <f t="shared" si="7"/>
        <v>-5057</v>
      </c>
      <c r="F21" s="357">
        <f t="shared" si="7"/>
        <v>-4181</v>
      </c>
      <c r="G21" s="358">
        <f t="shared" si="7"/>
        <v>-4712</v>
      </c>
      <c r="H21" s="359">
        <f t="shared" si="7"/>
        <v>-6480</v>
      </c>
      <c r="I21" s="360">
        <f t="shared" si="7"/>
        <v>-7163</v>
      </c>
      <c r="J21" s="357">
        <f t="shared" si="7"/>
        <v>-3559</v>
      </c>
      <c r="K21" s="358">
        <f t="shared" si="7"/>
        <v>-3882</v>
      </c>
      <c r="L21" s="359">
        <f t="shared" si="7"/>
        <v>-3496</v>
      </c>
      <c r="M21" s="360">
        <f t="shared" si="7"/>
        <v>-3782</v>
      </c>
      <c r="N21" s="357">
        <f t="shared" si="7"/>
        <v>-2590</v>
      </c>
      <c r="O21" s="358">
        <f t="shared" si="7"/>
        <v>-2778</v>
      </c>
      <c r="P21" s="359">
        <f t="shared" si="7"/>
        <v>-323</v>
      </c>
      <c r="Q21" s="360">
        <f t="shared" si="7"/>
        <v>-335</v>
      </c>
      <c r="R21" s="355">
        <f>+R14+R20+1</f>
        <v>-25349</v>
      </c>
      <c r="S21" s="356">
        <f>+S14+S20+1</f>
        <v>-27708</v>
      </c>
    </row>
    <row r="22" spans="1:19" ht="16.5" thickTop="1" thickBot="1">
      <c r="A22" s="312" t="s">
        <v>35</v>
      </c>
      <c r="B22" s="355">
        <f>B13+B21-1</f>
        <v>1225.9686169999986</v>
      </c>
      <c r="C22" s="356">
        <f>C13+C21-1</f>
        <v>443.9576679999991</v>
      </c>
      <c r="D22" s="357">
        <f t="shared" ref="D22:Q22" si="8">+D13+D21</f>
        <v>294</v>
      </c>
      <c r="E22" s="358">
        <f t="shared" si="8"/>
        <v>143</v>
      </c>
      <c r="F22" s="357">
        <f t="shared" si="8"/>
        <v>171</v>
      </c>
      <c r="G22" s="358">
        <f t="shared" si="8"/>
        <v>47</v>
      </c>
      <c r="H22" s="359">
        <f t="shared" si="8"/>
        <v>449</v>
      </c>
      <c r="I22" s="360">
        <f t="shared" si="8"/>
        <v>206</v>
      </c>
      <c r="J22" s="357">
        <f t="shared" si="8"/>
        <v>422</v>
      </c>
      <c r="K22" s="358">
        <f t="shared" si="8"/>
        <v>311</v>
      </c>
      <c r="L22" s="359">
        <f t="shared" si="8"/>
        <v>231</v>
      </c>
      <c r="M22" s="360">
        <f t="shared" si="8"/>
        <v>105.14240000000018</v>
      </c>
      <c r="N22" s="357">
        <f t="shared" si="8"/>
        <v>-39</v>
      </c>
      <c r="O22" s="358">
        <f t="shared" si="8"/>
        <v>-57.617999999999938</v>
      </c>
      <c r="P22" s="359">
        <f t="shared" si="8"/>
        <v>-303</v>
      </c>
      <c r="Q22" s="360">
        <f t="shared" si="8"/>
        <v>-310</v>
      </c>
      <c r="R22" s="355">
        <f>+R13+R21-1</f>
        <v>1225</v>
      </c>
      <c r="S22" s="356">
        <f>+S13+S21-1</f>
        <v>444.52440000000206</v>
      </c>
    </row>
    <row r="23" spans="1:19" ht="15.75" thickTop="1">
      <c r="A23" s="314" t="s">
        <v>23</v>
      </c>
      <c r="B23" s="361">
        <v>-3358</v>
      </c>
      <c r="C23" s="362">
        <v>-3711</v>
      </c>
      <c r="D23" s="363">
        <v>-523</v>
      </c>
      <c r="E23" s="364">
        <v>-565</v>
      </c>
      <c r="F23" s="363">
        <v>-558</v>
      </c>
      <c r="G23" s="364">
        <v>-600</v>
      </c>
      <c r="H23" s="365">
        <f>-588-1</f>
        <v>-589</v>
      </c>
      <c r="I23" s="366">
        <v>-634</v>
      </c>
      <c r="J23" s="363">
        <v>-464</v>
      </c>
      <c r="K23" s="364">
        <f>-538-1</f>
        <v>-539</v>
      </c>
      <c r="L23" s="365">
        <v>-536</v>
      </c>
      <c r="M23" s="366">
        <v>-591</v>
      </c>
      <c r="N23" s="363">
        <v>-432</v>
      </c>
      <c r="O23" s="364">
        <f>-478</f>
        <v>-478</v>
      </c>
      <c r="P23" s="365">
        <v>-256</v>
      </c>
      <c r="Q23" s="366">
        <f>-303-1</f>
        <v>-304</v>
      </c>
      <c r="R23" s="361">
        <f t="shared" ref="R23:S23" si="9">+D23+F23+H23+J23+L23+N23+P23</f>
        <v>-3358</v>
      </c>
      <c r="S23" s="362">
        <f t="shared" si="9"/>
        <v>-3711</v>
      </c>
    </row>
    <row r="24" spans="1:19" ht="15.75" thickBot="1">
      <c r="A24" s="315" t="s">
        <v>36</v>
      </c>
      <c r="B24" s="373">
        <f>-B5*0.02</f>
        <v>-531.5</v>
      </c>
      <c r="C24" s="414">
        <f>-C5*0.02</f>
        <v>-563.08000000000004</v>
      </c>
      <c r="D24" s="375">
        <f t="shared" ref="D24:S24" si="10">(+D5*0.02)*(-1)</f>
        <v>-100.3</v>
      </c>
      <c r="E24" s="376">
        <f t="shared" si="10"/>
        <v>-104</v>
      </c>
      <c r="F24" s="375">
        <f t="shared" si="10"/>
        <v>-87.04</v>
      </c>
      <c r="G24" s="376">
        <f t="shared" si="10"/>
        <v>-95.18</v>
      </c>
      <c r="H24" s="377">
        <f t="shared" si="10"/>
        <v>-138.58000000000001</v>
      </c>
      <c r="I24" s="378">
        <f t="shared" si="10"/>
        <v>-147.38</v>
      </c>
      <c r="J24" s="375">
        <f t="shared" si="10"/>
        <v>-79.62</v>
      </c>
      <c r="K24" s="376">
        <f t="shared" si="10"/>
        <v>-83.86</v>
      </c>
      <c r="L24" s="377">
        <f t="shared" si="10"/>
        <v>-74.540000000000006</v>
      </c>
      <c r="M24" s="378">
        <f t="shared" si="10"/>
        <v>-77.742848000000009</v>
      </c>
      <c r="N24" s="375">
        <f t="shared" si="10"/>
        <v>-51.02</v>
      </c>
      <c r="O24" s="376">
        <f t="shared" si="10"/>
        <v>-54.407640000000001</v>
      </c>
      <c r="P24" s="377">
        <f t="shared" si="10"/>
        <v>-0.4</v>
      </c>
      <c r="Q24" s="378">
        <f t="shared" si="10"/>
        <v>-0.5</v>
      </c>
      <c r="R24" s="373">
        <f t="shared" si="10"/>
        <v>-531.5</v>
      </c>
      <c r="S24" s="374">
        <f t="shared" si="10"/>
        <v>-563.07048800000007</v>
      </c>
    </row>
    <row r="25" spans="1:19" ht="16.5" thickTop="1" thickBot="1">
      <c r="A25" s="312" t="s">
        <v>37</v>
      </c>
      <c r="B25" s="355">
        <f>+B22+B23+B24</f>
        <v>-2663.5313830000014</v>
      </c>
      <c r="C25" s="356">
        <f>+C22+C23+C24</f>
        <v>-3830.1223320000008</v>
      </c>
      <c r="D25" s="357">
        <f t="shared" ref="D25:Q25" si="11">+D22+D23+D24</f>
        <v>-329.3</v>
      </c>
      <c r="E25" s="358">
        <f t="shared" si="11"/>
        <v>-526</v>
      </c>
      <c r="F25" s="357">
        <f t="shared" si="11"/>
        <v>-474.04</v>
      </c>
      <c r="G25" s="358">
        <f t="shared" si="11"/>
        <v>-648.18000000000006</v>
      </c>
      <c r="H25" s="359">
        <f t="shared" si="11"/>
        <v>-278.58000000000004</v>
      </c>
      <c r="I25" s="360">
        <f t="shared" si="11"/>
        <v>-575.38</v>
      </c>
      <c r="J25" s="357">
        <f t="shared" si="11"/>
        <v>-121.62</v>
      </c>
      <c r="K25" s="358">
        <f t="shared" si="11"/>
        <v>-311.86</v>
      </c>
      <c r="L25" s="359">
        <f t="shared" si="11"/>
        <v>-379.54</v>
      </c>
      <c r="M25" s="360">
        <f t="shared" si="11"/>
        <v>-563.6004479999998</v>
      </c>
      <c r="N25" s="357">
        <f t="shared" si="11"/>
        <v>-522.02</v>
      </c>
      <c r="O25" s="358">
        <f t="shared" si="11"/>
        <v>-590.02563999999995</v>
      </c>
      <c r="P25" s="359">
        <f>+P22+P23+P24</f>
        <v>-559.4</v>
      </c>
      <c r="Q25" s="360">
        <f t="shared" si="11"/>
        <v>-614.5</v>
      </c>
      <c r="R25" s="355">
        <f>+D25+F25+H25+J25+L25+N25+P25</f>
        <v>-2664.5</v>
      </c>
      <c r="S25" s="356">
        <f>+E25+G25+I25+K25+M25+O25+Q25+1</f>
        <v>-3828.5460879999996</v>
      </c>
    </row>
    <row r="26" spans="1:19" ht="15.75" thickTop="1">
      <c r="A26" s="310" t="s">
        <v>28</v>
      </c>
      <c r="B26" s="329">
        <v>1050</v>
      </c>
      <c r="C26" s="330">
        <v>1320</v>
      </c>
      <c r="D26" s="331">
        <v>162</v>
      </c>
      <c r="E26" s="332">
        <f>207+1</f>
        <v>208</v>
      </c>
      <c r="F26" s="331">
        <v>141</v>
      </c>
      <c r="G26" s="332">
        <v>189</v>
      </c>
      <c r="H26" s="333">
        <v>224</v>
      </c>
      <c r="I26" s="334">
        <v>293</v>
      </c>
      <c r="J26" s="331">
        <v>129</v>
      </c>
      <c r="K26" s="332">
        <v>167</v>
      </c>
      <c r="L26" s="333">
        <v>121</v>
      </c>
      <c r="M26" s="334">
        <v>155</v>
      </c>
      <c r="N26" s="331">
        <v>83</v>
      </c>
      <c r="O26" s="332">
        <v>108</v>
      </c>
      <c r="P26" s="333">
        <v>190</v>
      </c>
      <c r="Q26" s="334">
        <v>200</v>
      </c>
      <c r="R26" s="329">
        <f t="shared" ref="R26:S33" si="12">+D26+F26+H26+J26+L26+N26+P26</f>
        <v>1050</v>
      </c>
      <c r="S26" s="330">
        <f t="shared" si="12"/>
        <v>1320</v>
      </c>
    </row>
    <row r="27" spans="1:19">
      <c r="A27" s="310" t="s">
        <v>24</v>
      </c>
      <c r="B27" s="329">
        <v>-160</v>
      </c>
      <c r="C27" s="330">
        <v>-165</v>
      </c>
      <c r="D27" s="331">
        <f>-18+1</f>
        <v>-17</v>
      </c>
      <c r="E27" s="332">
        <f>-17-1</f>
        <v>-18</v>
      </c>
      <c r="F27" s="331">
        <v>-16</v>
      </c>
      <c r="G27" s="332">
        <v>-17</v>
      </c>
      <c r="H27" s="333">
        <v>-25</v>
      </c>
      <c r="I27" s="334">
        <v>-26</v>
      </c>
      <c r="J27" s="331">
        <v>-14</v>
      </c>
      <c r="K27" s="332">
        <v>-15</v>
      </c>
      <c r="L27" s="333">
        <v>-13</v>
      </c>
      <c r="M27" s="334">
        <f>-14</f>
        <v>-14</v>
      </c>
      <c r="N27" s="331">
        <v>-9</v>
      </c>
      <c r="O27" s="332">
        <v>-9</v>
      </c>
      <c r="P27" s="335">
        <v>-65</v>
      </c>
      <c r="Q27" s="336">
        <f>-67</f>
        <v>-67</v>
      </c>
      <c r="R27" s="329">
        <f t="shared" si="12"/>
        <v>-159</v>
      </c>
      <c r="S27" s="330">
        <f t="shared" si="12"/>
        <v>-166</v>
      </c>
    </row>
    <row r="28" spans="1:19" ht="15.75" thickBot="1">
      <c r="A28" s="310" t="s">
        <v>38</v>
      </c>
      <c r="B28" s="329">
        <v>-3800</v>
      </c>
      <c r="C28" s="330">
        <v>-3950</v>
      </c>
      <c r="D28" s="331">
        <f>+B28*0.1393</f>
        <v>-529.34</v>
      </c>
      <c r="E28" s="332">
        <f>+C28*0.1393</f>
        <v>-550.23500000000001</v>
      </c>
      <c r="F28" s="331">
        <f>+B28*0.2219</f>
        <v>-843.21999999999991</v>
      </c>
      <c r="G28" s="332">
        <f>+C28*0.2219</f>
        <v>-876.505</v>
      </c>
      <c r="H28" s="333">
        <f>+B28*0.3155</f>
        <v>-1198.9000000000001</v>
      </c>
      <c r="I28" s="334">
        <f>+C28*0.3155</f>
        <v>-1246.2249999999999</v>
      </c>
      <c r="J28" s="331">
        <f>+B28*0.0993</f>
        <v>-377.34</v>
      </c>
      <c r="K28" s="332">
        <f>+C28*0.0993</f>
        <v>-392.23500000000001</v>
      </c>
      <c r="L28" s="333">
        <f>+B28*0.1144</f>
        <v>-434.72</v>
      </c>
      <c r="M28" s="334">
        <f>+C28*0.1144</f>
        <v>-451.88</v>
      </c>
      <c r="N28" s="331">
        <f>+B28*0.0873</f>
        <v>-331.74</v>
      </c>
      <c r="O28" s="332">
        <f>+C28*0.0873</f>
        <v>-344.83500000000004</v>
      </c>
      <c r="P28" s="335">
        <f>+B28*0.0224</f>
        <v>-85.12</v>
      </c>
      <c r="Q28" s="336">
        <f>+C28*0.0224</f>
        <v>-88.48</v>
      </c>
      <c r="R28" s="329">
        <f t="shared" si="12"/>
        <v>-3800.38</v>
      </c>
      <c r="S28" s="330">
        <f t="shared" si="12"/>
        <v>-3950.3950000000004</v>
      </c>
    </row>
    <row r="29" spans="1:19" ht="15.75" thickBot="1">
      <c r="A29" s="316" t="s">
        <v>39</v>
      </c>
      <c r="B29" s="379">
        <v>1000</v>
      </c>
      <c r="C29" s="413">
        <v>1200</v>
      </c>
      <c r="D29" s="380">
        <v>329</v>
      </c>
      <c r="E29" s="381">
        <f>395-1</f>
        <v>394</v>
      </c>
      <c r="F29" s="380">
        <v>47</v>
      </c>
      <c r="G29" s="381">
        <v>57</v>
      </c>
      <c r="H29" s="382">
        <f>4+1</f>
        <v>5</v>
      </c>
      <c r="I29" s="383">
        <f>5-1</f>
        <v>4</v>
      </c>
      <c r="J29" s="380">
        <v>90</v>
      </c>
      <c r="K29" s="381">
        <v>108</v>
      </c>
      <c r="L29" s="382">
        <v>233</v>
      </c>
      <c r="M29" s="383">
        <v>279</v>
      </c>
      <c r="N29" s="380">
        <v>288</v>
      </c>
      <c r="O29" s="381">
        <v>348</v>
      </c>
      <c r="P29" s="382">
        <v>8</v>
      </c>
      <c r="Q29" s="383">
        <v>10</v>
      </c>
      <c r="R29" s="379">
        <f>+P29+N29+L29+J29+H29+F29+D29</f>
        <v>1000</v>
      </c>
      <c r="S29" s="413">
        <f>+Q29+O29+M29+K29+I29+G29+E29</f>
        <v>1200</v>
      </c>
    </row>
    <row r="30" spans="1:19" ht="16.5" thickTop="1" thickBot="1">
      <c r="A30" s="312" t="s">
        <v>40</v>
      </c>
      <c r="B30" s="355">
        <f>+B25+B26+B27+B28+B29</f>
        <v>-4573.5313830000014</v>
      </c>
      <c r="C30" s="356">
        <f>+C25+C26+C27+C28+C29</f>
        <v>-5425.1223320000008</v>
      </c>
      <c r="D30" s="357">
        <f t="shared" ref="D30:Q30" si="13">+D25+D26+D27+D28+D29</f>
        <v>-384.6400000000001</v>
      </c>
      <c r="E30" s="358">
        <f t="shared" si="13"/>
        <v>-492.23500000000001</v>
      </c>
      <c r="F30" s="357">
        <f t="shared" si="13"/>
        <v>-1145.26</v>
      </c>
      <c r="G30" s="358">
        <f t="shared" si="13"/>
        <v>-1295.6849999999999</v>
      </c>
      <c r="H30" s="359">
        <f t="shared" si="13"/>
        <v>-1273.48</v>
      </c>
      <c r="I30" s="360">
        <f t="shared" si="13"/>
        <v>-1550.605</v>
      </c>
      <c r="J30" s="357">
        <f t="shared" si="13"/>
        <v>-293.95999999999998</v>
      </c>
      <c r="K30" s="358">
        <f t="shared" si="13"/>
        <v>-444.09500000000003</v>
      </c>
      <c r="L30" s="359">
        <f t="shared" si="13"/>
        <v>-473.26</v>
      </c>
      <c r="M30" s="360">
        <f t="shared" si="13"/>
        <v>-595.4804479999998</v>
      </c>
      <c r="N30" s="357">
        <f t="shared" si="13"/>
        <v>-491.76</v>
      </c>
      <c r="O30" s="358">
        <f t="shared" si="13"/>
        <v>-487.86063999999999</v>
      </c>
      <c r="P30" s="359">
        <f t="shared" si="13"/>
        <v>-511.52</v>
      </c>
      <c r="Q30" s="360">
        <f t="shared" si="13"/>
        <v>-559.98</v>
      </c>
      <c r="R30" s="355">
        <f>+D30+F30+H30+J30+L30+N30+P30</f>
        <v>-4573.880000000001</v>
      </c>
      <c r="S30" s="356">
        <f>+E30+G30+I30+K30+M30+O30+Q30+1</f>
        <v>-5424.9410879999996</v>
      </c>
    </row>
    <row r="31" spans="1:19" ht="15.75" thickTop="1">
      <c r="A31" s="317" t="s">
        <v>29</v>
      </c>
      <c r="B31" s="361">
        <v>5</v>
      </c>
      <c r="C31" s="384">
        <v>10</v>
      </c>
      <c r="D31" s="385">
        <v>0</v>
      </c>
      <c r="E31" s="364">
        <v>0</v>
      </c>
      <c r="F31" s="385"/>
      <c r="G31" s="364">
        <v>0</v>
      </c>
      <c r="H31" s="386">
        <v>0</v>
      </c>
      <c r="I31" s="366">
        <v>0</v>
      </c>
      <c r="J31" s="385">
        <v>0</v>
      </c>
      <c r="K31" s="364">
        <v>0</v>
      </c>
      <c r="L31" s="386">
        <v>0</v>
      </c>
      <c r="M31" s="366">
        <v>0</v>
      </c>
      <c r="N31" s="385">
        <v>0</v>
      </c>
      <c r="O31" s="364">
        <v>0</v>
      </c>
      <c r="P31" s="386">
        <v>5</v>
      </c>
      <c r="Q31" s="366">
        <v>10</v>
      </c>
      <c r="R31" s="361">
        <f t="shared" ref="R31:R32" si="14">+D31+F31+H31+J31+L31+N31+P31</f>
        <v>5</v>
      </c>
      <c r="S31" s="384">
        <f t="shared" si="12"/>
        <v>10</v>
      </c>
    </row>
    <row r="32" spans="1:19" ht="15.75" thickBot="1">
      <c r="A32" s="311" t="s">
        <v>25</v>
      </c>
      <c r="B32" s="387">
        <v>-327</v>
      </c>
      <c r="C32" s="368">
        <v>-348</v>
      </c>
      <c r="D32" s="388">
        <f>-61</f>
        <v>-61</v>
      </c>
      <c r="E32" s="370">
        <f>-63</f>
        <v>-63</v>
      </c>
      <c r="F32" s="388">
        <f>-53</f>
        <v>-53</v>
      </c>
      <c r="G32" s="370">
        <f>-58</f>
        <v>-58</v>
      </c>
      <c r="H32" s="389">
        <f>-84</f>
        <v>-84</v>
      </c>
      <c r="I32" s="372">
        <f>-90</f>
        <v>-90</v>
      </c>
      <c r="J32" s="388">
        <f>-48</f>
        <v>-48</v>
      </c>
      <c r="K32" s="370">
        <f>-51</f>
        <v>-51</v>
      </c>
      <c r="L32" s="389">
        <f>-45</f>
        <v>-45</v>
      </c>
      <c r="M32" s="372">
        <f>-47</f>
        <v>-47</v>
      </c>
      <c r="N32" s="388">
        <f>-31</f>
        <v>-31</v>
      </c>
      <c r="O32" s="370">
        <f>-33</f>
        <v>-33</v>
      </c>
      <c r="P32" s="389">
        <f>-5</f>
        <v>-5</v>
      </c>
      <c r="Q32" s="372">
        <f>-5-1</f>
        <v>-6</v>
      </c>
      <c r="R32" s="367">
        <f t="shared" si="14"/>
        <v>-327</v>
      </c>
      <c r="S32" s="368">
        <f t="shared" si="12"/>
        <v>-348</v>
      </c>
    </row>
    <row r="33" spans="1:19" ht="16.5" thickTop="1" thickBot="1">
      <c r="A33" s="312" t="s">
        <v>41</v>
      </c>
      <c r="B33" s="355">
        <f>B31+B32</f>
        <v>-322</v>
      </c>
      <c r="C33" s="356">
        <f>C31+C32</f>
        <v>-338</v>
      </c>
      <c r="D33" s="357">
        <f t="shared" ref="D33:Q33" si="15">+D31+D32</f>
        <v>-61</v>
      </c>
      <c r="E33" s="358">
        <f t="shared" si="15"/>
        <v>-63</v>
      </c>
      <c r="F33" s="357">
        <f t="shared" si="15"/>
        <v>-53</v>
      </c>
      <c r="G33" s="358">
        <f t="shared" si="15"/>
        <v>-58</v>
      </c>
      <c r="H33" s="359">
        <f t="shared" si="15"/>
        <v>-84</v>
      </c>
      <c r="I33" s="360">
        <f t="shared" si="15"/>
        <v>-90</v>
      </c>
      <c r="J33" s="357">
        <f t="shared" si="15"/>
        <v>-48</v>
      </c>
      <c r="K33" s="358">
        <f t="shared" si="15"/>
        <v>-51</v>
      </c>
      <c r="L33" s="359">
        <f t="shared" si="15"/>
        <v>-45</v>
      </c>
      <c r="M33" s="360">
        <f t="shared" si="15"/>
        <v>-47</v>
      </c>
      <c r="N33" s="357">
        <f t="shared" si="15"/>
        <v>-31</v>
      </c>
      <c r="O33" s="358">
        <f t="shared" si="15"/>
        <v>-33</v>
      </c>
      <c r="P33" s="359">
        <f t="shared" si="15"/>
        <v>0</v>
      </c>
      <c r="Q33" s="360">
        <f t="shared" si="15"/>
        <v>4</v>
      </c>
      <c r="R33" s="355">
        <f>+D33+F33+H33+J33+L33+N33+P33</f>
        <v>-322</v>
      </c>
      <c r="S33" s="356">
        <f t="shared" si="12"/>
        <v>-338</v>
      </c>
    </row>
    <row r="34" spans="1:19" ht="16.5" thickTop="1" thickBot="1">
      <c r="A34" s="312" t="s">
        <v>42</v>
      </c>
      <c r="B34" s="355">
        <f>+B30+B33</f>
        <v>-4895.5313830000014</v>
      </c>
      <c r="C34" s="356">
        <f>+C30+C33</f>
        <v>-5763.1223320000008</v>
      </c>
      <c r="D34" s="357">
        <f t="shared" ref="D34:Q34" si="16">+D30+D33</f>
        <v>-445.6400000000001</v>
      </c>
      <c r="E34" s="358">
        <f t="shared" si="16"/>
        <v>-555.23500000000001</v>
      </c>
      <c r="F34" s="357">
        <f t="shared" si="16"/>
        <v>-1198.26</v>
      </c>
      <c r="G34" s="358">
        <f t="shared" si="16"/>
        <v>-1353.6849999999999</v>
      </c>
      <c r="H34" s="359">
        <f t="shared" si="16"/>
        <v>-1357.48</v>
      </c>
      <c r="I34" s="360">
        <f t="shared" si="16"/>
        <v>-1640.605</v>
      </c>
      <c r="J34" s="357">
        <f t="shared" si="16"/>
        <v>-341.96</v>
      </c>
      <c r="K34" s="358">
        <f t="shared" si="16"/>
        <v>-495.09500000000003</v>
      </c>
      <c r="L34" s="359">
        <f t="shared" si="16"/>
        <v>-518.26</v>
      </c>
      <c r="M34" s="360">
        <f t="shared" si="16"/>
        <v>-642.4804479999998</v>
      </c>
      <c r="N34" s="357">
        <f t="shared" si="16"/>
        <v>-522.76</v>
      </c>
      <c r="O34" s="358">
        <f t="shared" si="16"/>
        <v>-520.86063999999999</v>
      </c>
      <c r="P34" s="359">
        <f t="shared" si="16"/>
        <v>-511.52</v>
      </c>
      <c r="Q34" s="360">
        <f t="shared" si="16"/>
        <v>-555.98</v>
      </c>
      <c r="R34" s="355">
        <f>+D34+F34+H34+J34+L34+N34+P34</f>
        <v>-4895.880000000001</v>
      </c>
      <c r="S34" s="356">
        <f>+E34+G34+I34+K34+M34+O34+Q34+1</f>
        <v>-5762.9410879999996</v>
      </c>
    </row>
    <row r="35" spans="1:19" ht="15.75" thickTop="1">
      <c r="A35" s="317" t="s">
        <v>43</v>
      </c>
      <c r="B35" s="361">
        <v>0</v>
      </c>
      <c r="C35" s="384">
        <v>0</v>
      </c>
      <c r="D35" s="385">
        <v>0</v>
      </c>
      <c r="E35" s="364">
        <v>0</v>
      </c>
      <c r="F35" s="385">
        <v>0</v>
      </c>
      <c r="G35" s="364">
        <v>0</v>
      </c>
      <c r="H35" s="386">
        <v>0</v>
      </c>
      <c r="I35" s="366">
        <v>0</v>
      </c>
      <c r="J35" s="385">
        <v>0</v>
      </c>
      <c r="K35" s="364">
        <v>0</v>
      </c>
      <c r="L35" s="386">
        <v>0</v>
      </c>
      <c r="M35" s="366">
        <v>0</v>
      </c>
      <c r="N35" s="385">
        <v>0</v>
      </c>
      <c r="O35" s="364">
        <v>0</v>
      </c>
      <c r="P35" s="386">
        <v>0</v>
      </c>
      <c r="Q35" s="366">
        <v>0</v>
      </c>
      <c r="R35" s="361">
        <f t="shared" ref="R35:S42" si="17">+D35+F35+H35+J35+L35+N35+P35</f>
        <v>0</v>
      </c>
      <c r="S35" s="384">
        <f t="shared" si="17"/>
        <v>0</v>
      </c>
    </row>
    <row r="36" spans="1:19" ht="15.75" thickBot="1">
      <c r="A36" s="311" t="s">
        <v>44</v>
      </c>
      <c r="B36" s="387">
        <v>0</v>
      </c>
      <c r="C36" s="368">
        <v>0</v>
      </c>
      <c r="D36" s="388">
        <v>0</v>
      </c>
      <c r="E36" s="370">
        <v>0</v>
      </c>
      <c r="F36" s="388">
        <v>0</v>
      </c>
      <c r="G36" s="370">
        <v>0</v>
      </c>
      <c r="H36" s="389">
        <v>0</v>
      </c>
      <c r="I36" s="372">
        <v>0</v>
      </c>
      <c r="J36" s="388">
        <v>0</v>
      </c>
      <c r="K36" s="370">
        <v>0</v>
      </c>
      <c r="L36" s="389">
        <v>0</v>
      </c>
      <c r="M36" s="372">
        <v>0</v>
      </c>
      <c r="N36" s="388">
        <v>0</v>
      </c>
      <c r="O36" s="370">
        <v>0</v>
      </c>
      <c r="P36" s="389">
        <v>0</v>
      </c>
      <c r="Q36" s="372">
        <v>0</v>
      </c>
      <c r="R36" s="367">
        <f t="shared" si="17"/>
        <v>0</v>
      </c>
      <c r="S36" s="368">
        <f t="shared" si="17"/>
        <v>0</v>
      </c>
    </row>
    <row r="37" spans="1:19" ht="16.5" thickTop="1" thickBot="1">
      <c r="A37" s="312" t="s">
        <v>45</v>
      </c>
      <c r="B37" s="355">
        <f>+B13+B26+B29+B31</f>
        <v>28630</v>
      </c>
      <c r="C37" s="356">
        <f>+C13+C26+C29+C31</f>
        <v>30684</v>
      </c>
      <c r="D37" s="357">
        <f t="shared" ref="D37:Q37" si="18">D13+D26+D29+D31</f>
        <v>5506</v>
      </c>
      <c r="E37" s="358">
        <f t="shared" si="18"/>
        <v>5802</v>
      </c>
      <c r="F37" s="357">
        <f t="shared" si="18"/>
        <v>4540</v>
      </c>
      <c r="G37" s="358">
        <f t="shared" si="18"/>
        <v>5005</v>
      </c>
      <c r="H37" s="359">
        <f t="shared" si="18"/>
        <v>7158</v>
      </c>
      <c r="I37" s="360">
        <f t="shared" si="18"/>
        <v>7666</v>
      </c>
      <c r="J37" s="357">
        <f t="shared" si="18"/>
        <v>4200</v>
      </c>
      <c r="K37" s="358">
        <f t="shared" si="18"/>
        <v>4468</v>
      </c>
      <c r="L37" s="359">
        <f t="shared" si="18"/>
        <v>4081</v>
      </c>
      <c r="M37" s="360">
        <f t="shared" si="18"/>
        <v>4321.1424000000006</v>
      </c>
      <c r="N37" s="357">
        <f t="shared" si="18"/>
        <v>2922</v>
      </c>
      <c r="O37" s="358">
        <f t="shared" si="18"/>
        <v>3176.3820000000001</v>
      </c>
      <c r="P37" s="359">
        <f t="shared" si="18"/>
        <v>223</v>
      </c>
      <c r="Q37" s="360">
        <f t="shared" si="18"/>
        <v>245</v>
      </c>
      <c r="R37" s="355">
        <f t="shared" si="17"/>
        <v>28630</v>
      </c>
      <c r="S37" s="356">
        <f>+E37+G37+I37+K37+M37+O37+Q37</f>
        <v>30683.524400000002</v>
      </c>
    </row>
    <row r="38" spans="1:19" ht="16.5" thickTop="1" thickBot="1">
      <c r="A38" s="312" t="s">
        <v>46</v>
      </c>
      <c r="B38" s="355">
        <f>+B21+B23+B24+B27+B28+B32+B36</f>
        <v>-33524.531383000001</v>
      </c>
      <c r="C38" s="356">
        <f>+C21+C23+C24+C27+C28+C32+C36</f>
        <v>-36446.122331999999</v>
      </c>
      <c r="D38" s="357">
        <f t="shared" ref="D38:Q38" si="19">D21+D23+D24+D27+D28+D32</f>
        <v>-5951.64</v>
      </c>
      <c r="E38" s="358">
        <f t="shared" si="19"/>
        <v>-6357.2349999999997</v>
      </c>
      <c r="F38" s="357">
        <f t="shared" si="19"/>
        <v>-5738.26</v>
      </c>
      <c r="G38" s="358">
        <f t="shared" si="19"/>
        <v>-6358.6850000000004</v>
      </c>
      <c r="H38" s="359">
        <f t="shared" si="19"/>
        <v>-8515.48</v>
      </c>
      <c r="I38" s="360">
        <f t="shared" si="19"/>
        <v>-9306.6049999999996</v>
      </c>
      <c r="J38" s="357">
        <f t="shared" si="19"/>
        <v>-4541.96</v>
      </c>
      <c r="K38" s="358">
        <f t="shared" si="19"/>
        <v>-4963.0949999999993</v>
      </c>
      <c r="L38" s="359">
        <f t="shared" si="19"/>
        <v>-4599.26</v>
      </c>
      <c r="M38" s="360">
        <f t="shared" si="19"/>
        <v>-4963.622848</v>
      </c>
      <c r="N38" s="357">
        <f t="shared" si="19"/>
        <v>-3444.76</v>
      </c>
      <c r="O38" s="358">
        <f t="shared" si="19"/>
        <v>-3697.2426399999999</v>
      </c>
      <c r="P38" s="359">
        <f t="shared" si="19"/>
        <v>-734.52</v>
      </c>
      <c r="Q38" s="360">
        <f t="shared" si="19"/>
        <v>-800.98</v>
      </c>
      <c r="R38" s="355">
        <f>+D38+F38+H38+J38+L38+N38+P38+1</f>
        <v>-33524.879999999997</v>
      </c>
      <c r="S38" s="356">
        <f>+E38+G38+I38+K38+M38+O38+Q38+1</f>
        <v>-36446.465488000002</v>
      </c>
    </row>
    <row r="39" spans="1:19" ht="16.5" thickTop="1" thickBot="1">
      <c r="A39" s="312" t="s">
        <v>47</v>
      </c>
      <c r="B39" s="355">
        <f>+B34+B36</f>
        <v>-4895.5313830000014</v>
      </c>
      <c r="C39" s="356">
        <f>+C34+C36</f>
        <v>-5763.1223320000008</v>
      </c>
      <c r="D39" s="357">
        <f t="shared" ref="D39:Q39" si="20">+D34+D36</f>
        <v>-445.6400000000001</v>
      </c>
      <c r="E39" s="358">
        <f t="shared" si="20"/>
        <v>-555.23500000000001</v>
      </c>
      <c r="F39" s="357">
        <f t="shared" si="20"/>
        <v>-1198.26</v>
      </c>
      <c r="G39" s="358">
        <f t="shared" si="20"/>
        <v>-1353.6849999999999</v>
      </c>
      <c r="H39" s="359">
        <f t="shared" si="20"/>
        <v>-1357.48</v>
      </c>
      <c r="I39" s="360">
        <f t="shared" si="20"/>
        <v>-1640.605</v>
      </c>
      <c r="J39" s="357">
        <f t="shared" si="20"/>
        <v>-341.96</v>
      </c>
      <c r="K39" s="358">
        <f t="shared" si="20"/>
        <v>-495.09500000000003</v>
      </c>
      <c r="L39" s="359">
        <f t="shared" si="20"/>
        <v>-518.26</v>
      </c>
      <c r="M39" s="360">
        <f t="shared" si="20"/>
        <v>-642.4804479999998</v>
      </c>
      <c r="N39" s="357">
        <f t="shared" si="20"/>
        <v>-522.76</v>
      </c>
      <c r="O39" s="358">
        <f t="shared" si="20"/>
        <v>-520.86063999999999</v>
      </c>
      <c r="P39" s="359">
        <f t="shared" si="20"/>
        <v>-511.52</v>
      </c>
      <c r="Q39" s="360">
        <f t="shared" si="20"/>
        <v>-555.98</v>
      </c>
      <c r="R39" s="355">
        <f>+D39+F39+H39+J39+L39+N39+P39</f>
        <v>-4895.880000000001</v>
      </c>
      <c r="S39" s="356">
        <f>+E39+G39+I39+K39+M39+O39+Q39+1</f>
        <v>-5762.9410879999996</v>
      </c>
    </row>
    <row r="40" spans="1:19" ht="15.75" thickTop="1">
      <c r="A40" s="317" t="s">
        <v>48</v>
      </c>
      <c r="B40" s="361">
        <v>0</v>
      </c>
      <c r="C40" s="384">
        <v>0</v>
      </c>
      <c r="D40" s="385">
        <v>0</v>
      </c>
      <c r="E40" s="364">
        <v>0</v>
      </c>
      <c r="F40" s="385">
        <v>0</v>
      </c>
      <c r="G40" s="364">
        <v>0</v>
      </c>
      <c r="H40" s="386">
        <v>0</v>
      </c>
      <c r="I40" s="366">
        <v>0</v>
      </c>
      <c r="J40" s="385">
        <v>0</v>
      </c>
      <c r="K40" s="364">
        <v>0</v>
      </c>
      <c r="L40" s="386">
        <v>0</v>
      </c>
      <c r="M40" s="366">
        <v>0</v>
      </c>
      <c r="N40" s="385">
        <v>0</v>
      </c>
      <c r="O40" s="364">
        <v>0</v>
      </c>
      <c r="P40" s="386">
        <v>0</v>
      </c>
      <c r="Q40" s="366">
        <v>0</v>
      </c>
      <c r="R40" s="361">
        <f>+D40+F40+H40+J40+L40+N40+P40</f>
        <v>0</v>
      </c>
      <c r="S40" s="384">
        <f t="shared" si="17"/>
        <v>0</v>
      </c>
    </row>
    <row r="41" spans="1:19" ht="15.75" thickBot="1">
      <c r="A41" s="311" t="s">
        <v>49</v>
      </c>
      <c r="B41" s="387">
        <v>0</v>
      </c>
      <c r="C41" s="368">
        <v>0</v>
      </c>
      <c r="D41" s="388"/>
      <c r="E41" s="370"/>
      <c r="F41" s="388"/>
      <c r="G41" s="370"/>
      <c r="H41" s="389"/>
      <c r="I41" s="372"/>
      <c r="J41" s="388"/>
      <c r="K41" s="370"/>
      <c r="L41" s="389"/>
      <c r="M41" s="372"/>
      <c r="N41" s="388"/>
      <c r="O41" s="370"/>
      <c r="P41" s="389"/>
      <c r="Q41" s="372"/>
      <c r="R41" s="367">
        <f t="shared" ref="R41:R42" si="21">+D41+F41+H41+J41+L41+N41+P41</f>
        <v>0</v>
      </c>
      <c r="S41" s="368">
        <f t="shared" si="17"/>
        <v>0</v>
      </c>
    </row>
    <row r="42" spans="1:19" ht="16.5" thickTop="1" thickBot="1">
      <c r="A42" s="318" t="s">
        <v>50</v>
      </c>
      <c r="B42" s="390">
        <f>+B40+B41</f>
        <v>0</v>
      </c>
      <c r="C42" s="391">
        <f>+C40+C41</f>
        <v>0</v>
      </c>
      <c r="D42" s="392">
        <f>+D40+D41</f>
        <v>0</v>
      </c>
      <c r="E42" s="393">
        <f>+E40+E41</f>
        <v>0</v>
      </c>
      <c r="F42" s="392">
        <f>+F40+F41</f>
        <v>0</v>
      </c>
      <c r="G42" s="393">
        <f t="shared" ref="G42:Q42" si="22">+G40+G41</f>
        <v>0</v>
      </c>
      <c r="H42" s="394">
        <f t="shared" si="22"/>
        <v>0</v>
      </c>
      <c r="I42" s="395">
        <f t="shared" si="22"/>
        <v>0</v>
      </c>
      <c r="J42" s="392">
        <f t="shared" si="22"/>
        <v>0</v>
      </c>
      <c r="K42" s="393">
        <f t="shared" si="22"/>
        <v>0</v>
      </c>
      <c r="L42" s="394">
        <f t="shared" si="22"/>
        <v>0</v>
      </c>
      <c r="M42" s="395">
        <f t="shared" si="22"/>
        <v>0</v>
      </c>
      <c r="N42" s="392">
        <f t="shared" si="22"/>
        <v>0</v>
      </c>
      <c r="O42" s="393">
        <f t="shared" si="22"/>
        <v>0</v>
      </c>
      <c r="P42" s="394">
        <f t="shared" si="22"/>
        <v>0</v>
      </c>
      <c r="Q42" s="395">
        <f t="shared" si="22"/>
        <v>0</v>
      </c>
      <c r="R42" s="390">
        <f t="shared" si="21"/>
        <v>0</v>
      </c>
      <c r="S42" s="391">
        <f t="shared" si="17"/>
        <v>0</v>
      </c>
    </row>
    <row r="43" spans="1:19" ht="16.5" thickTop="1" thickBot="1">
      <c r="A43" s="319" t="s">
        <v>51</v>
      </c>
      <c r="B43" s="396">
        <f>B39+B42</f>
        <v>-4895.5313830000014</v>
      </c>
      <c r="C43" s="397">
        <f>C39+C42</f>
        <v>-5763.1223320000008</v>
      </c>
      <c r="D43" s="415">
        <f t="shared" ref="D43:S43" si="23">+D39+D42</f>
        <v>-445.6400000000001</v>
      </c>
      <c r="E43" s="415">
        <f t="shared" si="23"/>
        <v>-555.23500000000001</v>
      </c>
      <c r="F43" s="415">
        <f t="shared" si="23"/>
        <v>-1198.26</v>
      </c>
      <c r="G43" s="415">
        <f t="shared" si="23"/>
        <v>-1353.6849999999999</v>
      </c>
      <c r="H43" s="416">
        <f t="shared" si="23"/>
        <v>-1357.48</v>
      </c>
      <c r="I43" s="417">
        <f t="shared" si="23"/>
        <v>-1640.605</v>
      </c>
      <c r="J43" s="415">
        <f t="shared" si="23"/>
        <v>-341.96</v>
      </c>
      <c r="K43" s="415">
        <f t="shared" si="23"/>
        <v>-495.09500000000003</v>
      </c>
      <c r="L43" s="416">
        <f t="shared" si="23"/>
        <v>-518.26</v>
      </c>
      <c r="M43" s="417">
        <f t="shared" si="23"/>
        <v>-642.4804479999998</v>
      </c>
      <c r="N43" s="415">
        <f t="shared" si="23"/>
        <v>-522.76</v>
      </c>
      <c r="O43" s="415">
        <f t="shared" si="23"/>
        <v>-520.86063999999999</v>
      </c>
      <c r="P43" s="416">
        <f t="shared" si="23"/>
        <v>-511.52</v>
      </c>
      <c r="Q43" s="417">
        <f t="shared" si="23"/>
        <v>-555.98</v>
      </c>
      <c r="R43" s="396">
        <f t="shared" si="23"/>
        <v>-4895.880000000001</v>
      </c>
      <c r="S43" s="397">
        <f t="shared" si="23"/>
        <v>-5762.9410879999996</v>
      </c>
    </row>
    <row r="44" spans="1:19" ht="15.75" thickTop="1"/>
  </sheetData>
  <mergeCells count="11">
    <mergeCell ref="R3:S3"/>
    <mergeCell ref="A1:S1"/>
    <mergeCell ref="A3:A4"/>
    <mergeCell ref="B3:C3"/>
    <mergeCell ref="D3:E3"/>
    <mergeCell ref="F3:G3"/>
    <mergeCell ref="H3:I3"/>
    <mergeCell ref="J3:K3"/>
    <mergeCell ref="L3:M3"/>
    <mergeCell ref="N3:O3"/>
    <mergeCell ref="P3:Q3"/>
  </mergeCells>
  <pageMargins left="0.7" right="0.7" top="0.75" bottom="0.75" header="0.3" footer="0.3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2:S339"/>
  <sheetViews>
    <sheetView tabSelected="1" topLeftCell="A52" workbookViewId="0">
      <selection activeCell="H66" sqref="H66"/>
    </sheetView>
  </sheetViews>
  <sheetFormatPr baseColWidth="10" defaultRowHeight="15"/>
  <cols>
    <col min="1" max="1" width="42.140625" customWidth="1"/>
    <col min="2" max="2" width="16.42578125" customWidth="1"/>
    <col min="3" max="3" width="12.42578125" customWidth="1"/>
    <col min="4" max="4" width="12.85546875" customWidth="1"/>
    <col min="5" max="5" width="13.5703125" customWidth="1"/>
    <col min="6" max="7" width="12.28515625" customWidth="1"/>
    <col min="8" max="8" width="10.5703125" customWidth="1"/>
    <col min="9" max="9" width="11" customWidth="1"/>
    <col min="10" max="10" width="8.7109375" customWidth="1"/>
    <col min="11" max="11" width="12.7109375" customWidth="1"/>
    <col min="12" max="12" width="6.7109375" customWidth="1"/>
    <col min="13" max="13" width="13.85546875" customWidth="1"/>
    <col min="14" max="14" width="6.85546875" customWidth="1"/>
    <col min="15" max="15" width="6.42578125" customWidth="1"/>
    <col min="16" max="16" width="7.42578125" customWidth="1"/>
    <col min="17" max="17" width="7.7109375" customWidth="1"/>
    <col min="18" max="18" width="8.140625" customWidth="1"/>
    <col min="19" max="19" width="6" customWidth="1"/>
    <col min="20" max="20" width="7.140625" customWidth="1"/>
    <col min="21" max="21" width="6.28515625" customWidth="1"/>
    <col min="22" max="22" width="7.42578125" customWidth="1"/>
    <col min="23" max="23" width="7.85546875" customWidth="1"/>
    <col min="24" max="24" width="7" customWidth="1"/>
  </cols>
  <sheetData>
    <row r="2" spans="1:9" ht="21">
      <c r="A2" s="522" t="s">
        <v>282</v>
      </c>
      <c r="B2" s="524">
        <v>2012</v>
      </c>
      <c r="C2" s="525"/>
      <c r="D2" s="526"/>
      <c r="E2" s="524">
        <v>2013</v>
      </c>
      <c r="F2" s="525"/>
      <c r="G2" s="526"/>
    </row>
    <row r="3" spans="1:9" ht="18.75">
      <c r="A3" s="523"/>
      <c r="B3" s="245" t="s">
        <v>109</v>
      </c>
      <c r="C3" s="73" t="s">
        <v>110</v>
      </c>
      <c r="D3" s="69" t="s">
        <v>61</v>
      </c>
      <c r="E3" s="245" t="s">
        <v>109</v>
      </c>
      <c r="F3" s="73" t="s">
        <v>110</v>
      </c>
      <c r="G3" s="69" t="s">
        <v>61</v>
      </c>
      <c r="I3" s="72"/>
    </row>
    <row r="4" spans="1:9" ht="18.75">
      <c r="A4" s="61" t="s">
        <v>17</v>
      </c>
      <c r="B4" s="245">
        <v>554.02386043290107</v>
      </c>
      <c r="C4" s="73">
        <v>3.9580000000000002</v>
      </c>
      <c r="D4" s="243">
        <f>+B4*C4</f>
        <v>2192.8264395934225</v>
      </c>
      <c r="E4" s="246">
        <v>580</v>
      </c>
      <c r="F4" s="73">
        <v>3.9580000000000002</v>
      </c>
      <c r="G4" s="243">
        <f>+E4*F4</f>
        <v>2295.6400000000003</v>
      </c>
      <c r="H4" s="5"/>
      <c r="I4" s="5"/>
    </row>
    <row r="5" spans="1:9" ht="18.75">
      <c r="A5" s="61" t="s">
        <v>16</v>
      </c>
      <c r="B5" s="245">
        <v>435.35818171329799</v>
      </c>
      <c r="C5" s="73">
        <v>3.3069999999999999</v>
      </c>
      <c r="D5" s="243">
        <f>+B5*C5</f>
        <v>1439.7295069258764</v>
      </c>
      <c r="E5" s="245">
        <v>455.65</v>
      </c>
      <c r="F5" s="73">
        <v>3.3069999999999999</v>
      </c>
      <c r="G5" s="243">
        <f>+E5*F5</f>
        <v>1506.8345499999998</v>
      </c>
      <c r="H5" s="5"/>
      <c r="I5" s="247"/>
    </row>
    <row r="6" spans="1:9" ht="18.75">
      <c r="A6" s="61" t="s">
        <v>62</v>
      </c>
      <c r="B6" s="245">
        <v>250</v>
      </c>
      <c r="C6" s="73">
        <v>2.1890000000000001</v>
      </c>
      <c r="D6" s="243">
        <f t="shared" ref="D6" si="0">+B6*C6</f>
        <v>547.25</v>
      </c>
      <c r="E6" s="246">
        <v>256</v>
      </c>
      <c r="F6" s="73">
        <v>2.1890000000000001</v>
      </c>
      <c r="G6" s="243">
        <f>+E6*F6</f>
        <v>560.38400000000001</v>
      </c>
      <c r="H6" s="5"/>
      <c r="I6" s="5"/>
    </row>
    <row r="7" spans="1:9" ht="18.75">
      <c r="A7" s="62" t="s">
        <v>111</v>
      </c>
      <c r="B7" s="256">
        <f>SUM(B4:B6)</f>
        <v>1239.3820421461992</v>
      </c>
      <c r="C7" s="257"/>
      <c r="D7" s="256">
        <f>SUM(D4:D6)</f>
        <v>4179.8059465192991</v>
      </c>
      <c r="E7" s="256">
        <f>SUM(E4:E6)</f>
        <v>1291.6500000000001</v>
      </c>
      <c r="F7" s="257"/>
      <c r="G7" s="256">
        <f>SUM(G4:G6)</f>
        <v>4362.8585499999999</v>
      </c>
      <c r="I7" s="4"/>
    </row>
    <row r="8" spans="1:9" ht="18.75">
      <c r="A8" s="61" t="s">
        <v>17</v>
      </c>
      <c r="B8" s="246">
        <v>538.41</v>
      </c>
      <c r="C8" s="73">
        <v>3.9580000000000002</v>
      </c>
      <c r="D8" s="243">
        <f>+B8*C8</f>
        <v>2131.0267800000001</v>
      </c>
      <c r="E8" s="245">
        <v>583.51182678744703</v>
      </c>
      <c r="F8" s="73">
        <v>3.9580000000000002</v>
      </c>
      <c r="G8" s="243">
        <f>E8*F8</f>
        <v>2309.5398104247156</v>
      </c>
      <c r="H8" s="5"/>
      <c r="I8" s="5"/>
    </row>
    <row r="9" spans="1:9" ht="18.75">
      <c r="A9" s="61" t="s">
        <v>16</v>
      </c>
      <c r="B9" s="246">
        <v>384.7</v>
      </c>
      <c r="C9" s="73">
        <v>3.3069999999999999</v>
      </c>
      <c r="D9" s="243">
        <f>+B9*C9</f>
        <v>1272.2029</v>
      </c>
      <c r="E9" s="245">
        <v>442.721809106026</v>
      </c>
      <c r="F9" s="73">
        <v>3.3069999999999999</v>
      </c>
      <c r="G9" s="243">
        <f>E9*F9</f>
        <v>1464.081022713628</v>
      </c>
      <c r="H9" s="5"/>
      <c r="I9" s="5"/>
    </row>
    <row r="10" spans="1:9" ht="18.75">
      <c r="A10" s="61" t="s">
        <v>62</v>
      </c>
      <c r="B10" s="246">
        <v>0</v>
      </c>
      <c r="C10" s="73">
        <v>2.1890000000000001</v>
      </c>
      <c r="D10" s="243">
        <f>+B10*C10</f>
        <v>0</v>
      </c>
      <c r="E10" s="245"/>
      <c r="F10" s="73">
        <v>2.1890000000000001</v>
      </c>
      <c r="G10" s="243">
        <f>E10*F10</f>
        <v>0</v>
      </c>
    </row>
    <row r="11" spans="1:9" ht="18.75">
      <c r="A11" s="62" t="s">
        <v>112</v>
      </c>
      <c r="B11" s="256">
        <f>SUM(B8:B10)</f>
        <v>923.1099999999999</v>
      </c>
      <c r="C11" s="257"/>
      <c r="D11" s="256">
        <f>SUM(D8:D10)</f>
        <v>3403.2296800000004</v>
      </c>
      <c r="E11" s="256">
        <f>SUM(E8:E10)</f>
        <v>1026.2336358934731</v>
      </c>
      <c r="F11" s="257"/>
      <c r="G11" s="256">
        <f>SUM(G8:G10)</f>
        <v>3773.6208331383436</v>
      </c>
    </row>
    <row r="12" spans="1:9" ht="18.75">
      <c r="A12" s="61" t="s">
        <v>17</v>
      </c>
      <c r="B12" s="245">
        <v>748.59601481604795</v>
      </c>
      <c r="C12" s="73">
        <v>3.9580000000000002</v>
      </c>
      <c r="D12" s="243">
        <f>+B12*C12</f>
        <v>2962.9430266419181</v>
      </c>
      <c r="E12" s="245">
        <v>833.29705761907496</v>
      </c>
      <c r="F12" s="73">
        <v>3.9580000000000002</v>
      </c>
      <c r="G12" s="243">
        <f>+E12*F12</f>
        <v>3298.1897540562991</v>
      </c>
      <c r="H12" s="9"/>
      <c r="I12" s="248"/>
    </row>
    <row r="13" spans="1:9" ht="18.75">
      <c r="A13" s="61" t="s">
        <v>16</v>
      </c>
      <c r="B13" s="245">
        <v>739.30227249999996</v>
      </c>
      <c r="C13" s="73">
        <v>3.3069999999999999</v>
      </c>
      <c r="D13" s="243">
        <f>+B13*C13</f>
        <v>2444.8726151574997</v>
      </c>
      <c r="E13" s="245">
        <v>749.47277381063498</v>
      </c>
      <c r="F13" s="73">
        <v>3.3069999999999999</v>
      </c>
      <c r="G13" s="243">
        <f>+E13*F13</f>
        <v>2478.5064629917697</v>
      </c>
      <c r="H13" s="9"/>
      <c r="I13" s="249"/>
    </row>
    <row r="14" spans="1:9" ht="18.75">
      <c r="A14" s="61" t="s">
        <v>62</v>
      </c>
      <c r="B14" s="245">
        <v>129</v>
      </c>
      <c r="C14" s="73">
        <v>2.1890000000000001</v>
      </c>
      <c r="D14" s="243">
        <f>+B14*C14</f>
        <v>282.38100000000003</v>
      </c>
      <c r="E14" s="245">
        <v>134</v>
      </c>
      <c r="F14" s="73">
        <v>2.1890000000000001</v>
      </c>
      <c r="G14" s="243">
        <f>+E14*F14</f>
        <v>293.32600000000002</v>
      </c>
      <c r="H14" s="9"/>
      <c r="I14" s="9"/>
    </row>
    <row r="15" spans="1:9" ht="18.75">
      <c r="A15" s="62" t="s">
        <v>116</v>
      </c>
      <c r="B15" s="256">
        <f>SUM(B12:B14)</f>
        <v>1616.898287316048</v>
      </c>
      <c r="C15" s="257"/>
      <c r="D15" s="256">
        <f>SUM(D12:D14)</f>
        <v>5690.1966417994181</v>
      </c>
      <c r="E15" s="256">
        <f>SUM(E12:E14)</f>
        <v>1716.7698314297099</v>
      </c>
      <c r="F15" s="257"/>
      <c r="G15" s="256">
        <f>SUM(G12:G14)</f>
        <v>6070.0222170480693</v>
      </c>
      <c r="H15" s="258"/>
    </row>
    <row r="16" spans="1:9" ht="18.75">
      <c r="A16" s="61" t="s">
        <v>17</v>
      </c>
      <c r="B16" s="245">
        <v>553.57937401480103</v>
      </c>
      <c r="C16" s="73">
        <v>3.9580000000000002</v>
      </c>
      <c r="D16" s="243">
        <f>B16*C16</f>
        <v>2191.0671623505827</v>
      </c>
      <c r="E16" s="245">
        <v>582.46255955670097</v>
      </c>
      <c r="F16" s="73">
        <v>3.9580000000000002</v>
      </c>
      <c r="G16" s="243">
        <f>E16*F16</f>
        <v>2305.3868107254225</v>
      </c>
      <c r="H16" s="5"/>
      <c r="I16" s="250"/>
    </row>
    <row r="17" spans="1:9" ht="18.75">
      <c r="A17" s="61" t="s">
        <v>16</v>
      </c>
      <c r="B17" s="245">
        <v>300.47623667631399</v>
      </c>
      <c r="C17" s="73">
        <v>3.3069999999999999</v>
      </c>
      <c r="D17" s="243">
        <f>B17*C17</f>
        <v>993.67491468857031</v>
      </c>
      <c r="E17" s="245">
        <v>320.31633710765499</v>
      </c>
      <c r="F17" s="73">
        <v>3.3069999999999999</v>
      </c>
      <c r="G17" s="243">
        <f>E17*F17</f>
        <v>1059.286126815015</v>
      </c>
      <c r="H17" s="5"/>
      <c r="I17" s="5"/>
    </row>
    <row r="18" spans="1:9" ht="18.75">
      <c r="A18" s="61" t="s">
        <v>62</v>
      </c>
      <c r="B18" s="245">
        <v>0</v>
      </c>
      <c r="C18" s="73">
        <v>2.1890000000000001</v>
      </c>
      <c r="D18" s="243">
        <f>B18*C18</f>
        <v>0</v>
      </c>
      <c r="E18" s="245">
        <v>3</v>
      </c>
      <c r="F18" s="73">
        <v>2.1890000000000001</v>
      </c>
      <c r="G18" s="243">
        <f>E18*F18</f>
        <v>6.5670000000000002</v>
      </c>
      <c r="H18" s="5"/>
      <c r="I18" s="5"/>
    </row>
    <row r="19" spans="1:9" ht="18.75">
      <c r="A19" s="62" t="s">
        <v>113</v>
      </c>
      <c r="B19" s="256">
        <f>SUM(B16:B18)</f>
        <v>854.05561069111502</v>
      </c>
      <c r="C19" s="257"/>
      <c r="D19" s="256">
        <f>SUM(D16:D18)</f>
        <v>3184.7420770391532</v>
      </c>
      <c r="E19" s="256">
        <f>SUM(E16:E18)</f>
        <v>905.7788966643559</v>
      </c>
      <c r="F19" s="257"/>
      <c r="G19" s="256">
        <f>SUM(G16:G18)</f>
        <v>3371.2399375404375</v>
      </c>
    </row>
    <row r="20" spans="1:9" ht="18.75">
      <c r="A20" s="61" t="s">
        <v>17</v>
      </c>
      <c r="B20" s="246">
        <v>506</v>
      </c>
      <c r="C20" s="73">
        <v>3.9580000000000002</v>
      </c>
      <c r="D20" s="243">
        <f>B20*C20</f>
        <v>2002.748</v>
      </c>
      <c r="E20" s="245">
        <v>523.52745437840508</v>
      </c>
      <c r="F20" s="73">
        <v>3.9580000000000002</v>
      </c>
      <c r="G20" s="243">
        <f>E20*F20</f>
        <v>2072.1216644297274</v>
      </c>
      <c r="H20" s="9"/>
      <c r="I20" s="9"/>
    </row>
    <row r="21" spans="1:9" ht="18.75">
      <c r="A21" s="61" t="s">
        <v>16</v>
      </c>
      <c r="B21" s="246">
        <v>322</v>
      </c>
      <c r="C21" s="73">
        <v>3.3069999999999999</v>
      </c>
      <c r="D21" s="243">
        <f>B21*C21</f>
        <v>1064.854</v>
      </c>
      <c r="E21" s="245">
        <v>334.34</v>
      </c>
      <c r="F21" s="73">
        <v>3.3069999999999999</v>
      </c>
      <c r="G21" s="243">
        <f>E21*F21</f>
        <v>1105.66238</v>
      </c>
      <c r="H21" s="9"/>
      <c r="I21" s="9"/>
    </row>
    <row r="22" spans="1:9" ht="18.75">
      <c r="A22" s="61" t="s">
        <v>62</v>
      </c>
      <c r="B22" s="246">
        <v>38</v>
      </c>
      <c r="C22" s="73">
        <v>2.1890000000000001</v>
      </c>
      <c r="D22" s="243">
        <f>B22*C22</f>
        <v>83.182000000000002</v>
      </c>
      <c r="E22" s="245">
        <v>49</v>
      </c>
      <c r="F22" s="73">
        <v>2.1890000000000001</v>
      </c>
      <c r="G22" s="243">
        <f>E22*F22</f>
        <v>107.261</v>
      </c>
      <c r="H22" s="9"/>
      <c r="I22" s="9"/>
    </row>
    <row r="23" spans="1:9" ht="18.75">
      <c r="A23" s="62" t="s">
        <v>114</v>
      </c>
      <c r="B23" s="256">
        <f>SUM(B20:B22)</f>
        <v>866</v>
      </c>
      <c r="C23" s="257"/>
      <c r="D23" s="256">
        <f>SUM(D20:D22)</f>
        <v>3150.7839999999997</v>
      </c>
      <c r="E23" s="256">
        <f>SUM(E20:E22)</f>
        <v>906.867454378405</v>
      </c>
      <c r="F23" s="257"/>
      <c r="G23" s="256">
        <f>SUM(G20:G22)</f>
        <v>3285.0450444297271</v>
      </c>
    </row>
    <row r="24" spans="1:9" ht="18.75">
      <c r="A24" s="61" t="s">
        <v>17</v>
      </c>
      <c r="B24" s="245">
        <v>298.92807855574398</v>
      </c>
      <c r="C24" s="73">
        <v>3.9580000000000002</v>
      </c>
      <c r="D24" s="243">
        <f>B24*C24</f>
        <v>1183.1573349236348</v>
      </c>
      <c r="E24" s="245">
        <v>328.04656691039901</v>
      </c>
      <c r="F24" s="73">
        <v>3.9580000000000002</v>
      </c>
      <c r="G24" s="243">
        <f>E24*F24</f>
        <v>1298.4083118313592</v>
      </c>
      <c r="H24" s="5"/>
      <c r="I24" s="5"/>
    </row>
    <row r="25" spans="1:9" ht="18.75">
      <c r="A25" s="61" t="s">
        <v>16</v>
      </c>
      <c r="B25" s="245">
        <v>203.62228852514301</v>
      </c>
      <c r="C25" s="73">
        <v>3.3069999999999999</v>
      </c>
      <c r="D25" s="243">
        <f>B25*C25</f>
        <v>673.37890815264791</v>
      </c>
      <c r="E25" s="245">
        <v>212</v>
      </c>
      <c r="F25" s="73">
        <v>3.3069999999999999</v>
      </c>
      <c r="G25" s="243">
        <f>E25*F25</f>
        <v>701.08399999999995</v>
      </c>
      <c r="H25" s="5"/>
      <c r="I25" s="251"/>
    </row>
    <row r="26" spans="1:9" ht="18.75">
      <c r="A26" s="61" t="s">
        <v>62</v>
      </c>
      <c r="B26" s="245">
        <v>117</v>
      </c>
      <c r="C26" s="73">
        <v>2.1890000000000001</v>
      </c>
      <c r="D26" s="243">
        <f>B26*C26</f>
        <v>256.113</v>
      </c>
      <c r="E26" s="245">
        <v>119</v>
      </c>
      <c r="F26" s="73">
        <v>2.1890000000000001</v>
      </c>
      <c r="G26" s="243">
        <f>E26*F26</f>
        <v>260.49099999999999</v>
      </c>
      <c r="H26" s="5"/>
      <c r="I26" s="5"/>
    </row>
    <row r="27" spans="1:9" ht="18.75">
      <c r="A27" s="62" t="s">
        <v>115</v>
      </c>
      <c r="B27" s="256">
        <f>SUM(B24:B26)</f>
        <v>619.55036708088699</v>
      </c>
      <c r="C27" s="257"/>
      <c r="D27" s="256">
        <f>SUM(D24:D26)</f>
        <v>2112.6492430762828</v>
      </c>
      <c r="E27" s="256">
        <f>SUM(E24:E26)</f>
        <v>659.04656691039895</v>
      </c>
      <c r="F27" s="257"/>
      <c r="G27" s="256">
        <f>SUM(G24:G26)</f>
        <v>2259.9833118313591</v>
      </c>
    </row>
    <row r="28" spans="1:9" ht="18.75">
      <c r="A28" s="67"/>
      <c r="B28" s="68"/>
      <c r="C28" s="68"/>
      <c r="D28" s="68"/>
      <c r="E28" s="68"/>
      <c r="F28" s="68"/>
      <c r="G28" s="68"/>
    </row>
    <row r="29" spans="1:9" ht="21">
      <c r="A29" s="264" t="s">
        <v>122</v>
      </c>
      <c r="B29" s="265">
        <f>+B7+B11+B15+B19+B23+B27</f>
        <v>6118.9963072342489</v>
      </c>
      <c r="C29" s="266"/>
      <c r="D29" s="267">
        <f>+D7+D11+D15+D19+D23+D27</f>
        <v>21721.407588434151</v>
      </c>
      <c r="E29" s="267">
        <f>+E7+E11+E15+E19+E23+E27</f>
        <v>6506.3463852763425</v>
      </c>
      <c r="F29" s="268"/>
      <c r="G29" s="267">
        <f>+G7+G11+G15+G19+G23+G27</f>
        <v>23122.769893987937</v>
      </c>
    </row>
    <row r="30" spans="1:9" ht="18.75">
      <c r="A30" s="59"/>
      <c r="B30" s="263" t="s">
        <v>15</v>
      </c>
      <c r="C30" s="71"/>
      <c r="D30" s="71"/>
      <c r="E30" s="262" t="s">
        <v>15</v>
      </c>
    </row>
    <row r="31" spans="1:9" ht="18.75">
      <c r="A31" s="60" t="s">
        <v>17</v>
      </c>
      <c r="B31" s="165">
        <v>3199.5373278194938</v>
      </c>
      <c r="C31" s="165">
        <f>+D4+D8+D12+D16+D20+D24</f>
        <v>12663.768743509558</v>
      </c>
      <c r="D31" s="66"/>
      <c r="E31" s="60" t="s">
        <v>17</v>
      </c>
      <c r="F31" s="165">
        <f>+E4+E8+E12+E16+E20+E24</f>
        <v>3430.8454652520272</v>
      </c>
      <c r="G31" s="165">
        <f>+G4+G8+G12+G16+G20+G24</f>
        <v>13579.286351467523</v>
      </c>
    </row>
    <row r="32" spans="1:9" ht="18.75">
      <c r="A32" s="60" t="s">
        <v>16</v>
      </c>
      <c r="B32" s="165">
        <v>2385.458979414755</v>
      </c>
      <c r="C32" s="165">
        <f>+D5+D9+D13+D17+D21+D25</f>
        <v>7888.7128449245938</v>
      </c>
      <c r="D32" s="66"/>
      <c r="E32" s="60" t="s">
        <v>16</v>
      </c>
      <c r="F32" s="165">
        <f>+E5+E9+E13+E17+E21+E25</f>
        <v>2514.5009200243157</v>
      </c>
      <c r="G32" s="165">
        <f>+G5+G9+G13+G17+G21+G25</f>
        <v>8315.4545425204124</v>
      </c>
    </row>
    <row r="33" spans="1:9" ht="18.75">
      <c r="A33" s="60" t="s">
        <v>62</v>
      </c>
      <c r="B33" s="165">
        <v>534</v>
      </c>
      <c r="C33" s="165">
        <f>+D6+D10+D14+D18+D22+D26</f>
        <v>1168.9260000000002</v>
      </c>
      <c r="D33" s="66"/>
      <c r="E33" s="60" t="s">
        <v>62</v>
      </c>
      <c r="F33" s="165">
        <f>+E6+E10+E14+E18+E22+E26</f>
        <v>561</v>
      </c>
      <c r="G33" s="165">
        <f>+G6+G10+G14+G18+G22+G26</f>
        <v>1228.029</v>
      </c>
    </row>
    <row r="34" spans="1:9" ht="18.75">
      <c r="A34" s="252" t="s">
        <v>164</v>
      </c>
      <c r="B34" s="253">
        <f>SUM(B31:B33)</f>
        <v>6118.9963072342489</v>
      </c>
      <c r="C34" s="253">
        <f>SUM(C31:C33)</f>
        <v>21721.407588434151</v>
      </c>
      <c r="D34" s="66"/>
      <c r="E34" s="252" t="s">
        <v>164</v>
      </c>
      <c r="F34" s="253">
        <f>SUM(F31:F33)</f>
        <v>6506.3463852763434</v>
      </c>
      <c r="G34" s="253">
        <f>SUM(G31:G33)</f>
        <v>23122.769893987934</v>
      </c>
    </row>
    <row r="35" spans="1:9" ht="21">
      <c r="A35" s="539">
        <v>2012</v>
      </c>
      <c r="B35" s="540"/>
      <c r="C35" s="541"/>
      <c r="D35" s="66"/>
      <c r="E35" s="542">
        <v>2013</v>
      </c>
      <c r="F35" s="543"/>
      <c r="G35" s="544"/>
    </row>
    <row r="37" spans="1:9" ht="21">
      <c r="A37" s="522" t="s">
        <v>283</v>
      </c>
      <c r="B37" s="524">
        <v>2012</v>
      </c>
      <c r="C37" s="525"/>
      <c r="D37" s="526"/>
      <c r="E37" s="524">
        <v>2013</v>
      </c>
      <c r="F37" s="525"/>
      <c r="G37" s="526"/>
      <c r="I37" s="72"/>
    </row>
    <row r="38" spans="1:9" ht="18.75">
      <c r="A38" s="523"/>
      <c r="B38" s="245" t="s">
        <v>109</v>
      </c>
      <c r="C38" s="73" t="s">
        <v>110</v>
      </c>
      <c r="D38" s="69" t="s">
        <v>61</v>
      </c>
      <c r="E38" s="245" t="s">
        <v>109</v>
      </c>
      <c r="F38" s="73" t="s">
        <v>110</v>
      </c>
      <c r="G38" s="69" t="s">
        <v>61</v>
      </c>
    </row>
    <row r="39" spans="1:9" ht="18.75">
      <c r="A39" s="61" t="s">
        <v>0</v>
      </c>
      <c r="B39" s="245">
        <v>1420.2716643538199</v>
      </c>
      <c r="C39" s="73">
        <v>0.32</v>
      </c>
      <c r="D39" s="243">
        <f>+B39*C39</f>
        <v>454.48693259322238</v>
      </c>
      <c r="E39" s="245">
        <v>1388.5</v>
      </c>
      <c r="F39" s="73">
        <v>0.32</v>
      </c>
      <c r="G39" s="243">
        <f>E39*F39</f>
        <v>444.32</v>
      </c>
      <c r="H39" s="255"/>
      <c r="I39" s="255"/>
    </row>
    <row r="40" spans="1:9" ht="18.75">
      <c r="A40" s="61" t="s">
        <v>1</v>
      </c>
      <c r="B40" s="245">
        <v>151.40044870652801</v>
      </c>
      <c r="C40" s="73">
        <v>0.33</v>
      </c>
      <c r="D40" s="243">
        <f>+B40*C40</f>
        <v>49.962148073154246</v>
      </c>
      <c r="E40" s="245">
        <v>151</v>
      </c>
      <c r="F40" s="73">
        <v>0.33</v>
      </c>
      <c r="G40" s="243">
        <f>E40*F40</f>
        <v>49.830000000000005</v>
      </c>
      <c r="H40" s="5"/>
      <c r="I40" s="254"/>
    </row>
    <row r="41" spans="1:9" ht="18.75">
      <c r="A41" s="61" t="s">
        <v>2</v>
      </c>
      <c r="B41" s="245">
        <v>6</v>
      </c>
      <c r="C41" s="73">
        <v>0.16400000000000001</v>
      </c>
      <c r="D41" s="243">
        <f>+B41*C41</f>
        <v>0.98399999999999999</v>
      </c>
      <c r="E41" s="245">
        <v>7.5</v>
      </c>
      <c r="F41" s="73">
        <v>0.16400000000000001</v>
      </c>
      <c r="G41" s="243">
        <f>E41*F41</f>
        <v>1.23</v>
      </c>
      <c r="H41" s="5"/>
      <c r="I41" s="5"/>
    </row>
    <row r="42" spans="1:9" ht="18.75">
      <c r="A42" s="62" t="s">
        <v>111</v>
      </c>
      <c r="B42" s="256">
        <f>SUM(B39:B41)</f>
        <v>1577.672113060348</v>
      </c>
      <c r="C42" s="257"/>
      <c r="D42" s="256">
        <f>SUM(D39:D41)</f>
        <v>505.43308066637661</v>
      </c>
      <c r="E42" s="256">
        <f>SUM(E39:E41)</f>
        <v>1547</v>
      </c>
      <c r="F42" s="257"/>
      <c r="G42" s="256">
        <f>SUM(G39:G41)</f>
        <v>495.38</v>
      </c>
      <c r="I42" s="4"/>
    </row>
    <row r="43" spans="1:9" ht="18.75">
      <c r="A43" s="61" t="s">
        <v>0</v>
      </c>
      <c r="B43" s="245">
        <v>1548.2465513023201</v>
      </c>
      <c r="C43" s="73">
        <v>0.32</v>
      </c>
      <c r="D43" s="243">
        <f>+B43*C43</f>
        <v>495.43889641674247</v>
      </c>
      <c r="E43" s="245">
        <v>1572</v>
      </c>
      <c r="F43" s="73">
        <v>0.32</v>
      </c>
      <c r="G43" s="243">
        <f>+E43*F43</f>
        <v>503.04</v>
      </c>
      <c r="H43" s="5"/>
      <c r="I43" s="5"/>
    </row>
    <row r="44" spans="1:9" ht="18.75">
      <c r="A44" s="61" t="s">
        <v>1</v>
      </c>
      <c r="B44" s="245">
        <v>332.06671325617998</v>
      </c>
      <c r="C44" s="73">
        <v>0.33</v>
      </c>
      <c r="D44" s="243">
        <f>+B44*C44</f>
        <v>109.5820153745394</v>
      </c>
      <c r="E44" s="245">
        <v>335</v>
      </c>
      <c r="F44" s="73">
        <v>0.33</v>
      </c>
      <c r="G44" s="243">
        <f>+E44*F44</f>
        <v>110.55000000000001</v>
      </c>
      <c r="H44" s="5"/>
      <c r="I44" s="5"/>
    </row>
    <row r="45" spans="1:9" ht="18.75">
      <c r="A45" s="61" t="s">
        <v>2</v>
      </c>
      <c r="B45" s="246">
        <v>350</v>
      </c>
      <c r="C45" s="73">
        <v>0.16400000000000001</v>
      </c>
      <c r="D45" s="243">
        <f>+B45*C45</f>
        <v>57.400000000000006</v>
      </c>
      <c r="E45" s="245">
        <v>354</v>
      </c>
      <c r="F45" s="73">
        <v>0.16400000000000001</v>
      </c>
      <c r="G45" s="243">
        <f>+E45*F45</f>
        <v>58.056000000000004</v>
      </c>
      <c r="H45" s="5"/>
      <c r="I45" s="5"/>
    </row>
    <row r="46" spans="1:9" ht="18.75">
      <c r="A46" s="62" t="s">
        <v>112</v>
      </c>
      <c r="B46" s="256">
        <f>SUM(B43:B45)</f>
        <v>2230.3132645585001</v>
      </c>
      <c r="C46" s="257"/>
      <c r="D46" s="256">
        <f>SUM(D43:D45)</f>
        <v>662.42091179128181</v>
      </c>
      <c r="E46" s="256">
        <f>SUM(E43:E45)</f>
        <v>2261</v>
      </c>
      <c r="F46" s="257"/>
      <c r="G46" s="256">
        <f>SUM(G43:G45)</f>
        <v>671.64600000000007</v>
      </c>
    </row>
    <row r="47" spans="1:9" ht="18.75">
      <c r="A47" s="61" t="s">
        <v>0</v>
      </c>
      <c r="B47" s="245">
        <v>1700.2470509076568</v>
      </c>
      <c r="C47" s="73">
        <v>0.32</v>
      </c>
      <c r="D47" s="243">
        <f>+B47*C47</f>
        <v>544.07905629045013</v>
      </c>
      <c r="E47" s="245">
        <v>1764.4</v>
      </c>
      <c r="F47" s="73">
        <v>0.32</v>
      </c>
      <c r="G47" s="243">
        <f>+E47*F47</f>
        <v>564.60800000000006</v>
      </c>
      <c r="H47" s="5"/>
      <c r="I47" s="5"/>
    </row>
    <row r="48" spans="1:9" ht="18.75">
      <c r="A48" s="61" t="s">
        <v>1</v>
      </c>
      <c r="B48" s="245">
        <v>636.33294909234405</v>
      </c>
      <c r="C48" s="73">
        <v>0.33</v>
      </c>
      <c r="D48" s="243">
        <f>+B48*C48</f>
        <v>209.98987320047354</v>
      </c>
      <c r="E48" s="245">
        <v>669</v>
      </c>
      <c r="F48" s="73">
        <v>0.33</v>
      </c>
      <c r="G48" s="243">
        <f>+E48*F48</f>
        <v>220.77</v>
      </c>
      <c r="H48" s="255"/>
      <c r="I48" s="254"/>
    </row>
    <row r="49" spans="1:9" ht="18.75">
      <c r="A49" s="61" t="s">
        <v>2</v>
      </c>
      <c r="B49" s="245">
        <v>174.10000000000002</v>
      </c>
      <c r="C49" s="73">
        <v>0.16400000000000001</v>
      </c>
      <c r="D49" s="243">
        <f>+B49*C49</f>
        <v>28.552400000000006</v>
      </c>
      <c r="E49" s="245">
        <v>178</v>
      </c>
      <c r="F49" s="73">
        <v>0.16400000000000001</v>
      </c>
      <c r="G49" s="243">
        <f>+E49*F49</f>
        <v>29.192</v>
      </c>
      <c r="H49" s="255"/>
      <c r="I49" s="5"/>
    </row>
    <row r="50" spans="1:9" ht="18.75">
      <c r="A50" s="62" t="s">
        <v>116</v>
      </c>
      <c r="B50" s="256">
        <f>SUM(B47:B49)</f>
        <v>2510.6800000000007</v>
      </c>
      <c r="C50" s="257"/>
      <c r="D50" s="256">
        <f>SUM(D47:D49)</f>
        <v>782.6213294909237</v>
      </c>
      <c r="E50" s="256">
        <f>SUM(E47:E49)</f>
        <v>2611.4</v>
      </c>
      <c r="F50" s="257"/>
      <c r="G50" s="256">
        <f>SUM(G47:G49)</f>
        <v>814.57</v>
      </c>
      <c r="I50" s="4"/>
    </row>
    <row r="51" spans="1:9" ht="18.75">
      <c r="A51" s="61" t="s">
        <v>0</v>
      </c>
      <c r="B51" s="245">
        <v>1341.98863457727</v>
      </c>
      <c r="C51" s="73">
        <v>0.32</v>
      </c>
      <c r="D51" s="243">
        <f>+B51*C51</f>
        <v>429.43636306472638</v>
      </c>
      <c r="E51" s="245">
        <v>1351.2</v>
      </c>
      <c r="F51" s="73">
        <v>0.32</v>
      </c>
      <c r="G51" s="243">
        <f>+E51*F51</f>
        <v>432.38400000000001</v>
      </c>
      <c r="H51" s="5"/>
      <c r="I51" s="5"/>
    </row>
    <row r="52" spans="1:9" ht="18.75">
      <c r="A52" s="61" t="s">
        <v>1</v>
      </c>
      <c r="B52" s="245">
        <v>199</v>
      </c>
      <c r="C52" s="73">
        <v>0.33</v>
      </c>
      <c r="D52" s="243">
        <f>+B52*C52</f>
        <v>65.67</v>
      </c>
      <c r="E52" s="245">
        <v>217.6</v>
      </c>
      <c r="F52" s="73">
        <v>0.33</v>
      </c>
      <c r="G52" s="243">
        <f>+E52*F52</f>
        <v>71.808000000000007</v>
      </c>
      <c r="H52" s="5"/>
      <c r="I52" s="254"/>
    </row>
    <row r="53" spans="1:9" ht="18.75">
      <c r="A53" s="61" t="s">
        <v>2</v>
      </c>
      <c r="B53" s="245">
        <v>239.75</v>
      </c>
      <c r="C53" s="73">
        <v>0.16400000000000001</v>
      </c>
      <c r="D53" s="243">
        <f>+B53*C53</f>
        <v>39.319000000000003</v>
      </c>
      <c r="E53" s="245">
        <v>258</v>
      </c>
      <c r="F53" s="73">
        <v>0.16400000000000001</v>
      </c>
      <c r="G53" s="243">
        <f>+E53*F53</f>
        <v>42.312000000000005</v>
      </c>
      <c r="H53" s="5"/>
      <c r="I53" s="5"/>
    </row>
    <row r="54" spans="1:9" ht="18.75">
      <c r="A54" s="62" t="s">
        <v>113</v>
      </c>
      <c r="B54" s="256">
        <f>SUM(B51:B53)</f>
        <v>1780.73863457727</v>
      </c>
      <c r="C54" s="257"/>
      <c r="D54" s="256">
        <f>SUM(D51:D53)</f>
        <v>534.42536306472641</v>
      </c>
      <c r="E54" s="256">
        <f>SUM(E51:E53)</f>
        <v>1826.8</v>
      </c>
      <c r="F54" s="257"/>
      <c r="G54" s="256">
        <f>SUM(G51:G53)</f>
        <v>546.50400000000002</v>
      </c>
    </row>
    <row r="55" spans="1:9" ht="18.75">
      <c r="A55" s="61" t="s">
        <v>0</v>
      </c>
      <c r="B55" s="245">
        <v>555.73208198612804</v>
      </c>
      <c r="C55" s="73">
        <v>0.32</v>
      </c>
      <c r="D55" s="243">
        <f>+B55*C55</f>
        <v>177.83426623556099</v>
      </c>
      <c r="E55" s="245">
        <v>578</v>
      </c>
      <c r="F55" s="73">
        <v>0.32</v>
      </c>
      <c r="G55" s="243">
        <f>+E55*F55</f>
        <v>184.96</v>
      </c>
      <c r="H55" s="5"/>
      <c r="I55" s="5"/>
    </row>
    <row r="56" spans="1:9" ht="18.75">
      <c r="A56" s="61" t="s">
        <v>1</v>
      </c>
      <c r="B56" s="245">
        <v>186.58696252171799</v>
      </c>
      <c r="C56" s="73">
        <v>0.33</v>
      </c>
      <c r="D56" s="243">
        <f>+B56*C56</f>
        <v>61.57369763216694</v>
      </c>
      <c r="E56" s="245">
        <v>198</v>
      </c>
      <c r="F56" s="73">
        <v>0.33</v>
      </c>
      <c r="G56" s="243">
        <f>+E56*F56</f>
        <v>65.34</v>
      </c>
      <c r="H56" s="5"/>
      <c r="I56" s="5"/>
    </row>
    <row r="57" spans="1:9" ht="18.75">
      <c r="A57" s="61" t="s">
        <v>2</v>
      </c>
      <c r="B57" s="245">
        <v>560.00099999999998</v>
      </c>
      <c r="C57" s="73">
        <v>0.16400000000000001</v>
      </c>
      <c r="D57" s="243">
        <f>+B57*C57</f>
        <v>91.840164000000001</v>
      </c>
      <c r="E57" s="245">
        <v>596.6</v>
      </c>
      <c r="F57" s="73">
        <v>0.16400000000000001</v>
      </c>
      <c r="G57" s="243">
        <f>+E57*F57</f>
        <v>97.842400000000012</v>
      </c>
      <c r="H57" s="5"/>
      <c r="I57" s="5"/>
    </row>
    <row r="58" spans="1:9" ht="18.75">
      <c r="A58" s="62" t="s">
        <v>114</v>
      </c>
      <c r="B58" s="256">
        <f>SUM(B55:B57)</f>
        <v>1302.320044507846</v>
      </c>
      <c r="C58" s="257"/>
      <c r="D58" s="256">
        <f>SUM(D55:D57)</f>
        <v>331.24812786772793</v>
      </c>
      <c r="E58" s="256">
        <f>SUM(E55:E57)</f>
        <v>1372.6</v>
      </c>
      <c r="F58" s="257"/>
      <c r="G58" s="256">
        <f>SUM(G55:G57)</f>
        <v>348.14240000000001</v>
      </c>
    </row>
    <row r="59" spans="1:9" ht="18.75">
      <c r="A59" s="61" t="s">
        <v>0</v>
      </c>
      <c r="B59" s="245">
        <v>519.06461388713706</v>
      </c>
      <c r="C59" s="73">
        <v>0.32</v>
      </c>
      <c r="D59" s="243">
        <f>+B59*C59</f>
        <v>166.10067644388386</v>
      </c>
      <c r="E59" s="245">
        <v>540.9</v>
      </c>
      <c r="F59" s="73">
        <v>0.32</v>
      </c>
      <c r="G59" s="243">
        <f>+E59*F59</f>
        <v>173.08799999999999</v>
      </c>
      <c r="H59" s="5"/>
      <c r="I59" s="5"/>
    </row>
    <row r="60" spans="1:9" ht="18.75">
      <c r="A60" s="61" t="s">
        <v>1</v>
      </c>
      <c r="B60" s="245">
        <v>220.6668600435371</v>
      </c>
      <c r="C60" s="73">
        <v>0.33</v>
      </c>
      <c r="D60" s="243">
        <f>+B60*C60</f>
        <v>72.820063814367245</v>
      </c>
      <c r="E60" s="245">
        <v>232</v>
      </c>
      <c r="F60" s="73">
        <v>0.33</v>
      </c>
      <c r="G60" s="243">
        <f>+E60*F60</f>
        <v>76.56</v>
      </c>
      <c r="H60" s="5"/>
      <c r="I60" s="5"/>
    </row>
    <row r="61" spans="1:9" ht="18.75">
      <c r="A61" s="61" t="s">
        <v>2</v>
      </c>
      <c r="B61" s="245">
        <v>189</v>
      </c>
      <c r="C61" s="73">
        <v>0.16400000000000001</v>
      </c>
      <c r="D61" s="243">
        <f>+B61*C61</f>
        <v>30.996000000000002</v>
      </c>
      <c r="E61" s="245">
        <v>193.5</v>
      </c>
      <c r="F61" s="73">
        <v>0.16400000000000001</v>
      </c>
      <c r="G61" s="243">
        <f>+E61*F61</f>
        <v>31.734000000000002</v>
      </c>
      <c r="H61" s="5"/>
      <c r="I61" s="5"/>
    </row>
    <row r="62" spans="1:9" ht="18.75">
      <c r="A62" s="62" t="s">
        <v>115</v>
      </c>
      <c r="B62" s="256">
        <f>SUM(B59:B61)</f>
        <v>928.73147393067416</v>
      </c>
      <c r="C62" s="257"/>
      <c r="D62" s="256">
        <f>SUM(D59:D61)</f>
        <v>269.91674025825108</v>
      </c>
      <c r="E62" s="256">
        <f>SUM(E59:E61)</f>
        <v>966.4</v>
      </c>
      <c r="F62" s="257"/>
      <c r="G62" s="256">
        <f>SUM(G59:G61)</f>
        <v>281.38200000000001</v>
      </c>
    </row>
    <row r="63" spans="1:9" ht="18.75">
      <c r="A63" s="67"/>
      <c r="B63" s="68"/>
      <c r="C63" s="68"/>
      <c r="D63" s="68"/>
      <c r="E63" s="68"/>
      <c r="F63" s="68"/>
      <c r="G63" s="68"/>
    </row>
    <row r="64" spans="1:9" ht="21">
      <c r="A64" s="264" t="s">
        <v>123</v>
      </c>
      <c r="B64" s="269">
        <f>+B42+B46+B50+B54+B58+B62</f>
        <v>10330.455530634639</v>
      </c>
      <c r="C64" s="264"/>
      <c r="D64" s="267">
        <f>+D42+D46+D50+D54+D58+D62</f>
        <v>3086.0655531392877</v>
      </c>
      <c r="E64" s="267">
        <f>+E42+E46+E50+E54+E58+E62</f>
        <v>10585.199999999999</v>
      </c>
      <c r="F64" s="267"/>
      <c r="G64" s="267">
        <f>+G62+G58+G54+G50+G46+G42</f>
        <v>3157.6244000000006</v>
      </c>
    </row>
    <row r="65" spans="1:12" ht="18.75">
      <c r="A65" s="67"/>
      <c r="B65" s="68"/>
      <c r="C65" s="68"/>
      <c r="D65" s="70"/>
      <c r="E65" s="70"/>
      <c r="F65" s="70"/>
      <c r="G65" s="70"/>
    </row>
    <row r="66" spans="1:12" ht="18.75">
      <c r="A66" s="60" t="s">
        <v>0</v>
      </c>
      <c r="B66" s="165">
        <f>+B39+B43+B47+B51+B55+B59</f>
        <v>7085.5505970143322</v>
      </c>
      <c r="C66" s="165">
        <f>+D39+D43+D47+D51+D55+D59</f>
        <v>2267.376191044586</v>
      </c>
      <c r="D66" s="66"/>
      <c r="E66" s="60" t="s">
        <v>0</v>
      </c>
      <c r="F66" s="63">
        <f>+E39+E43+E47+E51+E55+E59</f>
        <v>7194.9999999999991</v>
      </c>
      <c r="G66" s="165">
        <f>+G39+G43+G47+G51+G55+G59</f>
        <v>2302.4</v>
      </c>
      <c r="J66" s="259" t="s">
        <v>287</v>
      </c>
      <c r="K66" s="259">
        <v>2012</v>
      </c>
      <c r="L66" s="259">
        <v>2013</v>
      </c>
    </row>
    <row r="67" spans="1:12" ht="18.75">
      <c r="A67" s="60" t="s">
        <v>1</v>
      </c>
      <c r="B67" s="165">
        <f>+B40+B44+B48+B52+B56+B60</f>
        <v>1726.0539336203074</v>
      </c>
      <c r="C67" s="165">
        <f>+D40+D44+D48+D52+D56+D60</f>
        <v>569.59779809470137</v>
      </c>
      <c r="D67" s="66"/>
      <c r="E67" s="60" t="s">
        <v>1</v>
      </c>
      <c r="F67" s="63">
        <f>+E40+E44+E48+E52+E56+E60</f>
        <v>1802.6</v>
      </c>
      <c r="G67" s="165">
        <f>+G40+G44+G48+G52+G56+G60</f>
        <v>594.85799999999995</v>
      </c>
      <c r="J67" s="60" t="s">
        <v>284</v>
      </c>
      <c r="K67" s="165">
        <f>+C31+C66</f>
        <v>14931.144934554144</v>
      </c>
      <c r="L67" s="165">
        <f>+G31+G66</f>
        <v>15881.686351467522</v>
      </c>
    </row>
    <row r="68" spans="1:12" ht="18.75">
      <c r="A68" s="60" t="s">
        <v>2</v>
      </c>
      <c r="B68" s="165">
        <f>+B41+B45+B49+B53+B57+B61</f>
        <v>1518.8510000000001</v>
      </c>
      <c r="C68" s="165">
        <f>+D41+D45+D49+D53+D57+D61</f>
        <v>249.09156400000003</v>
      </c>
      <c r="D68" s="66"/>
      <c r="E68" s="60" t="s">
        <v>2</v>
      </c>
      <c r="F68" s="63">
        <f>+E41+E45+E49+E53+E57+E61</f>
        <v>1587.6</v>
      </c>
      <c r="G68" s="165">
        <f>+G41+G45+G49+G53+G57+G61</f>
        <v>260.3664</v>
      </c>
      <c r="J68" s="60" t="s">
        <v>285</v>
      </c>
      <c r="K68" s="165">
        <f>+C32+C67</f>
        <v>8458.3106430192947</v>
      </c>
      <c r="L68" s="165">
        <f>+G32+G67</f>
        <v>8910.3125425204125</v>
      </c>
    </row>
    <row r="69" spans="1:12" ht="18.75">
      <c r="A69" s="252" t="s">
        <v>164</v>
      </c>
      <c r="B69" s="253">
        <f>SUM(B66:B68)</f>
        <v>10330.455530634639</v>
      </c>
      <c r="C69" s="253">
        <f>SUM(C66:C68)</f>
        <v>3086.0655531392872</v>
      </c>
      <c r="D69" s="66"/>
      <c r="E69" s="252" t="s">
        <v>164</v>
      </c>
      <c r="F69" s="253">
        <f>SUM(F66:F68)</f>
        <v>10585.199999999999</v>
      </c>
      <c r="G69" s="253">
        <f>SUM(G66:G68)</f>
        <v>3157.6243999999997</v>
      </c>
      <c r="J69" s="60" t="s">
        <v>286</v>
      </c>
      <c r="K69" s="165">
        <f>+C33+C68</f>
        <v>1418.0175640000002</v>
      </c>
      <c r="L69" s="165">
        <f>+G33+G68</f>
        <v>1488.3953999999999</v>
      </c>
    </row>
    <row r="70" spans="1:12" ht="21">
      <c r="A70" s="539">
        <v>2012</v>
      </c>
      <c r="B70" s="540"/>
      <c r="C70" s="541"/>
      <c r="D70" s="66"/>
      <c r="E70" s="542">
        <v>2013</v>
      </c>
      <c r="F70" s="543"/>
      <c r="G70" s="544"/>
      <c r="J70" s="260" t="s">
        <v>164</v>
      </c>
      <c r="K70" s="261">
        <f>SUM(K67:K69)</f>
        <v>24807.473141573442</v>
      </c>
      <c r="L70" s="261">
        <f>+G34+G69</f>
        <v>26280.394293987934</v>
      </c>
    </row>
    <row r="71" spans="1:12" ht="21">
      <c r="A71" s="286"/>
      <c r="B71" s="287"/>
      <c r="C71" s="288"/>
      <c r="D71" s="289"/>
      <c r="E71" s="290"/>
      <c r="F71" s="291"/>
      <c r="G71" s="292"/>
      <c r="H71" s="53"/>
      <c r="I71" s="293"/>
      <c r="J71" s="294"/>
      <c r="K71" s="294"/>
      <c r="L71" s="53"/>
    </row>
    <row r="72" spans="1:12" ht="18.75">
      <c r="A72" s="67"/>
      <c r="B72" s="295" t="s">
        <v>19</v>
      </c>
      <c r="C72" s="295" t="s">
        <v>82</v>
      </c>
      <c r="D72" s="295" t="s">
        <v>79</v>
      </c>
      <c r="E72" s="295" t="s">
        <v>80</v>
      </c>
      <c r="F72" s="295" t="s">
        <v>20</v>
      </c>
      <c r="G72" s="295" t="s">
        <v>81</v>
      </c>
      <c r="H72" s="295" t="s">
        <v>14</v>
      </c>
      <c r="I72" s="296" t="s">
        <v>13</v>
      </c>
    </row>
    <row r="73" spans="1:12" ht="18.75">
      <c r="A73" s="293" t="s">
        <v>304</v>
      </c>
      <c r="B73" s="156">
        <f>3150.784+1</f>
        <v>3151.7840000000001</v>
      </c>
      <c r="C73" s="156">
        <v>2112.6492430762828</v>
      </c>
      <c r="D73" s="156">
        <v>4179.8059465192991</v>
      </c>
      <c r="E73" s="156">
        <v>3403.2296800000004</v>
      </c>
      <c r="F73" s="156">
        <v>5690.1966417994181</v>
      </c>
      <c r="G73" s="156">
        <v>3184.7420770391532</v>
      </c>
      <c r="H73" s="156">
        <v>0</v>
      </c>
      <c r="I73" s="156">
        <f>SUM(B73:H73)</f>
        <v>21722.407588434155</v>
      </c>
    </row>
    <row r="74" spans="1:12" ht="18.75">
      <c r="A74" s="293" t="s">
        <v>305</v>
      </c>
      <c r="B74" s="156">
        <v>331.24812786772793</v>
      </c>
      <c r="C74" s="156">
        <v>269.91674025825108</v>
      </c>
      <c r="D74" s="156">
        <v>505.43308066637661</v>
      </c>
      <c r="E74" s="156">
        <v>662.42091179128181</v>
      </c>
      <c r="F74" s="156">
        <v>782.6213294909237</v>
      </c>
      <c r="G74" s="156">
        <v>534.42536306472641</v>
      </c>
      <c r="H74" s="156"/>
      <c r="I74" s="156">
        <v>3086.0655531392877</v>
      </c>
    </row>
    <row r="75" spans="1:12" ht="18.75">
      <c r="A75" s="297" t="s">
        <v>309</v>
      </c>
      <c r="B75" s="298">
        <f>+B73+B74</f>
        <v>3483.0321278677279</v>
      </c>
      <c r="C75" s="298">
        <f t="shared" ref="C75:H75" si="1">+C73+C74</f>
        <v>2382.5659833345339</v>
      </c>
      <c r="D75" s="298">
        <f t="shared" si="1"/>
        <v>4685.2390271856757</v>
      </c>
      <c r="E75" s="298">
        <f t="shared" si="1"/>
        <v>4065.6505917912823</v>
      </c>
      <c r="F75" s="298">
        <f t="shared" si="1"/>
        <v>6472.817971290342</v>
      </c>
      <c r="G75" s="298">
        <f t="shared" si="1"/>
        <v>3719.1674401038795</v>
      </c>
      <c r="H75" s="298">
        <f t="shared" si="1"/>
        <v>0</v>
      </c>
      <c r="I75" s="298">
        <f>SUM(B75:H75)</f>
        <v>24808.473141573442</v>
      </c>
    </row>
    <row r="76" spans="1:12" ht="18.75">
      <c r="A76" s="293" t="s">
        <v>306</v>
      </c>
      <c r="B76" s="411">
        <v>3285</v>
      </c>
      <c r="C76" s="411">
        <v>2260</v>
      </c>
      <c r="D76" s="156">
        <v>4362.8585499999999</v>
      </c>
      <c r="E76" s="156">
        <v>3773.6208331383436</v>
      </c>
      <c r="F76" s="156">
        <v>6070.0222170480693</v>
      </c>
      <c r="G76" s="156">
        <f>3371.23993754044</f>
        <v>3371.2399375404402</v>
      </c>
      <c r="H76" s="156">
        <v>0</v>
      </c>
      <c r="I76" s="156">
        <f>SUM(B76:H76)</f>
        <v>23122.741537726855</v>
      </c>
      <c r="J76" s="9"/>
    </row>
    <row r="77" spans="1:12" ht="18.75">
      <c r="A77" s="293" t="s">
        <v>307</v>
      </c>
      <c r="B77" s="156">
        <f>348.1424-1</f>
        <v>347.14240000000001</v>
      </c>
      <c r="C77" s="156">
        <f>281.382+1</f>
        <v>282.38200000000001</v>
      </c>
      <c r="D77" s="156">
        <v>495.38</v>
      </c>
      <c r="E77" s="156">
        <v>671.64600000000007</v>
      </c>
      <c r="F77" s="156">
        <v>814.57</v>
      </c>
      <c r="G77" s="156">
        <v>546.50400000000002</v>
      </c>
      <c r="H77" s="156">
        <v>0</v>
      </c>
      <c r="I77" s="156">
        <f>SUM(B77:H77)</f>
        <v>3157.6244000000002</v>
      </c>
    </row>
    <row r="78" spans="1:12" ht="18.75">
      <c r="A78" s="297" t="s">
        <v>308</v>
      </c>
      <c r="B78" s="298">
        <f>+B76+B77</f>
        <v>3632.1424000000002</v>
      </c>
      <c r="C78" s="298">
        <f t="shared" ref="C78:F78" si="2">+C76+C77</f>
        <v>2542.3820000000001</v>
      </c>
      <c r="D78" s="298">
        <f t="shared" si="2"/>
        <v>4858.23855</v>
      </c>
      <c r="E78" s="298">
        <f t="shared" si="2"/>
        <v>4445.2668331383438</v>
      </c>
      <c r="F78" s="298">
        <f t="shared" si="2"/>
        <v>6884.592217048069</v>
      </c>
      <c r="G78" s="298">
        <f>+G76+G77</f>
        <v>3917.7439375404401</v>
      </c>
      <c r="H78" s="298">
        <f t="shared" ref="H78:I78" si="3">+H76+H77</f>
        <v>0</v>
      </c>
      <c r="I78" s="298">
        <f t="shared" si="3"/>
        <v>26280.365937726856</v>
      </c>
    </row>
    <row r="79" spans="1:12" s="6" customFormat="1" ht="18.75">
      <c r="A79" s="67"/>
      <c r="B79" s="68"/>
      <c r="C79" s="68"/>
      <c r="D79" s="70"/>
      <c r="E79" s="70"/>
      <c r="F79" s="70"/>
      <c r="G79" s="70"/>
    </row>
    <row r="80" spans="1:12" s="6" customFormat="1" ht="18.75">
      <c r="A80" s="67"/>
      <c r="B80" s="68">
        <f>3285+348</f>
        <v>3633</v>
      </c>
      <c r="C80" s="68">
        <f>2260+281</f>
        <v>2541</v>
      </c>
      <c r="D80" s="70"/>
      <c r="E80" s="70"/>
      <c r="F80" s="70"/>
      <c r="G80" s="70"/>
    </row>
    <row r="81" spans="1:15">
      <c r="A81" s="8"/>
      <c r="B81" s="117"/>
      <c r="C81" s="117"/>
      <c r="D81" s="117"/>
      <c r="E81" s="117"/>
      <c r="F81" s="117"/>
      <c r="G81" s="117"/>
      <c r="H81" s="8"/>
      <c r="I81" s="8"/>
      <c r="J81" s="8"/>
      <c r="K81" s="8"/>
    </row>
    <row r="82" spans="1:15" ht="21">
      <c r="A82" s="146">
        <v>2012</v>
      </c>
      <c r="B82" s="119" t="s">
        <v>19</v>
      </c>
      <c r="C82" s="119" t="s">
        <v>82</v>
      </c>
      <c r="D82" s="119" t="s">
        <v>79</v>
      </c>
      <c r="E82" s="119" t="s">
        <v>80</v>
      </c>
      <c r="F82" s="119" t="s">
        <v>20</v>
      </c>
      <c r="G82" s="119" t="s">
        <v>81</v>
      </c>
      <c r="H82" s="119" t="s">
        <v>14</v>
      </c>
      <c r="I82" s="120" t="s">
        <v>13</v>
      </c>
    </row>
    <row r="83" spans="1:15">
      <c r="A83" s="121" t="s">
        <v>135</v>
      </c>
      <c r="B83" s="122">
        <v>3483.0321278677279</v>
      </c>
      <c r="C83" s="122">
        <v>2382.5659833345339</v>
      </c>
      <c r="D83" s="122">
        <v>4685.2390271856757</v>
      </c>
      <c r="E83" s="122">
        <v>4065.6505917912823</v>
      </c>
      <c r="F83" s="122">
        <v>6472.817971290342</v>
      </c>
      <c r="G83" s="122">
        <v>3719.1674401038795</v>
      </c>
      <c r="H83" s="123">
        <v>0</v>
      </c>
      <c r="I83" s="124">
        <f>SUM(B83:H83)</f>
        <v>24808.473141573442</v>
      </c>
      <c r="J83" s="4" t="s">
        <v>288</v>
      </c>
      <c r="M83" s="12" t="s">
        <v>157</v>
      </c>
      <c r="N83" s="12" t="s">
        <v>155</v>
      </c>
      <c r="O83" s="12" t="s">
        <v>156</v>
      </c>
    </row>
    <row r="84" spans="1:15">
      <c r="A84" s="125" t="s">
        <v>104</v>
      </c>
      <c r="B84" s="126">
        <f>+B83/I83</f>
        <v>0.14039687601857878</v>
      </c>
      <c r="C84" s="126">
        <f>+C83/I83</f>
        <v>9.6038396629169701E-2</v>
      </c>
      <c r="D84" s="126">
        <f>+D83/I83</f>
        <v>0.18885640403779083</v>
      </c>
      <c r="E84" s="126">
        <f>+E83/I83</f>
        <v>0.16388153227286539</v>
      </c>
      <c r="F84" s="126">
        <f>+F83/I83</f>
        <v>0.26091158187576441</v>
      </c>
      <c r="G84" s="126">
        <f>+G83/I83</f>
        <v>0.14991520916583084</v>
      </c>
      <c r="H84" s="90">
        <v>0</v>
      </c>
      <c r="I84" s="127">
        <f>SUM(B84:H84)</f>
        <v>1</v>
      </c>
      <c r="M84" s="151">
        <v>359</v>
      </c>
      <c r="N84" s="152">
        <v>1.95</v>
      </c>
      <c r="O84" s="153">
        <f>+M84*N84</f>
        <v>700.05</v>
      </c>
    </row>
    <row r="85" spans="1:15">
      <c r="A85" s="128" t="s">
        <v>151</v>
      </c>
      <c r="B85" s="129">
        <f>+$I$85*B84</f>
        <v>135.76377910996567</v>
      </c>
      <c r="C85" s="129">
        <f t="shared" ref="C85:H85" si="4">+$I$85*C84</f>
        <v>92.869129540407101</v>
      </c>
      <c r="D85" s="129">
        <f t="shared" si="4"/>
        <v>182.62414270454374</v>
      </c>
      <c r="E85" s="129">
        <f t="shared" si="4"/>
        <v>158.47344170786084</v>
      </c>
      <c r="F85" s="129">
        <f t="shared" si="4"/>
        <v>252.30149967386419</v>
      </c>
      <c r="G85" s="129">
        <f t="shared" si="4"/>
        <v>144.96800726335843</v>
      </c>
      <c r="H85" s="129">
        <f t="shared" si="4"/>
        <v>0</v>
      </c>
      <c r="I85" s="130">
        <v>967</v>
      </c>
      <c r="J85" s="4" t="s">
        <v>288</v>
      </c>
    </row>
    <row r="86" spans="1:15">
      <c r="A86" s="131" t="s">
        <v>158</v>
      </c>
      <c r="B86" s="132">
        <f>+$I$86*B84</f>
        <v>98.277813213005146</v>
      </c>
      <c r="C86" s="132">
        <f t="shared" ref="C86:H86" si="5">+$I$86*C84</f>
        <v>67.226877640418792</v>
      </c>
      <c r="D86" s="132">
        <f t="shared" si="5"/>
        <v>132.19948282645359</v>
      </c>
      <c r="E86" s="132">
        <f t="shared" si="5"/>
        <v>114.71707259100577</v>
      </c>
      <c r="F86" s="132">
        <f t="shared" si="5"/>
        <v>182.63810731303508</v>
      </c>
      <c r="G86" s="132">
        <f t="shared" si="5"/>
        <v>104.94064641608159</v>
      </c>
      <c r="H86" s="132">
        <f t="shared" si="5"/>
        <v>0</v>
      </c>
      <c r="I86" s="133">
        <v>700</v>
      </c>
      <c r="J86" s="4" t="s">
        <v>288</v>
      </c>
    </row>
    <row r="87" spans="1:15">
      <c r="A87" s="131" t="s">
        <v>168</v>
      </c>
      <c r="B87" s="132">
        <f>($I$87-H87)*B84</f>
        <v>11.231750081486302</v>
      </c>
      <c r="C87" s="132">
        <f>($I$87-H87)*C84</f>
        <v>7.6830717303335758</v>
      </c>
      <c r="D87" s="132">
        <f>(I87-H87)*D84</f>
        <v>15.108512323023266</v>
      </c>
      <c r="E87" s="132">
        <f>($I$87-H87)*E84</f>
        <v>13.110522581829231</v>
      </c>
      <c r="F87" s="132">
        <f>($I$87-H87)*F84</f>
        <v>20.872926550061152</v>
      </c>
      <c r="G87" s="132">
        <f>($I$87-H87)*G84</f>
        <v>11.993216733266468</v>
      </c>
      <c r="H87" s="132">
        <v>20</v>
      </c>
      <c r="I87" s="133">
        <v>100</v>
      </c>
    </row>
    <row r="88" spans="1:15">
      <c r="A88" s="128" t="s">
        <v>169</v>
      </c>
      <c r="B88" s="129">
        <f>SUM(B86:B87)</f>
        <v>109.50956329449144</v>
      </c>
      <c r="C88" s="129">
        <f t="shared" ref="C88:I88" si="6">SUM(C86:C87)</f>
        <v>74.909949370752372</v>
      </c>
      <c r="D88" s="129">
        <f t="shared" si="6"/>
        <v>147.30799514947685</v>
      </c>
      <c r="E88" s="129">
        <f t="shared" si="6"/>
        <v>127.827595172835</v>
      </c>
      <c r="F88" s="129">
        <f t="shared" si="6"/>
        <v>203.51103386309623</v>
      </c>
      <c r="G88" s="129">
        <f t="shared" si="6"/>
        <v>116.93386314934806</v>
      </c>
      <c r="H88" s="129">
        <f t="shared" si="6"/>
        <v>20</v>
      </c>
      <c r="I88" s="129">
        <f t="shared" si="6"/>
        <v>800</v>
      </c>
    </row>
    <row r="89" spans="1:15">
      <c r="A89" s="128" t="s">
        <v>146</v>
      </c>
      <c r="B89" s="129">
        <f>+B83+B85+B86</f>
        <v>3717.0737201906986</v>
      </c>
      <c r="C89" s="129">
        <f t="shared" ref="C89:I89" si="7">+C83+C85+C86</f>
        <v>2542.6619905153598</v>
      </c>
      <c r="D89" s="129">
        <f t="shared" si="7"/>
        <v>5000.0626527166723</v>
      </c>
      <c r="E89" s="129">
        <f t="shared" si="7"/>
        <v>4338.841106090149</v>
      </c>
      <c r="F89" s="129">
        <f t="shared" si="7"/>
        <v>6907.757578277241</v>
      </c>
      <c r="G89" s="129">
        <f t="shared" si="7"/>
        <v>3969.0760937833193</v>
      </c>
      <c r="H89" s="129">
        <f t="shared" si="7"/>
        <v>0</v>
      </c>
      <c r="I89" s="130">
        <f t="shared" si="7"/>
        <v>26475.473141573442</v>
      </c>
    </row>
    <row r="90" spans="1:15">
      <c r="A90" s="131" t="s">
        <v>147</v>
      </c>
      <c r="B90" s="132">
        <f>+B89*0.02</f>
        <v>74.341474403813976</v>
      </c>
      <c r="C90" s="132">
        <f t="shared" ref="C90:I90" si="8">+C89*0.02</f>
        <v>50.853239810307194</v>
      </c>
      <c r="D90" s="132">
        <f t="shared" si="8"/>
        <v>100.00125305433345</v>
      </c>
      <c r="E90" s="132">
        <f t="shared" si="8"/>
        <v>86.776822121802979</v>
      </c>
      <c r="F90" s="132">
        <f t="shared" si="8"/>
        <v>138.15515156554483</v>
      </c>
      <c r="G90" s="132">
        <f t="shared" si="8"/>
        <v>79.381521875666394</v>
      </c>
      <c r="H90" s="132">
        <f t="shared" si="8"/>
        <v>0</v>
      </c>
      <c r="I90" s="133">
        <f t="shared" si="8"/>
        <v>529.50946283146891</v>
      </c>
      <c r="J90" s="115"/>
      <c r="K90" s="116"/>
    </row>
    <row r="91" spans="1:15">
      <c r="A91" s="131" t="s">
        <v>148</v>
      </c>
      <c r="B91" s="132">
        <f t="shared" ref="B91:G91" si="9">+($I$91-$H$91)*B84</f>
        <v>45.557457716052291</v>
      </c>
      <c r="C91" s="132">
        <f t="shared" si="9"/>
        <v>31.163550911003721</v>
      </c>
      <c r="D91" s="132">
        <f t="shared" si="9"/>
        <v>61.28211599393989</v>
      </c>
      <c r="E91" s="132">
        <f t="shared" si="9"/>
        <v>53.178006439224056</v>
      </c>
      <c r="F91" s="132">
        <f t="shared" si="9"/>
        <v>84.66333935635798</v>
      </c>
      <c r="G91" s="132">
        <f t="shared" si="9"/>
        <v>48.646066751953143</v>
      </c>
      <c r="H91" s="132">
        <v>846</v>
      </c>
      <c r="I91" s="133">
        <f>1700-I90</f>
        <v>1170.4905371685311</v>
      </c>
    </row>
    <row r="92" spans="1:15">
      <c r="A92" s="128" t="s">
        <v>149</v>
      </c>
      <c r="B92" s="129">
        <f>+B90+B91</f>
        <v>119.89893211986626</v>
      </c>
      <c r="C92" s="129">
        <f t="shared" ref="C92:I92" si="10">+C90+C91</f>
        <v>82.016790721310912</v>
      </c>
      <c r="D92" s="129">
        <f t="shared" si="10"/>
        <v>161.28336904827333</v>
      </c>
      <c r="E92" s="129">
        <f t="shared" si="10"/>
        <v>139.95482856102703</v>
      </c>
      <c r="F92" s="129">
        <f t="shared" si="10"/>
        <v>222.81849092190282</v>
      </c>
      <c r="G92" s="129">
        <f t="shared" si="10"/>
        <v>128.02758862761954</v>
      </c>
      <c r="H92" s="129">
        <f t="shared" si="10"/>
        <v>846</v>
      </c>
      <c r="I92" s="130">
        <f t="shared" si="10"/>
        <v>1700</v>
      </c>
      <c r="J92" s="4" t="s">
        <v>288</v>
      </c>
    </row>
    <row r="93" spans="1:15">
      <c r="A93" s="134" t="s">
        <v>138</v>
      </c>
      <c r="B93" s="135">
        <f>+(I93-H93)*B84</f>
        <v>219.7211109690758</v>
      </c>
      <c r="C93" s="135">
        <f>+(I93-H93)*C84</f>
        <v>150.30009072465057</v>
      </c>
      <c r="D93" s="135">
        <f>+(I93-H93)*D84</f>
        <v>295.56027231914265</v>
      </c>
      <c r="E93" s="135">
        <f>+(I93-H93)*E84</f>
        <v>256.47459800703433</v>
      </c>
      <c r="F93" s="135">
        <f>+(I93-H93)*F84</f>
        <v>408.3266256355713</v>
      </c>
      <c r="G93" s="135">
        <f>+(I93-H93)*G84</f>
        <v>234.61730234452526</v>
      </c>
      <c r="H93" s="136">
        <v>283</v>
      </c>
      <c r="I93" s="137">
        <v>1848</v>
      </c>
      <c r="J93" s="4" t="s">
        <v>288</v>
      </c>
    </row>
    <row r="94" spans="1:15">
      <c r="A94" s="138" t="s">
        <v>139</v>
      </c>
      <c r="B94" s="139">
        <v>0</v>
      </c>
      <c r="C94" s="139">
        <v>0</v>
      </c>
      <c r="D94" s="139">
        <v>0</v>
      </c>
      <c r="E94" s="139">
        <v>0</v>
      </c>
      <c r="F94" s="139">
        <v>0</v>
      </c>
      <c r="G94" s="139">
        <v>0</v>
      </c>
      <c r="H94" s="140">
        <v>48</v>
      </c>
      <c r="I94" s="141">
        <f>SUM(B94:H94)</f>
        <v>48</v>
      </c>
      <c r="J94" s="1"/>
    </row>
    <row r="95" spans="1:15">
      <c r="A95" s="138" t="s">
        <v>165</v>
      </c>
      <c r="B95" s="139">
        <v>700.31433312061267</v>
      </c>
      <c r="C95" s="139">
        <v>530.52114103382257</v>
      </c>
      <c r="D95" s="139">
        <v>965.90524058710923</v>
      </c>
      <c r="E95" s="139">
        <v>916.35469814933003</v>
      </c>
      <c r="F95" s="139">
        <v>1363.6309278876836</v>
      </c>
      <c r="G95" s="139">
        <v>699.65365922144235</v>
      </c>
      <c r="H95" s="139"/>
      <c r="I95" s="139">
        <f>SUM(B95:H95)</f>
        <v>5176.380000000001</v>
      </c>
      <c r="J95" s="4" t="s">
        <v>288</v>
      </c>
      <c r="K95" s="115"/>
      <c r="L95" s="53"/>
      <c r="M95" s="53"/>
      <c r="N95" s="53"/>
      <c r="O95" s="53"/>
    </row>
    <row r="96" spans="1:15">
      <c r="A96" s="138" t="s">
        <v>166</v>
      </c>
      <c r="B96" s="139">
        <v>83.2</v>
      </c>
      <c r="C96" s="139">
        <v>76.52</v>
      </c>
      <c r="D96" s="139">
        <v>130</v>
      </c>
      <c r="E96" s="139">
        <v>135.28</v>
      </c>
      <c r="F96" s="139">
        <v>196.20000000000002</v>
      </c>
      <c r="G96" s="139">
        <v>99.960000000000008</v>
      </c>
      <c r="H96" s="139"/>
      <c r="I96" s="139">
        <v>721</v>
      </c>
      <c r="K96" s="53"/>
      <c r="L96" s="53"/>
      <c r="M96" s="53"/>
      <c r="N96" s="53"/>
      <c r="O96" s="53"/>
    </row>
    <row r="97" spans="1:15">
      <c r="A97" s="134" t="s">
        <v>167</v>
      </c>
      <c r="B97" s="135">
        <f>SUM(B95:B96)</f>
        <v>783.51433312061272</v>
      </c>
      <c r="C97" s="135">
        <f t="shared" ref="C97:I97" si="11">SUM(C95:C96)</f>
        <v>607.04114103382256</v>
      </c>
      <c r="D97" s="135">
        <f t="shared" si="11"/>
        <v>1095.9052405871093</v>
      </c>
      <c r="E97" s="135">
        <f t="shared" si="11"/>
        <v>1051.63469814933</v>
      </c>
      <c r="F97" s="135">
        <f t="shared" si="11"/>
        <v>1559.8309278876836</v>
      </c>
      <c r="G97" s="135">
        <f t="shared" si="11"/>
        <v>799.61365922144239</v>
      </c>
      <c r="H97" s="135">
        <f t="shared" si="11"/>
        <v>0</v>
      </c>
      <c r="I97" s="135">
        <f t="shared" si="11"/>
        <v>5897.380000000001</v>
      </c>
      <c r="K97" s="115"/>
      <c r="L97" s="53"/>
      <c r="M97" s="53"/>
      <c r="N97" s="53"/>
      <c r="O97" s="53"/>
    </row>
    <row r="98" spans="1:15">
      <c r="A98" s="134" t="s">
        <v>142</v>
      </c>
      <c r="B98" s="135">
        <v>5.195402298850575</v>
      </c>
      <c r="C98" s="135">
        <v>11.689655172413794</v>
      </c>
      <c r="D98" s="135">
        <v>16.885057471264368</v>
      </c>
      <c r="E98" s="135">
        <v>14.287356321839082</v>
      </c>
      <c r="F98" s="135">
        <v>36.367816091954019</v>
      </c>
      <c r="G98" s="135">
        <v>5.195402298850575</v>
      </c>
      <c r="H98" s="135">
        <v>23.379310344827587</v>
      </c>
      <c r="I98" s="137">
        <v>113</v>
      </c>
      <c r="J98" s="4" t="s">
        <v>288</v>
      </c>
      <c r="K98" s="115"/>
      <c r="L98" s="53"/>
      <c r="M98" s="53"/>
      <c r="N98" s="53"/>
      <c r="O98" s="53"/>
    </row>
    <row r="99" spans="1:15">
      <c r="A99" s="125" t="s">
        <v>143</v>
      </c>
      <c r="B99" s="142">
        <v>2</v>
      </c>
      <c r="C99" s="142">
        <v>2</v>
      </c>
      <c r="D99" s="142">
        <v>2</v>
      </c>
      <c r="E99" s="142">
        <v>2</v>
      </c>
      <c r="F99" s="142">
        <v>2</v>
      </c>
      <c r="G99" s="142">
        <v>2</v>
      </c>
      <c r="H99" s="142">
        <v>16</v>
      </c>
      <c r="I99" s="142">
        <v>28</v>
      </c>
      <c r="J99" s="1"/>
      <c r="K99" s="53"/>
      <c r="L99" s="53"/>
      <c r="M99" s="53"/>
      <c r="N99" s="53"/>
      <c r="O99" s="53"/>
    </row>
    <row r="100" spans="1:15">
      <c r="A100" s="121" t="s">
        <v>72</v>
      </c>
      <c r="B100" s="124">
        <f>+B93+B97+B98</f>
        <v>1008.4308463885391</v>
      </c>
      <c r="C100" s="124">
        <f t="shared" ref="C100:H100" si="12">+C93+C97+C98</f>
        <v>769.03088693088694</v>
      </c>
      <c r="D100" s="124">
        <f t="shared" si="12"/>
        <v>1408.3505703775165</v>
      </c>
      <c r="E100" s="124">
        <f t="shared" si="12"/>
        <v>1322.3966524782034</v>
      </c>
      <c r="F100" s="124">
        <f t="shared" si="12"/>
        <v>2004.525369615209</v>
      </c>
      <c r="G100" s="124">
        <f t="shared" si="12"/>
        <v>1039.4263638648181</v>
      </c>
      <c r="H100" s="124">
        <f t="shared" si="12"/>
        <v>306.37931034482756</v>
      </c>
      <c r="I100" s="124">
        <f>+I93+I97+I98</f>
        <v>7858.380000000001</v>
      </c>
      <c r="J100" s="157" t="s">
        <v>60</v>
      </c>
      <c r="K100" s="53"/>
      <c r="L100" s="53"/>
      <c r="M100" s="53"/>
      <c r="N100" s="53"/>
      <c r="O100" s="53"/>
    </row>
    <row r="101" spans="1:15">
      <c r="A101" s="143" t="s">
        <v>152</v>
      </c>
      <c r="B101" s="144">
        <f>+$I$101*B84</f>
        <v>11.147511955875157</v>
      </c>
      <c r="C101" s="144">
        <f t="shared" ref="C101:H101" si="13">+$I$101*C84</f>
        <v>7.6254486923560751</v>
      </c>
      <c r="D101" s="144">
        <f t="shared" si="13"/>
        <v>14.995198480600592</v>
      </c>
      <c r="E101" s="144">
        <f t="shared" si="13"/>
        <v>13.012193662465513</v>
      </c>
      <c r="F101" s="144">
        <f t="shared" si="13"/>
        <v>20.716379600935696</v>
      </c>
      <c r="G101" s="144">
        <f t="shared" si="13"/>
        <v>11.903267607766971</v>
      </c>
      <c r="H101" s="144">
        <f t="shared" si="13"/>
        <v>0</v>
      </c>
      <c r="I101" s="144">
        <v>79.400000000000006</v>
      </c>
      <c r="J101" s="147" t="s">
        <v>60</v>
      </c>
      <c r="K101" s="53"/>
      <c r="L101" s="53"/>
      <c r="M101" s="53"/>
      <c r="N101" s="53"/>
      <c r="O101" s="53"/>
    </row>
    <row r="102" spans="1:15">
      <c r="A102" s="143" t="s">
        <v>145</v>
      </c>
      <c r="B102" s="144">
        <f>+($I$102-$H$102)*B84</f>
        <v>4.211906280557363</v>
      </c>
      <c r="C102" s="144">
        <f t="shared" ref="C102:G102" si="14">+($I$102-$H$102)*C84</f>
        <v>2.8811518988750908</v>
      </c>
      <c r="D102" s="144">
        <f t="shared" si="14"/>
        <v>5.6656921211337252</v>
      </c>
      <c r="E102" s="144">
        <f t="shared" si="14"/>
        <v>4.916445968185962</v>
      </c>
      <c r="F102" s="144">
        <f t="shared" si="14"/>
        <v>7.8273474562729319</v>
      </c>
      <c r="G102" s="144">
        <f t="shared" si="14"/>
        <v>4.4974562749749252</v>
      </c>
      <c r="H102" s="144">
        <v>5</v>
      </c>
      <c r="I102" s="144">
        <v>35</v>
      </c>
      <c r="J102" s="147" t="s">
        <v>60</v>
      </c>
      <c r="K102" s="53"/>
      <c r="L102" s="53"/>
      <c r="M102" s="53"/>
      <c r="N102" s="53"/>
      <c r="O102" s="53"/>
    </row>
    <row r="103" spans="1:15">
      <c r="A103" s="143" t="s">
        <v>235</v>
      </c>
      <c r="B103" s="144">
        <f>+$I$103*B84</f>
        <v>29.90453459195728</v>
      </c>
      <c r="C103" s="144">
        <f t="shared" ref="C103:H103" si="15">+$I$103*C84</f>
        <v>20.456178482013147</v>
      </c>
      <c r="D103" s="144">
        <f t="shared" si="15"/>
        <v>40.22641406004945</v>
      </c>
      <c r="E103" s="144">
        <f t="shared" si="15"/>
        <v>34.90676637412033</v>
      </c>
      <c r="F103" s="144">
        <f t="shared" si="15"/>
        <v>55.574166939537818</v>
      </c>
      <c r="G103" s="144">
        <f t="shared" si="15"/>
        <v>31.931939552321971</v>
      </c>
      <c r="H103" s="144">
        <f t="shared" si="15"/>
        <v>0</v>
      </c>
      <c r="I103" s="144">
        <v>213</v>
      </c>
      <c r="J103" s="147"/>
      <c r="K103" s="53"/>
      <c r="L103" s="53"/>
      <c r="M103" s="53"/>
      <c r="N103" s="53"/>
      <c r="O103" s="53"/>
    </row>
    <row r="104" spans="1:15">
      <c r="A104" s="121" t="s">
        <v>144</v>
      </c>
      <c r="B104" s="122">
        <f>+B101+B102+B103</f>
        <v>45.263952828389797</v>
      </c>
      <c r="C104" s="122">
        <f t="shared" ref="C104:I104" si="16">+C101+C102+C103</f>
        <v>30.962779073244313</v>
      </c>
      <c r="D104" s="122">
        <f t="shared" si="16"/>
        <v>60.887304661783766</v>
      </c>
      <c r="E104" s="122">
        <f t="shared" si="16"/>
        <v>52.835406004771805</v>
      </c>
      <c r="F104" s="122">
        <f t="shared" si="16"/>
        <v>84.117893996746446</v>
      </c>
      <c r="G104" s="122">
        <f t="shared" si="16"/>
        <v>48.332663435063864</v>
      </c>
      <c r="H104" s="122">
        <f t="shared" si="16"/>
        <v>5</v>
      </c>
      <c r="I104" s="122">
        <f t="shared" si="16"/>
        <v>327.39999999999998</v>
      </c>
      <c r="J104" s="299" t="s">
        <v>288</v>
      </c>
    </row>
    <row r="105" spans="1:15">
      <c r="A105" s="125" t="s">
        <v>150</v>
      </c>
      <c r="B105" s="142">
        <f>860*B84</f>
        <v>120.74131337597775</v>
      </c>
      <c r="C105" s="142">
        <f t="shared" ref="C105:G105" si="17">860*C84</f>
        <v>82.593021101085938</v>
      </c>
      <c r="D105" s="142">
        <f>860*D84</f>
        <v>162.41650747250011</v>
      </c>
      <c r="E105" s="142">
        <f t="shared" si="17"/>
        <v>140.93811775466423</v>
      </c>
      <c r="F105" s="142">
        <f t="shared" si="17"/>
        <v>224.38396041315738</v>
      </c>
      <c r="G105" s="142">
        <f t="shared" si="17"/>
        <v>128.92707988261452</v>
      </c>
      <c r="H105" s="142">
        <v>190</v>
      </c>
      <c r="I105" s="120">
        <v>1050</v>
      </c>
      <c r="J105" s="4" t="s">
        <v>288</v>
      </c>
    </row>
    <row r="106" spans="1:15">
      <c r="A106" s="125" t="s">
        <v>162</v>
      </c>
      <c r="B106" s="142">
        <f>95*B84</f>
        <v>13.337703221764984</v>
      </c>
      <c r="C106" s="142">
        <f>95*C84</f>
        <v>9.1236476797711212</v>
      </c>
      <c r="D106" s="142">
        <f>95*D84</f>
        <v>17.941358383590128</v>
      </c>
      <c r="E106" s="142">
        <f t="shared" ref="E106:G106" si="18">95*E84</f>
        <v>15.568745565922212</v>
      </c>
      <c r="F106" s="142">
        <f t="shared" si="18"/>
        <v>24.786600278197618</v>
      </c>
      <c r="G106" s="142">
        <f t="shared" si="18"/>
        <v>14.24194487075393</v>
      </c>
      <c r="H106" s="142">
        <v>65</v>
      </c>
      <c r="I106" s="120">
        <v>160</v>
      </c>
      <c r="J106" s="4" t="s">
        <v>288</v>
      </c>
      <c r="K106">
        <v>1099</v>
      </c>
      <c r="L106">
        <v>2011</v>
      </c>
    </row>
    <row r="107" spans="1:15">
      <c r="A107" s="125" t="s">
        <v>137</v>
      </c>
      <c r="B107" s="139">
        <f>+$I$107*B84</f>
        <v>0</v>
      </c>
      <c r="C107" s="139">
        <f t="shared" ref="C107:H107" si="19">+$I$107*C84</f>
        <v>0</v>
      </c>
      <c r="D107" s="139">
        <f t="shared" si="19"/>
        <v>0</v>
      </c>
      <c r="E107" s="139">
        <f t="shared" si="19"/>
        <v>0</v>
      </c>
      <c r="F107" s="139">
        <f t="shared" si="19"/>
        <v>0</v>
      </c>
      <c r="G107" s="139">
        <f t="shared" si="19"/>
        <v>0</v>
      </c>
      <c r="H107" s="139">
        <f t="shared" si="19"/>
        <v>0</v>
      </c>
      <c r="I107" s="145">
        <v>0</v>
      </c>
      <c r="K107">
        <f>+K106*0.09</f>
        <v>98.91</v>
      </c>
      <c r="L107" s="148">
        <v>0.09</v>
      </c>
    </row>
    <row r="108" spans="1:15">
      <c r="A108" s="125" t="s">
        <v>161</v>
      </c>
      <c r="B108" s="139">
        <f>385*B84</f>
        <v>54.052797267152833</v>
      </c>
      <c r="C108" s="139">
        <f>385*C84</f>
        <v>36.974782702230335</v>
      </c>
      <c r="D108" s="139">
        <f t="shared" ref="D108:G108" si="20">385*D84</f>
        <v>72.709715554549476</v>
      </c>
      <c r="E108" s="139">
        <f t="shared" si="20"/>
        <v>63.094389925053179</v>
      </c>
      <c r="F108" s="139">
        <f t="shared" si="20"/>
        <v>100.4509590221693</v>
      </c>
      <c r="G108" s="139">
        <f t="shared" si="20"/>
        <v>57.717355528844877</v>
      </c>
      <c r="H108" s="139">
        <v>15</v>
      </c>
      <c r="I108" s="145">
        <v>400</v>
      </c>
      <c r="J108" t="s">
        <v>310</v>
      </c>
      <c r="L108" s="148"/>
    </row>
    <row r="109" spans="1:15">
      <c r="A109" s="107"/>
      <c r="B109" s="9"/>
      <c r="C109" s="9"/>
      <c r="D109" s="9"/>
      <c r="E109" s="9"/>
      <c r="F109" s="9"/>
      <c r="G109" s="9"/>
      <c r="H109" s="9"/>
      <c r="I109" s="109"/>
      <c r="K109" s="9">
        <f>SUM(K106:K107)</f>
        <v>1197.9100000000001</v>
      </c>
      <c r="L109">
        <v>2012</v>
      </c>
      <c r="M109" s="154" t="s">
        <v>159</v>
      </c>
    </row>
    <row r="110" spans="1:15">
      <c r="A110" s="107"/>
      <c r="B110" s="9"/>
      <c r="C110" s="9"/>
      <c r="D110" s="9"/>
      <c r="E110" s="9"/>
      <c r="F110" s="9"/>
      <c r="G110" s="9"/>
      <c r="H110" s="9"/>
      <c r="I110" s="109"/>
      <c r="K110" s="9"/>
      <c r="M110" s="154"/>
    </row>
    <row r="111" spans="1:15">
      <c r="A111" s="107"/>
      <c r="B111" s="9"/>
      <c r="C111" s="9"/>
      <c r="D111" s="9"/>
      <c r="E111" s="9"/>
      <c r="F111" s="9"/>
      <c r="G111" s="9"/>
      <c r="H111" s="9"/>
      <c r="I111" s="109"/>
      <c r="K111" s="9"/>
      <c r="M111" s="154"/>
    </row>
    <row r="112" spans="1:15">
      <c r="A112" s="241"/>
      <c r="B112" s="117"/>
      <c r="C112" s="117"/>
      <c r="D112" s="117"/>
      <c r="E112" s="117"/>
      <c r="F112" s="117"/>
      <c r="G112" s="117"/>
      <c r="H112" s="117"/>
      <c r="I112" s="118"/>
      <c r="J112" s="8"/>
      <c r="K112" s="8"/>
    </row>
    <row r="113" spans="1:15" ht="21">
      <c r="A113" s="146">
        <v>2013</v>
      </c>
      <c r="B113" s="119" t="s">
        <v>19</v>
      </c>
      <c r="C113" s="119" t="s">
        <v>82</v>
      </c>
      <c r="D113" s="119" t="s">
        <v>79</v>
      </c>
      <c r="E113" s="119" t="s">
        <v>80</v>
      </c>
      <c r="F113" s="119" t="s">
        <v>20</v>
      </c>
      <c r="G113" s="119" t="s">
        <v>81</v>
      </c>
      <c r="H113" s="119" t="s">
        <v>14</v>
      </c>
      <c r="I113" s="120" t="s">
        <v>13</v>
      </c>
      <c r="M113" s="12" t="s">
        <v>157</v>
      </c>
      <c r="N113" s="12" t="s">
        <v>155</v>
      </c>
      <c r="O113" s="12" t="s">
        <v>156</v>
      </c>
    </row>
    <row r="114" spans="1:15">
      <c r="A114" s="111" t="s">
        <v>136</v>
      </c>
      <c r="B114" s="112">
        <v>3632.1424000000002</v>
      </c>
      <c r="C114" s="112">
        <v>2542.3820000000001</v>
      </c>
      <c r="D114" s="112">
        <v>4858.23855</v>
      </c>
      <c r="E114" s="112">
        <v>4445.2668331383438</v>
      </c>
      <c r="F114" s="112">
        <v>6884.592217048069</v>
      </c>
      <c r="G114" s="112">
        <v>3917.7439375404401</v>
      </c>
      <c r="H114" s="113">
        <v>0</v>
      </c>
      <c r="I114" s="114">
        <f>SUM(B114:H114)</f>
        <v>26280.365937726852</v>
      </c>
      <c r="J114" s="4" t="s">
        <v>288</v>
      </c>
      <c r="M114" s="151">
        <v>368</v>
      </c>
      <c r="N114" s="152">
        <v>2.06</v>
      </c>
      <c r="O114" s="153">
        <f>+M114*N114</f>
        <v>758.08</v>
      </c>
    </row>
    <row r="115" spans="1:15">
      <c r="A115" s="107" t="s">
        <v>104</v>
      </c>
      <c r="B115" s="108">
        <f>+B114/I114</f>
        <v>0.1382074514718179</v>
      </c>
      <c r="C115" s="108">
        <f>+C114/I114</f>
        <v>9.6740738162640144E-2</v>
      </c>
      <c r="D115" s="108">
        <f>+D114/I114</f>
        <v>0.18486190647085862</v>
      </c>
      <c r="E115" s="108">
        <f>+E114/I114</f>
        <v>0.16914782859841873</v>
      </c>
      <c r="F115" s="108">
        <f>+F114/I114</f>
        <v>0.26196713673476191</v>
      </c>
      <c r="G115" s="108">
        <f>+G114/I114</f>
        <v>0.14907493856150275</v>
      </c>
      <c r="H115">
        <v>0</v>
      </c>
      <c r="I115" s="110">
        <f>SUM(B115:H115)</f>
        <v>1</v>
      </c>
      <c r="J115" s="159"/>
      <c r="K115">
        <f>967*0.05</f>
        <v>48.35</v>
      </c>
    </row>
    <row r="116" spans="1:15">
      <c r="A116" s="128" t="s">
        <v>153</v>
      </c>
      <c r="B116" s="129">
        <f>+$I116*B115</f>
        <v>140.28056324389516</v>
      </c>
      <c r="C116" s="129">
        <f t="shared" ref="C116:H116" si="21">+$I116*C115</f>
        <v>98.191849235079744</v>
      </c>
      <c r="D116" s="129">
        <f t="shared" si="21"/>
        <v>187.6348350679215</v>
      </c>
      <c r="E116" s="129">
        <f t="shared" si="21"/>
        <v>171.685046027395</v>
      </c>
      <c r="F116" s="129">
        <f t="shared" si="21"/>
        <v>265.89664378578334</v>
      </c>
      <c r="G116" s="129">
        <f t="shared" si="21"/>
        <v>151.3110626399253</v>
      </c>
      <c r="H116" s="129">
        <f t="shared" si="21"/>
        <v>0</v>
      </c>
      <c r="I116" s="130">
        <v>1015</v>
      </c>
      <c r="J116" s="4" t="s">
        <v>288</v>
      </c>
      <c r="K116">
        <f>967+K115</f>
        <v>1015.35</v>
      </c>
    </row>
    <row r="117" spans="1:15">
      <c r="A117" s="128" t="s">
        <v>158</v>
      </c>
      <c r="B117" s="129">
        <f>+$I$117*B115</f>
        <v>104.76124821563796</v>
      </c>
      <c r="C117" s="129">
        <f t="shared" ref="C117:G117" si="22">+$I$117*C115</f>
        <v>73.329479527281222</v>
      </c>
      <c r="D117" s="129">
        <f t="shared" si="22"/>
        <v>140.12532510491084</v>
      </c>
      <c r="E117" s="129">
        <f t="shared" si="22"/>
        <v>128.21405407760139</v>
      </c>
      <c r="F117" s="129">
        <f t="shared" si="22"/>
        <v>198.57108964494952</v>
      </c>
      <c r="G117" s="129">
        <f t="shared" si="22"/>
        <v>112.99880342961909</v>
      </c>
      <c r="H117" s="129">
        <f t="shared" ref="H117" si="23">+$I$86*H115</f>
        <v>0</v>
      </c>
      <c r="I117" s="130">
        <v>758</v>
      </c>
      <c r="J117" s="4" t="s">
        <v>288</v>
      </c>
    </row>
    <row r="118" spans="1:15">
      <c r="A118" s="131" t="s">
        <v>168</v>
      </c>
      <c r="B118" s="132">
        <f>+($I118-$H118)*B115</f>
        <v>10.365558860386342</v>
      </c>
      <c r="C118" s="132">
        <f>+($I118-$H118)*C115</f>
        <v>7.2555553621980104</v>
      </c>
      <c r="D118" s="132">
        <f t="shared" ref="D118:G118" si="24">+($I118-$H118)*D115</f>
        <v>13.864642985314397</v>
      </c>
      <c r="E118" s="132">
        <f t="shared" si="24"/>
        <v>12.686087144881405</v>
      </c>
      <c r="F118" s="132">
        <f t="shared" si="24"/>
        <v>19.647535255107144</v>
      </c>
      <c r="G118" s="132">
        <f t="shared" si="24"/>
        <v>11.180620392112706</v>
      </c>
      <c r="H118" s="132">
        <v>25</v>
      </c>
      <c r="I118" s="133">
        <v>100</v>
      </c>
      <c r="J118" s="4" t="s">
        <v>288</v>
      </c>
    </row>
    <row r="119" spans="1:15">
      <c r="A119" s="128" t="s">
        <v>169</v>
      </c>
      <c r="B119" s="129">
        <f>+B117+B118</f>
        <v>115.12680707602431</v>
      </c>
      <c r="C119" s="129">
        <f t="shared" ref="C119:I119" si="25">+C117+C118</f>
        <v>80.585034889479232</v>
      </c>
      <c r="D119" s="129">
        <f t="shared" si="25"/>
        <v>153.98996809022523</v>
      </c>
      <c r="E119" s="129">
        <f t="shared" si="25"/>
        <v>140.9001412224828</v>
      </c>
      <c r="F119" s="129">
        <f t="shared" si="25"/>
        <v>218.21862490005668</v>
      </c>
      <c r="G119" s="129">
        <f t="shared" si="25"/>
        <v>124.17942382173179</v>
      </c>
      <c r="H119" s="129">
        <f t="shared" si="25"/>
        <v>25</v>
      </c>
      <c r="I119" s="129">
        <f t="shared" si="25"/>
        <v>858</v>
      </c>
      <c r="J119" s="4" t="s">
        <v>288</v>
      </c>
    </row>
    <row r="120" spans="1:15">
      <c r="A120" s="128" t="s">
        <v>146</v>
      </c>
      <c r="B120" s="129">
        <f>+B114+B116+B117</f>
        <v>3877.1842114595333</v>
      </c>
      <c r="C120" s="129">
        <f t="shared" ref="C120:I120" si="26">+C114+C116+C117</f>
        <v>2713.9033287623611</v>
      </c>
      <c r="D120" s="129">
        <f t="shared" si="26"/>
        <v>5185.9987101728329</v>
      </c>
      <c r="E120" s="129">
        <f t="shared" si="26"/>
        <v>4745.165933243341</v>
      </c>
      <c r="F120" s="129">
        <f t="shared" si="26"/>
        <v>7349.0599504788015</v>
      </c>
      <c r="G120" s="129">
        <f t="shared" si="26"/>
        <v>4182.0538036099842</v>
      </c>
      <c r="H120" s="129">
        <f t="shared" si="26"/>
        <v>0</v>
      </c>
      <c r="I120" s="130">
        <f t="shared" si="26"/>
        <v>28053.365937726852</v>
      </c>
      <c r="J120" s="4" t="s">
        <v>288</v>
      </c>
    </row>
    <row r="121" spans="1:15">
      <c r="A121" s="131" t="s">
        <v>147</v>
      </c>
      <c r="B121" s="132">
        <f t="shared" ref="B121:I121" si="27">+B120*0.02</f>
        <v>77.543684229190674</v>
      </c>
      <c r="C121" s="132">
        <f t="shared" si="27"/>
        <v>54.278066575247223</v>
      </c>
      <c r="D121" s="132">
        <f t="shared" si="27"/>
        <v>103.71997420345666</v>
      </c>
      <c r="E121" s="132">
        <f t="shared" si="27"/>
        <v>94.903318664866816</v>
      </c>
      <c r="F121" s="132">
        <f t="shared" si="27"/>
        <v>146.98119900957605</v>
      </c>
      <c r="G121" s="132">
        <f t="shared" si="27"/>
        <v>83.641076072199681</v>
      </c>
      <c r="H121" s="132">
        <f t="shared" si="27"/>
        <v>0</v>
      </c>
      <c r="I121" s="133">
        <f t="shared" si="27"/>
        <v>561.06731875453704</v>
      </c>
      <c r="J121" s="4" t="s">
        <v>288</v>
      </c>
    </row>
    <row r="122" spans="1:15">
      <c r="A122" s="131" t="s">
        <v>148</v>
      </c>
      <c r="B122" s="132">
        <f t="shared" ref="B122:G122" si="28">+($I$122-$H122)*B115</f>
        <v>40.485479327741807</v>
      </c>
      <c r="C122" s="132">
        <f t="shared" si="28"/>
        <v>28.338523815647449</v>
      </c>
      <c r="D122" s="132">
        <f t="shared" si="28"/>
        <v>54.152093922656597</v>
      </c>
      <c r="E122" s="132">
        <f t="shared" si="28"/>
        <v>49.548926958182776</v>
      </c>
      <c r="F122" s="132">
        <f t="shared" si="28"/>
        <v>76.73873576191059</v>
      </c>
      <c r="G122" s="132">
        <f t="shared" si="28"/>
        <v>43.668921459323641</v>
      </c>
      <c r="H122" s="132">
        <v>846</v>
      </c>
      <c r="I122" s="133">
        <f>1700-I121</f>
        <v>1138.9326812454628</v>
      </c>
      <c r="J122" s="4" t="s">
        <v>288</v>
      </c>
    </row>
    <row r="123" spans="1:15">
      <c r="A123" s="128" t="s">
        <v>149</v>
      </c>
      <c r="B123" s="129">
        <f t="shared" ref="B123:I123" si="29">+B121+B122</f>
        <v>118.02916355693247</v>
      </c>
      <c r="C123" s="129">
        <f t="shared" si="29"/>
        <v>82.616590390894672</v>
      </c>
      <c r="D123" s="129">
        <f t="shared" si="29"/>
        <v>157.87206812611325</v>
      </c>
      <c r="E123" s="129">
        <f t="shared" si="29"/>
        <v>144.45224562304958</v>
      </c>
      <c r="F123" s="129">
        <f t="shared" si="29"/>
        <v>223.71993477148663</v>
      </c>
      <c r="G123" s="129">
        <f t="shared" si="29"/>
        <v>127.30999753152332</v>
      </c>
      <c r="H123" s="129">
        <f t="shared" si="29"/>
        <v>846</v>
      </c>
      <c r="I123" s="130">
        <f t="shared" si="29"/>
        <v>1700</v>
      </c>
      <c r="J123" s="4" t="s">
        <v>288</v>
      </c>
    </row>
    <row r="124" spans="1:15">
      <c r="A124" s="134" t="s">
        <v>140</v>
      </c>
      <c r="B124" s="135">
        <f>+(I124-H124)*B115</f>
        <v>223.48144902992954</v>
      </c>
      <c r="C124" s="135">
        <f>+(I124-H124)*C115</f>
        <v>156.42977360898911</v>
      </c>
      <c r="D124" s="135">
        <f>+(I124-H124)*D115</f>
        <v>298.92170276337839</v>
      </c>
      <c r="E124" s="135">
        <f>+(I124-H124)*E115</f>
        <v>273.5120388436431</v>
      </c>
      <c r="F124" s="135">
        <f>+(I124-H124)*F115</f>
        <v>423.60086010011003</v>
      </c>
      <c r="G124" s="135">
        <f>+(I124-H124)*G115</f>
        <v>241.05417565394995</v>
      </c>
      <c r="H124" s="136">
        <v>283</v>
      </c>
      <c r="I124" s="137">
        <v>1900</v>
      </c>
      <c r="J124" t="s">
        <v>60</v>
      </c>
    </row>
    <row r="125" spans="1:15">
      <c r="A125" s="125" t="s">
        <v>139</v>
      </c>
      <c r="B125" s="142">
        <v>0</v>
      </c>
      <c r="C125" s="142">
        <v>0</v>
      </c>
      <c r="D125" s="142">
        <v>0</v>
      </c>
      <c r="E125" s="142">
        <v>0</v>
      </c>
      <c r="F125" s="142">
        <v>0</v>
      </c>
      <c r="G125" s="142">
        <v>0</v>
      </c>
      <c r="H125" s="90">
        <v>50</v>
      </c>
      <c r="I125" s="149"/>
    </row>
    <row r="126" spans="1:15">
      <c r="A126" s="138" t="s">
        <v>165</v>
      </c>
      <c r="B126" s="139">
        <v>685.82899416909629</v>
      </c>
      <c r="C126" s="139">
        <v>514.7021064139941</v>
      </c>
      <c r="D126" s="139">
        <v>964.65349854227406</v>
      </c>
      <c r="E126" s="139">
        <v>999.01102040816329</v>
      </c>
      <c r="F126" s="139">
        <v>1542.7848760932945</v>
      </c>
      <c r="G126" s="139">
        <v>732.07950437317788</v>
      </c>
      <c r="H126" s="140"/>
      <c r="I126" s="141">
        <f>SUM(B126:H126)</f>
        <v>5439.06</v>
      </c>
      <c r="J126" s="4" t="s">
        <v>288</v>
      </c>
    </row>
    <row r="127" spans="1:15">
      <c r="A127" s="138" t="s">
        <v>166</v>
      </c>
      <c r="B127" s="139">
        <v>95.103999999999999</v>
      </c>
      <c r="C127" s="139">
        <v>90.475999999999999</v>
      </c>
      <c r="D127" s="139">
        <v>149.74</v>
      </c>
      <c r="E127" s="139">
        <v>149.68</v>
      </c>
      <c r="F127" s="139">
        <v>226.4</v>
      </c>
      <c r="G127" s="139">
        <v>109.24000000000001</v>
      </c>
      <c r="H127" s="136"/>
      <c r="I127" s="141">
        <v>821</v>
      </c>
    </row>
    <row r="128" spans="1:15">
      <c r="A128" s="134" t="s">
        <v>167</v>
      </c>
      <c r="B128" s="135">
        <f>SUM(B126:B127)</f>
        <v>780.93299416909633</v>
      </c>
      <c r="C128" s="135">
        <f t="shared" ref="C128:G128" si="30">SUM(C126:C127)</f>
        <v>605.1781064139941</v>
      </c>
      <c r="D128" s="135">
        <f t="shared" si="30"/>
        <v>1114.3934985422741</v>
      </c>
      <c r="E128" s="135">
        <f t="shared" si="30"/>
        <v>1148.6910204081632</v>
      </c>
      <c r="F128" s="135">
        <f t="shared" si="30"/>
        <v>1769.1848760932946</v>
      </c>
      <c r="G128" s="135">
        <f t="shared" si="30"/>
        <v>841.31950437317789</v>
      </c>
      <c r="H128" s="135"/>
      <c r="I128" s="137">
        <f>SUM(I126:I127)</f>
        <v>6260.06</v>
      </c>
    </row>
    <row r="129" spans="1:13">
      <c r="A129" s="134" t="s">
        <v>52</v>
      </c>
      <c r="B129" s="135">
        <v>8</v>
      </c>
      <c r="C129" s="135">
        <v>8</v>
      </c>
      <c r="D129" s="135">
        <v>8</v>
      </c>
      <c r="E129" s="135">
        <v>8</v>
      </c>
      <c r="F129" s="135">
        <v>10</v>
      </c>
      <c r="G129" s="135">
        <v>12</v>
      </c>
      <c r="H129" s="136">
        <f>30+5</f>
        <v>35</v>
      </c>
      <c r="I129" s="137">
        <f>SUM(B129:H129)</f>
        <v>89</v>
      </c>
      <c r="J129" t="s">
        <v>60</v>
      </c>
    </row>
    <row r="130" spans="1:13">
      <c r="A130" s="125" t="s">
        <v>143</v>
      </c>
      <c r="B130" s="142">
        <v>0</v>
      </c>
      <c r="C130" s="142">
        <v>0</v>
      </c>
      <c r="D130" s="142">
        <v>0</v>
      </c>
      <c r="E130" s="142">
        <v>0</v>
      </c>
      <c r="F130" s="142">
        <v>0</v>
      </c>
      <c r="G130" s="142">
        <v>0</v>
      </c>
      <c r="H130" s="90">
        <v>30</v>
      </c>
      <c r="I130" s="90">
        <v>30</v>
      </c>
    </row>
    <row r="131" spans="1:13">
      <c r="A131" s="121" t="s">
        <v>141</v>
      </c>
      <c r="B131" s="124">
        <f>+B124+B128+B129</f>
        <v>1012.4144431990259</v>
      </c>
      <c r="C131" s="124">
        <f t="shared" ref="C131:H131" si="31">+C124+C128+C129</f>
        <v>769.60788002298318</v>
      </c>
      <c r="D131" s="124">
        <f t="shared" si="31"/>
        <v>1421.3152013056524</v>
      </c>
      <c r="E131" s="124">
        <f t="shared" si="31"/>
        <v>1430.2030592518063</v>
      </c>
      <c r="F131" s="124">
        <f t="shared" si="31"/>
        <v>2202.7857361934048</v>
      </c>
      <c r="G131" s="124">
        <f t="shared" si="31"/>
        <v>1094.3736800271279</v>
      </c>
      <c r="H131" s="124">
        <f t="shared" si="31"/>
        <v>318</v>
      </c>
      <c r="I131" s="124">
        <f>+I124+I128+I129</f>
        <v>8249.0600000000013</v>
      </c>
      <c r="J131" s="158" t="s">
        <v>60</v>
      </c>
      <c r="K131" s="9"/>
    </row>
    <row r="132" spans="1:13">
      <c r="A132" s="143" t="s">
        <v>152</v>
      </c>
      <c r="B132" s="144">
        <f>(+I132-H132)*B115</f>
        <v>12.010227532900977</v>
      </c>
      <c r="C132" s="144">
        <f>(+I132-H132)*C115</f>
        <v>8.4067701463334288</v>
      </c>
      <c r="D132" s="144">
        <f>(+I132-H132)*D115</f>
        <v>16.064499672317616</v>
      </c>
      <c r="E132" s="144">
        <f>(+I132-H132)*E115</f>
        <v>14.698946305202588</v>
      </c>
      <c r="F132" s="144">
        <f>(+I132-H132)*F115</f>
        <v>22.764944182250812</v>
      </c>
      <c r="G132" s="144">
        <f>(+I132-H132)*G115</f>
        <v>12.954612160994589</v>
      </c>
      <c r="H132" s="144">
        <v>0</v>
      </c>
      <c r="I132" s="144">
        <v>86.9</v>
      </c>
      <c r="J132" s="2" t="s">
        <v>60</v>
      </c>
    </row>
    <row r="133" spans="1:13">
      <c r="A133" s="143" t="s">
        <v>145</v>
      </c>
      <c r="B133" s="144">
        <f>+($I$133-$H$133)*B115</f>
        <v>4.1462235441545374</v>
      </c>
      <c r="C133" s="144">
        <f t="shared" ref="C133:G133" si="32">+($I$133-$H$133)*C115</f>
        <v>2.9022221448792043</v>
      </c>
      <c r="D133" s="144">
        <f t="shared" si="32"/>
        <v>5.5458571941257588</v>
      </c>
      <c r="E133" s="144">
        <f t="shared" si="32"/>
        <v>5.0744348579525616</v>
      </c>
      <c r="F133" s="144">
        <f t="shared" si="32"/>
        <v>7.859014102042857</v>
      </c>
      <c r="G133" s="144">
        <f t="shared" si="32"/>
        <v>4.4722481568450823</v>
      </c>
      <c r="H133" s="144">
        <v>5</v>
      </c>
      <c r="I133" s="144">
        <v>35</v>
      </c>
      <c r="J133" s="2" t="s">
        <v>60</v>
      </c>
    </row>
    <row r="134" spans="1:13">
      <c r="A134" s="143" t="s">
        <v>235</v>
      </c>
      <c r="B134" s="144">
        <f>+$I$134*B115</f>
        <v>31.234884032630845</v>
      </c>
      <c r="C134" s="144">
        <f t="shared" ref="C134:H134" si="33">+$I$134*C115</f>
        <v>21.863406824756673</v>
      </c>
      <c r="D134" s="144">
        <f t="shared" si="33"/>
        <v>41.778790862414048</v>
      </c>
      <c r="E134" s="144">
        <f t="shared" si="33"/>
        <v>38.227409263242635</v>
      </c>
      <c r="F134" s="144">
        <f t="shared" si="33"/>
        <v>59.204572902056192</v>
      </c>
      <c r="G134" s="144">
        <f t="shared" si="33"/>
        <v>33.690936114899621</v>
      </c>
      <c r="H134" s="144">
        <f t="shared" si="33"/>
        <v>0</v>
      </c>
      <c r="I134" s="144">
        <v>226</v>
      </c>
      <c r="J134" s="2"/>
    </row>
    <row r="135" spans="1:13">
      <c r="A135" s="121" t="s">
        <v>144</v>
      </c>
      <c r="B135" s="122">
        <f>SUM(B132:B134)</f>
        <v>47.391335109686359</v>
      </c>
      <c r="C135" s="122">
        <f t="shared" ref="C135:I135" si="34">SUM(C132:C134)</f>
        <v>33.172399115969306</v>
      </c>
      <c r="D135" s="122">
        <f t="shared" si="34"/>
        <v>63.389147728857424</v>
      </c>
      <c r="E135" s="122">
        <f t="shared" si="34"/>
        <v>58.000790426397785</v>
      </c>
      <c r="F135" s="122">
        <f t="shared" si="34"/>
        <v>89.828531186349863</v>
      </c>
      <c r="G135" s="122">
        <f t="shared" si="34"/>
        <v>51.117796432739297</v>
      </c>
      <c r="H135" s="122">
        <f t="shared" si="34"/>
        <v>5</v>
      </c>
      <c r="I135" s="122">
        <f t="shared" si="34"/>
        <v>347.9</v>
      </c>
      <c r="J135" s="112" t="s">
        <v>60</v>
      </c>
      <c r="K135" s="1">
        <v>1200</v>
      </c>
      <c r="L135">
        <v>2012</v>
      </c>
      <c r="M135">
        <v>160</v>
      </c>
    </row>
    <row r="136" spans="1:13">
      <c r="A136" s="125" t="s">
        <v>150</v>
      </c>
      <c r="B136" s="142">
        <f>1120*B115</f>
        <v>154.79234564843605</v>
      </c>
      <c r="C136" s="142">
        <f t="shared" ref="C136:G136" si="35">1120*C115</f>
        <v>108.34962674215696</v>
      </c>
      <c r="D136" s="142">
        <f t="shared" si="35"/>
        <v>207.04533524736166</v>
      </c>
      <c r="E136" s="142">
        <f t="shared" si="35"/>
        <v>189.44556803022897</v>
      </c>
      <c r="F136" s="142">
        <f t="shared" si="35"/>
        <v>293.40319314293333</v>
      </c>
      <c r="G136" s="142">
        <f t="shared" si="35"/>
        <v>166.96393118888309</v>
      </c>
      <c r="H136" s="142">
        <v>200</v>
      </c>
      <c r="I136" s="120">
        <v>1320</v>
      </c>
      <c r="J136" t="s">
        <v>60</v>
      </c>
      <c r="K136">
        <f>+K135*0.1</f>
        <v>120</v>
      </c>
      <c r="L136" s="148">
        <v>0.1</v>
      </c>
      <c r="M136">
        <f>+M135*0.1</f>
        <v>16</v>
      </c>
    </row>
    <row r="137" spans="1:13">
      <c r="A137" s="125" t="s">
        <v>162</v>
      </c>
      <c r="B137" s="142">
        <f>98*B115</f>
        <v>13.544330244238154</v>
      </c>
      <c r="C137" s="142">
        <f t="shared" ref="C137:G137" si="36">98*C115</f>
        <v>9.4805923399387346</v>
      </c>
      <c r="D137" s="142">
        <f t="shared" si="36"/>
        <v>18.116466834144145</v>
      </c>
      <c r="E137" s="142">
        <f t="shared" si="36"/>
        <v>16.576487202645037</v>
      </c>
      <c r="F137" s="142">
        <f t="shared" si="36"/>
        <v>25.672779400006668</v>
      </c>
      <c r="G137" s="142">
        <f t="shared" si="36"/>
        <v>14.609343979027269</v>
      </c>
      <c r="H137" s="142">
        <v>67</v>
      </c>
      <c r="I137" s="120">
        <v>165</v>
      </c>
      <c r="J137" s="9"/>
    </row>
    <row r="138" spans="1:13">
      <c r="A138" s="125" t="s">
        <v>137</v>
      </c>
      <c r="B138" s="139">
        <v>0</v>
      </c>
      <c r="C138" s="139"/>
      <c r="D138" s="139"/>
      <c r="E138" s="139"/>
      <c r="F138" s="139"/>
      <c r="G138" s="139"/>
      <c r="H138" s="139"/>
      <c r="I138" s="145"/>
      <c r="J138" s="9"/>
    </row>
    <row r="139" spans="1:13">
      <c r="A139" s="125" t="s">
        <v>161</v>
      </c>
      <c r="B139" s="139">
        <f>383*B115</f>
        <v>52.933453913706252</v>
      </c>
      <c r="C139" s="139">
        <f t="shared" ref="C139:G139" si="37">383*C115</f>
        <v>37.051702716291175</v>
      </c>
      <c r="D139" s="139">
        <f t="shared" si="37"/>
        <v>70.80211017833885</v>
      </c>
      <c r="E139" s="139">
        <f t="shared" si="37"/>
        <v>64.78361835319437</v>
      </c>
      <c r="F139" s="139">
        <f t="shared" si="37"/>
        <v>100.3334133694138</v>
      </c>
      <c r="G139" s="139">
        <f t="shared" si="37"/>
        <v>57.095701469055555</v>
      </c>
      <c r="H139" s="139">
        <v>17</v>
      </c>
      <c r="I139" s="145">
        <v>400</v>
      </c>
    </row>
    <row r="140" spans="1:13" ht="15.75">
      <c r="A140" s="107"/>
      <c r="B140" s="34"/>
      <c r="C140" s="35"/>
      <c r="D140" s="35"/>
      <c r="E140" s="35"/>
      <c r="F140" s="35"/>
      <c r="G140" s="35"/>
      <c r="H140" s="36"/>
      <c r="I140" s="109"/>
    </row>
    <row r="141" spans="1:13" ht="15.75">
      <c r="A141" s="107"/>
      <c r="B141" s="34"/>
      <c r="C141" s="35"/>
      <c r="D141" s="35"/>
      <c r="E141" s="35"/>
      <c r="F141" s="35"/>
      <c r="G141" s="35"/>
      <c r="H141" s="36"/>
      <c r="I141" s="109"/>
    </row>
    <row r="142" spans="1:13" ht="15.75">
      <c r="A142" s="107"/>
      <c r="B142" s="34"/>
      <c r="C142" s="35"/>
      <c r="D142" s="35"/>
      <c r="E142" s="35"/>
      <c r="F142" s="35"/>
      <c r="G142" s="35"/>
      <c r="H142" s="36"/>
      <c r="I142" s="109"/>
    </row>
    <row r="143" spans="1:13" ht="15.75">
      <c r="A143" s="107"/>
      <c r="B143" s="34"/>
      <c r="C143" s="35"/>
      <c r="D143" s="35"/>
      <c r="E143" s="35"/>
      <c r="F143" s="35"/>
      <c r="G143" s="35"/>
      <c r="H143" s="36"/>
      <c r="I143" s="109"/>
    </row>
    <row r="144" spans="1:13" ht="15.75">
      <c r="A144" s="107"/>
      <c r="B144" s="34"/>
      <c r="C144" s="35"/>
      <c r="D144" s="35"/>
      <c r="E144" s="35"/>
      <c r="F144" s="35"/>
      <c r="G144" s="35"/>
      <c r="H144" s="36"/>
      <c r="I144" s="109"/>
    </row>
    <row r="145" spans="1:19" ht="15.75">
      <c r="A145" s="107"/>
      <c r="B145" s="34"/>
      <c r="C145" s="35"/>
      <c r="D145" s="35"/>
      <c r="E145" s="35"/>
      <c r="F145" s="35"/>
      <c r="G145" s="35"/>
      <c r="H145" s="36"/>
      <c r="I145" s="109"/>
    </row>
    <row r="146" spans="1:19" ht="15.75">
      <c r="A146" s="107"/>
      <c r="B146" s="34"/>
      <c r="C146" s="35"/>
      <c r="D146" s="35"/>
      <c r="E146" s="35"/>
      <c r="F146" s="35"/>
      <c r="G146" s="35"/>
      <c r="H146" s="36"/>
      <c r="I146" s="109"/>
    </row>
    <row r="147" spans="1:19" ht="15.75">
      <c r="A147" s="521" t="s">
        <v>355</v>
      </c>
      <c r="B147" s="521"/>
      <c r="C147" s="521"/>
      <c r="D147" s="521"/>
      <c r="E147" s="521"/>
      <c r="F147" s="521"/>
      <c r="G147" s="35"/>
      <c r="H147" s="36"/>
      <c r="I147" s="109"/>
    </row>
    <row r="148" spans="1:19" ht="15.75">
      <c r="A148" s="107"/>
      <c r="B148" s="34"/>
      <c r="C148" s="35"/>
      <c r="D148" s="35"/>
      <c r="E148" s="35"/>
      <c r="F148" s="35"/>
      <c r="G148" s="35"/>
      <c r="H148" s="36"/>
      <c r="I148" s="109"/>
    </row>
    <row r="149" spans="1:19" ht="15.75">
      <c r="A149" s="107"/>
      <c r="B149" s="558" t="s">
        <v>290</v>
      </c>
      <c r="C149" s="559"/>
      <c r="D149" s="558" t="s">
        <v>291</v>
      </c>
      <c r="E149" s="559"/>
      <c r="F149" s="558" t="s">
        <v>292</v>
      </c>
      <c r="G149" s="559"/>
      <c r="H149" s="558" t="s">
        <v>293</v>
      </c>
      <c r="I149" s="559"/>
      <c r="J149" s="558" t="s">
        <v>346</v>
      </c>
      <c r="K149" s="559"/>
      <c r="L149" s="558" t="s">
        <v>347</v>
      </c>
      <c r="M149" s="559"/>
    </row>
    <row r="150" spans="1:19" ht="15.75">
      <c r="A150" s="22" t="s">
        <v>55</v>
      </c>
      <c r="B150" s="91">
        <v>25</v>
      </c>
      <c r="C150" s="488">
        <f>+B150/$B$153*100</f>
        <v>75.757575757575751</v>
      </c>
      <c r="D150" s="65">
        <v>19</v>
      </c>
      <c r="E150" s="488">
        <f>+D150/$D$153*100</f>
        <v>79.166666666666657</v>
      </c>
      <c r="F150" s="65">
        <v>35</v>
      </c>
      <c r="G150" s="490">
        <f>F150/$F$153*100</f>
        <v>76.08695652173914</v>
      </c>
      <c r="H150" s="65">
        <v>34</v>
      </c>
      <c r="I150" s="490">
        <f>+H150/$H$153*100</f>
        <v>77.272727272727266</v>
      </c>
      <c r="J150" s="65">
        <v>49</v>
      </c>
      <c r="K150" s="490">
        <f>J150/$J$153*100</f>
        <v>76.5625</v>
      </c>
      <c r="L150" s="65">
        <v>25</v>
      </c>
      <c r="M150" s="490">
        <f>L150/$L$153*100</f>
        <v>75.757575757575751</v>
      </c>
    </row>
    <row r="151" spans="1:19" ht="15.75">
      <c r="A151" s="22" t="s">
        <v>58</v>
      </c>
      <c r="B151" s="91">
        <v>4</v>
      </c>
      <c r="C151" s="488">
        <f>+B151/$B$153*100</f>
        <v>12.121212121212121</v>
      </c>
      <c r="D151" s="65">
        <v>2</v>
      </c>
      <c r="E151" s="488">
        <f>+D151/$D$153*100</f>
        <v>8.3333333333333321</v>
      </c>
      <c r="F151" s="65">
        <v>5</v>
      </c>
      <c r="G151" s="490">
        <f>F151/$F$153*100</f>
        <v>10.869565217391305</v>
      </c>
      <c r="H151" s="65">
        <v>4</v>
      </c>
      <c r="I151" s="490">
        <f>+H151/$H$153*100</f>
        <v>9.0909090909090917</v>
      </c>
      <c r="J151" s="65">
        <v>6</v>
      </c>
      <c r="K151" s="490">
        <f>J151/$J$153*100</f>
        <v>9.375</v>
      </c>
      <c r="L151" s="65">
        <v>3</v>
      </c>
      <c r="M151" s="490">
        <f>L151/$L$153*100</f>
        <v>9.0909090909090917</v>
      </c>
    </row>
    <row r="152" spans="1:19" ht="15.75">
      <c r="A152" s="22" t="s">
        <v>108</v>
      </c>
      <c r="B152" s="91">
        <v>4</v>
      </c>
      <c r="C152" s="488">
        <f>+B152/$B$153*100</f>
        <v>12.121212121212121</v>
      </c>
      <c r="D152" s="65">
        <v>3</v>
      </c>
      <c r="E152" s="488">
        <f>+D152/$D$153*100</f>
        <v>12.5</v>
      </c>
      <c r="F152" s="65">
        <v>6</v>
      </c>
      <c r="G152" s="490">
        <f>F152/$F$153*100</f>
        <v>13.043478260869565</v>
      </c>
      <c r="H152" s="65">
        <v>6</v>
      </c>
      <c r="I152" s="490">
        <f>+H152/$H$153*100</f>
        <v>13.636363636363635</v>
      </c>
      <c r="J152" s="65">
        <v>9</v>
      </c>
      <c r="K152" s="490">
        <f>J152/$J$153*100</f>
        <v>14.0625</v>
      </c>
      <c r="L152" s="65">
        <v>5</v>
      </c>
      <c r="M152" s="490">
        <f>L152/$L$153*100</f>
        <v>15.151515151515152</v>
      </c>
    </row>
    <row r="153" spans="1:19" ht="15.75">
      <c r="B153" s="11">
        <f>SUM(B150:B152)</f>
        <v>33</v>
      </c>
      <c r="C153" s="489">
        <f>SUM(C150:C152)</f>
        <v>100</v>
      </c>
      <c r="D153" s="11">
        <f t="shared" ref="D153:L153" si="38">SUM(D150:D152)</f>
        <v>24</v>
      </c>
      <c r="E153" s="489">
        <f>SUM(E150:E152)</f>
        <v>99.999999999999986</v>
      </c>
      <c r="F153" s="11">
        <f t="shared" si="38"/>
        <v>46</v>
      </c>
      <c r="G153" s="489">
        <f>SUM(G150:G152)</f>
        <v>100</v>
      </c>
      <c r="H153" s="11">
        <f t="shared" si="38"/>
        <v>44</v>
      </c>
      <c r="I153" s="489">
        <f>SUM(I150:I152)</f>
        <v>100</v>
      </c>
      <c r="J153" s="11">
        <f t="shared" si="38"/>
        <v>64</v>
      </c>
      <c r="K153" s="489">
        <f>SUM(K150:K152)</f>
        <v>100</v>
      </c>
      <c r="L153" s="11">
        <f t="shared" si="38"/>
        <v>33</v>
      </c>
      <c r="M153" s="490">
        <f>L153/$L$153*100</f>
        <v>100</v>
      </c>
    </row>
    <row r="154" spans="1:19" ht="15.75">
      <c r="B154" s="11"/>
      <c r="C154" s="519"/>
      <c r="D154" s="519"/>
      <c r="E154" s="519"/>
      <c r="F154" s="519"/>
      <c r="G154" s="519"/>
      <c r="H154" s="519"/>
      <c r="I154" s="519"/>
      <c r="J154" s="519"/>
      <c r="K154" s="519"/>
      <c r="L154" s="519"/>
      <c r="M154" s="520"/>
      <c r="N154" s="519"/>
      <c r="O154" s="520"/>
    </row>
    <row r="155" spans="1:19" ht="15.75">
      <c r="A155" s="22" t="s">
        <v>55</v>
      </c>
      <c r="B155" s="11"/>
      <c r="C155" s="488">
        <f>+$C$158*C150/100</f>
        <v>37.205925065349987</v>
      </c>
      <c r="D155" s="11"/>
      <c r="E155" s="488">
        <f>+$E$158*E150/100</f>
        <v>13.988640397586085</v>
      </c>
      <c r="F155" s="11"/>
      <c r="G155" s="488">
        <f>G$158*G150/100</f>
        <v>37.861971570125483</v>
      </c>
      <c r="H155" s="11"/>
      <c r="I155" s="488">
        <f>I$158*I150/100</f>
        <v>32.026624068157616</v>
      </c>
      <c r="J155" s="11"/>
      <c r="K155" s="488">
        <f>K$158*K150/100</f>
        <v>36.009651224707135</v>
      </c>
      <c r="L155" s="11"/>
      <c r="M155" s="488">
        <f>M$158*M150/100</f>
        <v>29.528511956626971</v>
      </c>
      <c r="N155" s="11"/>
      <c r="O155" s="520"/>
    </row>
    <row r="156" spans="1:19" ht="15.75">
      <c r="A156" s="22" t="s">
        <v>58</v>
      </c>
      <c r="B156" s="34"/>
      <c r="C156" s="488">
        <f t="shared" ref="C156:C157" si="39">+$C$158*C151/100</f>
        <v>5.952948010455998</v>
      </c>
      <c r="D156" s="35"/>
      <c r="E156" s="488">
        <f t="shared" ref="E156:E157" si="40">+$E$158*E151/100</f>
        <v>1.4724884629037982</v>
      </c>
      <c r="F156" s="35"/>
      <c r="G156" s="488">
        <f t="shared" ref="G156:I157" si="41">G$158*G151/100</f>
        <v>5.4088530814464972</v>
      </c>
      <c r="H156" s="36"/>
      <c r="I156" s="488">
        <f t="shared" si="41"/>
        <v>3.7678381256656026</v>
      </c>
      <c r="K156" s="488">
        <f t="shared" ref="K156:M156" si="42">K$158*K151/100</f>
        <v>4.4093450479233223</v>
      </c>
      <c r="M156" s="488">
        <f t="shared" si="42"/>
        <v>3.5434214347952371</v>
      </c>
    </row>
    <row r="157" spans="1:19" ht="15.75">
      <c r="A157" s="22" t="s">
        <v>108</v>
      </c>
      <c r="B157" s="34"/>
      <c r="C157" s="488">
        <f t="shared" si="39"/>
        <v>5.952948010455998</v>
      </c>
      <c r="D157" s="35"/>
      <c r="E157" s="488">
        <f t="shared" si="40"/>
        <v>2.2087326943556977</v>
      </c>
      <c r="F157" s="35"/>
      <c r="G157" s="488">
        <f t="shared" si="41"/>
        <v>6.4906236977357956</v>
      </c>
      <c r="H157" s="36"/>
      <c r="I157" s="488">
        <f t="shared" si="41"/>
        <v>5.6517571884984026</v>
      </c>
      <c r="K157" s="488">
        <f t="shared" ref="K157:M157" si="43">K$158*K152/100</f>
        <v>6.6140175718849834</v>
      </c>
      <c r="M157" s="488">
        <f t="shared" si="43"/>
        <v>5.905702391325395</v>
      </c>
    </row>
    <row r="158" spans="1:19" ht="15.75">
      <c r="A158" s="107"/>
      <c r="B158" s="34"/>
      <c r="C158" s="489">
        <v>49.111821086261983</v>
      </c>
      <c r="D158" s="35"/>
      <c r="E158" s="489">
        <v>17.669861554845582</v>
      </c>
      <c r="F158" s="35"/>
      <c r="G158" s="489">
        <v>49.76144834930777</v>
      </c>
      <c r="H158" s="36"/>
      <c r="I158" s="489">
        <v>41.446219382321623</v>
      </c>
      <c r="K158" s="489">
        <v>47.033013844515438</v>
      </c>
      <c r="M158" s="489">
        <v>38.977635782747605</v>
      </c>
    </row>
    <row r="159" spans="1:19" ht="15.75">
      <c r="A159" s="49"/>
      <c r="B159" s="50"/>
      <c r="C159" s="51"/>
      <c r="D159" s="51"/>
      <c r="E159" s="51"/>
      <c r="F159" s="51"/>
      <c r="G159" s="51"/>
      <c r="H159" s="52"/>
      <c r="I159" s="53"/>
    </row>
    <row r="160" spans="1:19" ht="20.100000000000001" customHeight="1" thickBot="1">
      <c r="B160" s="5"/>
      <c r="D160" s="11"/>
      <c r="F160" s="11"/>
      <c r="J160" s="491" t="s">
        <v>349</v>
      </c>
      <c r="K160" s="492"/>
      <c r="L160" s="491" t="s">
        <v>350</v>
      </c>
      <c r="M160" s="491" t="s">
        <v>3</v>
      </c>
      <c r="N160" s="491" t="s">
        <v>4</v>
      </c>
      <c r="O160" s="491" t="s">
        <v>5</v>
      </c>
      <c r="P160" s="491" t="s">
        <v>6</v>
      </c>
      <c r="Q160" s="491" t="s">
        <v>57</v>
      </c>
      <c r="R160" s="491" t="s">
        <v>351</v>
      </c>
      <c r="S160" s="491" t="s">
        <v>53</v>
      </c>
    </row>
    <row r="161" spans="1:19" ht="20.100000000000001" customHeight="1" thickTop="1">
      <c r="B161" s="548" t="s">
        <v>118</v>
      </c>
      <c r="C161" s="549"/>
      <c r="D161" s="549"/>
      <c r="E161" s="549"/>
      <c r="F161" s="549"/>
      <c r="G161" s="549"/>
      <c r="H161" s="550"/>
      <c r="J161" s="563" t="s">
        <v>352</v>
      </c>
      <c r="K161" s="507" t="s">
        <v>316</v>
      </c>
      <c r="L161" s="508">
        <v>816.44646608126504</v>
      </c>
      <c r="M161" s="508">
        <v>145.61021555454698</v>
      </c>
      <c r="N161" s="508">
        <v>74.271053979857911</v>
      </c>
      <c r="O161" s="508">
        <v>75.275965431174839</v>
      </c>
      <c r="P161" s="508">
        <v>222.77329639889194</v>
      </c>
      <c r="Q161" s="508">
        <v>119.87987271280828</v>
      </c>
      <c r="R161" s="508">
        <v>49.76144834930777</v>
      </c>
      <c r="S161" s="509">
        <v>1504.0183185078499</v>
      </c>
    </row>
    <row r="162" spans="1:19" ht="20.100000000000001" customHeight="1">
      <c r="A162" s="270" t="s">
        <v>89</v>
      </c>
      <c r="B162" s="551" t="s">
        <v>19</v>
      </c>
      <c r="C162" s="551" t="s">
        <v>82</v>
      </c>
      <c r="D162" s="551" t="s">
        <v>79</v>
      </c>
      <c r="E162" s="551" t="s">
        <v>80</v>
      </c>
      <c r="F162" s="551" t="s">
        <v>20</v>
      </c>
      <c r="G162" s="551" t="s">
        <v>81</v>
      </c>
      <c r="H162" s="551" t="s">
        <v>13</v>
      </c>
      <c r="J162" s="561"/>
      <c r="K162" s="493" t="s">
        <v>317</v>
      </c>
      <c r="L162" s="494">
        <v>560.58197589041094</v>
      </c>
      <c r="M162" s="494">
        <v>183.67553376712328</v>
      </c>
      <c r="N162" s="494">
        <v>78.566413287671239</v>
      </c>
      <c r="O162" s="494">
        <v>65.825913835616433</v>
      </c>
      <c r="P162" s="494">
        <v>271.79732164383563</v>
      </c>
      <c r="Q162" s="494">
        <v>195.35432493150688</v>
      </c>
      <c r="R162" s="494">
        <v>194.29261664383563</v>
      </c>
      <c r="S162" s="495">
        <v>1550.0941</v>
      </c>
    </row>
    <row r="163" spans="1:19" ht="20.100000000000001" customHeight="1">
      <c r="A163" s="271" t="s">
        <v>90</v>
      </c>
      <c r="B163" s="552"/>
      <c r="C163" s="552"/>
      <c r="D163" s="552"/>
      <c r="E163" s="552"/>
      <c r="F163" s="552"/>
      <c r="G163" s="552"/>
      <c r="H163" s="552"/>
      <c r="J163" s="496"/>
      <c r="K163" s="493" t="s">
        <v>173</v>
      </c>
      <c r="L163" s="497">
        <f>(L162-L161)/L161</f>
        <v>-0.31338795722754298</v>
      </c>
      <c r="M163" s="497">
        <f t="shared" ref="M163:S163" si="44">(M162-M161)/M161</f>
        <v>0.26141928344523785</v>
      </c>
      <c r="N163" s="497">
        <f t="shared" si="44"/>
        <v>5.7833557996608165E-2</v>
      </c>
      <c r="O163" s="497">
        <f t="shared" si="44"/>
        <v>-0.12553876315540094</v>
      </c>
      <c r="P163" s="497">
        <f t="shared" si="44"/>
        <v>0.22006239543703016</v>
      </c>
      <c r="Q163" s="497">
        <f t="shared" si="44"/>
        <v>0.62958402032599681</v>
      </c>
      <c r="R163" s="497">
        <f t="shared" si="44"/>
        <v>2.9044807393862446</v>
      </c>
      <c r="S163" s="498">
        <f t="shared" si="44"/>
        <v>3.0635119881958814E-2</v>
      </c>
    </row>
    <row r="164" spans="1:19" ht="20.100000000000001" customHeight="1">
      <c r="A164" s="423" t="s">
        <v>18</v>
      </c>
      <c r="B164" s="512">
        <v>600.52731479627596</v>
      </c>
      <c r="C164" s="512">
        <v>361.00533455401001</v>
      </c>
      <c r="D164" s="512">
        <v>816.44646608126504</v>
      </c>
      <c r="E164" s="512">
        <v>635.719420924838</v>
      </c>
      <c r="F164" s="512">
        <v>1038.2365969983</v>
      </c>
      <c r="G164" s="512">
        <v>583.15386664531104</v>
      </c>
      <c r="H164" s="517">
        <f>SUM(B164:G164)</f>
        <v>4035.0890000000004</v>
      </c>
      <c r="I164" s="56" t="s">
        <v>348</v>
      </c>
      <c r="J164" s="560" t="s">
        <v>263</v>
      </c>
      <c r="K164" s="507" t="s">
        <v>316</v>
      </c>
      <c r="L164" s="508">
        <v>635.719420924838</v>
      </c>
      <c r="M164" s="508">
        <v>127.15240821034725</v>
      </c>
      <c r="N164" s="508">
        <v>57.20878482232299</v>
      </c>
      <c r="O164" s="508">
        <v>78.918350855263952</v>
      </c>
      <c r="P164" s="508">
        <v>211.25925207756231</v>
      </c>
      <c r="Q164" s="508">
        <v>104.50437549721562</v>
      </c>
      <c r="R164" s="508">
        <v>41.446219382321623</v>
      </c>
      <c r="S164" s="509">
        <v>1256.208811769872</v>
      </c>
    </row>
    <row r="165" spans="1:19" ht="20.100000000000001" customHeight="1">
      <c r="A165" s="18" t="s">
        <v>84</v>
      </c>
      <c r="B165" s="20">
        <v>1.7250000000000001</v>
      </c>
      <c r="C165" s="20">
        <v>1.7250000000000001</v>
      </c>
      <c r="D165" s="20">
        <v>1.7250000000000001</v>
      </c>
      <c r="E165" s="20">
        <v>1.7250000000000001</v>
      </c>
      <c r="F165" s="20">
        <v>1.7250000000000001</v>
      </c>
      <c r="G165" s="20">
        <v>1.7250000000000001</v>
      </c>
      <c r="H165" s="20">
        <v>1.7250000000000001</v>
      </c>
      <c r="I165" s="56"/>
      <c r="J165" s="560"/>
      <c r="K165" s="499" t="s">
        <v>317</v>
      </c>
      <c r="L165" s="500">
        <v>498.78331388888881</v>
      </c>
      <c r="M165" s="500">
        <v>163.52053697089946</v>
      </c>
      <c r="N165" s="500">
        <v>70.34123657407406</v>
      </c>
      <c r="O165" s="500">
        <v>59.378965939153431</v>
      </c>
      <c r="P165" s="500">
        <v>242.08347652116399</v>
      </c>
      <c r="Q165" s="500">
        <v>173.56928505291003</v>
      </c>
      <c r="R165" s="500">
        <v>173.56928505291003</v>
      </c>
      <c r="S165" s="501">
        <v>1381.2461000000001</v>
      </c>
    </row>
    <row r="166" spans="1:19" ht="20.100000000000001" customHeight="1">
      <c r="A166" s="21" t="s">
        <v>83</v>
      </c>
      <c r="B166" s="26">
        <f t="shared" ref="B166:G166" si="45">+B164*B165</f>
        <v>1035.9096180235761</v>
      </c>
      <c r="C166" s="26">
        <f t="shared" si="45"/>
        <v>622.73420210566724</v>
      </c>
      <c r="D166" s="26">
        <f t="shared" si="45"/>
        <v>1408.3701539901822</v>
      </c>
      <c r="E166" s="26">
        <f t="shared" si="45"/>
        <v>1096.6160010953456</v>
      </c>
      <c r="F166" s="26">
        <f t="shared" si="45"/>
        <v>1790.9581298220676</v>
      </c>
      <c r="G166" s="26">
        <f t="shared" si="45"/>
        <v>1005.9404199631616</v>
      </c>
      <c r="H166" s="26">
        <f>SUM(B166:G166)</f>
        <v>6960.5285249999997</v>
      </c>
      <c r="I166" s="56"/>
      <c r="J166" s="502"/>
      <c r="K166" s="499" t="s">
        <v>173</v>
      </c>
      <c r="L166" s="503">
        <f>(L165-L164)/L164</f>
        <v>-0.21540337219324834</v>
      </c>
      <c r="M166" s="503">
        <f t="shared" ref="M166:S166" si="46">(M165-M164)/M164</f>
        <v>0.28601997612494051</v>
      </c>
      <c r="N166" s="503">
        <f t="shared" si="46"/>
        <v>0.22955306239308126</v>
      </c>
      <c r="O166" s="503">
        <f t="shared" si="46"/>
        <v>-0.24758987870825763</v>
      </c>
      <c r="P166" s="503">
        <f t="shared" si="46"/>
        <v>0.14590709822396222</v>
      </c>
      <c r="Q166" s="503">
        <f t="shared" si="46"/>
        <v>0.66088055382460575</v>
      </c>
      <c r="R166" s="503">
        <f t="shared" si="46"/>
        <v>3.1878194836497893</v>
      </c>
      <c r="S166" s="504">
        <f t="shared" si="46"/>
        <v>9.9535433168919663E-2</v>
      </c>
    </row>
    <row r="167" spans="1:19" ht="20.100000000000001" customHeight="1">
      <c r="A167" s="22" t="s">
        <v>3</v>
      </c>
      <c r="B167" s="516">
        <v>82.787191736673265</v>
      </c>
      <c r="C167" s="513">
        <v>79.710145672124341</v>
      </c>
      <c r="D167" s="513">
        <v>145.61021555454698</v>
      </c>
      <c r="E167" s="513">
        <v>127.15240821034725</v>
      </c>
      <c r="F167" s="513">
        <v>197.00421113266759</v>
      </c>
      <c r="G167" s="513">
        <v>80.735827693640644</v>
      </c>
      <c r="H167" s="513">
        <f>SUM(B167:G167)</f>
        <v>713</v>
      </c>
      <c r="I167" s="56">
        <v>713</v>
      </c>
      <c r="J167" s="561" t="s">
        <v>262</v>
      </c>
      <c r="K167" s="507" t="s">
        <v>316</v>
      </c>
      <c r="L167" s="508">
        <v>1038.2365969983</v>
      </c>
      <c r="M167" s="508">
        <v>197.00421113266759</v>
      </c>
      <c r="N167" s="508">
        <v>88.322334462533746</v>
      </c>
      <c r="O167" s="508">
        <v>73.045732836005087</v>
      </c>
      <c r="P167" s="508">
        <v>369.96537396121886</v>
      </c>
      <c r="Q167" s="508">
        <v>180.09546539379477</v>
      </c>
      <c r="R167" s="508">
        <v>47.033013844515438</v>
      </c>
      <c r="S167" s="509">
        <v>1993.7027286290354</v>
      </c>
    </row>
    <row r="168" spans="1:19" ht="20.100000000000001" customHeight="1">
      <c r="A168" s="22" t="s">
        <v>4</v>
      </c>
      <c r="B168" s="516">
        <v>53.194133255844186</v>
      </c>
      <c r="C168" s="513">
        <v>70.256402413379121</v>
      </c>
      <c r="D168" s="513">
        <v>74.271053979857911</v>
      </c>
      <c r="E168" s="513">
        <v>57.20878482232299</v>
      </c>
      <c r="F168" s="513">
        <v>88.322334462533746</v>
      </c>
      <c r="G168" s="513">
        <v>76.747291066062033</v>
      </c>
      <c r="H168" s="513">
        <f t="shared" ref="H168:H174" si="47">SUM(B168:G168)</f>
        <v>420</v>
      </c>
      <c r="I168" s="56"/>
      <c r="J168" s="561"/>
      <c r="K168" s="493" t="s">
        <v>317</v>
      </c>
      <c r="L168" s="494">
        <v>753.87565584582433</v>
      </c>
      <c r="M168" s="494">
        <v>245.63484047109205</v>
      </c>
      <c r="N168" s="494">
        <v>105.39967700214132</v>
      </c>
      <c r="O168" s="494">
        <v>89.321760171306195</v>
      </c>
      <c r="P168" s="494">
        <v>366.21921670235542</v>
      </c>
      <c r="Q168" s="494">
        <v>262.60597490364023</v>
      </c>
      <c r="R168" s="494">
        <v>262.60597490364023</v>
      </c>
      <c r="S168" s="495">
        <v>2085.6630999999998</v>
      </c>
    </row>
    <row r="169" spans="1:19" ht="20.100000000000001" customHeight="1">
      <c r="A169" s="22" t="s">
        <v>5</v>
      </c>
      <c r="B169" s="516">
        <v>52.933209001269866</v>
      </c>
      <c r="C169" s="513">
        <v>89.762703565556976</v>
      </c>
      <c r="D169" s="513">
        <v>75.275965431174839</v>
      </c>
      <c r="E169" s="513">
        <v>78.918350855263952</v>
      </c>
      <c r="F169" s="513">
        <v>73.045732836005087</v>
      </c>
      <c r="G169" s="513">
        <v>57.064038310729323</v>
      </c>
      <c r="H169" s="513">
        <f>SUM(B169:G169)</f>
        <v>427</v>
      </c>
      <c r="I169" s="56"/>
      <c r="J169" s="496"/>
      <c r="K169" s="493"/>
      <c r="L169" s="497">
        <f>(L168-L167)/L167</f>
        <v>-0.27388838148703909</v>
      </c>
      <c r="M169" s="497">
        <f t="shared" ref="M169:S169" si="48">(M168-M167)/M167</f>
        <v>0.24685070973267351</v>
      </c>
      <c r="N169" s="497">
        <f t="shared" si="48"/>
        <v>0.19335248149324863</v>
      </c>
      <c r="O169" s="497">
        <f t="shared" si="48"/>
        <v>0.22281968711084607</v>
      </c>
      <c r="P169" s="497">
        <f t="shared" si="48"/>
        <v>-1.012569695037493E-2</v>
      </c>
      <c r="Q169" s="497">
        <f t="shared" si="48"/>
        <v>0.45814873422508939</v>
      </c>
      <c r="R169" s="497">
        <f t="shared" si="48"/>
        <v>4.5834392363580791</v>
      </c>
      <c r="S169" s="498">
        <f t="shared" si="48"/>
        <v>4.6125417822044455E-2</v>
      </c>
    </row>
    <row r="170" spans="1:19" ht="20.100000000000001" customHeight="1">
      <c r="A170" s="22" t="s">
        <v>6</v>
      </c>
      <c r="B170" s="516">
        <v>164.22853185595568</v>
      </c>
      <c r="C170" s="513">
        <v>123.62257617728531</v>
      </c>
      <c r="D170" s="513">
        <v>222.77329639889194</v>
      </c>
      <c r="E170" s="513">
        <v>211.25925207756231</v>
      </c>
      <c r="F170" s="513">
        <v>369.96537396121886</v>
      </c>
      <c r="G170" s="513">
        <v>211.15096952908587</v>
      </c>
      <c r="H170" s="513">
        <f t="shared" si="47"/>
        <v>1303</v>
      </c>
      <c r="I170" s="56"/>
      <c r="J170" s="560" t="s">
        <v>353</v>
      </c>
      <c r="K170" s="507" t="s">
        <v>316</v>
      </c>
      <c r="L170" s="508">
        <v>583.15386664531104</v>
      </c>
      <c r="M170" s="508">
        <v>80.735827693640644</v>
      </c>
      <c r="N170" s="508">
        <v>76.747291066062033</v>
      </c>
      <c r="O170" s="508">
        <v>57.064038310729323</v>
      </c>
      <c r="P170" s="508">
        <v>211.15096952908587</v>
      </c>
      <c r="Q170" s="508">
        <v>85.759745425616558</v>
      </c>
      <c r="R170" s="508">
        <v>38.977635782747605</v>
      </c>
      <c r="S170" s="509">
        <v>1133.5893744531932</v>
      </c>
    </row>
    <row r="171" spans="1:19" ht="20.100000000000001" customHeight="1">
      <c r="A171" s="22" t="s">
        <v>57</v>
      </c>
      <c r="B171" s="516">
        <v>141.5035799522673</v>
      </c>
      <c r="C171" s="513">
        <v>61.256961018297538</v>
      </c>
      <c r="D171" s="513">
        <v>119.87987271280828</v>
      </c>
      <c r="E171" s="513">
        <v>104.50437549721562</v>
      </c>
      <c r="F171" s="513">
        <v>180.09546539379477</v>
      </c>
      <c r="G171" s="513">
        <v>85.759745425616558</v>
      </c>
      <c r="H171" s="513">
        <f t="shared" ref="H171" si="49">SUM(B171:G171)</f>
        <v>693</v>
      </c>
      <c r="I171" s="56"/>
      <c r="J171" s="560"/>
      <c r="K171" s="499" t="s">
        <v>317</v>
      </c>
      <c r="L171" s="500">
        <v>429.48274368231051</v>
      </c>
      <c r="M171" s="500">
        <v>140.65559855595669</v>
      </c>
      <c r="N171" s="500">
        <v>60.127584115523469</v>
      </c>
      <c r="O171" s="500">
        <v>50.46422238267148</v>
      </c>
      <c r="P171" s="500">
        <v>208.29913068592057</v>
      </c>
      <c r="Q171" s="500">
        <v>150.31896028880865</v>
      </c>
      <c r="R171" s="500">
        <v>150.31896028880865</v>
      </c>
      <c r="S171" s="501">
        <v>1189.6672000000001</v>
      </c>
    </row>
    <row r="172" spans="1:19" ht="20.100000000000001" customHeight="1">
      <c r="A172" s="22" t="s">
        <v>55</v>
      </c>
      <c r="B172" s="91">
        <v>37.205925065349987</v>
      </c>
      <c r="C172" s="65">
        <v>13.988640397586085</v>
      </c>
      <c r="D172" s="65">
        <v>37.861971570125483</v>
      </c>
      <c r="E172" s="65">
        <v>32.026624068157616</v>
      </c>
      <c r="F172" s="65">
        <v>36.009651224707135</v>
      </c>
      <c r="G172" s="65">
        <v>29.528511956626971</v>
      </c>
      <c r="H172" s="65">
        <f t="shared" si="47"/>
        <v>186.62132428255327</v>
      </c>
      <c r="I172" s="56"/>
      <c r="J172" s="502"/>
      <c r="K172" s="499" t="s">
        <v>173</v>
      </c>
      <c r="L172" s="503">
        <f>(L171-L170)/L170</f>
        <v>-0.26351728377798306</v>
      </c>
      <c r="M172" s="503">
        <f t="shared" ref="M172:S172" si="50">(M171-M170)/M170</f>
        <v>0.7421707632661797</v>
      </c>
      <c r="N172" s="503">
        <f t="shared" si="50"/>
        <v>-0.21655105632631075</v>
      </c>
      <c r="O172" s="503">
        <f t="shared" si="50"/>
        <v>-0.11565630690418434</v>
      </c>
      <c r="P172" s="503">
        <f t="shared" si="50"/>
        <v>-1.3506160305707041E-2</v>
      </c>
      <c r="Q172" s="503">
        <f t="shared" si="50"/>
        <v>0.75279158704111737</v>
      </c>
      <c r="R172" s="503">
        <f t="shared" si="50"/>
        <v>2.8565438172456648</v>
      </c>
      <c r="S172" s="504">
        <f t="shared" si="50"/>
        <v>4.9469258278692904E-2</v>
      </c>
    </row>
    <row r="173" spans="1:19" ht="20.100000000000001" customHeight="1">
      <c r="A173" s="22" t="s">
        <v>58</v>
      </c>
      <c r="B173" s="91">
        <v>5.952948010455998</v>
      </c>
      <c r="C173" s="65">
        <v>1.4724884629037982</v>
      </c>
      <c r="D173" s="65">
        <v>5.4088530814464972</v>
      </c>
      <c r="E173" s="65">
        <v>3.7678381256656026</v>
      </c>
      <c r="F173" s="65">
        <v>4.4093450479233223</v>
      </c>
      <c r="G173" s="65">
        <v>3.5434214347952371</v>
      </c>
      <c r="H173" s="65">
        <f t="shared" si="47"/>
        <v>24.554894163190458</v>
      </c>
      <c r="I173" s="56"/>
      <c r="J173" s="561" t="s">
        <v>249</v>
      </c>
      <c r="K173" s="507" t="s">
        <v>316</v>
      </c>
      <c r="L173" s="508">
        <v>600.52731479627596</v>
      </c>
      <c r="M173" s="508">
        <v>82.787191736673265</v>
      </c>
      <c r="N173" s="508">
        <v>53.194133255844186</v>
      </c>
      <c r="O173" s="508">
        <v>52.933209001269866</v>
      </c>
      <c r="P173" s="508">
        <v>164.22853185595568</v>
      </c>
      <c r="Q173" s="508">
        <v>141.5035799522673</v>
      </c>
      <c r="R173" s="508">
        <v>49.111821086261983</v>
      </c>
      <c r="S173" s="509">
        <v>1144.2857816845483</v>
      </c>
    </row>
    <row r="174" spans="1:19" ht="20.100000000000001" customHeight="1">
      <c r="A174" s="22" t="s">
        <v>108</v>
      </c>
      <c r="B174" s="91">
        <v>5.952948010455998</v>
      </c>
      <c r="C174" s="65">
        <v>2.2087326943556977</v>
      </c>
      <c r="D174" s="65">
        <v>6.4906236977357956</v>
      </c>
      <c r="E174" s="65">
        <v>5.6517571884984026</v>
      </c>
      <c r="F174" s="65">
        <v>6.6140175718849834</v>
      </c>
      <c r="G174" s="65">
        <v>5.905702391325395</v>
      </c>
      <c r="H174" s="65">
        <f t="shared" si="47"/>
        <v>32.823781554256271</v>
      </c>
      <c r="I174" s="56"/>
      <c r="J174" s="561"/>
      <c r="K174" s="493" t="s">
        <v>317</v>
      </c>
      <c r="L174" s="494">
        <v>428.68414017341041</v>
      </c>
      <c r="M174" s="494">
        <v>140.60839797687862</v>
      </c>
      <c r="N174" s="494">
        <v>60.587358477842002</v>
      </c>
      <c r="O174" s="494">
        <v>50.298939113680156</v>
      </c>
      <c r="P174" s="494">
        <v>208.05470269749517</v>
      </c>
      <c r="Q174" s="494">
        <v>149.75365963391138</v>
      </c>
      <c r="R174" s="494">
        <v>148.61050192678229</v>
      </c>
      <c r="S174" s="495">
        <v>1186.5977</v>
      </c>
    </row>
    <row r="175" spans="1:19" ht="20.100000000000001" customHeight="1">
      <c r="A175" s="272" t="s">
        <v>85</v>
      </c>
      <c r="B175" s="273">
        <f t="shared" ref="B175:C175" si="51">+B167+B168+B169+B170+B171+B172+B173+B174</f>
        <v>543.75846688827232</v>
      </c>
      <c r="C175" s="273">
        <f t="shared" si="51"/>
        <v>442.27865040148896</v>
      </c>
      <c r="D175" s="273">
        <f>+D167+D168+D169+D170+D171+D172+D173+D174</f>
        <v>687.57185242658772</v>
      </c>
      <c r="E175" s="273">
        <f>+E167+E168+E169+E170+E171+E172+E173+E174</f>
        <v>620.48939084503377</v>
      </c>
      <c r="F175" s="273">
        <f>+F167+F168+F169+F170+F171+F172+F173+F174</f>
        <v>955.4661316307355</v>
      </c>
      <c r="G175" s="273">
        <f>+G167+G168+G169+G170+G171+G172+G173+G174</f>
        <v>550.435507807882</v>
      </c>
      <c r="H175" s="273">
        <f>SUM(H167:H174)</f>
        <v>3800</v>
      </c>
      <c r="I175" s="56"/>
      <c r="J175" s="496"/>
      <c r="K175" s="493"/>
      <c r="L175" s="497">
        <f>(L174-L173)/L173</f>
        <v>-0.2861538024813442</v>
      </c>
      <c r="M175" s="497">
        <f t="shared" ref="M175:S175" si="52">(M174-M173)/M173</f>
        <v>0.6984317866961971</v>
      </c>
      <c r="N175" s="497">
        <f t="shared" si="52"/>
        <v>0.13898572585888611</v>
      </c>
      <c r="O175" s="497">
        <f t="shared" si="52"/>
        <v>-4.9765920814030258E-2</v>
      </c>
      <c r="P175" s="497">
        <f t="shared" si="52"/>
        <v>0.26686088188366253</v>
      </c>
      <c r="Q175" s="497">
        <f t="shared" si="52"/>
        <v>5.8302974980753416E-2</v>
      </c>
      <c r="R175" s="497">
        <f t="shared" si="52"/>
        <v>2.0259619504997954</v>
      </c>
      <c r="S175" s="498">
        <f t="shared" si="52"/>
        <v>3.6976705463527389E-2</v>
      </c>
    </row>
    <row r="176" spans="1:19" ht="20.100000000000001" customHeight="1">
      <c r="A176" s="18" t="s">
        <v>86</v>
      </c>
      <c r="B176" s="18">
        <v>2.1800000000000002</v>
      </c>
      <c r="C176" s="18">
        <v>2.1800000000000002</v>
      </c>
      <c r="D176" s="18">
        <v>2.1800000000000002</v>
      </c>
      <c r="E176" s="18">
        <v>2.1800000000000002</v>
      </c>
      <c r="F176" s="18">
        <v>2.1800000000000002</v>
      </c>
      <c r="G176" s="18">
        <v>2.1800000000000002</v>
      </c>
      <c r="H176" s="18">
        <v>2.1800000000000002</v>
      </c>
      <c r="I176" s="56"/>
      <c r="J176" s="560" t="s">
        <v>354</v>
      </c>
      <c r="K176" s="507" t="s">
        <v>316</v>
      </c>
      <c r="L176" s="508">
        <v>361.00533455401001</v>
      </c>
      <c r="M176" s="508">
        <v>79.710145672124341</v>
      </c>
      <c r="N176" s="508">
        <v>70.256402413379121</v>
      </c>
      <c r="O176" s="508">
        <v>89.762703565556976</v>
      </c>
      <c r="P176" s="508">
        <v>123.62257617728531</v>
      </c>
      <c r="Q176" s="508">
        <v>61.256961018297538</v>
      </c>
      <c r="R176" s="508">
        <v>17.669861554845582</v>
      </c>
      <c r="S176" s="509">
        <v>803.28398495549879</v>
      </c>
    </row>
    <row r="177" spans="1:19" ht="20.100000000000001" customHeight="1">
      <c r="A177" s="21" t="s">
        <v>83</v>
      </c>
      <c r="B177" s="26">
        <f>B175*B176</f>
        <v>1185.3934578164337</v>
      </c>
      <c r="C177" s="26">
        <f t="shared" ref="C177:H177" si="53">C175*C176</f>
        <v>964.16745787524599</v>
      </c>
      <c r="D177" s="26">
        <f t="shared" si="53"/>
        <v>1498.9066382899614</v>
      </c>
      <c r="E177" s="26">
        <f t="shared" si="53"/>
        <v>1352.6668720421737</v>
      </c>
      <c r="F177" s="26">
        <f t="shared" si="53"/>
        <v>2082.9161669550035</v>
      </c>
      <c r="G177" s="26">
        <f t="shared" si="53"/>
        <v>1199.9494070211829</v>
      </c>
      <c r="H177" s="26">
        <f t="shared" si="53"/>
        <v>8284</v>
      </c>
      <c r="I177" s="56"/>
      <c r="J177" s="560"/>
      <c r="K177" s="499" t="s">
        <v>317</v>
      </c>
      <c r="L177" s="500">
        <v>302.57098844672657</v>
      </c>
      <c r="M177" s="500">
        <v>99.062387676508337</v>
      </c>
      <c r="N177" s="500">
        <v>43.070603337612326</v>
      </c>
      <c r="O177" s="500">
        <v>35.533247753530162</v>
      </c>
      <c r="P177" s="500">
        <v>147.51681643132218</v>
      </c>
      <c r="Q177" s="500">
        <v>105.52297817715019</v>
      </c>
      <c r="R177" s="500">
        <v>105.52297817715019</v>
      </c>
      <c r="S177" s="501">
        <v>838.8</v>
      </c>
    </row>
    <row r="178" spans="1:19" ht="20.100000000000001" customHeight="1">
      <c r="A178" s="54" t="s">
        <v>102</v>
      </c>
      <c r="B178" s="55">
        <f t="shared" ref="B178:H178" si="54">+B166+B177</f>
        <v>2221.30307584001</v>
      </c>
      <c r="C178" s="55">
        <f t="shared" si="54"/>
        <v>1586.9016599809133</v>
      </c>
      <c r="D178" s="55">
        <f t="shared" si="54"/>
        <v>2907.2767922801436</v>
      </c>
      <c r="E178" s="55">
        <f t="shared" si="54"/>
        <v>2449.2828731375193</v>
      </c>
      <c r="F178" s="55">
        <f t="shared" si="54"/>
        <v>3873.8742967770713</v>
      </c>
      <c r="G178" s="55">
        <f t="shared" si="54"/>
        <v>2205.8898269843444</v>
      </c>
      <c r="H178" s="55">
        <f t="shared" si="54"/>
        <v>15244.528525</v>
      </c>
      <c r="I178" s="56"/>
      <c r="J178" s="502"/>
      <c r="K178" s="499" t="s">
        <v>173</v>
      </c>
      <c r="L178" s="503">
        <f>(L177-L176)/L176</f>
        <v>-0.1618656028434424</v>
      </c>
      <c r="M178" s="503">
        <f t="shared" ref="M178:S178" si="55">(M177-M176)/M176</f>
        <v>0.242782670150755</v>
      </c>
      <c r="N178" s="503">
        <f t="shared" si="55"/>
        <v>-0.38695119792512644</v>
      </c>
      <c r="O178" s="503">
        <f t="shared" si="55"/>
        <v>-0.60414240723510593</v>
      </c>
      <c r="P178" s="503">
        <f t="shared" si="55"/>
        <v>0.1932837916253298</v>
      </c>
      <c r="Q178" s="503">
        <f t="shared" si="55"/>
        <v>0.72262835803477643</v>
      </c>
      <c r="R178" s="503">
        <f t="shared" si="55"/>
        <v>4.9719187866648999</v>
      </c>
      <c r="S178" s="504">
        <f t="shared" si="55"/>
        <v>4.4213523124662708E-2</v>
      </c>
    </row>
    <row r="179" spans="1:19" ht="20.100000000000001" customHeight="1">
      <c r="A179" s="22" t="s">
        <v>87</v>
      </c>
      <c r="B179" s="518">
        <f t="shared" ref="B179:H179" si="56">+B164+B175</f>
        <v>1144.2857816845483</v>
      </c>
      <c r="C179" s="518">
        <f t="shared" si="56"/>
        <v>803.28398495549891</v>
      </c>
      <c r="D179" s="518">
        <f t="shared" si="56"/>
        <v>1504.0183185078527</v>
      </c>
      <c r="E179" s="518">
        <f t="shared" si="56"/>
        <v>1256.2088117698718</v>
      </c>
      <c r="F179" s="518">
        <f t="shared" si="56"/>
        <v>1993.7027286290354</v>
      </c>
      <c r="G179" s="518">
        <f t="shared" si="56"/>
        <v>1133.5893744531932</v>
      </c>
      <c r="H179" s="518">
        <f t="shared" si="56"/>
        <v>7835.0889999999999</v>
      </c>
      <c r="I179" s="56" t="s">
        <v>60</v>
      </c>
      <c r="J179" s="562" t="s">
        <v>13</v>
      </c>
      <c r="K179" s="510" t="s">
        <v>316</v>
      </c>
      <c r="L179" s="509">
        <v>4035.0889999999999</v>
      </c>
      <c r="M179" s="509">
        <v>713</v>
      </c>
      <c r="N179" s="509">
        <v>420</v>
      </c>
      <c r="O179" s="509">
        <v>427</v>
      </c>
      <c r="P179" s="509">
        <v>1303</v>
      </c>
      <c r="Q179" s="509">
        <v>693</v>
      </c>
      <c r="R179" s="509">
        <v>244</v>
      </c>
      <c r="S179" s="509">
        <v>7835.0889999999999</v>
      </c>
    </row>
    <row r="180" spans="1:19" ht="20.100000000000001" customHeight="1">
      <c r="A180" s="18" t="s">
        <v>88</v>
      </c>
      <c r="B180" s="18">
        <v>0.66</v>
      </c>
      <c r="C180" s="18">
        <v>0.66</v>
      </c>
      <c r="D180" s="18">
        <v>0.66</v>
      </c>
      <c r="E180" s="18">
        <v>0.66</v>
      </c>
      <c r="F180" s="18">
        <v>0.66</v>
      </c>
      <c r="G180" s="18">
        <v>0.66</v>
      </c>
      <c r="H180" s="18">
        <v>0.66</v>
      </c>
      <c r="J180" s="562"/>
      <c r="K180" s="505" t="s">
        <v>317</v>
      </c>
      <c r="L180" s="495">
        <v>2973.9788179275715</v>
      </c>
      <c r="M180" s="495">
        <v>973.15729541845838</v>
      </c>
      <c r="N180" s="495">
        <v>418.09287279486449</v>
      </c>
      <c r="O180" s="495">
        <v>350.82304919595788</v>
      </c>
      <c r="P180" s="495">
        <v>1443.9706646820932</v>
      </c>
      <c r="Q180" s="495">
        <v>1037.1251829879272</v>
      </c>
      <c r="R180" s="495">
        <v>1034.920316993127</v>
      </c>
      <c r="S180" s="495">
        <v>8232.0681999999997</v>
      </c>
    </row>
    <row r="181" spans="1:19" ht="20.100000000000001" customHeight="1">
      <c r="A181" s="21" t="s">
        <v>99</v>
      </c>
      <c r="B181" s="26">
        <f>B179*B180</f>
        <v>755.22861591180185</v>
      </c>
      <c r="C181" s="26">
        <f t="shared" ref="C181:H181" si="57">C179*C180</f>
        <v>530.16743007062928</v>
      </c>
      <c r="D181" s="26">
        <f t="shared" si="57"/>
        <v>992.65209021518285</v>
      </c>
      <c r="E181" s="26">
        <f t="shared" si="57"/>
        <v>829.09781576811542</v>
      </c>
      <c r="F181" s="26">
        <f t="shared" si="57"/>
        <v>1315.8438008951634</v>
      </c>
      <c r="G181" s="26">
        <f t="shared" si="57"/>
        <v>748.16898713910757</v>
      </c>
      <c r="H181" s="26">
        <f t="shared" si="57"/>
        <v>5171.1587399999999</v>
      </c>
      <c r="I181" s="56"/>
      <c r="J181" s="506"/>
      <c r="K181" s="505" t="s">
        <v>173</v>
      </c>
      <c r="L181" s="498">
        <f>(L180-L179)/L179</f>
        <v>-0.26297070078811852</v>
      </c>
      <c r="M181" s="498">
        <f t="shared" ref="M181:S181" si="58">(M180-M179)/M179</f>
        <v>0.3648769921717509</v>
      </c>
      <c r="N181" s="498">
        <f t="shared" si="58"/>
        <v>-4.5407790598464516E-3</v>
      </c>
      <c r="O181" s="498">
        <f t="shared" si="58"/>
        <v>-0.17840035317105885</v>
      </c>
      <c r="P181" s="498">
        <f t="shared" si="58"/>
        <v>0.10818930520498329</v>
      </c>
      <c r="Q181" s="498">
        <f t="shared" si="58"/>
        <v>0.49657313562471467</v>
      </c>
      <c r="R181" s="498">
        <f t="shared" si="58"/>
        <v>3.2414767089882255</v>
      </c>
      <c r="S181" s="498">
        <f t="shared" si="58"/>
        <v>5.0666839904435004E-2</v>
      </c>
    </row>
    <row r="182" spans="1:19" ht="20.100000000000001" customHeight="1">
      <c r="A182" s="17" t="s">
        <v>97</v>
      </c>
      <c r="B182" s="39">
        <f>+B181/H181*100</f>
        <v>14.60463029436613</v>
      </c>
      <c r="C182" s="39">
        <f>+C181/H181*100</f>
        <v>10.252391325171915</v>
      </c>
      <c r="D182" s="39">
        <f>+D181/H181*100</f>
        <v>19.195931514088134</v>
      </c>
      <c r="E182" s="39">
        <f>+E181/H181*100</f>
        <v>16.033114770870782</v>
      </c>
      <c r="F182" s="39">
        <f>+F181/H181*100</f>
        <v>25.445821082939013</v>
      </c>
      <c r="G182" s="39">
        <f>+G181/H181*100</f>
        <v>14.468111012564036</v>
      </c>
      <c r="H182" s="39">
        <v>100</v>
      </c>
      <c r="I182" s="56"/>
    </row>
    <row r="183" spans="1:19" ht="20.100000000000001" customHeight="1">
      <c r="A183" s="44" t="s">
        <v>100</v>
      </c>
      <c r="B183" s="42">
        <f>+H183*B182/100</f>
        <v>1.1683704235492904</v>
      </c>
      <c r="C183" s="42">
        <f>+H183*C182/100</f>
        <v>0.82019130601375323</v>
      </c>
      <c r="D183" s="42">
        <f>+H183*D182/100</f>
        <v>1.5356745211270506</v>
      </c>
      <c r="E183" s="42">
        <f>+H183*E182/100</f>
        <v>1.2826491816696626</v>
      </c>
      <c r="F183" s="42">
        <f>+H183*F182/100</f>
        <v>2.035665686635121</v>
      </c>
      <c r="G183" s="42">
        <f>+H183*G182/100</f>
        <v>1.1574488810051229</v>
      </c>
      <c r="H183" s="28">
        <v>8</v>
      </c>
      <c r="I183" s="56"/>
    </row>
    <row r="184" spans="1:19" ht="20.100000000000001" customHeight="1">
      <c r="A184" s="43" t="s">
        <v>88</v>
      </c>
      <c r="B184" s="18">
        <v>0.66</v>
      </c>
      <c r="C184" s="18">
        <v>0.66</v>
      </c>
      <c r="D184" s="18">
        <v>0.66</v>
      </c>
      <c r="E184" s="18">
        <v>0.66</v>
      </c>
      <c r="F184" s="18">
        <v>0.66</v>
      </c>
      <c r="G184" s="18">
        <v>0.66</v>
      </c>
      <c r="H184" s="18">
        <v>0.66</v>
      </c>
      <c r="I184" s="56"/>
      <c r="J184" s="155"/>
    </row>
    <row r="185" spans="1:19" ht="20.100000000000001" customHeight="1">
      <c r="A185" s="21" t="s">
        <v>98</v>
      </c>
      <c r="B185" s="40">
        <f t="shared" ref="B185:G185" si="59">+B184*B183</f>
        <v>0.77112447954253172</v>
      </c>
      <c r="C185" s="40">
        <f t="shared" si="59"/>
        <v>0.54132626196907718</v>
      </c>
      <c r="D185" s="40">
        <f t="shared" si="59"/>
        <v>1.0135451839438534</v>
      </c>
      <c r="E185" s="40">
        <f t="shared" si="59"/>
        <v>0.84654845990197736</v>
      </c>
      <c r="F185" s="40">
        <f t="shared" si="59"/>
        <v>1.3435393531791799</v>
      </c>
      <c r="G185" s="40">
        <f t="shared" si="59"/>
        <v>0.7639162614633811</v>
      </c>
      <c r="H185" s="26">
        <f>SUM(B185:G185)</f>
        <v>5.28</v>
      </c>
      <c r="I185" s="56"/>
      <c r="J185" s="53"/>
    </row>
    <row r="186" spans="1:19" ht="20.100000000000001" customHeight="1">
      <c r="A186" s="45" t="s">
        <v>103</v>
      </c>
      <c r="B186" s="46">
        <f t="shared" ref="B186:G186" si="60">+B181+B185</f>
        <v>755.9997403913444</v>
      </c>
      <c r="C186" s="46">
        <f t="shared" si="60"/>
        <v>530.70875633259834</v>
      </c>
      <c r="D186" s="46">
        <f t="shared" si="60"/>
        <v>993.6656353991267</v>
      </c>
      <c r="E186" s="46">
        <f t="shared" si="60"/>
        <v>829.94436422801743</v>
      </c>
      <c r="F186" s="46">
        <f t="shared" si="60"/>
        <v>1317.1873402483427</v>
      </c>
      <c r="G186" s="46">
        <f t="shared" si="60"/>
        <v>748.93290340057092</v>
      </c>
      <c r="H186" s="46">
        <f>SUM(B186:G186)</f>
        <v>5176.4387400000014</v>
      </c>
      <c r="I186" s="56"/>
      <c r="J186" s="53"/>
    </row>
    <row r="187" spans="1:19" ht="15.75">
      <c r="A187" s="87"/>
      <c r="B187" s="89"/>
      <c r="C187" s="89"/>
      <c r="D187" s="89"/>
      <c r="E187" s="89"/>
      <c r="F187" s="89"/>
      <c r="G187" s="89"/>
      <c r="H187" s="89"/>
      <c r="I187" s="88"/>
      <c r="J187" s="53"/>
    </row>
    <row r="188" spans="1:19" ht="15.75">
      <c r="A188" s="81" t="s">
        <v>126</v>
      </c>
      <c r="B188" s="82">
        <f>+B179</f>
        <v>1144.2857816845483</v>
      </c>
      <c r="C188" s="82">
        <f t="shared" ref="C188:H188" si="61">+C179</f>
        <v>803.28398495549891</v>
      </c>
      <c r="D188" s="511">
        <f t="shared" si="61"/>
        <v>1504.0183185078527</v>
      </c>
      <c r="E188" s="82">
        <f t="shared" si="61"/>
        <v>1256.2088117698718</v>
      </c>
      <c r="F188" s="82">
        <f t="shared" si="61"/>
        <v>1993.7027286290354</v>
      </c>
      <c r="G188" s="82">
        <f t="shared" si="61"/>
        <v>1133.5893744531932</v>
      </c>
      <c r="H188" s="82">
        <f t="shared" si="61"/>
        <v>7835.0889999999999</v>
      </c>
      <c r="I188" s="527" t="s">
        <v>130</v>
      </c>
      <c r="J188" s="53"/>
    </row>
    <row r="189" spans="1:19" ht="15.75">
      <c r="A189" s="81" t="s">
        <v>127</v>
      </c>
      <c r="B189" s="82"/>
      <c r="C189" s="82"/>
      <c r="D189" s="82"/>
      <c r="E189" s="82"/>
      <c r="F189" s="82"/>
      <c r="G189" s="82"/>
      <c r="H189" s="82">
        <f>SUM(B189:G189)</f>
        <v>0</v>
      </c>
      <c r="I189" s="528"/>
      <c r="J189" s="53"/>
    </row>
    <row r="190" spans="1:19" ht="15.75">
      <c r="A190" s="81" t="s">
        <v>128</v>
      </c>
      <c r="B190" s="82"/>
      <c r="C190" s="82"/>
      <c r="D190" s="82"/>
      <c r="E190" s="82"/>
      <c r="F190" s="82"/>
      <c r="G190" s="82"/>
      <c r="H190" s="82">
        <f t="shared" ref="H190" si="62">+H188-H189</f>
        <v>7835.0889999999999</v>
      </c>
      <c r="I190" s="528"/>
      <c r="J190" s="53"/>
    </row>
    <row r="191" spans="1:19" ht="15.75">
      <c r="A191" s="81" t="s">
        <v>129</v>
      </c>
      <c r="B191" s="82"/>
      <c r="C191" s="82"/>
      <c r="D191" s="82"/>
      <c r="E191" s="82"/>
      <c r="F191" s="82"/>
      <c r="G191" s="82"/>
      <c r="H191" s="82">
        <f>SUM(B191:G191)</f>
        <v>0</v>
      </c>
      <c r="I191" s="528"/>
      <c r="J191" s="53"/>
    </row>
    <row r="192" spans="1:19" ht="15.75">
      <c r="A192" s="81" t="s">
        <v>124</v>
      </c>
      <c r="B192" s="82"/>
      <c r="C192" s="93"/>
      <c r="D192" s="93"/>
      <c r="E192" s="93"/>
      <c r="F192" s="93"/>
      <c r="G192" s="93"/>
      <c r="H192" s="82">
        <f t="shared" ref="H192" si="63">+H190-H191</f>
        <v>7835.0889999999999</v>
      </c>
      <c r="I192" s="528"/>
      <c r="J192" s="53"/>
    </row>
    <row r="193" spans="1:14" ht="15.75">
      <c r="A193" s="81" t="s">
        <v>125</v>
      </c>
      <c r="B193" s="83" t="e">
        <f t="shared" ref="B193:H193" si="64">B192/B190</f>
        <v>#DIV/0!</v>
      </c>
      <c r="C193" s="83" t="e">
        <f t="shared" si="64"/>
        <v>#DIV/0!</v>
      </c>
      <c r="D193" s="83" t="e">
        <f t="shared" si="64"/>
        <v>#DIV/0!</v>
      </c>
      <c r="E193" s="83" t="e">
        <f t="shared" si="64"/>
        <v>#DIV/0!</v>
      </c>
      <c r="F193" s="83" t="e">
        <f t="shared" si="64"/>
        <v>#DIV/0!</v>
      </c>
      <c r="G193" s="83" t="e">
        <f t="shared" si="64"/>
        <v>#DIV/0!</v>
      </c>
      <c r="H193" s="83">
        <f t="shared" si="64"/>
        <v>1</v>
      </c>
      <c r="I193" s="529"/>
      <c r="J193" s="53"/>
    </row>
    <row r="194" spans="1:14" ht="15.75">
      <c r="A194" s="530" t="s">
        <v>131</v>
      </c>
      <c r="B194" s="94">
        <v>239</v>
      </c>
      <c r="C194" s="94">
        <v>204</v>
      </c>
      <c r="D194" s="94">
        <v>256</v>
      </c>
      <c r="E194" s="94">
        <v>419</v>
      </c>
      <c r="F194" s="94">
        <v>376</v>
      </c>
      <c r="G194" s="94">
        <v>223</v>
      </c>
      <c r="H194" s="94">
        <v>1716</v>
      </c>
      <c r="I194" s="88"/>
    </row>
    <row r="195" spans="1:14" ht="15.75">
      <c r="A195" s="531"/>
      <c r="B195" s="95">
        <v>23.34</v>
      </c>
      <c r="C195" s="95">
        <v>29.75</v>
      </c>
      <c r="D195" s="95">
        <v>21.1</v>
      </c>
      <c r="E195" s="95">
        <v>30.18</v>
      </c>
      <c r="F195" s="95">
        <v>19.420000000000002</v>
      </c>
      <c r="G195" s="95">
        <v>21.07</v>
      </c>
      <c r="H195" s="95">
        <v>23.5</v>
      </c>
      <c r="I195" s="88"/>
    </row>
    <row r="196" spans="1:14" ht="15.75">
      <c r="A196" s="307"/>
      <c r="B196" s="308"/>
      <c r="C196" s="308"/>
      <c r="D196" s="308"/>
      <c r="E196" s="308"/>
      <c r="F196" s="308"/>
      <c r="G196" s="308"/>
      <c r="H196" s="308"/>
      <c r="I196" s="88"/>
    </row>
    <row r="197" spans="1:14" ht="15.75">
      <c r="A197" s="521" t="s">
        <v>355</v>
      </c>
      <c r="B197" s="521"/>
      <c r="C197" s="521"/>
      <c r="D197" s="521"/>
      <c r="E197" s="521"/>
      <c r="F197" s="521"/>
      <c r="G197" s="35"/>
      <c r="H197" s="36"/>
      <c r="I197" s="109"/>
    </row>
    <row r="198" spans="1:14" ht="15.75">
      <c r="A198" s="107"/>
      <c r="B198" s="34"/>
      <c r="C198" s="35"/>
      <c r="D198" s="35"/>
      <c r="E198" s="35"/>
      <c r="F198" s="35"/>
      <c r="G198" s="35"/>
      <c r="H198" s="36"/>
      <c r="I198" s="109"/>
    </row>
    <row r="199" spans="1:14" ht="15.75">
      <c r="A199" s="107"/>
      <c r="B199" s="558" t="s">
        <v>290</v>
      </c>
      <c r="C199" s="559"/>
      <c r="D199" s="558" t="s">
        <v>291</v>
      </c>
      <c r="E199" s="559"/>
      <c r="F199" s="558" t="s">
        <v>292</v>
      </c>
      <c r="G199" s="559"/>
      <c r="H199" s="558" t="s">
        <v>293</v>
      </c>
      <c r="I199" s="559"/>
      <c r="J199" s="558" t="s">
        <v>346</v>
      </c>
      <c r="K199" s="559"/>
      <c r="L199" s="558" t="s">
        <v>347</v>
      </c>
      <c r="M199" s="559"/>
    </row>
    <row r="200" spans="1:14" ht="15.75">
      <c r="A200" s="22" t="s">
        <v>55</v>
      </c>
      <c r="B200" s="91">
        <v>22</v>
      </c>
      <c r="C200" s="490">
        <f>+B200/$B$203*100</f>
        <v>16.923076923076923</v>
      </c>
      <c r="D200" s="65">
        <v>17</v>
      </c>
      <c r="E200" s="490">
        <f>+D200/$D$203*100</f>
        <v>17.346938775510203</v>
      </c>
      <c r="F200" s="65">
        <v>31</v>
      </c>
      <c r="G200" s="490">
        <f>+F200/$F$203*100</f>
        <v>16.939890710382514</v>
      </c>
      <c r="H200" s="65">
        <v>32</v>
      </c>
      <c r="I200" s="490">
        <f>+H200/$H$203*100</f>
        <v>16.842105263157894</v>
      </c>
      <c r="J200" s="65">
        <v>50</v>
      </c>
      <c r="K200" s="490">
        <f>+J200/$J$203*100</f>
        <v>17.006802721088434</v>
      </c>
      <c r="L200" s="65">
        <v>24</v>
      </c>
      <c r="M200" s="490">
        <f>+L200/$L$203*100</f>
        <v>17.142857142857142</v>
      </c>
    </row>
    <row r="201" spans="1:14" ht="15.75">
      <c r="A201" s="22" t="s">
        <v>58</v>
      </c>
      <c r="B201" s="91">
        <v>108</v>
      </c>
      <c r="C201" s="490">
        <f t="shared" ref="C201:C202" si="65">+B201/$B$203*100</f>
        <v>83.07692307692308</v>
      </c>
      <c r="D201" s="65">
        <v>81</v>
      </c>
      <c r="E201" s="490">
        <f t="shared" ref="E201:E202" si="66">+D201/$D$203*100</f>
        <v>82.653061224489804</v>
      </c>
      <c r="F201" s="65">
        <v>152</v>
      </c>
      <c r="G201" s="490">
        <f t="shared" ref="G201:G202" si="67">+F201/$F$203*100</f>
        <v>83.060109289617486</v>
      </c>
      <c r="H201" s="65">
        <v>158</v>
      </c>
      <c r="I201" s="490">
        <f t="shared" ref="I201:I202" si="68">+H201/$H$203*100</f>
        <v>83.15789473684211</v>
      </c>
      <c r="J201" s="65">
        <v>244</v>
      </c>
      <c r="K201" s="490">
        <f t="shared" ref="K201:K202" si="69">+J201/$J$203*100</f>
        <v>82.993197278911566</v>
      </c>
      <c r="L201" s="65">
        <v>116</v>
      </c>
      <c r="M201" s="490">
        <f t="shared" ref="M201:M202" si="70">+L201/$L$203*100</f>
        <v>82.857142857142861</v>
      </c>
    </row>
    <row r="202" spans="1:14" ht="15.75">
      <c r="A202" s="22" t="s">
        <v>108</v>
      </c>
      <c r="B202" s="91">
        <v>0</v>
      </c>
      <c r="C202" s="490">
        <f t="shared" si="65"/>
        <v>0</v>
      </c>
      <c r="D202" s="65">
        <v>0</v>
      </c>
      <c r="E202" s="490">
        <f t="shared" si="66"/>
        <v>0</v>
      </c>
      <c r="F202" s="65">
        <v>0</v>
      </c>
      <c r="G202" s="490">
        <f t="shared" si="67"/>
        <v>0</v>
      </c>
      <c r="H202" s="65">
        <v>0</v>
      </c>
      <c r="I202" s="490">
        <f t="shared" si="68"/>
        <v>0</v>
      </c>
      <c r="J202" s="65">
        <v>0</v>
      </c>
      <c r="K202" s="490">
        <f t="shared" si="69"/>
        <v>0</v>
      </c>
      <c r="L202" s="65">
        <v>0</v>
      </c>
      <c r="M202" s="490">
        <f t="shared" si="70"/>
        <v>0</v>
      </c>
    </row>
    <row r="203" spans="1:14">
      <c r="B203" s="11">
        <f>SUM(B200:B202)</f>
        <v>130</v>
      </c>
      <c r="C203" s="489">
        <f>SUM(C200:C202)</f>
        <v>100</v>
      </c>
      <c r="D203" s="11">
        <f t="shared" ref="D203" si="71">SUM(D200:D202)</f>
        <v>98</v>
      </c>
      <c r="E203" s="489">
        <f>SUM(E200:E202)</f>
        <v>100</v>
      </c>
      <c r="F203" s="11">
        <f t="shared" ref="F203" si="72">SUM(F200:F202)</f>
        <v>183</v>
      </c>
      <c r="G203" s="489">
        <f>SUM(G200:G202)</f>
        <v>100</v>
      </c>
      <c r="H203" s="11">
        <f t="shared" ref="H203" si="73">SUM(H200:H202)</f>
        <v>190</v>
      </c>
      <c r="I203" s="489">
        <f>SUM(I200:I202)</f>
        <v>100</v>
      </c>
      <c r="J203" s="11">
        <f t="shared" ref="J203" si="74">SUM(J200:J202)</f>
        <v>294</v>
      </c>
      <c r="K203" s="489">
        <f>SUM(K200:K202)</f>
        <v>100</v>
      </c>
      <c r="L203" s="11">
        <f t="shared" ref="L203" si="75">SUM(L200:L202)</f>
        <v>140</v>
      </c>
      <c r="M203" s="489">
        <f>SUM(M200:M202)</f>
        <v>100</v>
      </c>
    </row>
    <row r="204" spans="1:14">
      <c r="B204" s="11"/>
      <c r="C204" s="519"/>
      <c r="D204" s="519"/>
      <c r="E204" s="519"/>
      <c r="F204" s="519"/>
      <c r="G204" s="519"/>
      <c r="H204" s="519"/>
      <c r="I204" s="519"/>
      <c r="J204" s="519"/>
      <c r="K204" s="519"/>
      <c r="L204" s="519"/>
      <c r="M204" s="519"/>
      <c r="N204" s="519"/>
    </row>
    <row r="205" spans="1:14" ht="15.75">
      <c r="A205" s="22" t="s">
        <v>55</v>
      </c>
      <c r="B205" s="11"/>
      <c r="C205" s="488">
        <f>+$C$208*C200/100</f>
        <v>31.984615384615385</v>
      </c>
      <c r="D205" s="11"/>
      <c r="E205" s="488">
        <f>+$E$208*E200/100</f>
        <v>11.795918367346937</v>
      </c>
      <c r="F205" s="11"/>
      <c r="G205" s="488">
        <f>+$G$208*G200/100</f>
        <v>32.439890710382514</v>
      </c>
      <c r="H205" s="11"/>
      <c r="I205" s="488">
        <f>+$I$208*I200/100</f>
        <v>26.86315789473684</v>
      </c>
      <c r="J205" s="11"/>
      <c r="K205" s="488">
        <f>+$K$208*K200/100</f>
        <v>30.782312925170064</v>
      </c>
      <c r="L205" s="11"/>
      <c r="M205" s="488">
        <f>+$M$208*M200/100</f>
        <v>25.714285714285715</v>
      </c>
      <c r="N205" s="11"/>
    </row>
    <row r="206" spans="1:14" ht="15.75">
      <c r="A206" s="22" t="s">
        <v>58</v>
      </c>
      <c r="B206" s="34"/>
      <c r="C206" s="488">
        <f t="shared" ref="C206:C207" si="76">+$C$208*C201/100</f>
        <v>157.01538461538462</v>
      </c>
      <c r="D206" s="35"/>
      <c r="E206" s="488">
        <f>+$E$208*E201/100</f>
        <v>56.204081632653072</v>
      </c>
      <c r="F206" s="35"/>
      <c r="G206" s="488">
        <f t="shared" ref="G206:G207" si="77">+$G$208*G201/100</f>
        <v>159.06010928961749</v>
      </c>
      <c r="H206" s="36"/>
      <c r="I206" s="488">
        <f t="shared" ref="I206:I207" si="78">+$I$208*I201/100</f>
        <v>132.63684210526316</v>
      </c>
      <c r="K206" s="488">
        <f t="shared" ref="K206:K207" si="79">+$K$208*K201/100</f>
        <v>150.21768707482994</v>
      </c>
      <c r="M206" s="488">
        <f t="shared" ref="M206:M207" si="80">+$M$208*M201/100</f>
        <v>124.28571428571429</v>
      </c>
    </row>
    <row r="207" spans="1:14" ht="15.75">
      <c r="A207" s="22" t="s">
        <v>108</v>
      </c>
      <c r="B207" s="34"/>
      <c r="C207" s="488">
        <f t="shared" si="76"/>
        <v>0</v>
      </c>
      <c r="D207" s="35"/>
      <c r="E207" s="488">
        <f t="shared" ref="E207" si="81">+$G$208*E202/100</f>
        <v>0</v>
      </c>
      <c r="F207" s="35"/>
      <c r="G207" s="488">
        <f t="shared" si="77"/>
        <v>0</v>
      </c>
      <c r="H207" s="36"/>
      <c r="I207" s="488">
        <f t="shared" si="78"/>
        <v>0</v>
      </c>
      <c r="K207" s="488">
        <f t="shared" si="79"/>
        <v>0</v>
      </c>
      <c r="M207" s="488">
        <f t="shared" si="80"/>
        <v>0</v>
      </c>
    </row>
    <row r="208" spans="1:14" ht="15.75">
      <c r="A208" s="107"/>
      <c r="B208" s="34"/>
      <c r="C208" s="489">
        <v>189</v>
      </c>
      <c r="D208" s="35"/>
      <c r="E208" s="489">
        <v>68</v>
      </c>
      <c r="F208" s="35"/>
      <c r="G208" s="489">
        <v>191.5</v>
      </c>
      <c r="H208" s="36"/>
      <c r="I208" s="489">
        <v>159.5</v>
      </c>
      <c r="K208" s="489">
        <v>181</v>
      </c>
      <c r="M208" s="489">
        <v>150</v>
      </c>
    </row>
    <row r="209" spans="1:10" ht="15.75">
      <c r="A209" s="307"/>
      <c r="B209" s="308"/>
      <c r="C209" s="308"/>
      <c r="D209" s="308"/>
      <c r="E209" s="308"/>
      <c r="F209" s="308"/>
      <c r="G209" s="308"/>
      <c r="H209" s="308"/>
      <c r="I209" s="88"/>
    </row>
    <row r="210" spans="1:10" ht="15.75">
      <c r="A210" s="87"/>
      <c r="B210" s="89"/>
      <c r="C210" s="89"/>
      <c r="D210" s="89"/>
      <c r="E210" s="89"/>
      <c r="F210" s="89"/>
      <c r="G210" s="89"/>
      <c r="H210" s="89"/>
      <c r="I210" s="88"/>
    </row>
    <row r="211" spans="1:10" ht="23.25">
      <c r="A211" s="300"/>
      <c r="B211" s="532" t="s">
        <v>119</v>
      </c>
      <c r="C211" s="532"/>
      <c r="D211" s="532"/>
      <c r="E211" s="532"/>
      <c r="F211" s="532"/>
      <c r="G211" s="532"/>
      <c r="H211" s="532"/>
      <c r="J211" s="96"/>
    </row>
    <row r="212" spans="1:10" ht="15.75">
      <c r="A212" s="301" t="s">
        <v>89</v>
      </c>
      <c r="B212" s="533" t="s">
        <v>19</v>
      </c>
      <c r="C212" s="533" t="s">
        <v>82</v>
      </c>
      <c r="D212" s="533" t="s">
        <v>79</v>
      </c>
      <c r="E212" s="533" t="s">
        <v>80</v>
      </c>
      <c r="F212" s="533" t="s">
        <v>20</v>
      </c>
      <c r="G212" s="533" t="s">
        <v>81</v>
      </c>
      <c r="H212" s="533" t="s">
        <v>13</v>
      </c>
      <c r="J212" s="97"/>
    </row>
    <row r="213" spans="1:10" ht="15.75">
      <c r="A213" s="302" t="s">
        <v>107</v>
      </c>
      <c r="B213" s="534"/>
      <c r="C213" s="534"/>
      <c r="D213" s="534"/>
      <c r="E213" s="534"/>
      <c r="F213" s="534"/>
      <c r="G213" s="534"/>
      <c r="H213" s="534"/>
      <c r="J213" s="97"/>
    </row>
    <row r="214" spans="1:10" ht="20.100000000000001" customHeight="1">
      <c r="A214" s="423" t="s">
        <v>18</v>
      </c>
      <c r="B214" s="515">
        <v>375</v>
      </c>
      <c r="C214" s="515">
        <v>281</v>
      </c>
      <c r="D214" s="512">
        <v>581.26409999999998</v>
      </c>
      <c r="E214" s="512">
        <v>521.47</v>
      </c>
      <c r="F214" s="512">
        <v>783.6</v>
      </c>
      <c r="G214" s="512">
        <v>432</v>
      </c>
      <c r="H214" s="487">
        <f>SUM(B214:G214)</f>
        <v>2974.3341</v>
      </c>
      <c r="I214" s="10" t="s">
        <v>15</v>
      </c>
      <c r="J214" s="98"/>
    </row>
    <row r="215" spans="1:10" ht="20.100000000000001" customHeight="1">
      <c r="A215" s="18" t="s">
        <v>84</v>
      </c>
      <c r="B215" s="19">
        <v>1.7250000000000001</v>
      </c>
      <c r="C215" s="19">
        <v>1.7250000000000001</v>
      </c>
      <c r="D215" s="304">
        <v>1.7250000000000001</v>
      </c>
      <c r="E215" s="64">
        <v>1.7250000000000001</v>
      </c>
      <c r="F215" s="20">
        <v>1.7250000000000001</v>
      </c>
      <c r="G215" s="64">
        <v>1.7250000000000001</v>
      </c>
      <c r="H215" s="64">
        <v>1.7250000000000001</v>
      </c>
      <c r="I215" s="10"/>
      <c r="J215" s="98"/>
    </row>
    <row r="216" spans="1:10" ht="20.100000000000001" customHeight="1">
      <c r="A216" s="21" t="s">
        <v>83</v>
      </c>
      <c r="B216" s="26">
        <f>+B214*B215</f>
        <v>646.875</v>
      </c>
      <c r="C216" s="26">
        <f>+C214*C215</f>
        <v>484.72500000000002</v>
      </c>
      <c r="D216" s="26">
        <f>+D214*D215</f>
        <v>1002.6805725</v>
      </c>
      <c r="E216" s="26">
        <f>+E214*E215</f>
        <v>899.53575000000012</v>
      </c>
      <c r="F216" s="26">
        <f>+F214*F215</f>
        <v>1351.71</v>
      </c>
      <c r="G216" s="26">
        <f>+G214*G215+1</f>
        <v>746.2</v>
      </c>
      <c r="H216" s="26">
        <f>SUM(B216:G216)</f>
        <v>5131.7263224999997</v>
      </c>
      <c r="I216" s="10"/>
      <c r="J216" s="98"/>
    </row>
    <row r="217" spans="1:10" ht="20.100000000000001" customHeight="1">
      <c r="A217" s="23" t="s">
        <v>3</v>
      </c>
      <c r="B217" s="513">
        <v>113</v>
      </c>
      <c r="C217" s="513">
        <v>108.8</v>
      </c>
      <c r="D217" s="513">
        <v>198.75</v>
      </c>
      <c r="E217" s="513">
        <v>173.55610000000001</v>
      </c>
      <c r="F217" s="513">
        <v>268.89999999999998</v>
      </c>
      <c r="G217" s="513">
        <v>110.19999999999999</v>
      </c>
      <c r="H217" s="513">
        <f>SUM(B217:G217)</f>
        <v>973.20609999999988</v>
      </c>
      <c r="I217" s="10"/>
      <c r="J217" s="98"/>
    </row>
    <row r="218" spans="1:10" ht="20.100000000000001" customHeight="1">
      <c r="A218" s="23" t="s">
        <v>4</v>
      </c>
      <c r="B218" s="513">
        <v>53</v>
      </c>
      <c r="C218" s="513">
        <v>70</v>
      </c>
      <c r="D218" s="513">
        <v>74</v>
      </c>
      <c r="E218" s="513">
        <v>57</v>
      </c>
      <c r="F218" s="513">
        <v>88</v>
      </c>
      <c r="G218" s="513">
        <v>76.467199999999991</v>
      </c>
      <c r="H218" s="513">
        <f t="shared" ref="H218:H224" si="82">SUM(B218:G218)</f>
        <v>418.46719999999999</v>
      </c>
      <c r="I218" s="10"/>
      <c r="J218" s="98"/>
    </row>
    <row r="219" spans="1:10" ht="20.100000000000001" customHeight="1">
      <c r="A219" s="23" t="s">
        <v>5</v>
      </c>
      <c r="B219" s="513">
        <v>43.597700000000003</v>
      </c>
      <c r="C219" s="513">
        <v>73.931799999999996</v>
      </c>
      <c r="D219" s="513">
        <v>62</v>
      </c>
      <c r="E219" s="513">
        <v>65</v>
      </c>
      <c r="F219" s="513">
        <v>60.1631</v>
      </c>
      <c r="G219" s="513">
        <v>47</v>
      </c>
      <c r="H219" s="513">
        <f t="shared" si="82"/>
        <v>351.69259999999997</v>
      </c>
      <c r="I219" s="10"/>
      <c r="J219" s="98"/>
    </row>
    <row r="220" spans="1:10" ht="20.100000000000001" customHeight="1">
      <c r="A220" s="23" t="s">
        <v>6</v>
      </c>
      <c r="B220" s="513">
        <v>182</v>
      </c>
      <c r="C220" s="513">
        <v>137</v>
      </c>
      <c r="D220" s="513">
        <v>246.88</v>
      </c>
      <c r="E220" s="513">
        <v>234.12</v>
      </c>
      <c r="F220" s="513">
        <v>410</v>
      </c>
      <c r="G220" s="513">
        <v>234</v>
      </c>
      <c r="H220" s="513">
        <f t="shared" si="82"/>
        <v>1444</v>
      </c>
      <c r="I220" s="10"/>
      <c r="J220" s="98"/>
    </row>
    <row r="221" spans="1:10" ht="20.100000000000001" customHeight="1">
      <c r="A221" s="23" t="s">
        <v>57</v>
      </c>
      <c r="B221" s="513">
        <v>231</v>
      </c>
      <c r="C221" s="513">
        <v>100</v>
      </c>
      <c r="D221" s="513">
        <v>195.7</v>
      </c>
      <c r="E221" s="513">
        <v>170.60000000000002</v>
      </c>
      <c r="F221" s="513">
        <v>294</v>
      </c>
      <c r="G221" s="513">
        <v>140</v>
      </c>
      <c r="H221" s="513">
        <f t="shared" ref="H221" si="83">SUM(B221:G221)</f>
        <v>1131.3000000000002</v>
      </c>
      <c r="I221" s="10"/>
      <c r="J221" s="98"/>
    </row>
    <row r="222" spans="1:10" ht="20.100000000000001" customHeight="1">
      <c r="A222" s="22" t="s">
        <v>55</v>
      </c>
      <c r="B222" s="65">
        <v>31.984615384615385</v>
      </c>
      <c r="C222" s="65">
        <v>11.795918367346937</v>
      </c>
      <c r="D222" s="65">
        <v>32.439890710382514</v>
      </c>
      <c r="E222" s="65">
        <v>26.86315789473684</v>
      </c>
      <c r="F222" s="65">
        <v>30.782312925170064</v>
      </c>
      <c r="G222" s="65">
        <v>25.714285714285715</v>
      </c>
      <c r="H222" s="65">
        <f t="shared" si="82"/>
        <v>159.58018099653748</v>
      </c>
      <c r="I222" s="10"/>
      <c r="J222" s="84"/>
    </row>
    <row r="223" spans="1:10" ht="20.100000000000001" customHeight="1">
      <c r="A223" s="22" t="s">
        <v>58</v>
      </c>
      <c r="B223" s="65">
        <v>157.01538461538462</v>
      </c>
      <c r="C223" s="65">
        <v>56.204081632653072</v>
      </c>
      <c r="D223" s="65">
        <v>159.06010928961749</v>
      </c>
      <c r="E223" s="65">
        <v>132.63684210526316</v>
      </c>
      <c r="F223" s="65">
        <v>150.21768707482994</v>
      </c>
      <c r="G223" s="65">
        <v>124.28571428571429</v>
      </c>
      <c r="H223" s="65">
        <f t="shared" si="82"/>
        <v>779.41981900346264</v>
      </c>
      <c r="I223" s="10"/>
      <c r="J223" s="7"/>
    </row>
    <row r="224" spans="1:10" ht="20.100000000000001" customHeight="1">
      <c r="A224" s="22" t="s">
        <v>108</v>
      </c>
      <c r="B224" s="65">
        <v>0</v>
      </c>
      <c r="C224" s="65">
        <v>0</v>
      </c>
      <c r="D224" s="65">
        <v>0</v>
      </c>
      <c r="E224" s="65">
        <v>0</v>
      </c>
      <c r="F224" s="65">
        <v>0</v>
      </c>
      <c r="G224" s="65">
        <v>0</v>
      </c>
      <c r="H224" s="65">
        <f t="shared" si="82"/>
        <v>0</v>
      </c>
      <c r="I224" s="10"/>
    </row>
    <row r="225" spans="1:11" ht="20.100000000000001" customHeight="1">
      <c r="A225" s="23" t="s">
        <v>85</v>
      </c>
      <c r="B225" s="25">
        <f t="shared" ref="B225:G225" si="84">SUM(B217:B224)</f>
        <v>811.59770000000003</v>
      </c>
      <c r="C225" s="25">
        <f t="shared" si="84"/>
        <v>557.73180000000002</v>
      </c>
      <c r="D225" s="28">
        <f t="shared" si="84"/>
        <v>968.82999999999993</v>
      </c>
      <c r="E225" s="25">
        <f t="shared" si="84"/>
        <v>859.77610000000004</v>
      </c>
      <c r="F225" s="25">
        <f t="shared" si="84"/>
        <v>1302.0630999999998</v>
      </c>
      <c r="G225" s="25">
        <f t="shared" si="84"/>
        <v>757.66719999999998</v>
      </c>
      <c r="H225" s="25">
        <f>SUM(H217:H223)</f>
        <v>5257.6659</v>
      </c>
      <c r="I225" s="10"/>
      <c r="K225" t="s">
        <v>154</v>
      </c>
    </row>
    <row r="226" spans="1:11" ht="20.100000000000001" customHeight="1">
      <c r="A226" s="18" t="s">
        <v>86</v>
      </c>
      <c r="B226" s="29">
        <v>2.25</v>
      </c>
      <c r="C226" s="29">
        <v>2.25</v>
      </c>
      <c r="D226" s="305">
        <v>2.25</v>
      </c>
      <c r="E226" s="29">
        <v>2.25</v>
      </c>
      <c r="F226" s="29">
        <v>2.25</v>
      </c>
      <c r="G226" s="29">
        <v>2.25</v>
      </c>
      <c r="H226" s="29">
        <v>2.25</v>
      </c>
      <c r="I226" s="10"/>
      <c r="J226" s="150"/>
    </row>
    <row r="227" spans="1:11" ht="20.100000000000001" customHeight="1">
      <c r="A227" s="21" t="s">
        <v>83</v>
      </c>
      <c r="B227" s="26">
        <f>B225*B226</f>
        <v>1826.0948250000001</v>
      </c>
      <c r="C227" s="26">
        <f>C225*C226</f>
        <v>1254.8965499999999</v>
      </c>
      <c r="D227" s="26">
        <f>D225*D226</f>
        <v>2179.8674999999998</v>
      </c>
      <c r="E227" s="26">
        <f>E225*E226</f>
        <v>1934.4962250000001</v>
      </c>
      <c r="F227" s="26">
        <f>F225*F226</f>
        <v>2929.6419749999995</v>
      </c>
      <c r="G227" s="26">
        <f>G225*G226-1</f>
        <v>1703.7511999999999</v>
      </c>
      <c r="H227" s="26">
        <f>SUM(B227:G227)</f>
        <v>11828.748275</v>
      </c>
      <c r="I227" s="10"/>
    </row>
    <row r="228" spans="1:11" ht="20.100000000000001" customHeight="1">
      <c r="A228" s="54" t="s">
        <v>102</v>
      </c>
      <c r="B228" s="55">
        <f t="shared" ref="B228:H228" si="85">+B216+B227</f>
        <v>2472.9698250000001</v>
      </c>
      <c r="C228" s="55">
        <f t="shared" si="85"/>
        <v>1739.6215499999998</v>
      </c>
      <c r="D228" s="55">
        <f t="shared" si="85"/>
        <v>3182.5480724999998</v>
      </c>
      <c r="E228" s="55">
        <f t="shared" si="85"/>
        <v>2834.0319750000003</v>
      </c>
      <c r="F228" s="55">
        <f t="shared" si="85"/>
        <v>4281.3519749999996</v>
      </c>
      <c r="G228" s="55">
        <f t="shared" si="85"/>
        <v>2449.9512</v>
      </c>
      <c r="H228" s="55">
        <f t="shared" si="85"/>
        <v>16960.474597500001</v>
      </c>
      <c r="I228" s="10"/>
    </row>
    <row r="229" spans="1:11" ht="20.100000000000001" customHeight="1">
      <c r="A229" s="22" t="s">
        <v>87</v>
      </c>
      <c r="B229" s="514">
        <f t="shared" ref="B229:H229" si="86">+B214+B225</f>
        <v>1186.5977</v>
      </c>
      <c r="C229" s="514">
        <f t="shared" si="86"/>
        <v>838.73180000000002</v>
      </c>
      <c r="D229" s="514">
        <f t="shared" si="86"/>
        <v>1550.0940999999998</v>
      </c>
      <c r="E229" s="514">
        <f t="shared" si="86"/>
        <v>1381.2461000000001</v>
      </c>
      <c r="F229" s="514">
        <f t="shared" si="86"/>
        <v>2085.6630999999998</v>
      </c>
      <c r="G229" s="514">
        <f t="shared" si="86"/>
        <v>1189.6671999999999</v>
      </c>
      <c r="H229" s="514">
        <f t="shared" si="86"/>
        <v>8232</v>
      </c>
      <c r="I229" s="10" t="s">
        <v>15</v>
      </c>
    </row>
    <row r="230" spans="1:11" ht="20.100000000000001" customHeight="1">
      <c r="A230" s="18" t="s">
        <v>88</v>
      </c>
      <c r="B230" s="18">
        <v>0.66</v>
      </c>
      <c r="C230" s="18">
        <v>0.66</v>
      </c>
      <c r="D230" s="18">
        <v>0.66</v>
      </c>
      <c r="E230" s="18">
        <v>0.66</v>
      </c>
      <c r="F230" s="18">
        <v>0.66</v>
      </c>
      <c r="G230" s="18">
        <v>0.66</v>
      </c>
      <c r="H230" s="18">
        <v>0.66</v>
      </c>
    </row>
    <row r="231" spans="1:11" ht="20.100000000000001" customHeight="1">
      <c r="A231" s="21" t="s">
        <v>99</v>
      </c>
      <c r="B231" s="26">
        <f>+B229*B230</f>
        <v>783.15448200000003</v>
      </c>
      <c r="C231" s="26">
        <f t="shared" ref="C231:H231" si="87">+C229*C230</f>
        <v>553.56298800000002</v>
      </c>
      <c r="D231" s="26">
        <f t="shared" si="87"/>
        <v>1023.062106</v>
      </c>
      <c r="E231" s="26">
        <f t="shared" si="87"/>
        <v>911.62242600000013</v>
      </c>
      <c r="F231" s="26">
        <f t="shared" si="87"/>
        <v>1376.537646</v>
      </c>
      <c r="G231" s="26">
        <f t="shared" si="87"/>
        <v>785.18035199999997</v>
      </c>
      <c r="H231" s="26">
        <f t="shared" si="87"/>
        <v>5433.12</v>
      </c>
      <c r="I231" s="10"/>
      <c r="K231" s="6"/>
    </row>
    <row r="232" spans="1:11" ht="20.100000000000001" customHeight="1">
      <c r="A232" s="17" t="s">
        <v>97</v>
      </c>
      <c r="B232" s="39">
        <f>B231/H231*100</f>
        <v>14.414452137998058</v>
      </c>
      <c r="C232" s="39">
        <f>C231/H231*100</f>
        <v>10.188675898931002</v>
      </c>
      <c r="D232" s="39">
        <f>D231/H231*100</f>
        <v>18.83010325558795</v>
      </c>
      <c r="E232" s="39">
        <f>E231/H231*100</f>
        <v>16.778985665694851</v>
      </c>
      <c r="F232" s="39">
        <f>F231/H231*100</f>
        <v>25.3360434888241</v>
      </c>
      <c r="G232" s="39">
        <f>G231/H231*100</f>
        <v>14.451739552964044</v>
      </c>
      <c r="H232" s="39">
        <f>SUM(B232:G232)</f>
        <v>100</v>
      </c>
      <c r="I232" s="10"/>
      <c r="K232" s="6"/>
    </row>
    <row r="233" spans="1:11" ht="20.100000000000001" customHeight="1">
      <c r="A233" s="44" t="s">
        <v>100</v>
      </c>
      <c r="B233" s="42">
        <f>+H233*B232/100</f>
        <v>1.2973006924198254</v>
      </c>
      <c r="C233" s="41">
        <f>+H233*C232/100</f>
        <v>0.91698083090379012</v>
      </c>
      <c r="D233" s="41">
        <f>+H233*D232/100</f>
        <v>1.6947092930029155</v>
      </c>
      <c r="E233" s="41">
        <f>+H233*E232/100</f>
        <v>1.5101087099125365</v>
      </c>
      <c r="F233" s="41">
        <f>+H233*F232/100</f>
        <v>2.2802439139941688</v>
      </c>
      <c r="G233" s="41">
        <f>+H233*G232/100</f>
        <v>1.3006565597667639</v>
      </c>
      <c r="H233" s="28">
        <v>9</v>
      </c>
      <c r="I233" s="10"/>
      <c r="K233" s="6"/>
    </row>
    <row r="234" spans="1:11" ht="20.100000000000001" customHeight="1">
      <c r="A234" s="43" t="s">
        <v>88</v>
      </c>
      <c r="B234" s="18">
        <v>0.66</v>
      </c>
      <c r="C234" s="18">
        <v>0.66</v>
      </c>
      <c r="D234" s="18">
        <v>0.66</v>
      </c>
      <c r="E234" s="18">
        <v>0.66</v>
      </c>
      <c r="F234" s="18">
        <v>0.66</v>
      </c>
      <c r="G234" s="18">
        <v>0.66</v>
      </c>
      <c r="H234" s="18">
        <v>0.66</v>
      </c>
      <c r="I234" s="10"/>
      <c r="J234" s="6"/>
      <c r="K234" s="6"/>
    </row>
    <row r="235" spans="1:11" ht="20.100000000000001" customHeight="1">
      <c r="A235" s="21" t="s">
        <v>98</v>
      </c>
      <c r="B235" s="40">
        <f t="shared" ref="B235:G235" si="88">+B233*B234</f>
        <v>0.85621845699708476</v>
      </c>
      <c r="C235" s="40">
        <f t="shared" si="88"/>
        <v>0.60520734839650148</v>
      </c>
      <c r="D235" s="40">
        <f t="shared" si="88"/>
        <v>1.1185081333819242</v>
      </c>
      <c r="E235" s="40">
        <f t="shared" si="88"/>
        <v>0.99667174854227414</v>
      </c>
      <c r="F235" s="40">
        <f t="shared" si="88"/>
        <v>1.5049609832361515</v>
      </c>
      <c r="G235" s="40">
        <f t="shared" si="88"/>
        <v>0.85843332944606421</v>
      </c>
      <c r="H235" s="26">
        <f>+B235+C235+D235+E235+F235+G235</f>
        <v>5.9399999999999995</v>
      </c>
      <c r="I235" s="10"/>
      <c r="J235" s="6"/>
      <c r="K235" s="6"/>
    </row>
    <row r="236" spans="1:11" ht="20.100000000000001" customHeight="1">
      <c r="A236" s="45" t="s">
        <v>103</v>
      </c>
      <c r="B236" s="46">
        <f>+B231+B235</f>
        <v>784.01070045699714</v>
      </c>
      <c r="C236" s="46">
        <f t="shared" ref="C236:H236" si="89">+C231+C235</f>
        <v>554.16819534839647</v>
      </c>
      <c r="D236" s="46">
        <f t="shared" si="89"/>
        <v>1024.1806141333818</v>
      </c>
      <c r="E236" s="46">
        <f t="shared" si="89"/>
        <v>912.61909774854246</v>
      </c>
      <c r="F236" s="46">
        <f t="shared" si="89"/>
        <v>1378.0426069832361</v>
      </c>
      <c r="G236" s="46">
        <f t="shared" si="89"/>
        <v>786.038785329446</v>
      </c>
      <c r="H236" s="46">
        <f t="shared" si="89"/>
        <v>5439.0599999999995</v>
      </c>
      <c r="I236" s="10"/>
      <c r="J236" s="6"/>
      <c r="K236" s="6"/>
    </row>
    <row r="237" spans="1:11" ht="20.100000000000001" customHeight="1">
      <c r="A237" s="78"/>
      <c r="B237" s="79"/>
      <c r="C237" s="79"/>
      <c r="D237" s="79"/>
      <c r="E237" s="79"/>
      <c r="F237" s="79"/>
      <c r="G237" s="79"/>
      <c r="H237" s="79"/>
      <c r="I237" s="80"/>
      <c r="J237" s="6"/>
      <c r="K237" s="6"/>
    </row>
    <row r="238" spans="1:11" ht="20.100000000000001" customHeight="1">
      <c r="A238" s="81" t="s">
        <v>126</v>
      </c>
      <c r="B238" s="82">
        <f t="shared" ref="B238:G238" si="90">+B229</f>
        <v>1186.5977</v>
      </c>
      <c r="C238" s="82">
        <f t="shared" si="90"/>
        <v>838.73180000000002</v>
      </c>
      <c r="D238" s="100">
        <f t="shared" si="90"/>
        <v>1550.0940999999998</v>
      </c>
      <c r="E238" s="82">
        <f t="shared" si="90"/>
        <v>1381.2461000000001</v>
      </c>
      <c r="F238" s="82">
        <f t="shared" si="90"/>
        <v>2085.6630999999998</v>
      </c>
      <c r="G238" s="82">
        <f t="shared" si="90"/>
        <v>1189.6671999999999</v>
      </c>
      <c r="H238" s="82">
        <f>SUM(B238:G238)</f>
        <v>8232</v>
      </c>
      <c r="I238" s="527" t="s">
        <v>130</v>
      </c>
      <c r="J238" s="6"/>
      <c r="K238" s="6"/>
    </row>
    <row r="239" spans="1:11" ht="20.100000000000001" customHeight="1">
      <c r="A239" s="81" t="s">
        <v>127</v>
      </c>
      <c r="B239" s="82">
        <f>+E22</f>
        <v>49</v>
      </c>
      <c r="C239" s="82">
        <f>+E26</f>
        <v>119</v>
      </c>
      <c r="D239" s="100">
        <f>+E6</f>
        <v>256</v>
      </c>
      <c r="E239" s="82">
        <f>+E10</f>
        <v>0</v>
      </c>
      <c r="F239" s="82">
        <f>+E14</f>
        <v>134</v>
      </c>
      <c r="G239" s="82">
        <f>+E18</f>
        <v>3</v>
      </c>
      <c r="H239" s="82">
        <f>SUM(B239:G239)</f>
        <v>561</v>
      </c>
      <c r="I239" s="528"/>
      <c r="J239" s="6"/>
      <c r="K239" s="6"/>
    </row>
    <row r="240" spans="1:11" ht="20.100000000000001" customHeight="1">
      <c r="A240" s="81" t="s">
        <v>128</v>
      </c>
      <c r="B240" s="82">
        <f t="shared" ref="B240:H240" si="91">+B238-B239</f>
        <v>1137.5977</v>
      </c>
      <c r="C240" s="82">
        <f t="shared" si="91"/>
        <v>719.73180000000002</v>
      </c>
      <c r="D240" s="100">
        <f t="shared" si="91"/>
        <v>1294.0940999999998</v>
      </c>
      <c r="E240" s="82">
        <f t="shared" si="91"/>
        <v>1381.2461000000001</v>
      </c>
      <c r="F240" s="82">
        <f t="shared" si="91"/>
        <v>1951.6630999999998</v>
      </c>
      <c r="G240" s="82">
        <f t="shared" si="91"/>
        <v>1186.6671999999999</v>
      </c>
      <c r="H240" s="82">
        <f t="shared" si="91"/>
        <v>7671</v>
      </c>
      <c r="I240" s="528"/>
      <c r="J240" s="6"/>
    </row>
    <row r="241" spans="1:11" ht="20.100000000000001" customHeight="1">
      <c r="A241" s="81" t="s">
        <v>129</v>
      </c>
      <c r="B241" s="82">
        <f>E20+E21</f>
        <v>857.867454378405</v>
      </c>
      <c r="C241" s="82">
        <f>+E24+E25</f>
        <v>540.04656691039895</v>
      </c>
      <c r="D241" s="82">
        <f>+E4+E5</f>
        <v>1035.6500000000001</v>
      </c>
      <c r="E241" s="82">
        <f>+E8+E9</f>
        <v>1026.2336358934731</v>
      </c>
      <c r="F241" s="82">
        <f>+E12+E13</f>
        <v>1582.7698314297099</v>
      </c>
      <c r="G241" s="82">
        <f>+E16+E17</f>
        <v>902.7788966643559</v>
      </c>
      <c r="H241" s="82">
        <f>SUM(B241:G241)</f>
        <v>5945.3463852763425</v>
      </c>
      <c r="I241" s="528"/>
      <c r="J241" s="6"/>
    </row>
    <row r="242" spans="1:11" ht="20.100000000000001" customHeight="1">
      <c r="A242" s="81" t="s">
        <v>124</v>
      </c>
      <c r="B242" s="103">
        <f t="shared" ref="B242:H242" si="92">+B240-B241</f>
        <v>279.73024562159503</v>
      </c>
      <c r="C242" s="103">
        <f t="shared" si="92"/>
        <v>179.68523308960107</v>
      </c>
      <c r="D242" s="103">
        <f t="shared" si="92"/>
        <v>258.44409999999971</v>
      </c>
      <c r="E242" s="103">
        <f t="shared" si="92"/>
        <v>355.01246410652698</v>
      </c>
      <c r="F242" s="103">
        <f t="shared" si="92"/>
        <v>368.89326857028982</v>
      </c>
      <c r="G242" s="103">
        <f t="shared" si="92"/>
        <v>283.88830333564397</v>
      </c>
      <c r="H242" s="82">
        <f t="shared" si="92"/>
        <v>1725.6536147236575</v>
      </c>
      <c r="I242" s="528"/>
      <c r="J242" s="6"/>
    </row>
    <row r="243" spans="1:11" ht="20.100000000000001" customHeight="1">
      <c r="A243" s="81" t="s">
        <v>125</v>
      </c>
      <c r="B243" s="104">
        <f t="shared" ref="B243:H243" si="93">B242/B240</f>
        <v>0.24589557944921567</v>
      </c>
      <c r="C243" s="104">
        <f t="shared" si="93"/>
        <v>0.24965582052870397</v>
      </c>
      <c r="D243" s="105">
        <f t="shared" si="93"/>
        <v>0.19971043836765792</v>
      </c>
      <c r="E243" s="105">
        <f t="shared" si="93"/>
        <v>0.25702332416107959</v>
      </c>
      <c r="F243" s="105">
        <f t="shared" si="93"/>
        <v>0.18901482974714737</v>
      </c>
      <c r="G243" s="104">
        <f t="shared" si="93"/>
        <v>0.23923160877425786</v>
      </c>
      <c r="H243" s="83">
        <f t="shared" si="93"/>
        <v>0.22495810386177259</v>
      </c>
      <c r="I243" s="529"/>
    </row>
    <row r="244" spans="1:11" ht="20.100000000000001" customHeight="1">
      <c r="A244" s="530" t="s">
        <v>131</v>
      </c>
      <c r="B244" s="94">
        <v>242</v>
      </c>
      <c r="C244" s="94">
        <v>207</v>
      </c>
      <c r="D244" s="94">
        <v>259</v>
      </c>
      <c r="E244" s="94">
        <v>444</v>
      </c>
      <c r="F244" s="94">
        <v>385</v>
      </c>
      <c r="G244" s="94">
        <v>190</v>
      </c>
      <c r="H244" s="94">
        <f>SUM(B244:G244)</f>
        <v>1727</v>
      </c>
      <c r="I244" s="80"/>
    </row>
    <row r="245" spans="1:11" ht="20.100000000000001" customHeight="1">
      <c r="A245" s="531"/>
      <c r="B245" s="99">
        <v>24.42</v>
      </c>
      <c r="C245" s="95">
        <v>31.39</v>
      </c>
      <c r="D245" s="99">
        <v>21.5</v>
      </c>
      <c r="E245" s="99">
        <v>29.35</v>
      </c>
      <c r="F245" s="99">
        <v>17.48</v>
      </c>
      <c r="G245" s="99">
        <v>17.190000000000001</v>
      </c>
      <c r="H245" s="95" t="s">
        <v>132</v>
      </c>
      <c r="I245" s="80"/>
    </row>
    <row r="252" spans="1:11">
      <c r="A252" s="47"/>
      <c r="B252" s="48"/>
      <c r="C252" s="48"/>
      <c r="D252" s="48"/>
      <c r="E252" s="48"/>
      <c r="F252" s="48"/>
      <c r="G252" s="48"/>
      <c r="H252" s="47"/>
      <c r="I252" s="53"/>
    </row>
    <row r="253" spans="1:11" ht="23.25">
      <c r="A253" s="90"/>
      <c r="B253" s="537" t="s">
        <v>120</v>
      </c>
      <c r="C253" s="537"/>
      <c r="D253" s="537"/>
      <c r="E253" s="537"/>
      <c r="F253" s="537"/>
      <c r="G253" s="537"/>
      <c r="H253" s="537"/>
    </row>
    <row r="254" spans="1:11" ht="15.75">
      <c r="A254" s="30" t="s">
        <v>59</v>
      </c>
      <c r="B254" s="535" t="s">
        <v>19</v>
      </c>
      <c r="C254" s="535" t="s">
        <v>82</v>
      </c>
      <c r="D254" s="535" t="s">
        <v>79</v>
      </c>
      <c r="E254" s="535" t="s">
        <v>80</v>
      </c>
      <c r="F254" s="535" t="s">
        <v>20</v>
      </c>
      <c r="G254" s="535" t="s">
        <v>81</v>
      </c>
      <c r="H254" s="535" t="s">
        <v>13</v>
      </c>
    </row>
    <row r="255" spans="1:11" ht="15.75">
      <c r="A255" s="31" t="s">
        <v>90</v>
      </c>
      <c r="B255" s="536"/>
      <c r="C255" s="536"/>
      <c r="D255" s="536"/>
      <c r="E255" s="536"/>
      <c r="F255" s="536"/>
      <c r="G255" s="536"/>
      <c r="H255" s="536"/>
    </row>
    <row r="256" spans="1:11" ht="15.75">
      <c r="A256" s="423" t="s">
        <v>91</v>
      </c>
      <c r="B256" s="24">
        <v>1366</v>
      </c>
      <c r="C256" s="24">
        <v>985</v>
      </c>
      <c r="D256" s="32">
        <v>1672</v>
      </c>
      <c r="E256" s="32">
        <v>2397</v>
      </c>
      <c r="F256" s="32">
        <v>2761</v>
      </c>
      <c r="G256" s="32">
        <v>1919</v>
      </c>
      <c r="H256" s="33">
        <f>SUM(B256:G256)</f>
        <v>11100</v>
      </c>
      <c r="I256" s="10" t="s">
        <v>288</v>
      </c>
      <c r="K256" s="7"/>
    </row>
    <row r="257" spans="1:11" ht="15.75">
      <c r="A257" s="18" t="s">
        <v>92</v>
      </c>
      <c r="B257" s="37">
        <v>0.102427</v>
      </c>
      <c r="C257" s="37">
        <v>0.102427</v>
      </c>
      <c r="D257" s="37">
        <v>0.102427</v>
      </c>
      <c r="E257" s="37">
        <v>0.102427</v>
      </c>
      <c r="F257" s="37">
        <v>0.102427</v>
      </c>
      <c r="G257" s="37">
        <v>0.102427</v>
      </c>
      <c r="H257" s="37">
        <v>0.102427</v>
      </c>
      <c r="I257" s="10" t="s">
        <v>288</v>
      </c>
    </row>
    <row r="258" spans="1:11" ht="15.75">
      <c r="A258" s="21" t="s">
        <v>83</v>
      </c>
      <c r="B258" s="26">
        <f t="shared" ref="B258:G258" si="94">+B256*B257</f>
        <v>139.91528200000002</v>
      </c>
      <c r="C258" s="26">
        <f t="shared" si="94"/>
        <v>100.890595</v>
      </c>
      <c r="D258" s="26">
        <f t="shared" si="94"/>
        <v>171.25794400000001</v>
      </c>
      <c r="E258" s="26">
        <f t="shared" si="94"/>
        <v>245.51751900000002</v>
      </c>
      <c r="F258" s="26">
        <f t="shared" si="94"/>
        <v>282.80094700000001</v>
      </c>
      <c r="G258" s="26">
        <f t="shared" si="94"/>
        <v>196.557413</v>
      </c>
      <c r="H258" s="26">
        <f t="shared" ref="H258:H264" si="95">SUM(B258:G258)</f>
        <v>1136.9397000000001</v>
      </c>
      <c r="I258" s="10" t="s">
        <v>288</v>
      </c>
    </row>
    <row r="259" spans="1:11" ht="15.75">
      <c r="A259" s="22" t="s">
        <v>3</v>
      </c>
      <c r="B259" s="65">
        <v>132</v>
      </c>
      <c r="C259" s="65">
        <v>171</v>
      </c>
      <c r="D259" s="65">
        <v>291</v>
      </c>
      <c r="E259" s="65">
        <v>182</v>
      </c>
      <c r="F259" s="65">
        <f>396-1</f>
        <v>395</v>
      </c>
      <c r="G259" s="65">
        <f>107</f>
        <v>107</v>
      </c>
      <c r="H259" s="27">
        <f t="shared" si="95"/>
        <v>1278</v>
      </c>
      <c r="I259" s="10" t="s">
        <v>288</v>
      </c>
    </row>
    <row r="260" spans="1:11" ht="15.75">
      <c r="A260" s="22" t="s">
        <v>4</v>
      </c>
      <c r="B260" s="65">
        <v>122</v>
      </c>
      <c r="C260" s="65">
        <v>159</v>
      </c>
      <c r="D260" s="65">
        <v>271</v>
      </c>
      <c r="E260" s="65">
        <v>169</v>
      </c>
      <c r="F260" s="65">
        <f>368+1</f>
        <v>369</v>
      </c>
      <c r="G260" s="65">
        <f>99</f>
        <v>99</v>
      </c>
      <c r="H260" s="27">
        <f t="shared" si="95"/>
        <v>1189</v>
      </c>
      <c r="I260" s="10" t="s">
        <v>288</v>
      </c>
    </row>
    <row r="261" spans="1:11" ht="15.75">
      <c r="A261" s="22" t="s">
        <v>5</v>
      </c>
      <c r="B261" s="65">
        <v>114</v>
      </c>
      <c r="C261" s="65">
        <v>148</v>
      </c>
      <c r="D261" s="65">
        <v>252</v>
      </c>
      <c r="E261" s="65">
        <v>157</v>
      </c>
      <c r="F261" s="65">
        <v>342</v>
      </c>
      <c r="G261" s="65">
        <f>92+1</f>
        <v>93</v>
      </c>
      <c r="H261" s="27">
        <f t="shared" si="95"/>
        <v>1106</v>
      </c>
      <c r="I261" s="10" t="s">
        <v>288</v>
      </c>
    </row>
    <row r="262" spans="1:11" ht="15.75">
      <c r="A262" s="22" t="s">
        <v>6</v>
      </c>
      <c r="B262" s="65">
        <v>217</v>
      </c>
      <c r="C262" s="65">
        <v>282</v>
      </c>
      <c r="D262" s="65">
        <v>479</v>
      </c>
      <c r="E262" s="65">
        <v>299</v>
      </c>
      <c r="F262" s="65">
        <v>651</v>
      </c>
      <c r="G262" s="65">
        <v>176</v>
      </c>
      <c r="H262" s="27">
        <f t="shared" si="95"/>
        <v>2104</v>
      </c>
      <c r="I262" s="10" t="s">
        <v>288</v>
      </c>
    </row>
    <row r="263" spans="1:11" ht="15.75">
      <c r="A263" s="22" t="s">
        <v>57</v>
      </c>
      <c r="B263" s="65">
        <v>125</v>
      </c>
      <c r="C263" s="65">
        <v>163</v>
      </c>
      <c r="D263" s="65">
        <v>277</v>
      </c>
      <c r="E263" s="65">
        <v>173</v>
      </c>
      <c r="F263" s="65">
        <v>376</v>
      </c>
      <c r="G263" s="65">
        <v>102</v>
      </c>
      <c r="H263" s="27">
        <f t="shared" si="95"/>
        <v>1216</v>
      </c>
      <c r="I263" s="10" t="s">
        <v>288</v>
      </c>
    </row>
    <row r="264" spans="1:11" ht="15.75">
      <c r="A264" s="22" t="s">
        <v>58</v>
      </c>
      <c r="B264" s="65">
        <v>4</v>
      </c>
      <c r="C264" s="77">
        <v>5</v>
      </c>
      <c r="D264" s="65">
        <v>8</v>
      </c>
      <c r="E264" s="65">
        <v>5</v>
      </c>
      <c r="F264" s="65">
        <v>11</v>
      </c>
      <c r="G264" s="65">
        <v>3</v>
      </c>
      <c r="H264" s="27">
        <f t="shared" si="95"/>
        <v>36</v>
      </c>
      <c r="I264" s="10" t="s">
        <v>288</v>
      </c>
      <c r="J264" s="166"/>
      <c r="K264" s="106"/>
    </row>
    <row r="265" spans="1:11" ht="15.75">
      <c r="A265" s="23" t="s">
        <v>95</v>
      </c>
      <c r="B265" s="25">
        <f t="shared" ref="B265:H265" si="96">SUM(B259:B264)</f>
        <v>714</v>
      </c>
      <c r="C265" s="25">
        <f t="shared" si="96"/>
        <v>928</v>
      </c>
      <c r="D265" s="25">
        <f t="shared" si="96"/>
        <v>1578</v>
      </c>
      <c r="E265" s="25">
        <f t="shared" si="96"/>
        <v>985</v>
      </c>
      <c r="F265" s="25">
        <f t="shared" si="96"/>
        <v>2144</v>
      </c>
      <c r="G265" s="25">
        <f t="shared" si="96"/>
        <v>580</v>
      </c>
      <c r="H265" s="25">
        <f t="shared" si="96"/>
        <v>6929</v>
      </c>
      <c r="I265" s="10" t="s">
        <v>288</v>
      </c>
      <c r="J265" s="106"/>
      <c r="K265" s="106"/>
    </row>
    <row r="266" spans="1:11" ht="15.75">
      <c r="A266" s="18" t="s">
        <v>93</v>
      </c>
      <c r="B266" s="37">
        <v>0.102427</v>
      </c>
      <c r="C266" s="37">
        <v>0.102427</v>
      </c>
      <c r="D266" s="37">
        <v>0.102427</v>
      </c>
      <c r="E266" s="37">
        <v>0.102427</v>
      </c>
      <c r="F266" s="37">
        <v>0.102427</v>
      </c>
      <c r="G266" s="37">
        <v>0.102427</v>
      </c>
      <c r="H266" s="37">
        <v>0.102427</v>
      </c>
      <c r="I266" s="10" t="s">
        <v>288</v>
      </c>
      <c r="J266" s="166"/>
      <c r="K266" s="106"/>
    </row>
    <row r="267" spans="1:11" ht="15.75">
      <c r="A267" s="21" t="s">
        <v>83</v>
      </c>
      <c r="B267" s="26">
        <f t="shared" ref="B267:H267" si="97">B265*B266</f>
        <v>73.132878000000005</v>
      </c>
      <c r="C267" s="26">
        <f t="shared" si="97"/>
        <v>95.052256</v>
      </c>
      <c r="D267" s="26">
        <f t="shared" si="97"/>
        <v>161.629806</v>
      </c>
      <c r="E267" s="26">
        <f t="shared" si="97"/>
        <v>100.890595</v>
      </c>
      <c r="F267" s="26">
        <f t="shared" si="97"/>
        <v>219.603488</v>
      </c>
      <c r="G267" s="26">
        <f t="shared" si="97"/>
        <v>59.40766</v>
      </c>
      <c r="H267" s="26">
        <f t="shared" si="97"/>
        <v>709.71668299999999</v>
      </c>
      <c r="I267" s="10" t="s">
        <v>288</v>
      </c>
      <c r="J267" s="106"/>
      <c r="K267" s="106"/>
    </row>
    <row r="268" spans="1:11" ht="15.75">
      <c r="A268" s="21" t="s">
        <v>105</v>
      </c>
      <c r="B268" s="38">
        <f t="shared" ref="B268:G268" si="98">+B258+B267</f>
        <v>213.04816000000002</v>
      </c>
      <c r="C268" s="38">
        <f t="shared" si="98"/>
        <v>195.94285100000002</v>
      </c>
      <c r="D268" s="38">
        <f t="shared" si="98"/>
        <v>332.88774999999998</v>
      </c>
      <c r="E268" s="38">
        <f t="shared" si="98"/>
        <v>346.40811400000001</v>
      </c>
      <c r="F268" s="38">
        <f t="shared" si="98"/>
        <v>502.40443500000003</v>
      </c>
      <c r="G268" s="38">
        <f t="shared" si="98"/>
        <v>255.96507299999999</v>
      </c>
      <c r="H268" s="38">
        <f>+H258+H267</f>
        <v>1846.656383</v>
      </c>
      <c r="I268" s="10" t="s">
        <v>288</v>
      </c>
      <c r="J268" s="106"/>
      <c r="K268" s="106"/>
    </row>
    <row r="269" spans="1:11" ht="15.75">
      <c r="A269" s="22" t="s">
        <v>94</v>
      </c>
      <c r="B269" s="28">
        <f>+B256+B265</f>
        <v>2080</v>
      </c>
      <c r="C269" s="28">
        <f t="shared" ref="C269:H269" si="99">+C256+C265</f>
        <v>1913</v>
      </c>
      <c r="D269" s="28">
        <f t="shared" si="99"/>
        <v>3250</v>
      </c>
      <c r="E269" s="28">
        <f t="shared" si="99"/>
        <v>3382</v>
      </c>
      <c r="F269" s="28">
        <f t="shared" si="99"/>
        <v>4905</v>
      </c>
      <c r="G269" s="28">
        <f t="shared" si="99"/>
        <v>2499</v>
      </c>
      <c r="H269" s="28">
        <f t="shared" si="99"/>
        <v>18029</v>
      </c>
      <c r="I269" s="10" t="s">
        <v>288</v>
      </c>
      <c r="J269" s="166"/>
      <c r="K269" s="106"/>
    </row>
    <row r="270" spans="1:11" ht="15.75">
      <c r="A270" s="18" t="s">
        <v>96</v>
      </c>
      <c r="B270" s="18">
        <v>0.04</v>
      </c>
      <c r="C270" s="18">
        <v>0.04</v>
      </c>
      <c r="D270" s="18">
        <v>0.04</v>
      </c>
      <c r="E270" s="18">
        <v>0.04</v>
      </c>
      <c r="F270" s="18">
        <v>0.04</v>
      </c>
      <c r="G270" s="18">
        <v>0.04</v>
      </c>
      <c r="H270" s="18">
        <v>0.04</v>
      </c>
      <c r="I270" s="10" t="s">
        <v>288</v>
      </c>
      <c r="J270" s="3"/>
      <c r="K270" s="106"/>
    </row>
    <row r="271" spans="1:11" ht="15.75">
      <c r="A271" s="21" t="s">
        <v>101</v>
      </c>
      <c r="B271" s="26">
        <f t="shared" ref="B271:H271" si="100">B269*B270</f>
        <v>83.2</v>
      </c>
      <c r="C271" s="26">
        <f t="shared" si="100"/>
        <v>76.52</v>
      </c>
      <c r="D271" s="26">
        <f t="shared" si="100"/>
        <v>130</v>
      </c>
      <c r="E271" s="26">
        <f t="shared" si="100"/>
        <v>135.28</v>
      </c>
      <c r="F271" s="26">
        <f t="shared" si="100"/>
        <v>196.20000000000002</v>
      </c>
      <c r="G271" s="26">
        <f t="shared" si="100"/>
        <v>99.960000000000008</v>
      </c>
      <c r="H271" s="26">
        <f t="shared" si="100"/>
        <v>721.16</v>
      </c>
      <c r="I271" s="10" t="s">
        <v>288</v>
      </c>
      <c r="J271" s="167"/>
      <c r="K271" s="106"/>
    </row>
    <row r="272" spans="1:11" ht="23.25">
      <c r="B272" s="545" t="s">
        <v>121</v>
      </c>
      <c r="C272" s="546"/>
      <c r="D272" s="546"/>
      <c r="E272" s="546"/>
      <c r="F272" s="546"/>
      <c r="G272" s="546"/>
      <c r="H272" s="547"/>
    </row>
    <row r="273" spans="1:10" ht="15.75">
      <c r="A273" s="30" t="s">
        <v>59</v>
      </c>
      <c r="B273" s="535" t="s">
        <v>19</v>
      </c>
      <c r="C273" s="535" t="s">
        <v>82</v>
      </c>
      <c r="D273" s="535" t="s">
        <v>79</v>
      </c>
      <c r="E273" s="535" t="s">
        <v>80</v>
      </c>
      <c r="F273" s="535" t="s">
        <v>20</v>
      </c>
      <c r="G273" s="535" t="s">
        <v>81</v>
      </c>
      <c r="H273" s="535" t="s">
        <v>13</v>
      </c>
    </row>
    <row r="274" spans="1:10" ht="15.75">
      <c r="A274" s="31" t="s">
        <v>107</v>
      </c>
      <c r="B274" s="536"/>
      <c r="C274" s="536"/>
      <c r="D274" s="536"/>
      <c r="E274" s="536"/>
      <c r="F274" s="536"/>
      <c r="G274" s="536"/>
      <c r="H274" s="536"/>
    </row>
    <row r="275" spans="1:10" ht="15.75">
      <c r="A275" s="423" t="s">
        <v>91</v>
      </c>
      <c r="B275" s="24">
        <v>1423.6</v>
      </c>
      <c r="C275" s="24">
        <v>1022.9</v>
      </c>
      <c r="D275" s="32">
        <v>1635.5</v>
      </c>
      <c r="E275" s="32">
        <v>2426</v>
      </c>
      <c r="F275" s="32">
        <v>2795</v>
      </c>
      <c r="G275" s="32">
        <v>1959</v>
      </c>
      <c r="H275" s="33">
        <f>SUM(B275:G275)</f>
        <v>11262</v>
      </c>
      <c r="I275" s="306" t="s">
        <v>288</v>
      </c>
      <c r="J275" s="7"/>
    </row>
    <row r="276" spans="1:10" ht="15.75">
      <c r="A276" s="18" t="s">
        <v>92</v>
      </c>
      <c r="B276" s="37">
        <v>0.102427</v>
      </c>
      <c r="C276" s="37">
        <v>0.102427</v>
      </c>
      <c r="D276" s="37">
        <v>0.102427</v>
      </c>
      <c r="E276" s="37">
        <v>0.102427</v>
      </c>
      <c r="F276" s="37">
        <v>0.102427</v>
      </c>
      <c r="G276" s="37">
        <v>0.102427</v>
      </c>
      <c r="H276" s="37">
        <v>0.102427</v>
      </c>
      <c r="I276" s="306" t="s">
        <v>288</v>
      </c>
    </row>
    <row r="277" spans="1:10" ht="15.75">
      <c r="A277" s="21" t="s">
        <v>83</v>
      </c>
      <c r="B277" s="26">
        <f>+B275*B276</f>
        <v>145.81507719999999</v>
      </c>
      <c r="C277" s="26">
        <f>+C275*C276</f>
        <v>104.77257830000001</v>
      </c>
      <c r="D277" s="26">
        <f>+D275*D276</f>
        <v>167.51935850000001</v>
      </c>
      <c r="E277" s="26">
        <f>+E275*E276</f>
        <v>248.48790200000002</v>
      </c>
      <c r="F277" s="26">
        <f>+F275*F276-1</f>
        <v>285.28346500000004</v>
      </c>
      <c r="G277" s="26">
        <f>+G275*G276+1</f>
        <v>201.654493</v>
      </c>
      <c r="H277" s="26">
        <f t="shared" ref="H277:H283" si="101">SUM(B277:G277)</f>
        <v>1153.532874</v>
      </c>
      <c r="I277" s="306" t="s">
        <v>288</v>
      </c>
    </row>
    <row r="278" spans="1:10" ht="15.75">
      <c r="A278" s="22" t="s">
        <v>3</v>
      </c>
      <c r="B278" s="75">
        <v>172</v>
      </c>
      <c r="C278" s="75">
        <v>224</v>
      </c>
      <c r="D278" s="75">
        <v>381</v>
      </c>
      <c r="E278" s="75">
        <v>238</v>
      </c>
      <c r="F278" s="75">
        <f>518</f>
        <v>518</v>
      </c>
      <c r="G278" s="75">
        <f>140+1</f>
        <v>141</v>
      </c>
      <c r="H278" s="75">
        <f t="shared" si="101"/>
        <v>1674</v>
      </c>
      <c r="I278" s="306" t="s">
        <v>288</v>
      </c>
    </row>
    <row r="279" spans="1:10" ht="15.75">
      <c r="A279" s="22" t="s">
        <v>4</v>
      </c>
      <c r="B279" s="75">
        <v>123</v>
      </c>
      <c r="C279" s="75">
        <v>160</v>
      </c>
      <c r="D279" s="75">
        <v>273</v>
      </c>
      <c r="E279" s="75">
        <v>170</v>
      </c>
      <c r="F279" s="75">
        <f>370</f>
        <v>370</v>
      </c>
      <c r="G279" s="75">
        <f>100+1</f>
        <v>101</v>
      </c>
      <c r="H279" s="75">
        <f t="shared" si="101"/>
        <v>1197</v>
      </c>
      <c r="I279" s="306" t="s">
        <v>288</v>
      </c>
    </row>
    <row r="280" spans="1:10" ht="15.75">
      <c r="A280" s="22" t="s">
        <v>5</v>
      </c>
      <c r="B280" s="75">
        <v>97</v>
      </c>
      <c r="C280" s="75">
        <v>126</v>
      </c>
      <c r="D280" s="75">
        <v>214</v>
      </c>
      <c r="E280" s="75">
        <v>134</v>
      </c>
      <c r="F280" s="75">
        <v>291</v>
      </c>
      <c r="G280" s="75">
        <f>78-1</f>
        <v>77</v>
      </c>
      <c r="H280" s="75">
        <f t="shared" si="101"/>
        <v>939</v>
      </c>
      <c r="I280" s="306" t="s">
        <v>288</v>
      </c>
    </row>
    <row r="281" spans="1:10" ht="15.75">
      <c r="A281" s="22" t="s">
        <v>6</v>
      </c>
      <c r="B281" s="75">
        <v>241</v>
      </c>
      <c r="C281" s="75">
        <v>313</v>
      </c>
      <c r="D281" s="75">
        <v>532</v>
      </c>
      <c r="E281" s="75">
        <v>332</v>
      </c>
      <c r="F281" s="75">
        <v>723</v>
      </c>
      <c r="G281" s="75">
        <f>195-1</f>
        <v>194</v>
      </c>
      <c r="H281" s="75">
        <f t="shared" si="101"/>
        <v>2335</v>
      </c>
      <c r="I281" s="306" t="s">
        <v>288</v>
      </c>
    </row>
    <row r="282" spans="1:10" ht="15.75">
      <c r="A282" s="22" t="s">
        <v>57</v>
      </c>
      <c r="B282" s="75">
        <v>188</v>
      </c>
      <c r="C282" s="75">
        <v>244</v>
      </c>
      <c r="D282" s="75">
        <v>415</v>
      </c>
      <c r="E282" s="75">
        <v>259</v>
      </c>
      <c r="F282" s="75">
        <v>564</v>
      </c>
      <c r="G282" s="75">
        <f>152-1</f>
        <v>151</v>
      </c>
      <c r="H282" s="75">
        <f t="shared" si="101"/>
        <v>1821</v>
      </c>
      <c r="I282" s="306" t="s">
        <v>288</v>
      </c>
    </row>
    <row r="283" spans="1:10" ht="15.75">
      <c r="A283" s="22" t="s">
        <v>58</v>
      </c>
      <c r="B283" s="75">
        <v>133</v>
      </c>
      <c r="C283" s="75">
        <v>172</v>
      </c>
      <c r="D283" s="75">
        <v>293</v>
      </c>
      <c r="E283" s="75">
        <v>183</v>
      </c>
      <c r="F283" s="75">
        <v>399</v>
      </c>
      <c r="G283" s="75">
        <v>108</v>
      </c>
      <c r="H283" s="75">
        <f t="shared" si="101"/>
        <v>1288</v>
      </c>
      <c r="I283" s="306" t="s">
        <v>288</v>
      </c>
    </row>
    <row r="284" spans="1:10" ht="15.75">
      <c r="A284" s="23" t="s">
        <v>95</v>
      </c>
      <c r="B284" s="25">
        <f t="shared" ref="B284:H284" si="102">SUM(B278:B283)</f>
        <v>954</v>
      </c>
      <c r="C284" s="25">
        <f t="shared" si="102"/>
        <v>1239</v>
      </c>
      <c r="D284" s="25">
        <f t="shared" si="102"/>
        <v>2108</v>
      </c>
      <c r="E284" s="25">
        <f t="shared" si="102"/>
        <v>1316</v>
      </c>
      <c r="F284" s="25">
        <f t="shared" si="102"/>
        <v>2865</v>
      </c>
      <c r="G284" s="25">
        <f t="shared" si="102"/>
        <v>772</v>
      </c>
      <c r="H284" s="25">
        <f t="shared" si="102"/>
        <v>9254</v>
      </c>
      <c r="I284" s="306" t="s">
        <v>288</v>
      </c>
      <c r="J284" s="7"/>
    </row>
    <row r="285" spans="1:10" ht="15.75">
      <c r="A285" s="18" t="s">
        <v>93</v>
      </c>
      <c r="B285" s="37">
        <v>0.102427</v>
      </c>
      <c r="C285" s="37">
        <v>0.102427</v>
      </c>
      <c r="D285" s="37">
        <v>0.102427</v>
      </c>
      <c r="E285" s="37">
        <v>0.102427</v>
      </c>
      <c r="F285" s="37">
        <v>0.102427</v>
      </c>
      <c r="G285" s="37">
        <v>0.102427</v>
      </c>
      <c r="H285" s="37">
        <v>0.102427</v>
      </c>
      <c r="I285" s="306" t="s">
        <v>288</v>
      </c>
      <c r="J285" s="7"/>
    </row>
    <row r="286" spans="1:10" ht="15.75">
      <c r="A286" s="21" t="s">
        <v>83</v>
      </c>
      <c r="B286" s="38">
        <f t="shared" ref="B286:H286" si="103">B284*B285</f>
        <v>97.715358000000009</v>
      </c>
      <c r="C286" s="38">
        <f t="shared" si="103"/>
        <v>126.907053</v>
      </c>
      <c r="D286" s="38">
        <f t="shared" si="103"/>
        <v>215.91611600000002</v>
      </c>
      <c r="E286" s="38">
        <f t="shared" si="103"/>
        <v>134.79393200000001</v>
      </c>
      <c r="F286" s="38">
        <f t="shared" si="103"/>
        <v>293.45335499999999</v>
      </c>
      <c r="G286" s="38">
        <f t="shared" si="103"/>
        <v>79.073644000000002</v>
      </c>
      <c r="H286" s="38">
        <f t="shared" si="103"/>
        <v>947.85945800000002</v>
      </c>
      <c r="I286" s="306" t="s">
        <v>288</v>
      </c>
    </row>
    <row r="287" spans="1:10" ht="15.75">
      <c r="A287" s="21" t="s">
        <v>106</v>
      </c>
      <c r="B287" s="38">
        <f>+B277+B286</f>
        <v>243.5304352</v>
      </c>
      <c r="C287" s="38">
        <f>+C277+C286</f>
        <v>231.67963130000001</v>
      </c>
      <c r="D287" s="38">
        <f>+D277+D286</f>
        <v>383.43547450000005</v>
      </c>
      <c r="E287" s="38">
        <f>+E277+E286</f>
        <v>383.281834</v>
      </c>
      <c r="F287" s="38">
        <f>+F277+F286</f>
        <v>578.73682000000008</v>
      </c>
      <c r="G287" s="38">
        <f>+G277+G286-1</f>
        <v>279.728137</v>
      </c>
      <c r="H287" s="38">
        <f>SUM(B287:G287)</f>
        <v>2100.3923320000004</v>
      </c>
      <c r="I287" s="306" t="s">
        <v>288</v>
      </c>
    </row>
    <row r="288" spans="1:10" ht="15.75">
      <c r="A288" s="22" t="s">
        <v>94</v>
      </c>
      <c r="B288" s="28">
        <f t="shared" ref="B288:H288" si="104">+B275+B284</f>
        <v>2377.6</v>
      </c>
      <c r="C288" s="28">
        <f t="shared" si="104"/>
        <v>2261.9</v>
      </c>
      <c r="D288" s="28">
        <f t="shared" si="104"/>
        <v>3743.5</v>
      </c>
      <c r="E288" s="28">
        <f t="shared" si="104"/>
        <v>3742</v>
      </c>
      <c r="F288" s="28">
        <f t="shared" si="104"/>
        <v>5660</v>
      </c>
      <c r="G288" s="28">
        <f t="shared" si="104"/>
        <v>2731</v>
      </c>
      <c r="H288" s="28">
        <f t="shared" si="104"/>
        <v>20516</v>
      </c>
      <c r="I288" s="306" t="s">
        <v>288</v>
      </c>
    </row>
    <row r="289" spans="1:10" ht="15.75">
      <c r="A289" s="18" t="s">
        <v>88</v>
      </c>
      <c r="B289" s="18">
        <v>0.04</v>
      </c>
      <c r="C289" s="18">
        <v>0.04</v>
      </c>
      <c r="D289" s="18">
        <v>0.04</v>
      </c>
      <c r="E289" s="18">
        <v>0.04</v>
      </c>
      <c r="F289" s="18">
        <v>0.04</v>
      </c>
      <c r="G289" s="18">
        <v>0.04</v>
      </c>
      <c r="H289" s="18">
        <v>0.04</v>
      </c>
      <c r="I289" s="306" t="s">
        <v>288</v>
      </c>
    </row>
    <row r="290" spans="1:10" ht="15.75">
      <c r="A290" s="21" t="s">
        <v>101</v>
      </c>
      <c r="B290" s="26">
        <f t="shared" ref="B290:H290" si="105">B288*B289</f>
        <v>95.103999999999999</v>
      </c>
      <c r="C290" s="26">
        <f t="shared" si="105"/>
        <v>90.475999999999999</v>
      </c>
      <c r="D290" s="26">
        <f t="shared" si="105"/>
        <v>149.74</v>
      </c>
      <c r="E290" s="26">
        <f t="shared" si="105"/>
        <v>149.68</v>
      </c>
      <c r="F290" s="26">
        <f t="shared" si="105"/>
        <v>226.4</v>
      </c>
      <c r="G290" s="26">
        <f t="shared" si="105"/>
        <v>109.24000000000001</v>
      </c>
      <c r="H290" s="26">
        <f t="shared" si="105"/>
        <v>820.64</v>
      </c>
      <c r="I290" s="306" t="s">
        <v>288</v>
      </c>
    </row>
    <row r="293" spans="1:10">
      <c r="B293" s="9"/>
      <c r="C293" s="9"/>
      <c r="D293" s="9"/>
      <c r="E293" s="9"/>
      <c r="F293" s="9"/>
      <c r="G293" s="9"/>
      <c r="I293" s="9"/>
    </row>
    <row r="294" spans="1:10">
      <c r="C294" s="10"/>
      <c r="D294" s="10"/>
      <c r="E294" s="10"/>
      <c r="F294" s="10"/>
      <c r="G294" s="10"/>
      <c r="H294" s="10"/>
      <c r="I294" s="10"/>
      <c r="J294" s="7"/>
    </row>
    <row r="295" spans="1:10">
      <c r="C295" s="16" t="s">
        <v>73</v>
      </c>
      <c r="D295" s="16" t="s">
        <v>74</v>
      </c>
      <c r="E295" s="16" t="s">
        <v>75</v>
      </c>
      <c r="F295" s="16" t="s">
        <v>76</v>
      </c>
      <c r="G295" s="16" t="s">
        <v>77</v>
      </c>
      <c r="H295" s="16" t="s">
        <v>78</v>
      </c>
      <c r="I295" s="16">
        <v>1</v>
      </c>
      <c r="J295" s="9">
        <f>SUM(C296:I296)</f>
        <v>1041.1399999999999</v>
      </c>
    </row>
    <row r="296" spans="1:10">
      <c r="A296" t="s">
        <v>39</v>
      </c>
      <c r="B296" t="s">
        <v>281</v>
      </c>
      <c r="C296" s="9">
        <v>342.6</v>
      </c>
      <c r="D296" s="9">
        <v>49.3</v>
      </c>
      <c r="E296" s="9">
        <v>4.4000000000000004</v>
      </c>
      <c r="F296" s="9">
        <v>94.04</v>
      </c>
      <c r="G296" s="9">
        <v>242.2</v>
      </c>
      <c r="H296" s="9">
        <v>299.8</v>
      </c>
      <c r="I296" s="9">
        <v>8.8000000000000007</v>
      </c>
      <c r="J296" s="9"/>
    </row>
    <row r="297" spans="1:10">
      <c r="B297" t="s">
        <v>250</v>
      </c>
      <c r="C297" s="242">
        <f>+C296/$J$295</f>
        <v>0.32906237393626225</v>
      </c>
      <c r="D297" s="242">
        <f t="shared" ref="D297:I297" si="106">+D296/$J$295</f>
        <v>4.7351941141441117E-2</v>
      </c>
      <c r="E297" s="242">
        <f t="shared" si="106"/>
        <v>4.2261367347330818E-3</v>
      </c>
      <c r="F297" s="242">
        <f t="shared" si="106"/>
        <v>9.0324067848704323E-2</v>
      </c>
      <c r="G297" s="242">
        <f t="shared" si="106"/>
        <v>0.23262961753462552</v>
      </c>
      <c r="H297" s="242">
        <f t="shared" si="106"/>
        <v>0.28795358933476772</v>
      </c>
      <c r="I297" s="242">
        <f t="shared" si="106"/>
        <v>8.4522734694661636E-3</v>
      </c>
      <c r="J297" s="4">
        <v>1000</v>
      </c>
    </row>
    <row r="298" spans="1:10">
      <c r="B298" s="4">
        <v>2012</v>
      </c>
      <c r="C298" s="160">
        <f>+$J$297*C297</f>
        <v>329.06237393626225</v>
      </c>
      <c r="D298" s="160">
        <f t="shared" ref="D298:I298" si="107">+$J$297*D297</f>
        <v>47.351941141441117</v>
      </c>
      <c r="E298" s="160">
        <f t="shared" si="107"/>
        <v>4.2261367347330818</v>
      </c>
      <c r="F298" s="160">
        <f t="shared" si="107"/>
        <v>90.324067848704317</v>
      </c>
      <c r="G298" s="160">
        <f t="shared" si="107"/>
        <v>232.62961753462551</v>
      </c>
      <c r="H298" s="160">
        <f t="shared" si="107"/>
        <v>287.95358933476774</v>
      </c>
      <c r="I298" s="160">
        <f t="shared" si="107"/>
        <v>8.4522734694661636</v>
      </c>
      <c r="J298" s="4">
        <v>1200</v>
      </c>
    </row>
    <row r="299" spans="1:10">
      <c r="B299" s="4">
        <v>2013</v>
      </c>
      <c r="C299" s="160">
        <f>+$J$298*C297</f>
        <v>394.87484872351473</v>
      </c>
      <c r="D299" s="160">
        <f t="shared" ref="D299:I299" si="108">+$J$298*D297</f>
        <v>56.822329369729339</v>
      </c>
      <c r="E299" s="160">
        <f t="shared" si="108"/>
        <v>5.0713640816796985</v>
      </c>
      <c r="F299" s="160">
        <f t="shared" si="108"/>
        <v>108.38888141844519</v>
      </c>
      <c r="G299" s="160">
        <f t="shared" si="108"/>
        <v>279.15554104155063</v>
      </c>
      <c r="H299" s="160">
        <f t="shared" si="108"/>
        <v>345.54430720172127</v>
      </c>
      <c r="I299" s="160">
        <f t="shared" si="108"/>
        <v>10.142728163359397</v>
      </c>
    </row>
    <row r="300" spans="1:10">
      <c r="C300" s="107"/>
      <c r="D300" s="107"/>
      <c r="E300" s="107"/>
      <c r="F300" s="107"/>
      <c r="G300" s="107"/>
      <c r="H300" s="107"/>
      <c r="I300" s="107"/>
      <c r="J300" s="164"/>
    </row>
    <row r="301" spans="1:10">
      <c r="A301" s="13"/>
      <c r="C301" s="162"/>
      <c r="D301" s="162"/>
      <c r="E301" s="163"/>
      <c r="F301" s="163"/>
      <c r="G301" s="163"/>
      <c r="H301" s="163"/>
      <c r="I301" s="163"/>
      <c r="J301" s="164">
        <v>100.00000000000006</v>
      </c>
    </row>
    <row r="302" spans="1:10">
      <c r="A302" s="13" t="s">
        <v>48</v>
      </c>
      <c r="B302" t="s">
        <v>163</v>
      </c>
      <c r="C302" s="161">
        <v>3.7569143020003275</v>
      </c>
      <c r="D302" s="161">
        <v>2.083309761932961</v>
      </c>
      <c r="E302" s="161">
        <v>4.2585703871950011</v>
      </c>
      <c r="F302" s="161">
        <v>2.1330134420875888</v>
      </c>
      <c r="G302" s="161">
        <v>2.1403516844677659</v>
      </c>
      <c r="H302" s="161">
        <v>2.3076124073624156</v>
      </c>
      <c r="I302" s="161">
        <v>83.320228014953997</v>
      </c>
      <c r="J302">
        <v>3</v>
      </c>
    </row>
    <row r="303" spans="1:10">
      <c r="A303" s="13"/>
      <c r="B303">
        <v>2012</v>
      </c>
      <c r="C303" s="161">
        <v>0.11270742906000983</v>
      </c>
      <c r="D303" s="161">
        <v>6.2499292857988831E-2</v>
      </c>
      <c r="E303" s="161">
        <v>0.12775711161585004</v>
      </c>
      <c r="F303" s="161">
        <v>6.3990403262627671E-2</v>
      </c>
      <c r="G303" s="161">
        <v>6.4210550534032976E-2</v>
      </c>
      <c r="H303" s="161">
        <v>6.9228372220872469E-2</v>
      </c>
      <c r="I303" s="161">
        <v>2.4996068404486196</v>
      </c>
      <c r="J303">
        <v>4</v>
      </c>
    </row>
    <row r="304" spans="1:10">
      <c r="A304" s="13"/>
      <c r="B304">
        <v>2013</v>
      </c>
      <c r="C304" s="161">
        <v>0.1502765720800131</v>
      </c>
      <c r="D304" s="161">
        <v>8.3332390477318441E-2</v>
      </c>
      <c r="E304" s="161">
        <v>0.17034281548780006</v>
      </c>
      <c r="F304" s="161">
        <v>8.5320537683503547E-2</v>
      </c>
      <c r="G304" s="161">
        <v>8.5614067378710634E-2</v>
      </c>
      <c r="H304" s="161">
        <v>9.2304496294496621E-2</v>
      </c>
      <c r="I304" s="161">
        <v>3.33280912059816</v>
      </c>
      <c r="J304" s="14"/>
    </row>
    <row r="305" spans="1:10">
      <c r="A305" s="13"/>
      <c r="C305" s="15"/>
      <c r="D305" s="15"/>
      <c r="E305" s="16"/>
      <c r="F305" s="16"/>
      <c r="G305" s="16"/>
      <c r="H305" s="16"/>
      <c r="I305" s="16"/>
    </row>
    <row r="306" spans="1:10">
      <c r="A306" t="s">
        <v>49</v>
      </c>
      <c r="B306" t="s">
        <v>163</v>
      </c>
      <c r="C306" s="161">
        <v>18.732983853847461</v>
      </c>
      <c r="D306" s="161">
        <v>18.241950042524543</v>
      </c>
      <c r="E306" s="161">
        <v>24.411544409970627</v>
      </c>
      <c r="F306" s="161">
        <v>13.823463972142786</v>
      </c>
      <c r="G306" s="161">
        <v>12.010095799786489</v>
      </c>
      <c r="H306" s="161">
        <v>11.089340662352864</v>
      </c>
      <c r="I306" s="161">
        <v>1.6906212593751382</v>
      </c>
      <c r="J306">
        <v>4</v>
      </c>
    </row>
    <row r="307" spans="1:10">
      <c r="B307">
        <v>2012</v>
      </c>
      <c r="C307" s="161">
        <v>0.7493193541538985</v>
      </c>
      <c r="D307" s="161">
        <v>0.72967800170098174</v>
      </c>
      <c r="E307" s="161">
        <v>0.97646177639882514</v>
      </c>
      <c r="F307" s="161">
        <v>0.55293855888571142</v>
      </c>
      <c r="G307" s="161">
        <v>0.48040383199145958</v>
      </c>
      <c r="H307" s="161">
        <v>0.44357362649411458</v>
      </c>
      <c r="I307" s="161">
        <v>6.7624850375005527E-2</v>
      </c>
      <c r="J307">
        <v>5</v>
      </c>
    </row>
    <row r="308" spans="1:10">
      <c r="B308">
        <v>2013</v>
      </c>
      <c r="C308" s="161">
        <v>0.93664919269237301</v>
      </c>
      <c r="D308" s="161">
        <v>0.91209750212622709</v>
      </c>
      <c r="E308" s="161">
        <v>1.2205772204985315</v>
      </c>
      <c r="F308" s="161">
        <v>0.69117319860713933</v>
      </c>
      <c r="G308" s="161">
        <v>0.60050478998932444</v>
      </c>
      <c r="H308" s="161">
        <v>0.55446703311764323</v>
      </c>
      <c r="I308" s="161">
        <v>8.4531062968756898E-2</v>
      </c>
    </row>
    <row r="312" spans="1:10">
      <c r="B312" s="276" t="s">
        <v>290</v>
      </c>
      <c r="C312" s="276" t="s">
        <v>291</v>
      </c>
      <c r="D312" s="276" t="s">
        <v>292</v>
      </c>
      <c r="E312" s="276" t="s">
        <v>293</v>
      </c>
      <c r="F312" s="276" t="s">
        <v>294</v>
      </c>
      <c r="G312" s="276" t="s">
        <v>295</v>
      </c>
      <c r="H312" s="276" t="s">
        <v>296</v>
      </c>
      <c r="I312" s="276" t="s">
        <v>297</v>
      </c>
    </row>
    <row r="313" spans="1:10">
      <c r="A313" s="277" t="s">
        <v>302</v>
      </c>
      <c r="B313" s="278">
        <v>2</v>
      </c>
      <c r="C313" s="278">
        <v>7</v>
      </c>
      <c r="D313" s="278">
        <v>11</v>
      </c>
      <c r="E313" s="278">
        <v>9</v>
      </c>
      <c r="F313" s="278">
        <v>26</v>
      </c>
      <c r="G313" s="278">
        <v>2</v>
      </c>
      <c r="H313" s="278">
        <v>2</v>
      </c>
      <c r="I313" s="278">
        <v>59</v>
      </c>
    </row>
    <row r="314" spans="1:10">
      <c r="A314" s="277" t="s">
        <v>301</v>
      </c>
      <c r="B314" s="278">
        <v>2</v>
      </c>
      <c r="C314" s="278">
        <v>2</v>
      </c>
      <c r="D314" s="278">
        <v>2</v>
      </c>
      <c r="E314" s="278">
        <v>2</v>
      </c>
      <c r="F314" s="278">
        <v>2</v>
      </c>
      <c r="G314" s="278">
        <v>2</v>
      </c>
      <c r="H314" s="278">
        <v>16</v>
      </c>
      <c r="I314" s="278">
        <v>28</v>
      </c>
    </row>
    <row r="315" spans="1:10">
      <c r="A315" s="90" t="s">
        <v>298</v>
      </c>
      <c r="B315" s="279">
        <v>4</v>
      </c>
      <c r="C315" s="279">
        <v>9</v>
      </c>
      <c r="D315" s="279">
        <v>13</v>
      </c>
      <c r="E315" s="279">
        <v>11</v>
      </c>
      <c r="F315" s="279">
        <v>28</v>
      </c>
      <c r="G315" s="279">
        <v>4</v>
      </c>
      <c r="H315" s="279">
        <v>18</v>
      </c>
      <c r="I315" s="279">
        <v>87</v>
      </c>
    </row>
    <row r="316" spans="1:10">
      <c r="A316" s="90" t="s">
        <v>250</v>
      </c>
      <c r="B316" s="126">
        <v>4.5977011494252873E-2</v>
      </c>
      <c r="C316" s="126">
        <v>0.10344827586206896</v>
      </c>
      <c r="D316" s="126">
        <v>0.14942528735632185</v>
      </c>
      <c r="E316" s="126">
        <v>0.12643678160919541</v>
      </c>
      <c r="F316" s="126">
        <v>0.32183908045977011</v>
      </c>
      <c r="G316" s="126">
        <v>4.5977011494252873E-2</v>
      </c>
      <c r="H316" s="126">
        <v>0.20689655172413793</v>
      </c>
      <c r="I316" s="126">
        <v>0.95402298850574718</v>
      </c>
    </row>
    <row r="317" spans="1:10" ht="20.100000000000001" customHeight="1">
      <c r="A317" s="280" t="s">
        <v>299</v>
      </c>
      <c r="B317" s="281">
        <v>5.195402298850575</v>
      </c>
      <c r="C317" s="281">
        <v>11.689655172413794</v>
      </c>
      <c r="D317" s="281">
        <v>16.885057471264368</v>
      </c>
      <c r="E317" s="281">
        <v>14.287356321839082</v>
      </c>
      <c r="F317" s="281">
        <v>36.367816091954019</v>
      </c>
      <c r="G317" s="281">
        <v>5.195402298850575</v>
      </c>
      <c r="H317" s="281">
        <v>23.379310344827587</v>
      </c>
      <c r="I317" s="280">
        <v>113</v>
      </c>
    </row>
    <row r="320" spans="1:10">
      <c r="B320" s="276" t="s">
        <v>290</v>
      </c>
      <c r="C320" s="276" t="s">
        <v>291</v>
      </c>
      <c r="D320" s="276" t="s">
        <v>292</v>
      </c>
      <c r="E320" s="276" t="s">
        <v>293</v>
      </c>
      <c r="F320" s="276" t="s">
        <v>294</v>
      </c>
      <c r="G320" s="276" t="s">
        <v>295</v>
      </c>
      <c r="H320" s="276" t="s">
        <v>296</v>
      </c>
      <c r="I320" s="276" t="s">
        <v>297</v>
      </c>
    </row>
    <row r="321" spans="1:9">
      <c r="A321" s="277" t="s">
        <v>303</v>
      </c>
      <c r="B321" s="282">
        <v>285.88235294117641</v>
      </c>
      <c r="C321" s="282">
        <v>243.52941176470588</v>
      </c>
      <c r="D321" s="282">
        <v>211.76470588235293</v>
      </c>
      <c r="E321" s="282">
        <v>232.94117647058829</v>
      </c>
      <c r="F321" s="282">
        <v>254.11764705882354</v>
      </c>
      <c r="G321" s="282">
        <v>307.05882352941177</v>
      </c>
      <c r="H321" s="282">
        <v>264.70588235294122</v>
      </c>
      <c r="I321" s="282">
        <v>1800</v>
      </c>
    </row>
    <row r="322" spans="1:9">
      <c r="A322" s="277" t="s">
        <v>300</v>
      </c>
      <c r="B322" s="282"/>
      <c r="C322" s="282"/>
      <c r="D322" s="282"/>
      <c r="E322" s="282"/>
      <c r="F322" s="282"/>
      <c r="G322" s="282"/>
      <c r="H322" s="282">
        <v>48</v>
      </c>
      <c r="I322" s="282">
        <v>48</v>
      </c>
    </row>
    <row r="323" spans="1:9">
      <c r="A323" s="90" t="s">
        <v>298</v>
      </c>
      <c r="B323" s="283">
        <v>285.88235294117641</v>
      </c>
      <c r="C323" s="283">
        <v>243.52941176470588</v>
      </c>
      <c r="D323" s="283">
        <v>211.76470588235293</v>
      </c>
      <c r="E323" s="283">
        <v>232.94117647058829</v>
      </c>
      <c r="F323" s="283">
        <v>254.11764705882354</v>
      </c>
      <c r="G323" s="283">
        <v>307.05882352941177</v>
      </c>
      <c r="H323" s="283">
        <v>312.70588235294122</v>
      </c>
      <c r="I323" s="283">
        <v>1848</v>
      </c>
    </row>
    <row r="324" spans="1:9">
      <c r="A324" s="284"/>
      <c r="B324" s="285"/>
      <c r="C324" s="285"/>
      <c r="D324" s="285"/>
      <c r="E324" s="285"/>
      <c r="F324" s="285"/>
      <c r="G324" s="285"/>
      <c r="H324" s="285"/>
      <c r="I324" s="244"/>
    </row>
    <row r="328" spans="1:9" ht="15.75">
      <c r="A328" s="538" t="s">
        <v>311</v>
      </c>
      <c r="B328" s="538"/>
      <c r="C328" s="538"/>
      <c r="D328" s="538"/>
      <c r="E328" s="538"/>
      <c r="F328" s="538"/>
    </row>
    <row r="330" spans="1:9">
      <c r="F330" t="s">
        <v>312</v>
      </c>
    </row>
    <row r="331" spans="1:9">
      <c r="A331" s="120" t="s">
        <v>313</v>
      </c>
      <c r="B331" s="120" t="s">
        <v>322</v>
      </c>
      <c r="C331" s="120" t="s">
        <v>314</v>
      </c>
      <c r="D331" s="223" t="s">
        <v>315</v>
      </c>
      <c r="E331" s="120" t="s">
        <v>316</v>
      </c>
      <c r="F331" s="120" t="s">
        <v>317</v>
      </c>
    </row>
    <row r="332" spans="1:9">
      <c r="A332" s="398" t="s">
        <v>318</v>
      </c>
      <c r="B332" s="399">
        <v>32519255.170000002</v>
      </c>
      <c r="C332" s="400">
        <f>B332/1000000</f>
        <v>32.519255170000001</v>
      </c>
      <c r="D332" s="401">
        <f>+C332/$C$339</f>
        <v>6.3124136374290193E-2</v>
      </c>
      <c r="E332" s="409">
        <f>+$E$339*D332</f>
        <v>239.87171822230275</v>
      </c>
      <c r="F332" s="410">
        <f>+$F$339*D332</f>
        <v>249.34033867844627</v>
      </c>
    </row>
    <row r="333" spans="1:9" ht="15.75">
      <c r="A333" s="402" t="s">
        <v>319</v>
      </c>
      <c r="B333" s="403">
        <v>54294147.259999998</v>
      </c>
      <c r="C333" s="400">
        <f t="shared" ref="C333:C338" si="109">B333/1000000</f>
        <v>54.294147259999995</v>
      </c>
      <c r="D333" s="401">
        <f t="shared" ref="D333:D338" si="110">+C333/$C$339</f>
        <v>0.10539205581583541</v>
      </c>
      <c r="E333" s="409">
        <f t="shared" ref="E333:E338" si="111">+$E$339*D333</f>
        <v>400.48981210017456</v>
      </c>
      <c r="F333" s="410">
        <f t="shared" ref="F333:F338" si="112">+$F$339*D333</f>
        <v>416.29862047254989</v>
      </c>
    </row>
    <row r="334" spans="1:9" ht="15.75">
      <c r="A334" s="402" t="s">
        <v>263</v>
      </c>
      <c r="B334" s="403">
        <v>221555530.09000003</v>
      </c>
      <c r="C334" s="400">
        <f t="shared" si="109"/>
        <v>221.55553009000005</v>
      </c>
      <c r="D334" s="401">
        <f t="shared" si="110"/>
        <v>0.43006832176099064</v>
      </c>
      <c r="E334" s="409">
        <f t="shared" si="111"/>
        <v>1634.2596226917644</v>
      </c>
      <c r="F334" s="410">
        <f t="shared" si="112"/>
        <v>1698.7698709559131</v>
      </c>
    </row>
    <row r="335" spans="1:9" ht="15.75">
      <c r="A335" s="402" t="s">
        <v>262</v>
      </c>
      <c r="B335" s="403">
        <v>58284544.289999999</v>
      </c>
      <c r="C335" s="400">
        <f t="shared" si="109"/>
        <v>58.284544289999999</v>
      </c>
      <c r="D335" s="401">
        <f t="shared" si="110"/>
        <v>0.11313793944670218</v>
      </c>
      <c r="E335" s="409">
        <f t="shared" si="111"/>
        <v>429.92416989746829</v>
      </c>
      <c r="F335" s="410">
        <f t="shared" si="112"/>
        <v>446.89486081447365</v>
      </c>
    </row>
    <row r="336" spans="1:9" ht="15.75">
      <c r="A336" s="402" t="s">
        <v>320</v>
      </c>
      <c r="B336" s="404">
        <v>9672570.370000001</v>
      </c>
      <c r="C336" s="400">
        <f t="shared" si="109"/>
        <v>9.6725703700000008</v>
      </c>
      <c r="D336" s="401">
        <f t="shared" si="110"/>
        <v>1.8775726809667843E-2</v>
      </c>
      <c r="E336" s="409">
        <f t="shared" si="111"/>
        <v>71.347761876737806</v>
      </c>
      <c r="F336" s="410">
        <f t="shared" si="112"/>
        <v>74.164120898187974</v>
      </c>
    </row>
    <row r="337" spans="1:6" ht="15.75">
      <c r="A337" s="402" t="s">
        <v>249</v>
      </c>
      <c r="B337" s="404">
        <v>131100783.37</v>
      </c>
      <c r="C337" s="400">
        <f t="shared" si="109"/>
        <v>131.10078337000002</v>
      </c>
      <c r="D337" s="401">
        <f t="shared" si="110"/>
        <v>0.25448380305643259</v>
      </c>
      <c r="E337" s="409">
        <f t="shared" si="111"/>
        <v>967.03845161444383</v>
      </c>
      <c r="F337" s="410">
        <f t="shared" si="112"/>
        <v>1005.2110220729087</v>
      </c>
    </row>
    <row r="338" spans="1:6" ht="15.75">
      <c r="A338" s="402" t="s">
        <v>321</v>
      </c>
      <c r="B338" s="403">
        <v>7736735.0499999998</v>
      </c>
      <c r="C338" s="400">
        <f t="shared" si="109"/>
        <v>7.7367350500000001</v>
      </c>
      <c r="D338" s="401">
        <f t="shared" si="110"/>
        <v>1.5018016736081071E-2</v>
      </c>
      <c r="E338" s="409">
        <f t="shared" si="111"/>
        <v>57.068463597108071</v>
      </c>
      <c r="F338" s="410">
        <f t="shared" si="112"/>
        <v>59.321166107520234</v>
      </c>
    </row>
    <row r="339" spans="1:6">
      <c r="A339" s="405" t="s">
        <v>53</v>
      </c>
      <c r="B339" s="406">
        <f>SUM(B332:B338)</f>
        <v>515163565.60000008</v>
      </c>
      <c r="C339" s="407">
        <f>SUM(C332:C338)</f>
        <v>515.16356560000008</v>
      </c>
      <c r="D339" s="408">
        <f>SUM(D332:D338)</f>
        <v>0.99999999999999989</v>
      </c>
      <c r="E339" s="405">
        <v>3800</v>
      </c>
      <c r="F339" s="405">
        <v>3950</v>
      </c>
    </row>
  </sheetData>
  <mergeCells count="66">
    <mergeCell ref="L149:M149"/>
    <mergeCell ref="J161:J162"/>
    <mergeCell ref="J164:J165"/>
    <mergeCell ref="J167:J168"/>
    <mergeCell ref="J170:J171"/>
    <mergeCell ref="A328:F328"/>
    <mergeCell ref="B149:C149"/>
    <mergeCell ref="D149:E149"/>
    <mergeCell ref="F149:G149"/>
    <mergeCell ref="H149:I149"/>
    <mergeCell ref="J149:K149"/>
    <mergeCell ref="J173:J174"/>
    <mergeCell ref="J176:J177"/>
    <mergeCell ref="J179:J180"/>
    <mergeCell ref="B272:H272"/>
    <mergeCell ref="B273:B274"/>
    <mergeCell ref="C273:C274"/>
    <mergeCell ref="D273:D274"/>
    <mergeCell ref="E273:E274"/>
    <mergeCell ref="F273:F274"/>
    <mergeCell ref="A244:A245"/>
    <mergeCell ref="B253:H253"/>
    <mergeCell ref="B254:B255"/>
    <mergeCell ref="C254:C255"/>
    <mergeCell ref="D254:D255"/>
    <mergeCell ref="E254:E255"/>
    <mergeCell ref="F254:F255"/>
    <mergeCell ref="G254:G255"/>
    <mergeCell ref="H254:H255"/>
    <mergeCell ref="G212:G213"/>
    <mergeCell ref="H212:H213"/>
    <mergeCell ref="H199:I199"/>
    <mergeCell ref="G273:G274"/>
    <mergeCell ref="H273:H274"/>
    <mergeCell ref="I238:I243"/>
    <mergeCell ref="B212:B213"/>
    <mergeCell ref="C212:C213"/>
    <mergeCell ref="D212:D213"/>
    <mergeCell ref="E212:E213"/>
    <mergeCell ref="F212:F213"/>
    <mergeCell ref="G162:G163"/>
    <mergeCell ref="H162:H163"/>
    <mergeCell ref="I188:I193"/>
    <mergeCell ref="A194:A195"/>
    <mergeCell ref="B211:H211"/>
    <mergeCell ref="A2:A3"/>
    <mergeCell ref="B2:D2"/>
    <mergeCell ref="E2:G2"/>
    <mergeCell ref="A35:C35"/>
    <mergeCell ref="E35:G35"/>
    <mergeCell ref="J199:K199"/>
    <mergeCell ref="L199:M199"/>
    <mergeCell ref="A37:A38"/>
    <mergeCell ref="B37:D37"/>
    <mergeCell ref="E37:G37"/>
    <mergeCell ref="B199:C199"/>
    <mergeCell ref="D199:E199"/>
    <mergeCell ref="F199:G199"/>
    <mergeCell ref="A70:C70"/>
    <mergeCell ref="E70:G70"/>
    <mergeCell ref="B161:H161"/>
    <mergeCell ref="B162:B163"/>
    <mergeCell ref="C162:C163"/>
    <mergeCell ref="D162:D163"/>
    <mergeCell ref="E162:E163"/>
    <mergeCell ref="F162:F163"/>
  </mergeCells>
  <pageMargins left="0.7" right="0.7" top="0.75" bottom="0.75" header="0.3" footer="0.3"/>
  <pageSetup paperSize="9" scale="9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2" sqref="E22"/>
    </sheetView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7" sqref="A17:S18"/>
    </sheetView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7" sqref="A17:S18"/>
    </sheetView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7" sqref="A17:S18"/>
    </sheetView>
  </sheetViews>
  <sheetFormatPr baseColWidth="10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8"/>
  <sheetViews>
    <sheetView topLeftCell="A28" workbookViewId="0">
      <selection activeCell="A17" sqref="A17:S18"/>
    </sheetView>
  </sheetViews>
  <sheetFormatPr baseColWidth="10" defaultRowHeight="15.75"/>
  <cols>
    <col min="1" max="1" width="59" style="191" customWidth="1"/>
    <col min="2" max="2" width="13.85546875" customWidth="1"/>
    <col min="3" max="3" width="14.5703125" customWidth="1"/>
    <col min="4" max="4" width="15.140625" customWidth="1"/>
    <col min="5" max="5" width="12.5703125" customWidth="1"/>
    <col min="6" max="6" width="12" customWidth="1"/>
    <col min="7" max="7" width="12.42578125" customWidth="1"/>
    <col min="8" max="8" width="14.5703125" customWidth="1"/>
    <col min="9" max="9" width="15.140625" customWidth="1"/>
  </cols>
  <sheetData>
    <row r="1" spans="1:6" ht="16.5" thickBot="1"/>
    <row r="2" spans="1:6" ht="20.25" customHeight="1" thickBot="1">
      <c r="A2" s="566" t="s">
        <v>248</v>
      </c>
      <c r="B2" s="564" t="s">
        <v>170</v>
      </c>
      <c r="C2" s="168" t="s">
        <v>171</v>
      </c>
      <c r="D2" s="168" t="s">
        <v>54</v>
      </c>
      <c r="E2" s="168" t="s">
        <v>172</v>
      </c>
      <c r="F2" s="564" t="s">
        <v>173</v>
      </c>
    </row>
    <row r="3" spans="1:6" ht="19.5" thickBot="1">
      <c r="A3" s="567"/>
      <c r="B3" s="565"/>
      <c r="C3" s="169">
        <v>2011</v>
      </c>
      <c r="D3" s="169">
        <v>2012</v>
      </c>
      <c r="E3" s="169">
        <v>2013</v>
      </c>
      <c r="F3" s="565"/>
    </row>
    <row r="4" spans="1:6" ht="20.100000000000001" customHeight="1" thickBot="1">
      <c r="A4" s="216" t="s">
        <v>174</v>
      </c>
      <c r="B4" s="198" t="s">
        <v>174</v>
      </c>
      <c r="C4" s="190">
        <v>20.7</v>
      </c>
      <c r="D4" s="190">
        <v>50</v>
      </c>
      <c r="E4" s="190">
        <f>20+10+30</f>
        <v>60</v>
      </c>
      <c r="F4" s="199">
        <f>+(E4-D4)/D4</f>
        <v>0.2</v>
      </c>
    </row>
    <row r="5" spans="1:6" ht="20.100000000000001" customHeight="1" thickBot="1">
      <c r="A5" s="216" t="s">
        <v>175</v>
      </c>
      <c r="B5" s="198" t="s">
        <v>175</v>
      </c>
      <c r="C5" s="200">
        <v>0</v>
      </c>
      <c r="D5" s="190">
        <v>5</v>
      </c>
      <c r="E5" s="190">
        <v>169</v>
      </c>
      <c r="F5" s="199">
        <f t="shared" ref="F5:F24" si="0">+(E5-D5)/D5</f>
        <v>32.799999999999997</v>
      </c>
    </row>
    <row r="6" spans="1:6" ht="20.100000000000001" customHeight="1" thickBot="1">
      <c r="A6" s="216" t="s">
        <v>176</v>
      </c>
      <c r="B6" s="198" t="s">
        <v>176</v>
      </c>
      <c r="C6" s="200">
        <v>0</v>
      </c>
      <c r="D6" s="190">
        <v>100</v>
      </c>
      <c r="E6" s="190">
        <v>100</v>
      </c>
      <c r="F6" s="199">
        <f t="shared" si="0"/>
        <v>0</v>
      </c>
    </row>
    <row r="7" spans="1:6" ht="20.100000000000001" customHeight="1" thickBot="1">
      <c r="A7" s="216" t="s">
        <v>177</v>
      </c>
      <c r="B7" s="198" t="s">
        <v>177</v>
      </c>
      <c r="C7" s="190">
        <v>1150.05</v>
      </c>
      <c r="D7" s="190">
        <v>1068</v>
      </c>
      <c r="E7" s="190">
        <f>4519+36</f>
        <v>4555</v>
      </c>
      <c r="F7" s="199">
        <f t="shared" si="0"/>
        <v>3.2649812734082397</v>
      </c>
    </row>
    <row r="8" spans="1:6" ht="20.100000000000001" customHeight="1" thickBot="1">
      <c r="A8" s="216" t="s">
        <v>178</v>
      </c>
      <c r="B8" s="198" t="s">
        <v>178</v>
      </c>
      <c r="C8" s="190">
        <v>51.18</v>
      </c>
      <c r="D8" s="190">
        <v>35</v>
      </c>
      <c r="E8" s="190">
        <v>151</v>
      </c>
      <c r="F8" s="199">
        <f t="shared" si="0"/>
        <v>3.3142857142857145</v>
      </c>
    </row>
    <row r="9" spans="1:6" ht="20.100000000000001" customHeight="1" thickBot="1">
      <c r="A9" s="216" t="s">
        <v>179</v>
      </c>
      <c r="B9" s="198" t="s">
        <v>179</v>
      </c>
      <c r="C9" s="190">
        <v>53.37</v>
      </c>
      <c r="D9" s="190">
        <v>82</v>
      </c>
      <c r="E9" s="190">
        <v>183</v>
      </c>
      <c r="F9" s="199">
        <f t="shared" si="0"/>
        <v>1.2317073170731707</v>
      </c>
    </row>
    <row r="10" spans="1:6" ht="20.100000000000001" customHeight="1" thickBot="1">
      <c r="A10" s="216" t="s">
        <v>180</v>
      </c>
      <c r="B10" s="198" t="s">
        <v>180</v>
      </c>
      <c r="C10" s="190">
        <v>98.25</v>
      </c>
      <c r="D10" s="190">
        <v>84</v>
      </c>
      <c r="E10" s="190">
        <f>25+93</f>
        <v>118</v>
      </c>
      <c r="F10" s="199">
        <f t="shared" si="0"/>
        <v>0.40476190476190477</v>
      </c>
    </row>
    <row r="11" spans="1:6" ht="20.100000000000001" customHeight="1" thickBot="1">
      <c r="A11" s="216" t="s">
        <v>181</v>
      </c>
      <c r="B11" s="198" t="s">
        <v>181</v>
      </c>
      <c r="C11" s="190">
        <v>1846.18</v>
      </c>
      <c r="D11" s="190">
        <v>729</v>
      </c>
      <c r="E11" s="190">
        <v>1100</v>
      </c>
      <c r="F11" s="199">
        <f t="shared" si="0"/>
        <v>0.5089163237311386</v>
      </c>
    </row>
    <row r="12" spans="1:6" ht="20.100000000000001" customHeight="1" thickBot="1">
      <c r="A12" s="216" t="s">
        <v>182</v>
      </c>
      <c r="B12" s="198" t="s">
        <v>182</v>
      </c>
      <c r="C12" s="190">
        <v>910.5</v>
      </c>
      <c r="D12" s="190">
        <v>611</v>
      </c>
      <c r="E12" s="190">
        <v>700</v>
      </c>
      <c r="F12" s="199">
        <f t="shared" si="0"/>
        <v>0.14566284779050737</v>
      </c>
    </row>
    <row r="13" spans="1:6" ht="20.100000000000001" customHeight="1" thickBot="1">
      <c r="A13" s="216" t="s">
        <v>183</v>
      </c>
      <c r="B13" s="198" t="s">
        <v>183</v>
      </c>
      <c r="C13" s="190">
        <v>362.4</v>
      </c>
      <c r="D13" s="190">
        <v>410</v>
      </c>
      <c r="E13" s="190">
        <v>306</v>
      </c>
      <c r="F13" s="199">
        <f t="shared" si="0"/>
        <v>-0.25365853658536586</v>
      </c>
    </row>
    <row r="14" spans="1:6" ht="20.100000000000001" customHeight="1" thickBot="1">
      <c r="A14" s="216" t="s">
        <v>184</v>
      </c>
      <c r="B14" s="198" t="s">
        <v>184</v>
      </c>
      <c r="C14" s="190">
        <v>260.7</v>
      </c>
      <c r="D14" s="190">
        <v>362</v>
      </c>
      <c r="E14" s="190">
        <v>795</v>
      </c>
      <c r="F14" s="199">
        <f t="shared" si="0"/>
        <v>1.1961325966850829</v>
      </c>
    </row>
    <row r="15" spans="1:6" ht="20.100000000000001" customHeight="1" thickBot="1">
      <c r="A15" s="216" t="s">
        <v>185</v>
      </c>
      <c r="B15" s="198" t="s">
        <v>185</v>
      </c>
      <c r="C15" s="200">
        <v>36.32</v>
      </c>
      <c r="D15" s="190">
        <v>323</v>
      </c>
      <c r="E15" s="190">
        <v>243</v>
      </c>
      <c r="F15" s="199">
        <f t="shared" si="0"/>
        <v>-0.24767801857585139</v>
      </c>
    </row>
    <row r="16" spans="1:6" ht="20.100000000000001" customHeight="1" thickBot="1">
      <c r="A16" s="216" t="s">
        <v>186</v>
      </c>
      <c r="B16" s="198" t="s">
        <v>186</v>
      </c>
      <c r="C16" s="200">
        <v>0</v>
      </c>
      <c r="D16" s="190">
        <v>13</v>
      </c>
      <c r="E16" s="190">
        <v>25</v>
      </c>
      <c r="F16" s="199">
        <f t="shared" si="0"/>
        <v>0.92307692307692313</v>
      </c>
    </row>
    <row r="17" spans="1:9" ht="20.100000000000001" customHeight="1" thickBot="1">
      <c r="A17" s="216" t="s">
        <v>187</v>
      </c>
      <c r="B17" s="198" t="s">
        <v>187</v>
      </c>
      <c r="C17" s="190">
        <v>7.2</v>
      </c>
      <c r="D17" s="190">
        <v>52</v>
      </c>
      <c r="E17" s="190">
        <v>45</v>
      </c>
      <c r="F17" s="199">
        <f t="shared" si="0"/>
        <v>-0.13461538461538461</v>
      </c>
    </row>
    <row r="18" spans="1:9" ht="20.100000000000001" customHeight="1" thickBot="1">
      <c r="A18" s="216" t="s">
        <v>188</v>
      </c>
      <c r="B18" s="198" t="s">
        <v>188</v>
      </c>
      <c r="C18" s="190">
        <v>7.9</v>
      </c>
      <c r="D18" s="190">
        <v>50</v>
      </c>
      <c r="E18" s="190">
        <v>70</v>
      </c>
      <c r="F18" s="199">
        <f t="shared" si="0"/>
        <v>0.4</v>
      </c>
    </row>
    <row r="19" spans="1:9" ht="20.100000000000001" customHeight="1" thickBot="1">
      <c r="A19" s="216" t="s">
        <v>189</v>
      </c>
      <c r="B19" s="198" t="s">
        <v>189</v>
      </c>
      <c r="C19" s="190">
        <v>77.400000000000006</v>
      </c>
      <c r="D19" s="190">
        <v>217</v>
      </c>
      <c r="E19" s="190">
        <v>75</v>
      </c>
      <c r="F19" s="199">
        <f t="shared" si="0"/>
        <v>-0.65437788018433185</v>
      </c>
    </row>
    <row r="20" spans="1:9" ht="20.100000000000001" customHeight="1" thickBot="1">
      <c r="A20" s="216" t="s">
        <v>190</v>
      </c>
      <c r="B20" s="198" t="s">
        <v>190</v>
      </c>
      <c r="C20" s="190">
        <v>8.1999999999999993</v>
      </c>
      <c r="D20" s="190">
        <v>21</v>
      </c>
      <c r="E20" s="190">
        <v>20</v>
      </c>
      <c r="F20" s="199">
        <f t="shared" si="0"/>
        <v>-4.7619047619047616E-2</v>
      </c>
    </row>
    <row r="21" spans="1:9" ht="20.100000000000001" customHeight="1" thickBot="1">
      <c r="A21" s="216" t="s">
        <v>191</v>
      </c>
      <c r="B21" s="198" t="s">
        <v>191</v>
      </c>
      <c r="C21" s="190">
        <v>223.6</v>
      </c>
      <c r="D21" s="190">
        <v>364</v>
      </c>
      <c r="E21" s="190">
        <f>519+150+16</f>
        <v>685</v>
      </c>
      <c r="F21" s="199">
        <f t="shared" si="0"/>
        <v>0.88186813186813184</v>
      </c>
    </row>
    <row r="22" spans="1:9" ht="20.100000000000001" customHeight="1" thickBot="1">
      <c r="A22" s="216" t="s">
        <v>192</v>
      </c>
      <c r="B22" s="198" t="s">
        <v>192</v>
      </c>
      <c r="C22" s="190">
        <v>244.6</v>
      </c>
      <c r="D22" s="190">
        <v>425</v>
      </c>
      <c r="E22" s="190">
        <f>600-E23</f>
        <v>570</v>
      </c>
      <c r="F22" s="199">
        <f t="shared" si="0"/>
        <v>0.3411764705882353</v>
      </c>
    </row>
    <row r="23" spans="1:9" ht="20.100000000000001" customHeight="1" thickBot="1">
      <c r="A23" s="216" t="s">
        <v>193</v>
      </c>
      <c r="B23" s="198" t="s">
        <v>193</v>
      </c>
      <c r="C23" s="190">
        <v>23.4</v>
      </c>
      <c r="D23" s="190">
        <v>0</v>
      </c>
      <c r="E23" s="190">
        <v>30</v>
      </c>
      <c r="F23" s="199"/>
    </row>
    <row r="24" spans="1:9" ht="20.100000000000001" customHeight="1" thickBot="1">
      <c r="A24" s="217" t="s">
        <v>194</v>
      </c>
      <c r="B24" s="201" t="s">
        <v>194</v>
      </c>
      <c r="C24" s="197">
        <f>SUM(C4:C23)-1</f>
        <v>5380.949999999998</v>
      </c>
      <c r="D24" s="197">
        <f>SUM(D4:D23)-1</f>
        <v>5000</v>
      </c>
      <c r="E24" s="197">
        <f>SUM(E4:E23)</f>
        <v>10000</v>
      </c>
      <c r="F24" s="202">
        <f t="shared" si="0"/>
        <v>1</v>
      </c>
    </row>
    <row r="25" spans="1:9" ht="20.100000000000001" customHeight="1"/>
    <row r="26" spans="1:9" ht="20.100000000000001" customHeight="1" thickBot="1"/>
    <row r="27" spans="1:9" ht="20.100000000000001" customHeight="1" thickBot="1">
      <c r="A27" s="568" t="s">
        <v>248</v>
      </c>
      <c r="B27" s="172" t="s">
        <v>172</v>
      </c>
      <c r="C27" s="213"/>
      <c r="D27" s="570" t="s">
        <v>236</v>
      </c>
      <c r="E27" s="570"/>
      <c r="F27" s="570"/>
      <c r="G27" s="570"/>
      <c r="H27" s="570"/>
      <c r="I27" s="571"/>
    </row>
    <row r="28" spans="1:9" ht="20.100000000000001" customHeight="1" thickBot="1">
      <c r="A28" s="569"/>
      <c r="B28" s="172">
        <v>2013</v>
      </c>
      <c r="C28" s="172" t="s">
        <v>243</v>
      </c>
      <c r="D28" s="172" t="s">
        <v>237</v>
      </c>
      <c r="E28" s="172" t="s">
        <v>238</v>
      </c>
      <c r="F28" s="172" t="s">
        <v>239</v>
      </c>
      <c r="G28" s="172" t="s">
        <v>240</v>
      </c>
      <c r="H28" s="172" t="s">
        <v>241</v>
      </c>
      <c r="I28" s="172" t="s">
        <v>242</v>
      </c>
    </row>
    <row r="29" spans="1:9" ht="20.100000000000001" customHeight="1" thickBot="1">
      <c r="A29" s="216" t="s">
        <v>174</v>
      </c>
      <c r="B29" s="190">
        <f>20+10+30</f>
        <v>60</v>
      </c>
      <c r="C29" s="190">
        <f>4+5+12</f>
        <v>21</v>
      </c>
      <c r="D29" s="190">
        <f>1+2.5+3</f>
        <v>6.5</v>
      </c>
      <c r="E29" s="190">
        <f t="shared" ref="E29:I29" si="1">1+2.5+3</f>
        <v>6.5</v>
      </c>
      <c r="F29" s="190">
        <f t="shared" si="1"/>
        <v>6.5</v>
      </c>
      <c r="G29" s="190">
        <f t="shared" si="1"/>
        <v>6.5</v>
      </c>
      <c r="H29" s="190">
        <f t="shared" si="1"/>
        <v>6.5</v>
      </c>
      <c r="I29" s="190">
        <f t="shared" si="1"/>
        <v>6.5</v>
      </c>
    </row>
    <row r="30" spans="1:9" ht="20.100000000000001" customHeight="1" thickBot="1">
      <c r="A30" s="216" t="s">
        <v>175</v>
      </c>
      <c r="B30" s="190">
        <v>169</v>
      </c>
      <c r="C30" s="190">
        <v>169</v>
      </c>
      <c r="D30" s="190">
        <v>0</v>
      </c>
      <c r="E30" s="190">
        <v>0</v>
      </c>
      <c r="F30" s="190">
        <v>0</v>
      </c>
      <c r="G30" s="190">
        <v>0</v>
      </c>
      <c r="H30" s="190">
        <v>0</v>
      </c>
      <c r="I30" s="190">
        <v>0</v>
      </c>
    </row>
    <row r="31" spans="1:9" ht="20.100000000000001" customHeight="1" thickBot="1">
      <c r="A31" s="216" t="s">
        <v>176</v>
      </c>
      <c r="B31" s="190">
        <v>100</v>
      </c>
      <c r="C31" s="190">
        <v>100</v>
      </c>
      <c r="D31" s="190">
        <v>0</v>
      </c>
      <c r="E31" s="190">
        <v>0</v>
      </c>
      <c r="F31" s="190">
        <v>0</v>
      </c>
      <c r="G31" s="190">
        <v>0</v>
      </c>
      <c r="H31" s="190">
        <v>0</v>
      </c>
      <c r="I31" s="190">
        <v>0</v>
      </c>
    </row>
    <row r="32" spans="1:9" ht="20.100000000000001" customHeight="1" thickBot="1">
      <c r="A32" s="216" t="s">
        <v>177</v>
      </c>
      <c r="B32" s="190">
        <f>+C32+D32+E32+F32+G32+H32+I32</f>
        <v>4555</v>
      </c>
      <c r="C32" s="190">
        <v>0</v>
      </c>
      <c r="D32" s="190">
        <v>471.55759877084705</v>
      </c>
      <c r="E32" s="190">
        <v>813.98297464778511</v>
      </c>
      <c r="F32" s="190">
        <v>822.7420914077677</v>
      </c>
      <c r="G32" s="190">
        <v>962.84576333561301</v>
      </c>
      <c r="H32" s="190">
        <v>596.02779687549264</v>
      </c>
      <c r="I32" s="190">
        <v>887.84377496249431</v>
      </c>
    </row>
    <row r="33" spans="1:10" ht="20.100000000000001" customHeight="1" thickBot="1">
      <c r="A33" s="216" t="s">
        <v>178</v>
      </c>
      <c r="B33" s="190">
        <v>151</v>
      </c>
      <c r="C33" s="190">
        <v>0</v>
      </c>
      <c r="D33" s="190">
        <v>0</v>
      </c>
      <c r="E33" s="190">
        <v>15.756036230125806</v>
      </c>
      <c r="F33" s="190">
        <v>12.217936667381622</v>
      </c>
      <c r="G33" s="190">
        <v>123.02602710249258</v>
      </c>
      <c r="H33" s="190">
        <v>0</v>
      </c>
      <c r="I33" s="190">
        <v>0</v>
      </c>
    </row>
    <row r="34" spans="1:10" ht="20.100000000000001" customHeight="1" thickBot="1">
      <c r="A34" s="216" t="s">
        <v>179</v>
      </c>
      <c r="B34" s="190">
        <f>+C34+D34+E34+F34+G34+H34+I34</f>
        <v>183.3</v>
      </c>
      <c r="C34" s="190">
        <v>0</v>
      </c>
      <c r="D34" s="190">
        <v>38.4</v>
      </c>
      <c r="E34" s="190">
        <v>11.2</v>
      </c>
      <c r="F34" s="190">
        <v>55.2</v>
      </c>
      <c r="G34" s="190">
        <v>54</v>
      </c>
      <c r="H34" s="190">
        <v>17.2</v>
      </c>
      <c r="I34" s="190">
        <v>7.3</v>
      </c>
    </row>
    <row r="35" spans="1:10" ht="20.100000000000001" customHeight="1" thickBot="1">
      <c r="A35" s="216" t="s">
        <v>180</v>
      </c>
      <c r="B35" s="190">
        <f>25+93</f>
        <v>118</v>
      </c>
      <c r="C35" s="190">
        <f>+C36+C37</f>
        <v>0</v>
      </c>
      <c r="D35" s="190">
        <f t="shared" ref="D35:I35" si="2">+D36+D37</f>
        <v>0</v>
      </c>
      <c r="E35" s="190">
        <f t="shared" si="2"/>
        <v>29.23</v>
      </c>
      <c r="F35" s="190">
        <f t="shared" si="2"/>
        <v>5.51</v>
      </c>
      <c r="G35" s="190">
        <f t="shared" si="2"/>
        <v>15.42</v>
      </c>
      <c r="H35" s="190">
        <f t="shared" si="2"/>
        <v>22.82</v>
      </c>
      <c r="I35" s="190">
        <f t="shared" si="2"/>
        <v>45.02</v>
      </c>
    </row>
    <row r="36" spans="1:10" ht="18" customHeight="1" thickBot="1">
      <c r="A36" s="221" t="s">
        <v>251</v>
      </c>
      <c r="B36" s="190">
        <f>SUM(C36:I36)</f>
        <v>25</v>
      </c>
      <c r="C36" s="190">
        <v>0</v>
      </c>
      <c r="D36" s="190">
        <v>0</v>
      </c>
      <c r="E36" s="190">
        <v>12</v>
      </c>
      <c r="F36" s="190">
        <v>0</v>
      </c>
      <c r="G36" s="190">
        <v>2</v>
      </c>
      <c r="H36" s="190">
        <v>0</v>
      </c>
      <c r="I36" s="190">
        <v>11</v>
      </c>
    </row>
    <row r="37" spans="1:10" ht="18" customHeight="1" thickBot="1">
      <c r="A37" s="221" t="s">
        <v>244</v>
      </c>
      <c r="B37" s="190">
        <f>SUM(C37:I37)</f>
        <v>93</v>
      </c>
      <c r="C37" s="190">
        <v>0</v>
      </c>
      <c r="D37" s="190">
        <v>0</v>
      </c>
      <c r="E37" s="190">
        <v>17.23</v>
      </c>
      <c r="F37" s="190">
        <v>5.51</v>
      </c>
      <c r="G37" s="190">
        <v>13.42</v>
      </c>
      <c r="H37" s="190">
        <v>22.82</v>
      </c>
      <c r="I37" s="190">
        <v>34.020000000000003</v>
      </c>
    </row>
    <row r="38" spans="1:10" ht="20.100000000000001" customHeight="1" thickBot="1">
      <c r="A38" s="216" t="s">
        <v>181</v>
      </c>
      <c r="B38" s="190">
        <v>1100</v>
      </c>
      <c r="C38" s="190">
        <v>0</v>
      </c>
      <c r="D38" s="190">
        <v>60.790273556230993</v>
      </c>
      <c r="E38" s="190">
        <v>98.176291793313055</v>
      </c>
      <c r="F38" s="190">
        <v>258.35866261398172</v>
      </c>
      <c r="G38" s="190">
        <v>379.93920972644372</v>
      </c>
      <c r="H38" s="190">
        <v>159.57446808510636</v>
      </c>
      <c r="I38" s="190">
        <v>143.161094224924</v>
      </c>
    </row>
    <row r="39" spans="1:10" ht="20.100000000000001" customHeight="1" thickBot="1">
      <c r="A39" s="216" t="s">
        <v>182</v>
      </c>
      <c r="B39" s="190">
        <v>700</v>
      </c>
      <c r="C39" s="190">
        <v>0</v>
      </c>
      <c r="D39" s="190">
        <v>52.256574394463669</v>
      </c>
      <c r="E39" s="190">
        <v>62.975778546712803</v>
      </c>
      <c r="F39" s="190">
        <v>87.197231833910024</v>
      </c>
      <c r="G39" s="190">
        <v>255.35588235294117</v>
      </c>
      <c r="H39" s="190">
        <v>121.10726643598615</v>
      </c>
      <c r="I39" s="190">
        <v>121.10726643598615</v>
      </c>
    </row>
    <row r="40" spans="1:10" ht="20.100000000000001" customHeight="1" thickBot="1">
      <c r="A40" s="219" t="s">
        <v>247</v>
      </c>
      <c r="B40" s="220">
        <v>306</v>
      </c>
      <c r="C40" s="220">
        <f>+C41+C42</f>
        <v>37.299999999999997</v>
      </c>
      <c r="D40" s="220">
        <f t="shared" ref="D40:I40" si="3">+D41+D42</f>
        <v>0</v>
      </c>
      <c r="E40" s="220">
        <f t="shared" si="3"/>
        <v>35</v>
      </c>
      <c r="F40" s="220">
        <f t="shared" si="3"/>
        <v>99</v>
      </c>
      <c r="G40" s="220">
        <f t="shared" si="3"/>
        <v>50</v>
      </c>
      <c r="H40" s="220">
        <f t="shared" si="3"/>
        <v>45</v>
      </c>
      <c r="I40" s="220">
        <f t="shared" si="3"/>
        <v>40</v>
      </c>
    </row>
    <row r="41" spans="1:10" ht="17.25" customHeight="1" thickBot="1">
      <c r="A41" s="221" t="s">
        <v>245</v>
      </c>
      <c r="B41" s="190">
        <f>+C41+D41+E41+F41+G41+H41+I41</f>
        <v>87.3</v>
      </c>
      <c r="C41" s="190">
        <v>37.299999999999997</v>
      </c>
      <c r="D41" s="190">
        <v>0</v>
      </c>
      <c r="E41" s="190">
        <v>0</v>
      </c>
      <c r="F41" s="190">
        <v>0</v>
      </c>
      <c r="G41" s="190">
        <v>0</v>
      </c>
      <c r="H41" s="190">
        <v>20</v>
      </c>
      <c r="I41" s="190">
        <v>30</v>
      </c>
    </row>
    <row r="42" spans="1:10" ht="15" customHeight="1" thickBot="1">
      <c r="A42" s="221" t="s">
        <v>246</v>
      </c>
      <c r="B42" s="190">
        <f>+C42+D42+E42+F42+G42+H42+I42</f>
        <v>219</v>
      </c>
      <c r="C42" s="190">
        <v>0</v>
      </c>
      <c r="D42" s="190">
        <v>0</v>
      </c>
      <c r="E42" s="190">
        <v>35</v>
      </c>
      <c r="F42" s="190">
        <v>99</v>
      </c>
      <c r="G42" s="190">
        <v>50</v>
      </c>
      <c r="H42" s="190">
        <v>25</v>
      </c>
      <c r="I42" s="190">
        <v>10</v>
      </c>
    </row>
    <row r="43" spans="1:10" ht="20.100000000000001" customHeight="1" thickBot="1">
      <c r="A43" s="216" t="s">
        <v>184</v>
      </c>
      <c r="B43" s="190">
        <v>795</v>
      </c>
      <c r="C43" s="190">
        <v>0</v>
      </c>
      <c r="D43" s="190">
        <v>140.00227510403309</v>
      </c>
      <c r="E43" s="190">
        <v>197.01199995917975</v>
      </c>
      <c r="F43" s="190">
        <v>103.39072245581715</v>
      </c>
      <c r="G43" s="190">
        <v>105.50587977636819</v>
      </c>
      <c r="H43" s="190">
        <v>74.989420406411327</v>
      </c>
      <c r="I43" s="190">
        <v>174.09970229819055</v>
      </c>
    </row>
    <row r="44" spans="1:10" ht="20.100000000000001" customHeight="1" thickBot="1">
      <c r="A44" s="216" t="s">
        <v>185</v>
      </c>
      <c r="B44" s="190">
        <f>SUM(C44:I44)</f>
        <v>243.4</v>
      </c>
      <c r="C44" s="190">
        <v>0</v>
      </c>
      <c r="D44" s="190">
        <v>163.19999999999999</v>
      </c>
      <c r="E44" s="190">
        <v>46.3</v>
      </c>
      <c r="F44" s="190">
        <v>9.4</v>
      </c>
      <c r="G44" s="190">
        <v>11</v>
      </c>
      <c r="H44" s="190">
        <v>6.5</v>
      </c>
      <c r="I44" s="190">
        <v>7</v>
      </c>
      <c r="J44" s="7"/>
    </row>
    <row r="45" spans="1:10" ht="20.100000000000001" customHeight="1" thickBot="1">
      <c r="A45" s="216" t="s">
        <v>186</v>
      </c>
      <c r="B45" s="190">
        <f>SUM(C45:I45)</f>
        <v>25</v>
      </c>
      <c r="C45" s="190">
        <v>25</v>
      </c>
      <c r="D45" s="190">
        <v>0</v>
      </c>
      <c r="E45" s="190">
        <v>0</v>
      </c>
      <c r="F45" s="190">
        <v>0</v>
      </c>
      <c r="G45" s="190">
        <v>0</v>
      </c>
      <c r="H45" s="190">
        <v>0</v>
      </c>
      <c r="I45" s="190">
        <v>0</v>
      </c>
    </row>
    <row r="46" spans="1:10" ht="17.25" customHeight="1" thickBot="1">
      <c r="A46" s="216" t="s">
        <v>187</v>
      </c>
      <c r="B46" s="190">
        <v>45</v>
      </c>
      <c r="C46" s="190">
        <v>2.1428571428571428</v>
      </c>
      <c r="D46" s="190">
        <v>10.178571428571429</v>
      </c>
      <c r="E46" s="190">
        <v>7.5</v>
      </c>
      <c r="F46" s="190">
        <v>7.5</v>
      </c>
      <c r="G46" s="190">
        <v>3</v>
      </c>
      <c r="H46" s="190">
        <v>5.3571428571428568</v>
      </c>
      <c r="I46" s="190">
        <v>9.1071428571428577</v>
      </c>
    </row>
    <row r="47" spans="1:10" ht="20.25" customHeight="1" thickBot="1">
      <c r="A47" s="216" t="s">
        <v>188</v>
      </c>
      <c r="B47" s="190">
        <v>70</v>
      </c>
      <c r="C47" s="190">
        <v>70</v>
      </c>
      <c r="D47" s="190">
        <v>0</v>
      </c>
      <c r="E47" s="190">
        <v>0</v>
      </c>
      <c r="F47" s="190">
        <v>0</v>
      </c>
      <c r="G47" s="190">
        <v>0</v>
      </c>
      <c r="H47" s="190">
        <v>0</v>
      </c>
      <c r="I47" s="190">
        <v>0</v>
      </c>
    </row>
    <row r="48" spans="1:10" ht="17.25" customHeight="1" thickBot="1">
      <c r="A48" s="216" t="s">
        <v>189</v>
      </c>
      <c r="B48" s="190">
        <v>75</v>
      </c>
      <c r="C48" s="190">
        <v>75</v>
      </c>
      <c r="D48" s="190">
        <v>0</v>
      </c>
      <c r="E48" s="190">
        <v>0</v>
      </c>
      <c r="F48" s="190">
        <v>0</v>
      </c>
      <c r="G48" s="190">
        <v>0</v>
      </c>
      <c r="H48" s="190">
        <v>0</v>
      </c>
      <c r="I48" s="190">
        <v>0</v>
      </c>
    </row>
    <row r="49" spans="1:9" ht="18" customHeight="1" thickBot="1">
      <c r="A49" s="216" t="s">
        <v>190</v>
      </c>
      <c r="B49" s="190">
        <f>SUM(C49:I49)</f>
        <v>19.5</v>
      </c>
      <c r="C49" s="190">
        <v>2</v>
      </c>
      <c r="D49" s="190">
        <v>8</v>
      </c>
      <c r="E49" s="190">
        <v>1.5</v>
      </c>
      <c r="F49" s="190">
        <v>3.5</v>
      </c>
      <c r="G49" s="190">
        <v>1.5</v>
      </c>
      <c r="H49" s="190">
        <v>2</v>
      </c>
      <c r="I49" s="190">
        <v>1</v>
      </c>
    </row>
    <row r="50" spans="1:9" ht="19.5" thickBot="1">
      <c r="A50" s="216" t="s">
        <v>191</v>
      </c>
      <c r="B50" s="190">
        <f>519+150+16</f>
        <v>685</v>
      </c>
      <c r="C50" s="190">
        <v>357.0845609374685</v>
      </c>
      <c r="D50" s="190">
        <v>15.859602899444692</v>
      </c>
      <c r="E50" s="190">
        <v>62.116690715050666</v>
      </c>
      <c r="F50" s="190">
        <v>54.369017415576224</v>
      </c>
      <c r="G50" s="190">
        <v>124.87847672214585</v>
      </c>
      <c r="H50" s="190">
        <v>49.777282258801947</v>
      </c>
      <c r="I50" s="190">
        <v>20.614369051512103</v>
      </c>
    </row>
    <row r="51" spans="1:9" ht="19.5" thickBot="1">
      <c r="A51" s="216" t="s">
        <v>192</v>
      </c>
      <c r="B51" s="218">
        <f>600-30</f>
        <v>570</v>
      </c>
      <c r="C51" s="218">
        <f>500.342465753425-30</f>
        <v>470.34246575342502</v>
      </c>
      <c r="D51" s="190">
        <v>51.369863013698627</v>
      </c>
      <c r="E51" s="190">
        <v>3.0821917808219177</v>
      </c>
      <c r="F51" s="190">
        <v>0</v>
      </c>
      <c r="G51" s="190">
        <v>15.410958904109588</v>
      </c>
      <c r="H51" s="190">
        <v>21.575342465753423</v>
      </c>
      <c r="I51" s="190">
        <v>8.2191780821917799</v>
      </c>
    </row>
    <row r="52" spans="1:9" ht="21" customHeight="1" thickBot="1">
      <c r="A52" s="216" t="s">
        <v>193</v>
      </c>
      <c r="B52" s="218">
        <v>30</v>
      </c>
      <c r="C52" s="190">
        <v>30</v>
      </c>
      <c r="D52" s="190">
        <v>0</v>
      </c>
      <c r="E52" s="190">
        <v>0</v>
      </c>
      <c r="F52" s="190">
        <v>0</v>
      </c>
      <c r="G52" s="190">
        <v>0</v>
      </c>
      <c r="H52" s="190">
        <v>0</v>
      </c>
      <c r="I52" s="190">
        <v>0</v>
      </c>
    </row>
    <row r="53" spans="1:9" ht="19.5" thickBot="1">
      <c r="A53" s="217" t="s">
        <v>194</v>
      </c>
      <c r="B53" s="197">
        <f>+B29+B30+B31+B32+B33+B34+B35+B38+B39+B40+B43+B44+B45+B46+B47+B48+B49+B50+B51+B52</f>
        <v>10000.199999999999</v>
      </c>
      <c r="C53" s="197">
        <f t="shared" ref="C53:I53" si="4">+C29+C30+C31+C32+C33+C34+C35+C38+C39+C40+C43+C44+C45+C46+C47+C48+C49+C50+C51+C52</f>
        <v>1358.8698838337507</v>
      </c>
      <c r="D53" s="197">
        <f t="shared" si="4"/>
        <v>1018.1147591672894</v>
      </c>
      <c r="E53" s="197">
        <f t="shared" si="4"/>
        <v>1390.3319636729891</v>
      </c>
      <c r="F53" s="197">
        <f t="shared" si="4"/>
        <v>1524.8856623944348</v>
      </c>
      <c r="G53" s="197">
        <f t="shared" si="4"/>
        <v>2108.3821979201139</v>
      </c>
      <c r="H53" s="197">
        <f t="shared" si="4"/>
        <v>1128.4287193846949</v>
      </c>
      <c r="I53" s="197">
        <f t="shared" si="4"/>
        <v>1470.9725279124416</v>
      </c>
    </row>
    <row r="55" spans="1:9">
      <c r="B55" s="7"/>
      <c r="C55" s="7"/>
      <c r="H55" s="7"/>
    </row>
    <row r="56" spans="1:9">
      <c r="B56" s="7"/>
    </row>
    <row r="57" spans="1:9">
      <c r="B57" s="7"/>
    </row>
    <row r="58" spans="1:9">
      <c r="B58" s="7"/>
    </row>
  </sheetData>
  <mergeCells count="5">
    <mergeCell ref="B2:B3"/>
    <mergeCell ref="F2:F3"/>
    <mergeCell ref="A2:A3"/>
    <mergeCell ref="A27:A28"/>
    <mergeCell ref="D27:I27"/>
  </mergeCells>
  <pageMargins left="0.7" right="0.7" top="0.75" bottom="0.75" header="0.3" footer="0.3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CALCUL  (2)</vt:lpstr>
      <vt:lpstr>CR 2013 par DD </vt:lpstr>
      <vt:lpstr>CR 2013 par DD Corrigé Après CA</vt:lpstr>
      <vt:lpstr>Calcul VF Corrigé après CA</vt:lpstr>
      <vt:lpstr>Feuil2</vt:lpstr>
      <vt:lpstr>Feuil3</vt:lpstr>
      <vt:lpstr>Feuil4</vt:lpstr>
      <vt:lpstr>Feuil5</vt:lpstr>
      <vt:lpstr>Prog d'investis</vt:lpstr>
      <vt:lpstr>Plan Financ+Plan Trésorerie</vt:lpstr>
      <vt:lpstr>Frais de Personnel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F.Samir</dc:creator>
  <cp:lastModifiedBy>bellounes</cp:lastModifiedBy>
  <cp:lastPrinted>2012-12-11T10:04:21Z</cp:lastPrinted>
  <dcterms:created xsi:type="dcterms:W3CDTF">2010-08-11T09:36:08Z</dcterms:created>
  <dcterms:modified xsi:type="dcterms:W3CDTF">2012-12-26T15:09:36Z</dcterms:modified>
</cp:coreProperties>
</file>