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5480" windowHeight="7485" firstSheet="2" activeTab="7"/>
  </bookViews>
  <sheets>
    <sheet name="VENTE ELEC" sheetId="6" r:id="rId1"/>
    <sheet name="VENTE GAZ" sheetId="7" r:id="rId2"/>
    <sheet name="achat Elec" sheetId="1" r:id="rId3"/>
    <sheet name="achat Gaz" sheetId="2" r:id="rId4"/>
    <sheet name="Services" sheetId="3" r:id="rId5"/>
    <sheet name="Frais Personnel" sheetId="4" r:id="rId6"/>
    <sheet name="Autres" sheetId="5" r:id="rId7"/>
    <sheet name="Feuil2" sheetId="9" r:id="rId8"/>
    <sheet name="Feuil1" sheetId="10" r:id="rId9"/>
  </sheets>
  <definedNames>
    <definedName name="_xlnm.Print_Area" localSheetId="0">'VENTE ELEC'!$A$1:$F$47</definedName>
  </definedNames>
  <calcPr calcId="124519"/>
</workbook>
</file>

<file path=xl/calcChain.xml><?xml version="1.0" encoding="utf-8"?>
<calcChain xmlns="http://schemas.openxmlformats.org/spreadsheetml/2006/main">
  <c r="J90" i="7"/>
  <c r="C42" i="6"/>
  <c r="C37"/>
  <c r="J89" i="7"/>
  <c r="J88"/>
  <c r="H92"/>
  <c r="H89"/>
  <c r="H88"/>
  <c r="H87"/>
  <c r="E77"/>
  <c r="E80"/>
  <c r="E84" s="1"/>
  <c r="H82"/>
  <c r="H79"/>
  <c r="H78"/>
  <c r="H77"/>
  <c r="H80" s="1"/>
  <c r="H84" s="1"/>
  <c r="H90" l="1"/>
  <c r="H94" s="1"/>
  <c r="E90"/>
  <c r="E94" s="1"/>
  <c r="C44" l="1"/>
  <c r="C43"/>
  <c r="H157" i="9" l="1"/>
  <c r="B157"/>
  <c r="G181"/>
  <c r="E34" i="4"/>
  <c r="F34"/>
  <c r="G34"/>
  <c r="D34"/>
  <c r="C102" i="7" l="1"/>
  <c r="D102"/>
  <c r="E102"/>
  <c r="B102"/>
  <c r="C101"/>
  <c r="D101"/>
  <c r="E101"/>
  <c r="B101"/>
  <c r="G78" i="9" l="1"/>
  <c r="F78"/>
  <c r="E78"/>
  <c r="D78"/>
  <c r="D80" s="1"/>
  <c r="D82" s="1"/>
  <c r="G65"/>
  <c r="F65"/>
  <c r="E65"/>
  <c r="D65"/>
  <c r="D67"/>
  <c r="D69" s="1"/>
  <c r="I62"/>
  <c r="D53"/>
  <c r="E53"/>
  <c r="H29" i="5"/>
  <c r="F29"/>
  <c r="G29"/>
  <c r="E29"/>
  <c r="E24"/>
  <c r="F24"/>
  <c r="G24"/>
  <c r="D24"/>
  <c r="F18"/>
  <c r="G18"/>
  <c r="H18"/>
  <c r="E18"/>
  <c r="F12"/>
  <c r="G12"/>
  <c r="H12"/>
  <c r="E12"/>
  <c r="G7"/>
  <c r="F7"/>
  <c r="H7"/>
  <c r="E7"/>
  <c r="D55" i="9"/>
  <c r="D57" s="1"/>
  <c r="D40"/>
  <c r="D42" s="1"/>
  <c r="D44" s="1"/>
  <c r="D27"/>
  <c r="E27" s="1"/>
  <c r="F27" s="1"/>
  <c r="G27" s="1"/>
  <c r="D15"/>
  <c r="E15" s="1"/>
  <c r="F15" s="1"/>
  <c r="G15" s="1"/>
  <c r="G178"/>
  <c r="F178"/>
  <c r="E178"/>
  <c r="D178"/>
  <c r="C178"/>
  <c r="B178"/>
  <c r="G169"/>
  <c r="F169"/>
  <c r="E169"/>
  <c r="D169"/>
  <c r="C169"/>
  <c r="B169"/>
  <c r="C156"/>
  <c r="B156"/>
  <c r="G150"/>
  <c r="G157" s="1"/>
  <c r="F150"/>
  <c r="F157" s="1"/>
  <c r="E150"/>
  <c r="E157" s="1"/>
  <c r="D150"/>
  <c r="D157" s="1"/>
  <c r="C150"/>
  <c r="C157" s="1"/>
  <c r="C174" s="1"/>
  <c r="B150"/>
  <c r="B174" s="1"/>
  <c r="G141"/>
  <c r="G160" s="1"/>
  <c r="F141"/>
  <c r="F160" s="1"/>
  <c r="E141"/>
  <c r="E160" s="1"/>
  <c r="D141"/>
  <c r="D160" s="1"/>
  <c r="C141"/>
  <c r="C149" s="1"/>
  <c r="B141"/>
  <c r="B149" s="1"/>
  <c r="D5"/>
  <c r="D7" s="1"/>
  <c r="D60" i="7"/>
  <c r="E40" i="9" l="1"/>
  <c r="F40" s="1"/>
  <c r="G40" s="1"/>
  <c r="E5"/>
  <c r="F5" s="1"/>
  <c r="G5" s="1"/>
  <c r="G7" s="1"/>
  <c r="D29"/>
  <c r="D31" s="1"/>
  <c r="D17"/>
  <c r="D19" s="1"/>
  <c r="C173"/>
  <c r="C175" s="1"/>
  <c r="C179" s="1"/>
  <c r="C158"/>
  <c r="C161" s="1"/>
  <c r="C166" s="1"/>
  <c r="C170" s="1"/>
  <c r="E174"/>
  <c r="G174"/>
  <c r="B173"/>
  <c r="B175" s="1"/>
  <c r="B179" s="1"/>
  <c r="B158"/>
  <c r="B161" s="1"/>
  <c r="B166" s="1"/>
  <c r="B170" s="1"/>
  <c r="D174"/>
  <c r="F174"/>
  <c r="E149"/>
  <c r="G149"/>
  <c r="D149"/>
  <c r="F149"/>
  <c r="E80" l="1"/>
  <c r="E82" s="1"/>
  <c r="E67"/>
  <c r="E69" s="1"/>
  <c r="E55"/>
  <c r="E57" s="1"/>
  <c r="F53"/>
  <c r="E42"/>
  <c r="E44" s="1"/>
  <c r="E29"/>
  <c r="E31" s="1"/>
  <c r="E17"/>
  <c r="E19" s="1"/>
  <c r="D173"/>
  <c r="D175" s="1"/>
  <c r="D179" s="1"/>
  <c r="D158"/>
  <c r="D161" s="1"/>
  <c r="D166" s="1"/>
  <c r="D170" s="1"/>
  <c r="E173"/>
  <c r="E175" s="1"/>
  <c r="E179" s="1"/>
  <c r="E158"/>
  <c r="E161" s="1"/>
  <c r="E166" s="1"/>
  <c r="E170" s="1"/>
  <c r="F173"/>
  <c r="F175" s="1"/>
  <c r="F179" s="1"/>
  <c r="F158"/>
  <c r="F161" s="1"/>
  <c r="F166" s="1"/>
  <c r="F170" s="1"/>
  <c r="G173"/>
  <c r="G175" s="1"/>
  <c r="G179" s="1"/>
  <c r="G158"/>
  <c r="G161" s="1"/>
  <c r="G166" s="1"/>
  <c r="G170" s="1"/>
  <c r="F80" l="1"/>
  <c r="F82" s="1"/>
  <c r="G80"/>
  <c r="G82" s="1"/>
  <c r="F67"/>
  <c r="F69" s="1"/>
  <c r="G67"/>
  <c r="G69" s="1"/>
  <c r="F55"/>
  <c r="F57" s="1"/>
  <c r="G53"/>
  <c r="G55" s="1"/>
  <c r="G57" s="1"/>
  <c r="F42"/>
  <c r="F44" s="1"/>
  <c r="G42"/>
  <c r="G44" s="1"/>
  <c r="F29"/>
  <c r="F31" s="1"/>
  <c r="G29"/>
  <c r="G31" s="1"/>
  <c r="F17"/>
  <c r="F19" s="1"/>
  <c r="G17"/>
  <c r="G19" s="1"/>
  <c r="E49" i="7" l="1"/>
  <c r="B49"/>
  <c r="E47"/>
  <c r="D47"/>
  <c r="C47"/>
  <c r="B47"/>
  <c r="B51"/>
  <c r="G132" i="9"/>
  <c r="F132"/>
  <c r="E132"/>
  <c r="D132"/>
  <c r="C132"/>
  <c r="B132"/>
  <c r="G123"/>
  <c r="F123"/>
  <c r="E123"/>
  <c r="D123"/>
  <c r="C123"/>
  <c r="B123"/>
  <c r="C110"/>
  <c r="B110"/>
  <c r="G104"/>
  <c r="G111" s="1"/>
  <c r="F104"/>
  <c r="F111" s="1"/>
  <c r="E104"/>
  <c r="E111" s="1"/>
  <c r="D104"/>
  <c r="D111" s="1"/>
  <c r="C104"/>
  <c r="C111" s="1"/>
  <c r="C128" s="1"/>
  <c r="B104"/>
  <c r="B111" s="1"/>
  <c r="B128" s="1"/>
  <c r="C95"/>
  <c r="C103" s="1"/>
  <c r="B95"/>
  <c r="B103" s="1"/>
  <c r="D9"/>
  <c r="C127" l="1"/>
  <c r="C129" s="1"/>
  <c r="C133" s="1"/>
  <c r="C112"/>
  <c r="C115" s="1"/>
  <c r="C120" s="1"/>
  <c r="C124" s="1"/>
  <c r="B127"/>
  <c r="B129" s="1"/>
  <c r="B133" s="1"/>
  <c r="B112"/>
  <c r="B115" s="1"/>
  <c r="B120" s="1"/>
  <c r="B124" s="1"/>
  <c r="C49" i="7" l="1"/>
  <c r="C51" s="1"/>
  <c r="E7" i="9"/>
  <c r="E9" s="1"/>
  <c r="B50" i="6"/>
  <c r="B52" s="1"/>
  <c r="B54" s="1"/>
  <c r="D32" i="7"/>
  <c r="C40"/>
  <c r="B40"/>
  <c r="C39"/>
  <c r="C41" s="1"/>
  <c r="B39"/>
  <c r="B41" s="1"/>
  <c r="G38"/>
  <c r="F38"/>
  <c r="E38"/>
  <c r="D38"/>
  <c r="G37"/>
  <c r="G39" s="1"/>
  <c r="F37"/>
  <c r="F39" s="1"/>
  <c r="E37"/>
  <c r="E39" s="1"/>
  <c r="D37"/>
  <c r="D39" s="1"/>
  <c r="C36"/>
  <c r="B36"/>
  <c r="G35"/>
  <c r="F35"/>
  <c r="E35"/>
  <c r="D35"/>
  <c r="C33"/>
  <c r="B33"/>
  <c r="G32"/>
  <c r="G40" s="1"/>
  <c r="F32"/>
  <c r="F40" s="1"/>
  <c r="E32"/>
  <c r="E40" s="1"/>
  <c r="D40"/>
  <c r="G26"/>
  <c r="F26"/>
  <c r="E26"/>
  <c r="D26"/>
  <c r="C26"/>
  <c r="B26"/>
  <c r="G25"/>
  <c r="G27" s="1"/>
  <c r="F25"/>
  <c r="F27" s="1"/>
  <c r="E25"/>
  <c r="E27" s="1"/>
  <c r="D25"/>
  <c r="D27" s="1"/>
  <c r="C25"/>
  <c r="C27" s="1"/>
  <c r="B25"/>
  <c r="B27" s="1"/>
  <c r="G22"/>
  <c r="G36" s="1"/>
  <c r="F22"/>
  <c r="F36" s="1"/>
  <c r="E22"/>
  <c r="E36" s="1"/>
  <c r="D22"/>
  <c r="D36" s="1"/>
  <c r="C22"/>
  <c r="B22"/>
  <c r="G19"/>
  <c r="G33" s="1"/>
  <c r="E19"/>
  <c r="E33" s="1"/>
  <c r="D19"/>
  <c r="D33" s="1"/>
  <c r="C19"/>
  <c r="B19"/>
  <c r="G14"/>
  <c r="F14"/>
  <c r="E14"/>
  <c r="D14"/>
  <c r="C14"/>
  <c r="B14"/>
  <c r="G13"/>
  <c r="G15" s="1"/>
  <c r="F13"/>
  <c r="F15" s="1"/>
  <c r="E13"/>
  <c r="E15" s="1"/>
  <c r="D13"/>
  <c r="D15" s="1"/>
  <c r="C13"/>
  <c r="C15" s="1"/>
  <c r="B13"/>
  <c r="B15" s="1"/>
  <c r="D7"/>
  <c r="E7" s="1"/>
  <c r="F7" s="1"/>
  <c r="G7" s="1"/>
  <c r="B45" i="6"/>
  <c r="B44"/>
  <c r="F43"/>
  <c r="E43"/>
  <c r="D43"/>
  <c r="C43"/>
  <c r="F42"/>
  <c r="E42"/>
  <c r="D42"/>
  <c r="B41"/>
  <c r="F40"/>
  <c r="E40"/>
  <c r="D40"/>
  <c r="C40"/>
  <c r="F39"/>
  <c r="F44" s="1"/>
  <c r="E39"/>
  <c r="E44" s="1"/>
  <c r="D39"/>
  <c r="D44" s="1"/>
  <c r="C39"/>
  <c r="C44" s="1"/>
  <c r="B38"/>
  <c r="F37"/>
  <c r="F45" s="1"/>
  <c r="E37"/>
  <c r="E45" s="1"/>
  <c r="D37"/>
  <c r="D45" s="1"/>
  <c r="C45"/>
  <c r="F28"/>
  <c r="E28"/>
  <c r="D28"/>
  <c r="C28"/>
  <c r="B28"/>
  <c r="F27"/>
  <c r="F29" s="1"/>
  <c r="E27"/>
  <c r="E29" s="1"/>
  <c r="D27"/>
  <c r="D29" s="1"/>
  <c r="C27"/>
  <c r="C29" s="1"/>
  <c r="B27"/>
  <c r="B29" s="1"/>
  <c r="F24"/>
  <c r="F41" s="1"/>
  <c r="E24"/>
  <c r="E41" s="1"/>
  <c r="D24"/>
  <c r="D41" s="1"/>
  <c r="C24"/>
  <c r="C41" s="1"/>
  <c r="B24"/>
  <c r="F21"/>
  <c r="D21"/>
  <c r="C21"/>
  <c r="B21"/>
  <c r="F15"/>
  <c r="E15"/>
  <c r="D15"/>
  <c r="C15"/>
  <c r="B15"/>
  <c r="F14"/>
  <c r="F16" s="1"/>
  <c r="E14"/>
  <c r="E16" s="1"/>
  <c r="D14"/>
  <c r="D16" s="1"/>
  <c r="C14"/>
  <c r="C16" s="1"/>
  <c r="B14"/>
  <c r="F11"/>
  <c r="E11"/>
  <c r="D11"/>
  <c r="C11"/>
  <c r="B11"/>
  <c r="F8"/>
  <c r="E8"/>
  <c r="D8"/>
  <c r="C8"/>
  <c r="B8"/>
  <c r="C38" l="1"/>
  <c r="B97"/>
  <c r="B98" s="1"/>
  <c r="F38"/>
  <c r="E97"/>
  <c r="E98" s="1"/>
  <c r="D38"/>
  <c r="C97"/>
  <c r="C98" s="1"/>
  <c r="D49" i="7"/>
  <c r="D51" s="1"/>
  <c r="E51"/>
  <c r="B46" i="6"/>
  <c r="C50"/>
  <c r="B16"/>
  <c r="F7" i="9"/>
  <c r="F9" s="1"/>
  <c r="G9"/>
  <c r="D41" i="7"/>
  <c r="E41"/>
  <c r="F41"/>
  <c r="G41"/>
  <c r="F19"/>
  <c r="F33" s="1"/>
  <c r="C46" i="6"/>
  <c r="D46"/>
  <c r="E46"/>
  <c r="F46"/>
  <c r="E21"/>
  <c r="E38" l="1"/>
  <c r="D97"/>
  <c r="D98" s="1"/>
  <c r="D50"/>
  <c r="C52"/>
  <c r="C54" s="1"/>
  <c r="C25" i="3"/>
  <c r="D25"/>
  <c r="E25"/>
  <c r="B25"/>
  <c r="C8"/>
  <c r="D8"/>
  <c r="E8"/>
  <c r="B8"/>
  <c r="C5"/>
  <c r="D5"/>
  <c r="E5"/>
  <c r="B5"/>
  <c r="D19" i="2"/>
  <c r="D21" s="1"/>
  <c r="E19"/>
  <c r="E21" s="1"/>
  <c r="C19"/>
  <c r="C21" s="1"/>
  <c r="B19"/>
  <c r="B21" s="1"/>
  <c r="C17" i="1"/>
  <c r="C23" s="1"/>
  <c r="C25" s="1"/>
  <c r="D17"/>
  <c r="D23" s="1"/>
  <c r="D25" s="1"/>
  <c r="E17"/>
  <c r="E23" s="1"/>
  <c r="E25" s="1"/>
  <c r="B17"/>
  <c r="B20" s="1"/>
  <c r="B22" s="1"/>
  <c r="D52" i="6" l="1"/>
  <c r="D54" s="1"/>
  <c r="E50"/>
  <c r="E20" i="1"/>
  <c r="E22" s="1"/>
  <c r="E26" s="1"/>
  <c r="D20"/>
  <c r="D22" s="1"/>
  <c r="D26" s="1"/>
  <c r="C20"/>
  <c r="C22" s="1"/>
  <c r="C26" s="1"/>
  <c r="B23"/>
  <c r="B25" s="1"/>
  <c r="B26" s="1"/>
  <c r="C9" i="3"/>
  <c r="C23" s="1"/>
  <c r="D9"/>
  <c r="D23" s="1"/>
  <c r="E9"/>
  <c r="E23" s="1"/>
  <c r="B9"/>
  <c r="B23" s="1"/>
  <c r="E52" i="6" l="1"/>
  <c r="E54" s="1"/>
  <c r="F95" i="9"/>
  <c r="F103" s="1"/>
  <c r="G95"/>
  <c r="G114" s="1"/>
  <c r="G128" s="1"/>
  <c r="D95"/>
  <c r="D103" s="1"/>
  <c r="E95"/>
  <c r="E114" s="1"/>
  <c r="E128" s="1"/>
  <c r="D112" l="1"/>
  <c r="D127"/>
  <c r="F127"/>
  <c r="F112"/>
  <c r="D114"/>
  <c r="D128" s="1"/>
  <c r="F114"/>
  <c r="F128" s="1"/>
  <c r="E103"/>
  <c r="G103"/>
  <c r="F129" l="1"/>
  <c r="F133" s="1"/>
  <c r="D115"/>
  <c r="D120" s="1"/>
  <c r="D124" s="1"/>
  <c r="E127"/>
  <c r="E129" s="1"/>
  <c r="E133" s="1"/>
  <c r="E112"/>
  <c r="E115" s="1"/>
  <c r="E120" s="1"/>
  <c r="E124" s="1"/>
  <c r="G127"/>
  <c r="G129" s="1"/>
  <c r="G133" s="1"/>
  <c r="G112"/>
  <c r="G115" s="1"/>
  <c r="G120" s="1"/>
  <c r="G124" s="1"/>
  <c r="F115"/>
  <c r="F120" s="1"/>
  <c r="F124" s="1"/>
  <c r="D129"/>
  <c r="D133" s="1"/>
</calcChain>
</file>

<file path=xl/sharedStrings.xml><?xml version="1.0" encoding="utf-8"?>
<sst xmlns="http://schemas.openxmlformats.org/spreadsheetml/2006/main" count="381" uniqueCount="186">
  <si>
    <t>Libellé</t>
  </si>
  <si>
    <t>Prix de vente IPP</t>
  </si>
  <si>
    <t>TE%</t>
  </si>
  <si>
    <t>TE 2013/2010</t>
  </si>
  <si>
    <t>NB/</t>
  </si>
  <si>
    <t>Prix de vente SPE / 1,725 de 2010 à 2013</t>
  </si>
  <si>
    <t>Achat Electricité</t>
  </si>
  <si>
    <t>Achat BT+MT</t>
  </si>
  <si>
    <t>Achat HT</t>
  </si>
  <si>
    <t>Total achat Elec GWh</t>
  </si>
  <si>
    <t>Quote Part SPE</t>
  </si>
  <si>
    <t>Quote Part IPP</t>
  </si>
  <si>
    <t>Achat à SPE  GWh</t>
  </si>
  <si>
    <t xml:space="preserve">Prix de vente SPE </t>
  </si>
  <si>
    <t>Achat à SPE MDA</t>
  </si>
  <si>
    <t>Achat aux tiers (IPP)  GWh</t>
  </si>
  <si>
    <t>Achat aux tiers MDA</t>
  </si>
  <si>
    <t>TOTAL</t>
  </si>
  <si>
    <t>Prix de vente Sonatrach</t>
  </si>
  <si>
    <t>Prix de vente SONATRACH :  0,102427 2012 &amp; 2013</t>
  </si>
  <si>
    <t>Achat Gaz</t>
  </si>
  <si>
    <t>Achat BP+MP</t>
  </si>
  <si>
    <t>Achat HP</t>
  </si>
  <si>
    <t>Total achat Gaz MTh</t>
  </si>
  <si>
    <t>Prix de vte</t>
  </si>
  <si>
    <t>Achat Gaz MDA</t>
  </si>
  <si>
    <t>TRANSIT</t>
  </si>
  <si>
    <t>Coût de transit Elec (GRTE)</t>
  </si>
  <si>
    <t>Montant Transit MDA</t>
  </si>
  <si>
    <t>Coût de transit Gaz (GRTG)</t>
  </si>
  <si>
    <t>Total Transit E/G MDA</t>
  </si>
  <si>
    <t>Services</t>
  </si>
  <si>
    <t>Montant</t>
  </si>
  <si>
    <t>NB/ 2012 : 1848  MDA &amp; 2013 1900 MDA</t>
  </si>
  <si>
    <t>TE</t>
  </si>
  <si>
    <t xml:space="preserve">Frais Divers </t>
  </si>
  <si>
    <t>NB/ 2012 : 113 MDA &amp; 2013 89 MDA</t>
  </si>
  <si>
    <t>Total Service</t>
  </si>
  <si>
    <t>% choisi</t>
  </si>
  <si>
    <t>COUT</t>
  </si>
  <si>
    <t>cadres</t>
  </si>
  <si>
    <t>maîtrise</t>
  </si>
  <si>
    <t>exécution</t>
  </si>
  <si>
    <t>TE CADRES</t>
  </si>
  <si>
    <t>TE Maitrises</t>
  </si>
  <si>
    <t>TE Execution</t>
  </si>
  <si>
    <t>Frais de personnel</t>
  </si>
  <si>
    <t>Nbre Cadres</t>
  </si>
  <si>
    <t>Coût</t>
  </si>
  <si>
    <t>Nbre Maîtrises</t>
  </si>
  <si>
    <t>Nbre Exécutions</t>
  </si>
  <si>
    <t>Autres charges opérationnelles</t>
  </si>
  <si>
    <t>Dotations aux amortissements, provisions et pertes de valeurs</t>
  </si>
  <si>
    <t>Charges financières</t>
  </si>
  <si>
    <t>Autres produits opérationnels</t>
  </si>
  <si>
    <t>Reprise sur pertes de valeur et provisions</t>
  </si>
  <si>
    <t>Produits financiers</t>
  </si>
  <si>
    <t xml:space="preserve">                         TPR</t>
  </si>
  <si>
    <t xml:space="preserve">                         Divers</t>
  </si>
  <si>
    <t>Achat pour IPP</t>
  </si>
  <si>
    <t>Prix vte BT</t>
  </si>
  <si>
    <t>Prix vte MT</t>
  </si>
  <si>
    <t>Prix vte HT</t>
  </si>
  <si>
    <t xml:space="preserve">Total achat Gaz </t>
  </si>
  <si>
    <t>NOMBRE CLIENTS ELEC</t>
  </si>
  <si>
    <t xml:space="preserve">Budget </t>
  </si>
  <si>
    <t>LIBELLE</t>
  </si>
  <si>
    <t>Nbre clients BT (Non Eligible)</t>
  </si>
  <si>
    <t>Nbre clients MT Dont :</t>
  </si>
  <si>
    <t>Nbre clients MT Eligible</t>
  </si>
  <si>
    <t xml:space="preserve">  Nbre client MT Non Eligible</t>
  </si>
  <si>
    <t>Nbre clients HT Dont :</t>
  </si>
  <si>
    <t>Nbre clients HT Eligible</t>
  </si>
  <si>
    <t xml:space="preserve">  Nbre client HT Non Eligible</t>
  </si>
  <si>
    <t>Total clients  Eligible</t>
  </si>
  <si>
    <t>Total clients  Non Eligible</t>
  </si>
  <si>
    <t>Total clients</t>
  </si>
  <si>
    <t>Vtes Elec BT (Non Eligible)</t>
  </si>
  <si>
    <t>Vtes Elec MT  Dont :</t>
  </si>
  <si>
    <t>Vtes Elec MT Eligible</t>
  </si>
  <si>
    <t>Vtes Elec MT Non Eligible</t>
  </si>
  <si>
    <t>Vtes Elec HT  Dont :</t>
  </si>
  <si>
    <t>Vtes Elec HT Eligible</t>
  </si>
  <si>
    <t>Vtes Elec HT Non Eligible</t>
  </si>
  <si>
    <t>Vtes Elec  Eligible</t>
  </si>
  <si>
    <t>Vtes Elec  Non Eligible</t>
  </si>
  <si>
    <t>Total ventes</t>
  </si>
  <si>
    <t>Prix moyens</t>
  </si>
  <si>
    <t>Nbre clients BP (Non Eligible)</t>
  </si>
  <si>
    <t>Nbre clients MP Dont :</t>
  </si>
  <si>
    <t>Nbre clients MP Eligible</t>
  </si>
  <si>
    <t xml:space="preserve">  Nbre client MP Non Eligible</t>
  </si>
  <si>
    <t>Nbre clients HP Dont :</t>
  </si>
  <si>
    <t>Nbre clients HP Eligible</t>
  </si>
  <si>
    <t xml:space="preserve">  Nbre client HP Non Eligible</t>
  </si>
  <si>
    <t xml:space="preserve">CHIFFRE D'AFFAIRES GAZ </t>
  </si>
  <si>
    <t>Vente Electricité</t>
  </si>
  <si>
    <t xml:space="preserve">VENTES ELEC </t>
  </si>
  <si>
    <t>CHIFFRE D'AFFAIRES ELEC</t>
  </si>
  <si>
    <t>Vente GAZ</t>
  </si>
  <si>
    <t>NOMBRE CLIENTS GAZ</t>
  </si>
  <si>
    <t>VENTES GAZ</t>
  </si>
  <si>
    <t>Vtes GAZ BP (Non Eligible)</t>
  </si>
  <si>
    <t>Vtes GAZ MP  Dont :</t>
  </si>
  <si>
    <t>Vtes GAZ MP Eligible</t>
  </si>
  <si>
    <t>Vtes GAZ MP Non Eligible</t>
  </si>
  <si>
    <t>Vtes GAZ HP  Dont :</t>
  </si>
  <si>
    <t>Vtes GAZ HP Eligible</t>
  </si>
  <si>
    <t>Vtes GAZ HP Non Eligible</t>
  </si>
  <si>
    <t>Vtes GAZ  Eligible</t>
  </si>
  <si>
    <t>Vtes GAZ  Non Eligible</t>
  </si>
  <si>
    <t>Majoration 1%</t>
  </si>
  <si>
    <t>CA avec augmentation de 1%</t>
  </si>
  <si>
    <t>Vente physique Elec</t>
  </si>
  <si>
    <t>CA Elec avant majoration</t>
  </si>
  <si>
    <t>Prix de vente  initial Elec</t>
  </si>
  <si>
    <t>Ecart (plus value)</t>
  </si>
  <si>
    <t>COMPTES DE RESULTAT 2012/2017</t>
  </si>
  <si>
    <t>SDA</t>
  </si>
  <si>
    <t>Ventes et produits annexes</t>
  </si>
  <si>
    <t>Dont:               Electricité</t>
  </si>
  <si>
    <t xml:space="preserve">                         Gaz</t>
  </si>
  <si>
    <t>Variation stocks produits finis et en cours</t>
  </si>
  <si>
    <t>Production immobilisée</t>
  </si>
  <si>
    <t>Subventions d'exploitation</t>
  </si>
  <si>
    <t>I-PRODUCTION DE L'EXERCICE</t>
  </si>
  <si>
    <t>Achats consommés</t>
  </si>
  <si>
    <t>Consommations mat et matériels</t>
  </si>
  <si>
    <t>Achat gaz (DP+Clients HP+IPP)</t>
  </si>
  <si>
    <t>Achat d'élect à SPE</t>
  </si>
  <si>
    <t>Achat d'élect aux tiers</t>
  </si>
  <si>
    <t>Régularisation inter SD+ONE</t>
  </si>
  <si>
    <t>Services extérieurs et autres consommations</t>
  </si>
  <si>
    <t>II-CONSOMMATION DE L'EXERCICE</t>
  </si>
  <si>
    <t>III-VALEUR AJOUTEE D'EXPLOITATION (I-II)</t>
  </si>
  <si>
    <t>Charges de personnel</t>
  </si>
  <si>
    <t>Impôts, taxes et versements assimilés</t>
  </si>
  <si>
    <t>IV-EXCEDENT BRUT D'EXPLOITATION</t>
  </si>
  <si>
    <t>V- RESULTAT OPERATIONNEL</t>
  </si>
  <si>
    <t>VI-RESULTAT FINANCIER</t>
  </si>
  <si>
    <t>VII-RESULTAT ORDINAIRE AVANT IMPOTS ( V+VI)</t>
  </si>
  <si>
    <t>Impôts exigibles sur résultats ordinaires</t>
  </si>
  <si>
    <t>Impôts différés ( Variations ) sur résultats ordinaires</t>
  </si>
  <si>
    <t>TOTAL DES PRODUITS DES ACTIVITES ORDINAIRES</t>
  </si>
  <si>
    <t>TOTAL DES CHARGES DES ACTIVITES ORDINAIRES</t>
  </si>
  <si>
    <t>VIII-RESULTAT NET DES ACTIVITES ORDINAIRES</t>
  </si>
  <si>
    <t>Eléments extraordinaires (produits) (à préciser)</t>
  </si>
  <si>
    <t>Eléments extraordinaires (charges) (à préciser)</t>
  </si>
  <si>
    <t>IX-RESULTAT EXTRAORDINAIRE</t>
  </si>
  <si>
    <t>X-RESULTAT NET DE L'EXERCICE</t>
  </si>
  <si>
    <t>Prix de vente  initial Gaz</t>
  </si>
  <si>
    <t>Vente physique Gaz</t>
  </si>
  <si>
    <t>CA Gaz avec augmentation de 1%</t>
  </si>
  <si>
    <t>CA Gaz avant majoration</t>
  </si>
  <si>
    <t>BT 3,958</t>
  </si>
  <si>
    <t>MT 3,307</t>
  </si>
  <si>
    <t>HT 2,189</t>
  </si>
  <si>
    <t>BP 0,32</t>
  </si>
  <si>
    <t>MP 0,33</t>
  </si>
  <si>
    <t>HP 0,164</t>
  </si>
  <si>
    <t>Majoration 5%</t>
  </si>
  <si>
    <t>RT DE L'EXERCICE</t>
  </si>
  <si>
    <t xml:space="preserve">Majoration 10% </t>
  </si>
  <si>
    <t>Majoration 25% en 2014, 7% Après</t>
  </si>
  <si>
    <t>Majoration 15% en 2014, 7% Après</t>
  </si>
  <si>
    <t xml:space="preserve">CA avec augmentation </t>
  </si>
  <si>
    <t>Majoration 20,56% en 2014, 1% Après</t>
  </si>
  <si>
    <t>OK</t>
  </si>
  <si>
    <t>CONCESSION</t>
  </si>
  <si>
    <t>ELIGIBLE</t>
  </si>
  <si>
    <t xml:space="preserve">ACHAT MT/BT </t>
  </si>
  <si>
    <t>PERTE</t>
  </si>
  <si>
    <t>TAUX PERTE</t>
  </si>
  <si>
    <t>PLAN STRATEGIQUE VALIDE PAR LE CA</t>
  </si>
  <si>
    <t xml:space="preserve">OK </t>
  </si>
  <si>
    <t xml:space="preserve">ACHAT MP/BP </t>
  </si>
  <si>
    <t>ok</t>
  </si>
  <si>
    <t>Résultat de l'exercice</t>
  </si>
  <si>
    <t>BP</t>
  </si>
  <si>
    <t>MP</t>
  </si>
  <si>
    <t>HP</t>
  </si>
  <si>
    <t>VTE NON ELIG 2013</t>
  </si>
  <si>
    <t>MONT</t>
  </si>
  <si>
    <t>VTE ELIG 2013</t>
  </si>
  <si>
    <t>TOTAL VTE</t>
  </si>
  <si>
    <t>VTE NON ELIG 2012</t>
  </si>
</sst>
</file>

<file path=xl/styles.xml><?xml version="1.0" encoding="utf-8"?>
<styleSheet xmlns="http://schemas.openxmlformats.org/spreadsheetml/2006/main">
  <numFmts count="7">
    <numFmt numFmtId="43" formatCode="_-* #,##0.00\ _€_-;\-* #,##0.00\ _€_-;_-* &quot;-&quot;??\ _€_-;_-@_-"/>
    <numFmt numFmtId="164" formatCode="0.000"/>
    <numFmt numFmtId="165" formatCode="0.0%"/>
    <numFmt numFmtId="166" formatCode="0.000000"/>
    <numFmt numFmtId="167" formatCode="_-* #,##0\ _€_-;\-* #,##0\ _€_-;_-* &quot;-&quot;??\ _€_-;_-@_-"/>
    <numFmt numFmtId="168" formatCode="_-* #,##0.0000\ _€_-;\-* #,##0.0000\ _€_-;_-* &quot;-&quot;??\ _€_-;_-@_-"/>
    <numFmt numFmtId="169" formatCode="_-* #,##0.000\ _€_-;\-* #,##0.000\ _€_-;_-* &quot;-&quot;??\ _€_-;_-@_-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0"/>
      <color rgb="FF000000"/>
      <name val="Calibri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sz val="14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name val="Calibri"/>
      <family val="2"/>
    </font>
    <font>
      <sz val="9"/>
      <color rgb="FF000000"/>
      <name val="Arial Narrow"/>
      <family val="2"/>
    </font>
    <font>
      <sz val="11"/>
      <name val="Calibri"/>
      <family val="2"/>
      <scheme val="minor"/>
    </font>
    <font>
      <sz val="10"/>
      <name val="Calibri"/>
      <family val="2"/>
    </font>
    <font>
      <b/>
      <sz val="11"/>
      <name val="Calibri"/>
      <family val="2"/>
      <scheme val="minor"/>
    </font>
    <font>
      <sz val="12"/>
      <color theme="1"/>
      <name val="Candara"/>
      <family val="2"/>
    </font>
    <font>
      <sz val="11"/>
      <color theme="0"/>
      <name val="Calibri"/>
      <family val="2"/>
      <scheme val="minor"/>
    </font>
    <font>
      <b/>
      <sz val="18"/>
      <color rgb="FFFF0000"/>
      <name val="Candara"/>
      <family val="2"/>
    </font>
    <font>
      <b/>
      <sz val="18"/>
      <name val="Candara"/>
      <family val="2"/>
    </font>
    <font>
      <b/>
      <sz val="18"/>
      <color theme="1"/>
      <name val="Candara"/>
      <family val="2"/>
    </font>
    <font>
      <b/>
      <sz val="18"/>
      <color theme="0"/>
      <name val="Candara"/>
      <family val="2"/>
    </font>
    <font>
      <b/>
      <sz val="22"/>
      <color theme="0"/>
      <name val="Candara"/>
      <family val="2"/>
    </font>
    <font>
      <sz val="18"/>
      <color theme="1"/>
      <name val="Candara"/>
      <family val="2"/>
    </font>
    <font>
      <b/>
      <u/>
      <sz val="22"/>
      <color theme="1"/>
      <name val="Candara"/>
      <family val="2"/>
    </font>
    <font>
      <sz val="18"/>
      <name val="Candara"/>
      <family val="2"/>
    </font>
    <font>
      <sz val="18"/>
      <color rgb="FFFF0000"/>
      <name val="Candara"/>
      <family val="2"/>
    </font>
    <font>
      <b/>
      <sz val="18"/>
      <color rgb="FF00B0F0"/>
      <name val="Candara"/>
      <family val="2"/>
    </font>
    <font>
      <b/>
      <u/>
      <sz val="24"/>
      <color theme="1"/>
      <name val="Candara"/>
      <family val="2"/>
    </font>
    <font>
      <b/>
      <u/>
      <sz val="18"/>
      <color theme="1"/>
      <name val="Candara"/>
      <family val="2"/>
    </font>
    <font>
      <b/>
      <sz val="22"/>
      <color rgb="FF002060"/>
      <name val="Candara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ndara"/>
      <family val="2"/>
    </font>
    <font>
      <b/>
      <sz val="12"/>
      <color theme="1"/>
      <name val="Candara"/>
      <family val="2"/>
    </font>
    <font>
      <b/>
      <sz val="12"/>
      <name val="Candara"/>
      <family val="2"/>
    </font>
    <font>
      <b/>
      <u/>
      <sz val="14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Cambria"/>
      <family val="1"/>
    </font>
    <font>
      <sz val="10"/>
      <color rgb="FF000000"/>
      <name val="Calibri"/>
      <family val="2"/>
    </font>
    <font>
      <sz val="10"/>
      <color theme="1"/>
      <name val="Cambria"/>
      <family val="1"/>
    </font>
    <font>
      <b/>
      <sz val="10"/>
      <color theme="0"/>
      <name val="Calibri"/>
      <family val="2"/>
    </font>
    <font>
      <b/>
      <sz val="10"/>
      <color rgb="FFFF0000"/>
      <name val="Calibri"/>
      <family val="2"/>
    </font>
    <font>
      <b/>
      <sz val="10"/>
      <color theme="0"/>
      <name val="Candara"/>
      <family val="2"/>
    </font>
    <font>
      <sz val="10"/>
      <color theme="0"/>
      <name val="Candara"/>
      <family val="2"/>
    </font>
    <font>
      <sz val="10"/>
      <color theme="1"/>
      <name val="Calibri"/>
      <family val="2"/>
      <scheme val="minor"/>
    </font>
    <font>
      <b/>
      <sz val="10"/>
      <color theme="1"/>
      <name val="Candara"/>
      <family val="2"/>
    </font>
    <font>
      <sz val="10"/>
      <color theme="1"/>
      <name val="Candara"/>
      <family val="2"/>
    </font>
    <font>
      <b/>
      <u/>
      <sz val="10"/>
      <color rgb="FFFF0000"/>
      <name val="Candara"/>
      <family val="2"/>
    </font>
    <font>
      <b/>
      <u/>
      <sz val="10"/>
      <color theme="1"/>
      <name val="Candara"/>
      <family val="2"/>
    </font>
    <font>
      <sz val="10"/>
      <name val="Candara"/>
      <family val="2"/>
    </font>
    <font>
      <b/>
      <sz val="10"/>
      <color rgb="FFFF0000"/>
      <name val="Candara"/>
      <family val="2"/>
    </font>
    <font>
      <sz val="10"/>
      <color rgb="FF00B0F0"/>
      <name val="Candara"/>
      <family val="2"/>
    </font>
    <font>
      <b/>
      <sz val="10"/>
      <color rgb="FF00B0F0"/>
      <name val="Candara"/>
      <family val="2"/>
    </font>
    <font>
      <sz val="10"/>
      <color rgb="FFFF0000"/>
      <name val="Candara"/>
      <family val="2"/>
    </font>
    <font>
      <b/>
      <sz val="10"/>
      <name val="Candara"/>
      <family val="2"/>
    </font>
    <font>
      <sz val="12"/>
      <color rgb="FFFF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598D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3EAF7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4BACC6"/>
      </left>
      <right style="medium">
        <color rgb="FF4BACC6"/>
      </right>
      <top style="medium">
        <color rgb="FF4BACC6"/>
      </top>
      <bottom style="medium">
        <color rgb="FF4BACC6"/>
      </bottom>
      <diagonal/>
    </border>
    <border>
      <left/>
      <right style="medium">
        <color rgb="FF4BACC6"/>
      </right>
      <top style="medium">
        <color rgb="FF4BACC6"/>
      </top>
      <bottom style="medium">
        <color rgb="FF4BACC6"/>
      </bottom>
      <diagonal/>
    </border>
    <border>
      <left style="medium">
        <color rgb="FF4BACC6"/>
      </left>
      <right style="medium">
        <color rgb="FF4BACC6"/>
      </right>
      <top/>
      <bottom style="medium">
        <color rgb="FF4BACC6"/>
      </bottom>
      <diagonal/>
    </border>
    <border>
      <left/>
      <right style="medium">
        <color rgb="FF4BACC6"/>
      </right>
      <top/>
      <bottom style="medium">
        <color rgb="FF4BACC6"/>
      </bottom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</cellStyleXfs>
  <cellXfs count="307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/>
    <xf numFmtId="0" fontId="3" fillId="0" borderId="0" xfId="0" applyFont="1"/>
    <xf numFmtId="0" fontId="0" fillId="0" borderId="0" xfId="0" applyFill="1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 applyAlignment="1">
      <alignment horizontal="center"/>
    </xf>
    <xf numFmtId="165" fontId="0" fillId="0" borderId="0" xfId="2" applyNumberFormat="1" applyFont="1" applyFill="1"/>
    <xf numFmtId="43" fontId="0" fillId="2" borderId="1" xfId="0" applyNumberFormat="1" applyFill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43" fontId="12" fillId="0" borderId="1" xfId="1" applyFont="1" applyBorder="1" applyAlignment="1">
      <alignment horizontal="center"/>
    </xf>
    <xf numFmtId="43" fontId="12" fillId="0" borderId="1" xfId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4" fillId="0" borderId="1" xfId="0" applyFont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9" fontId="4" fillId="0" borderId="2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166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9" fontId="0" fillId="0" borderId="0" xfId="2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1" xfId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43" fontId="0" fillId="4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7" fillId="0" borderId="0" xfId="0" applyFont="1"/>
    <xf numFmtId="0" fontId="0" fillId="4" borderId="1" xfId="0" applyFill="1" applyBorder="1" applyAlignment="1">
      <alignment horizontal="center"/>
    </xf>
    <xf numFmtId="0" fontId="3" fillId="0" borderId="1" xfId="0" applyFont="1" applyBorder="1"/>
    <xf numFmtId="9" fontId="0" fillId="0" borderId="0" xfId="2" applyFont="1" applyAlignment="1">
      <alignment horizontal="left"/>
    </xf>
    <xf numFmtId="43" fontId="3" fillId="0" borderId="1" xfId="0" applyNumberFormat="1" applyFont="1" applyBorder="1" applyAlignment="1">
      <alignment horizontal="center"/>
    </xf>
    <xf numFmtId="0" fontId="0" fillId="0" borderId="0" xfId="0"/>
    <xf numFmtId="43" fontId="0" fillId="0" borderId="0" xfId="0" applyNumberFormat="1"/>
    <xf numFmtId="0" fontId="0" fillId="0" borderId="1" xfId="0" applyFill="1" applyBorder="1" applyAlignment="1"/>
    <xf numFmtId="1" fontId="0" fillId="0" borderId="1" xfId="0" applyNumberFormat="1" applyFill="1" applyBorder="1" applyAlignment="1"/>
    <xf numFmtId="0" fontId="0" fillId="0" borderId="0" xfId="0" applyFill="1" applyAlignment="1"/>
    <xf numFmtId="0" fontId="3" fillId="0" borderId="1" xfId="0" applyFont="1" applyFill="1" applyBorder="1" applyAlignment="1"/>
    <xf numFmtId="43" fontId="13" fillId="0" borderId="1" xfId="1" applyFont="1" applyFill="1" applyBorder="1" applyAlignment="1"/>
    <xf numFmtId="43" fontId="0" fillId="0" borderId="1" xfId="1" applyFont="1" applyFill="1" applyBorder="1" applyAlignment="1"/>
    <xf numFmtId="0" fontId="0" fillId="0" borderId="0" xfId="0" applyFill="1" applyBorder="1" applyAlignment="1"/>
    <xf numFmtId="165" fontId="0" fillId="0" borderId="0" xfId="0" applyNumberFormat="1" applyFill="1" applyBorder="1" applyAlignment="1"/>
    <xf numFmtId="165" fontId="0" fillId="0" borderId="0" xfId="2" applyNumberFormat="1" applyFont="1" applyFill="1" applyBorder="1" applyAlignment="1"/>
    <xf numFmtId="0" fontId="15" fillId="0" borderId="1" xfId="0" applyFont="1" applyBorder="1" applyAlignment="1">
      <alignment horizontal="center"/>
    </xf>
    <xf numFmtId="167" fontId="11" fillId="0" borderId="10" xfId="1" applyNumberFormat="1" applyFont="1" applyBorder="1" applyAlignment="1">
      <alignment horizontal="left" indent="2"/>
    </xf>
    <xf numFmtId="167" fontId="11" fillId="0" borderId="1" xfId="1" applyNumberFormat="1" applyFont="1" applyBorder="1" applyAlignment="1">
      <alignment horizontal="left" indent="2"/>
    </xf>
    <xf numFmtId="167" fontId="11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7" fontId="6" fillId="0" borderId="10" xfId="1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43" fontId="0" fillId="4" borderId="1" xfId="1" applyFont="1" applyFill="1" applyBorder="1"/>
    <xf numFmtId="43" fontId="0" fillId="2" borderId="1" xfId="1" applyFont="1" applyFill="1" applyBorder="1"/>
    <xf numFmtId="43" fontId="0" fillId="3" borderId="9" xfId="1" applyFont="1" applyFill="1" applyBorder="1"/>
    <xf numFmtId="0" fontId="0" fillId="0" borderId="0" xfId="0"/>
    <xf numFmtId="0" fontId="3" fillId="0" borderId="0" xfId="0" applyFont="1"/>
    <xf numFmtId="0" fontId="3" fillId="0" borderId="1" xfId="0" applyFont="1" applyBorder="1"/>
    <xf numFmtId="167" fontId="6" fillId="0" borderId="10" xfId="1" applyNumberFormat="1" applyFont="1" applyBorder="1" applyAlignment="1">
      <alignment horizontal="left" indent="2"/>
    </xf>
    <xf numFmtId="3" fontId="10" fillId="0" borderId="1" xfId="0" applyNumberFormat="1" applyFont="1" applyFill="1" applyBorder="1" applyAlignment="1">
      <alignment horizontal="center"/>
    </xf>
    <xf numFmtId="9" fontId="0" fillId="0" borderId="0" xfId="2" applyFont="1"/>
    <xf numFmtId="0" fontId="0" fillId="0" borderId="0" xfId="0" applyAlignment="1">
      <alignment horizontal="right"/>
    </xf>
    <xf numFmtId="9" fontId="0" fillId="0" borderId="0" xfId="2" applyFont="1" applyAlignment="1">
      <alignment horizontal="left"/>
    </xf>
    <xf numFmtId="3" fontId="14" fillId="0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13" fillId="0" borderId="1" xfId="1" applyFont="1" applyBorder="1" applyAlignment="1">
      <alignment horizontal="center"/>
    </xf>
    <xf numFmtId="43" fontId="13" fillId="0" borderId="1" xfId="0" applyNumberFormat="1" applyFont="1" applyBorder="1" applyAlignment="1">
      <alignment horizontal="center"/>
    </xf>
    <xf numFmtId="17" fontId="0" fillId="0" borderId="0" xfId="0" applyNumberFormat="1"/>
    <xf numFmtId="0" fontId="3" fillId="0" borderId="0" xfId="0" applyFont="1" applyAlignment="1">
      <alignment horizontal="right"/>
    </xf>
    <xf numFmtId="9" fontId="3" fillId="0" borderId="0" xfId="2" applyFont="1"/>
    <xf numFmtId="43" fontId="9" fillId="0" borderId="1" xfId="1" applyFont="1" applyFill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0" fillId="0" borderId="1" xfId="1" applyFont="1" applyBorder="1"/>
    <xf numFmtId="43" fontId="0" fillId="0" borderId="11" xfId="1" applyFont="1" applyFill="1" applyBorder="1"/>
    <xf numFmtId="2" fontId="0" fillId="2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17" fillId="3" borderId="8" xfId="0" applyFont="1" applyFill="1" applyBorder="1"/>
    <xf numFmtId="43" fontId="17" fillId="3" borderId="9" xfId="1" applyFont="1" applyFill="1" applyBorder="1" applyAlignment="1">
      <alignment horizontal="center"/>
    </xf>
    <xf numFmtId="168" fontId="0" fillId="0" borderId="2" xfId="1" applyNumberFormat="1" applyFont="1" applyFill="1" applyBorder="1" applyAlignment="1">
      <alignment horizontal="center"/>
    </xf>
    <xf numFmtId="43" fontId="0" fillId="5" borderId="1" xfId="1" applyFont="1" applyFill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0" fontId="20" fillId="4" borderId="0" xfId="0" applyFont="1" applyFill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24" fillId="4" borderId="0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 vertical="center"/>
    </xf>
    <xf numFmtId="3" fontId="21" fillId="7" borderId="12" xfId="0" applyNumberFormat="1" applyFont="1" applyFill="1" applyBorder="1" applyAlignment="1">
      <alignment horizontal="center" vertical="center"/>
    </xf>
    <xf numFmtId="167" fontId="25" fillId="4" borderId="0" xfId="5" applyNumberFormat="1" applyFont="1" applyFill="1" applyBorder="1" applyAlignment="1">
      <alignment horizontal="center" vertical="center"/>
    </xf>
    <xf numFmtId="167" fontId="20" fillId="4" borderId="0" xfId="0" applyNumberFormat="1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164" fontId="20" fillId="4" borderId="0" xfId="0" applyNumberFormat="1" applyFont="1" applyFill="1" applyBorder="1" applyAlignment="1">
      <alignment horizontal="center" vertical="center"/>
    </xf>
    <xf numFmtId="0" fontId="23" fillId="5" borderId="0" xfId="0" applyFont="1" applyFill="1" applyBorder="1"/>
    <xf numFmtId="0" fontId="26" fillId="5" borderId="0" xfId="0" applyFont="1" applyFill="1" applyBorder="1" applyAlignment="1">
      <alignment horizontal="center" vertical="center"/>
    </xf>
    <xf numFmtId="167" fontId="26" fillId="5" borderId="0" xfId="0" applyNumberFormat="1" applyFont="1" applyFill="1" applyBorder="1" applyAlignment="1">
      <alignment horizontal="center" vertical="center"/>
    </xf>
    <xf numFmtId="167" fontId="27" fillId="0" borderId="0" xfId="0" applyNumberFormat="1" applyFont="1" applyFill="1" applyBorder="1" applyAlignment="1">
      <alignment horizontal="center" vertical="center"/>
    </xf>
    <xf numFmtId="0" fontId="20" fillId="4" borderId="0" xfId="0" applyFont="1" applyFill="1" applyAlignment="1">
      <alignment horizontal="left" vertical="center"/>
    </xf>
    <xf numFmtId="3" fontId="20" fillId="4" borderId="0" xfId="0" applyNumberFormat="1" applyFont="1" applyFill="1" applyAlignment="1">
      <alignment horizontal="center" vertical="center"/>
    </xf>
    <xf numFmtId="0" fontId="29" fillId="4" borderId="0" xfId="0" applyFont="1" applyFill="1" applyBorder="1" applyAlignment="1">
      <alignment horizontal="left" vertical="center"/>
    </xf>
    <xf numFmtId="0" fontId="20" fillId="4" borderId="17" xfId="0" applyFont="1" applyFill="1" applyBorder="1" applyAlignment="1">
      <alignment horizontal="center" vertical="center"/>
    </xf>
    <xf numFmtId="0" fontId="20" fillId="4" borderId="15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left" vertical="center"/>
    </xf>
    <xf numFmtId="3" fontId="19" fillId="6" borderId="2" xfId="0" applyNumberFormat="1" applyFont="1" applyFill="1" applyBorder="1" applyAlignment="1">
      <alignment horizontal="center" vertical="center"/>
    </xf>
    <xf numFmtId="167" fontId="19" fillId="6" borderId="2" xfId="5" applyNumberFormat="1" applyFont="1" applyFill="1" applyBorder="1" applyAlignment="1">
      <alignment horizontal="center" vertical="center"/>
    </xf>
    <xf numFmtId="3" fontId="19" fillId="6" borderId="2" xfId="5" applyNumberFormat="1" applyFont="1" applyFill="1" applyBorder="1" applyAlignment="1">
      <alignment horizontal="center" vertical="center"/>
    </xf>
    <xf numFmtId="0" fontId="20" fillId="6" borderId="12" xfId="0" applyFont="1" applyFill="1" applyBorder="1" applyAlignment="1">
      <alignment horizontal="left" vertical="center"/>
    </xf>
    <xf numFmtId="3" fontId="19" fillId="6" borderId="12" xfId="0" applyNumberFormat="1" applyFont="1" applyFill="1" applyBorder="1" applyAlignment="1">
      <alignment horizontal="center" vertical="center"/>
    </xf>
    <xf numFmtId="167" fontId="19" fillId="6" borderId="12" xfId="5" applyNumberFormat="1" applyFont="1" applyFill="1" applyBorder="1" applyAlignment="1">
      <alignment horizontal="center" vertical="center"/>
    </xf>
    <xf numFmtId="49" fontId="20" fillId="4" borderId="12" xfId="0" applyNumberFormat="1" applyFont="1" applyFill="1" applyBorder="1" applyAlignment="1">
      <alignment horizontal="left" vertical="center"/>
    </xf>
    <xf numFmtId="3" fontId="19" fillId="4" borderId="12" xfId="0" applyNumberFormat="1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left" vertical="center"/>
    </xf>
    <xf numFmtId="0" fontId="21" fillId="7" borderId="3" xfId="0" applyFont="1" applyFill="1" applyBorder="1" applyAlignment="1">
      <alignment horizontal="left" vertical="center"/>
    </xf>
    <xf numFmtId="3" fontId="21" fillId="7" borderId="3" xfId="0" applyNumberFormat="1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left" vertical="center"/>
    </xf>
    <xf numFmtId="3" fontId="20" fillId="6" borderId="12" xfId="0" applyNumberFormat="1" applyFont="1" applyFill="1" applyBorder="1" applyAlignment="1">
      <alignment horizontal="center" vertical="center"/>
    </xf>
    <xf numFmtId="167" fontId="19" fillId="4" borderId="12" xfId="5" applyNumberFormat="1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left" vertical="center"/>
    </xf>
    <xf numFmtId="167" fontId="19" fillId="0" borderId="2" xfId="5" applyNumberFormat="1" applyFont="1" applyFill="1" applyBorder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/>
    </xf>
    <xf numFmtId="167" fontId="19" fillId="0" borderId="12" xfId="0" applyNumberFormat="1" applyFont="1" applyFill="1" applyBorder="1" applyAlignment="1">
      <alignment horizontal="center" vertical="center"/>
    </xf>
    <xf numFmtId="3" fontId="19" fillId="0" borderId="12" xfId="0" applyNumberFormat="1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167" fontId="19" fillId="0" borderId="12" xfId="5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3" fontId="18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left"/>
    </xf>
    <xf numFmtId="167" fontId="19" fillId="0" borderId="15" xfId="5" applyNumberFormat="1" applyFont="1" applyFill="1" applyBorder="1" applyAlignment="1">
      <alignment horizontal="center" vertical="center"/>
    </xf>
    <xf numFmtId="3" fontId="20" fillId="0" borderId="16" xfId="0" applyNumberFormat="1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167" fontId="19" fillId="0" borderId="16" xfId="5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3" fillId="4" borderId="1" xfId="0" applyFont="1" applyFill="1" applyBorder="1" applyAlignment="1">
      <alignment horizontal="left" vertical="center"/>
    </xf>
    <xf numFmtId="169" fontId="33" fillId="4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167" fontId="33" fillId="4" borderId="1" xfId="0" applyNumberFormat="1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/>
    </xf>
    <xf numFmtId="167" fontId="32" fillId="8" borderId="1" xfId="0" applyNumberFormat="1" applyFont="1" applyFill="1" applyBorder="1" applyAlignment="1">
      <alignment horizontal="center" vertical="center"/>
    </xf>
    <xf numFmtId="167" fontId="11" fillId="10" borderId="21" xfId="1" applyNumberFormat="1" applyFont="1" applyFill="1" applyBorder="1" applyAlignment="1">
      <alignment horizontal="center"/>
    </xf>
    <xf numFmtId="3" fontId="11" fillId="0" borderId="1" xfId="0" applyNumberFormat="1" applyFont="1" applyFill="1" applyBorder="1" applyAlignment="1">
      <alignment horizontal="center"/>
    </xf>
    <xf numFmtId="167" fontId="38" fillId="0" borderId="10" xfId="1" applyNumberFormat="1" applyFont="1" applyFill="1" applyBorder="1" applyAlignment="1">
      <alignment horizontal="left" indent="2"/>
    </xf>
    <xf numFmtId="0" fontId="37" fillId="0" borderId="1" xfId="0" applyFont="1" applyFill="1" applyBorder="1" applyAlignment="1">
      <alignment horizontal="center"/>
    </xf>
    <xf numFmtId="3" fontId="1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/>
    </xf>
    <xf numFmtId="0" fontId="0" fillId="0" borderId="2" xfId="0" applyBorder="1"/>
    <xf numFmtId="167" fontId="6" fillId="11" borderId="22" xfId="1" applyNumberFormat="1" applyFont="1" applyFill="1" applyBorder="1" applyAlignment="1">
      <alignment horizontal="left" indent="1"/>
    </xf>
    <xf numFmtId="3" fontId="6" fillId="6" borderId="23" xfId="0" applyNumberFormat="1" applyFont="1" applyFill="1" applyBorder="1" applyAlignment="1">
      <alignment horizontal="center"/>
    </xf>
    <xf numFmtId="3" fontId="6" fillId="6" borderId="24" xfId="0" applyNumberFormat="1" applyFont="1" applyFill="1" applyBorder="1" applyAlignment="1">
      <alignment horizontal="center"/>
    </xf>
    <xf numFmtId="3" fontId="6" fillId="6" borderId="25" xfId="0" applyNumberFormat="1" applyFont="1" applyFill="1" applyBorder="1" applyAlignment="1">
      <alignment horizontal="center"/>
    </xf>
    <xf numFmtId="3" fontId="6" fillId="0" borderId="3" xfId="0" applyNumberFormat="1" applyFont="1" applyFill="1" applyBorder="1" applyAlignment="1">
      <alignment horizontal="center"/>
    </xf>
    <xf numFmtId="3" fontId="14" fillId="0" borderId="2" xfId="0" applyNumberFormat="1" applyFont="1" applyFill="1" applyBorder="1" applyAlignment="1">
      <alignment horizontal="center"/>
    </xf>
    <xf numFmtId="3" fontId="6" fillId="6" borderId="26" xfId="0" applyNumberFormat="1" applyFont="1" applyFill="1" applyBorder="1" applyAlignment="1">
      <alignment horizontal="center"/>
    </xf>
    <xf numFmtId="3" fontId="14" fillId="0" borderId="3" xfId="0" applyNumberFormat="1" applyFont="1" applyFill="1" applyBorder="1" applyAlignment="1">
      <alignment horizontal="center"/>
    </xf>
    <xf numFmtId="3" fontId="6" fillId="6" borderId="1" xfId="0" applyNumberFormat="1" applyFont="1" applyFill="1" applyBorder="1" applyAlignment="1">
      <alignment horizontal="center"/>
    </xf>
    <xf numFmtId="3" fontId="39" fillId="0" borderId="1" xfId="0" applyNumberFormat="1" applyFont="1" applyFill="1" applyBorder="1" applyAlignment="1">
      <alignment horizontal="center"/>
    </xf>
    <xf numFmtId="167" fontId="38" fillId="0" borderId="27" xfId="1" applyNumberFormat="1" applyFont="1" applyFill="1" applyBorder="1" applyAlignment="1">
      <alignment horizontal="left" indent="2"/>
    </xf>
    <xf numFmtId="3" fontId="38" fillId="0" borderId="1" xfId="0" applyNumberFormat="1" applyFont="1" applyFill="1" applyBorder="1" applyAlignment="1">
      <alignment horizontal="center"/>
    </xf>
    <xf numFmtId="3" fontId="11" fillId="6" borderId="1" xfId="0" applyNumberFormat="1" applyFont="1" applyFill="1" applyBorder="1" applyAlignment="1">
      <alignment horizontal="center"/>
    </xf>
    <xf numFmtId="167" fontId="40" fillId="9" borderId="28" xfId="1" applyNumberFormat="1" applyFont="1" applyFill="1" applyBorder="1" applyAlignment="1">
      <alignment horizontal="left" indent="1"/>
    </xf>
    <xf numFmtId="3" fontId="40" fillId="3" borderId="1" xfId="0" applyNumberFormat="1" applyFont="1" applyFill="1" applyBorder="1" applyAlignment="1">
      <alignment horizontal="center"/>
    </xf>
    <xf numFmtId="0" fontId="32" fillId="8" borderId="31" xfId="0" applyFont="1" applyFill="1" applyBorder="1" applyAlignment="1">
      <alignment horizontal="center" vertical="center"/>
    </xf>
    <xf numFmtId="0" fontId="32" fillId="8" borderId="30" xfId="0" applyFont="1" applyFill="1" applyBorder="1" applyAlignment="1">
      <alignment horizontal="center" vertical="center"/>
    </xf>
    <xf numFmtId="167" fontId="32" fillId="8" borderId="30" xfId="0" applyNumberFormat="1" applyFont="1" applyFill="1" applyBorder="1" applyAlignment="1">
      <alignment horizontal="center" vertical="center"/>
    </xf>
    <xf numFmtId="167" fontId="32" fillId="8" borderId="32" xfId="0" applyNumberFormat="1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left" vertical="center"/>
    </xf>
    <xf numFmtId="0" fontId="34" fillId="0" borderId="29" xfId="0" applyFont="1" applyFill="1" applyBorder="1" applyAlignment="1">
      <alignment horizontal="center" vertical="center"/>
    </xf>
    <xf numFmtId="1" fontId="34" fillId="0" borderId="29" xfId="0" applyNumberFormat="1" applyFont="1" applyFill="1" applyBorder="1" applyAlignment="1">
      <alignment horizontal="center" vertical="center"/>
    </xf>
    <xf numFmtId="169" fontId="33" fillId="4" borderId="29" xfId="0" applyNumberFormat="1" applyFont="1" applyFill="1" applyBorder="1" applyAlignment="1">
      <alignment horizontal="center" vertical="center"/>
    </xf>
    <xf numFmtId="0" fontId="33" fillId="4" borderId="29" xfId="0" applyFont="1" applyFill="1" applyBorder="1" applyAlignment="1">
      <alignment horizontal="left" vertical="center"/>
    </xf>
    <xf numFmtId="1" fontId="0" fillId="0" borderId="29" xfId="0" applyNumberFormat="1" applyBorder="1" applyAlignment="1">
      <alignment horizontal="center"/>
    </xf>
    <xf numFmtId="1" fontId="33" fillId="4" borderId="29" xfId="0" applyNumberFormat="1" applyFont="1" applyFill="1" applyBorder="1" applyAlignment="1">
      <alignment horizontal="center" vertical="center"/>
    </xf>
    <xf numFmtId="167" fontId="33" fillId="4" borderId="29" xfId="0" applyNumberFormat="1" applyFont="1" applyFill="1" applyBorder="1" applyAlignment="1">
      <alignment horizontal="center" vertical="center"/>
    </xf>
    <xf numFmtId="0" fontId="33" fillId="4" borderId="29" xfId="0" applyFont="1" applyFill="1" applyBorder="1" applyAlignment="1">
      <alignment horizontal="center" vertical="center"/>
    </xf>
    <xf numFmtId="0" fontId="32" fillId="8" borderId="29" xfId="0" applyFont="1" applyFill="1" applyBorder="1" applyAlignment="1">
      <alignment horizontal="center" vertical="center"/>
    </xf>
    <xf numFmtId="167" fontId="32" fillId="8" borderId="29" xfId="0" applyNumberFormat="1" applyFont="1" applyFill="1" applyBorder="1" applyAlignment="1">
      <alignment horizontal="center" vertical="center"/>
    </xf>
    <xf numFmtId="164" fontId="33" fillId="4" borderId="29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67" fontId="32" fillId="0" borderId="0" xfId="0" applyNumberFormat="1" applyFont="1" applyFill="1" applyBorder="1" applyAlignment="1">
      <alignment horizontal="center" vertical="center"/>
    </xf>
    <xf numFmtId="3" fontId="41" fillId="3" borderId="1" xfId="0" applyNumberFormat="1" applyFont="1" applyFill="1" applyBorder="1" applyAlignment="1">
      <alignment horizontal="center"/>
    </xf>
    <xf numFmtId="3" fontId="11" fillId="3" borderId="1" xfId="0" applyNumberFormat="1" applyFont="1" applyFill="1" applyBorder="1" applyAlignment="1">
      <alignment horizontal="center"/>
    </xf>
    <xf numFmtId="164" fontId="33" fillId="4" borderId="29" xfId="0" applyNumberFormat="1" applyFont="1" applyFill="1" applyBorder="1" applyAlignment="1">
      <alignment horizontal="center" vertical="center"/>
    </xf>
    <xf numFmtId="3" fontId="40" fillId="0" borderId="0" xfId="0" applyNumberFormat="1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center"/>
    </xf>
    <xf numFmtId="9" fontId="0" fillId="0" borderId="0" xfId="0" applyNumberFormat="1"/>
    <xf numFmtId="9" fontId="11" fillId="0" borderId="0" xfId="2" applyFont="1" applyFill="1" applyBorder="1" applyAlignment="1">
      <alignment horizontal="center"/>
    </xf>
    <xf numFmtId="0" fontId="43" fillId="4" borderId="0" xfId="0" applyFont="1" applyFill="1" applyAlignment="1">
      <alignment horizontal="center" vertical="center"/>
    </xf>
    <xf numFmtId="0" fontId="44" fillId="0" borderId="0" xfId="0" applyFont="1"/>
    <xf numFmtId="0" fontId="45" fillId="4" borderId="0" xfId="0" applyFont="1" applyFill="1"/>
    <xf numFmtId="0" fontId="46" fillId="4" borderId="0" xfId="0" applyFont="1" applyFill="1" applyAlignment="1">
      <alignment horizontal="center" vertical="center"/>
    </xf>
    <xf numFmtId="0" fontId="45" fillId="4" borderId="0" xfId="0" applyFont="1" applyFill="1" applyBorder="1" applyAlignment="1">
      <alignment horizontal="center" vertical="center"/>
    </xf>
    <xf numFmtId="0" fontId="47" fillId="4" borderId="0" xfId="0" applyFont="1" applyFill="1" applyBorder="1" applyAlignment="1">
      <alignment horizontal="center"/>
    </xf>
    <xf numFmtId="0" fontId="48" fillId="4" borderId="0" xfId="0" applyFont="1" applyFill="1" applyBorder="1" applyAlignment="1">
      <alignment horizontal="center"/>
    </xf>
    <xf numFmtId="0" fontId="45" fillId="4" borderId="1" xfId="0" applyFont="1" applyFill="1" applyBorder="1" applyAlignment="1">
      <alignment horizontal="center"/>
    </xf>
    <xf numFmtId="0" fontId="45" fillId="4" borderId="1" xfId="0" applyFont="1" applyFill="1" applyBorder="1" applyAlignment="1">
      <alignment horizontal="center" vertical="center"/>
    </xf>
    <xf numFmtId="0" fontId="45" fillId="4" borderId="7" xfId="0" applyFont="1" applyFill="1" applyBorder="1" applyAlignment="1">
      <alignment horizontal="center" vertical="center"/>
    </xf>
    <xf numFmtId="0" fontId="45" fillId="6" borderId="2" xfId="0" applyFont="1" applyFill="1" applyBorder="1" applyAlignment="1">
      <alignment horizontal="center" vertical="center"/>
    </xf>
    <xf numFmtId="167" fontId="46" fillId="6" borderId="2" xfId="5" applyNumberFormat="1" applyFont="1" applyFill="1" applyBorder="1" applyAlignment="1">
      <alignment horizontal="center" vertical="center"/>
    </xf>
    <xf numFmtId="167" fontId="49" fillId="6" borderId="2" xfId="5" applyNumberFormat="1" applyFont="1" applyFill="1" applyBorder="1" applyAlignment="1">
      <alignment horizontal="center" vertical="center"/>
    </xf>
    <xf numFmtId="0" fontId="45" fillId="6" borderId="12" xfId="0" applyFont="1" applyFill="1" applyBorder="1" applyAlignment="1">
      <alignment horizontal="center" vertical="center"/>
    </xf>
    <xf numFmtId="167" fontId="46" fillId="6" borderId="12" xfId="5" applyNumberFormat="1" applyFont="1" applyFill="1" applyBorder="1" applyAlignment="1">
      <alignment horizontal="center" vertical="center"/>
    </xf>
    <xf numFmtId="49" fontId="46" fillId="4" borderId="12" xfId="0" applyNumberFormat="1" applyFont="1" applyFill="1" applyBorder="1" applyAlignment="1">
      <alignment horizontal="center" vertical="center"/>
    </xf>
    <xf numFmtId="167" fontId="46" fillId="4" borderId="12" xfId="5" applyNumberFormat="1" applyFont="1" applyFill="1" applyBorder="1" applyAlignment="1">
      <alignment horizontal="center" vertical="center"/>
    </xf>
    <xf numFmtId="167" fontId="49" fillId="4" borderId="12" xfId="5" applyNumberFormat="1" applyFont="1" applyFill="1" applyBorder="1" applyAlignment="1">
      <alignment horizontal="center" vertical="center"/>
    </xf>
    <xf numFmtId="3" fontId="49" fillId="4" borderId="12" xfId="0" applyNumberFormat="1" applyFont="1" applyFill="1" applyBorder="1" applyAlignment="1">
      <alignment horizontal="center" vertical="center"/>
    </xf>
    <xf numFmtId="3" fontId="46" fillId="6" borderId="12" xfId="0" applyNumberFormat="1" applyFont="1" applyFill="1" applyBorder="1" applyAlignment="1">
      <alignment horizontal="center" vertical="center"/>
    </xf>
    <xf numFmtId="0" fontId="42" fillId="7" borderId="12" xfId="0" applyFont="1" applyFill="1" applyBorder="1" applyAlignment="1">
      <alignment horizontal="center" vertical="center"/>
    </xf>
    <xf numFmtId="3" fontId="42" fillId="7" borderId="12" xfId="0" applyNumberFormat="1" applyFont="1" applyFill="1" applyBorder="1" applyAlignment="1">
      <alignment horizontal="center" vertical="center"/>
    </xf>
    <xf numFmtId="0" fontId="46" fillId="4" borderId="0" xfId="0" applyFont="1" applyFill="1" applyBorder="1"/>
    <xf numFmtId="3" fontId="50" fillId="4" borderId="0" xfId="0" applyNumberFormat="1" applyFont="1" applyFill="1" applyBorder="1" applyAlignment="1">
      <alignment horizontal="center" vertical="center"/>
    </xf>
    <xf numFmtId="167" fontId="51" fillId="4" borderId="0" xfId="5" applyNumberFormat="1" applyFont="1" applyFill="1" applyBorder="1" applyAlignment="1">
      <alignment horizontal="center" vertical="center"/>
    </xf>
    <xf numFmtId="167" fontId="49" fillId="4" borderId="0" xfId="5" applyNumberFormat="1" applyFont="1" applyFill="1" applyBorder="1" applyAlignment="1">
      <alignment horizontal="center" vertical="center"/>
    </xf>
    <xf numFmtId="167" fontId="45" fillId="4" borderId="0" xfId="0" applyNumberFormat="1" applyFont="1" applyFill="1" applyBorder="1" applyAlignment="1">
      <alignment horizontal="center" vertical="center"/>
    </xf>
    <xf numFmtId="167" fontId="49" fillId="0" borderId="2" xfId="5" applyNumberFormat="1" applyFont="1" applyFill="1" applyBorder="1" applyAlignment="1">
      <alignment horizontal="center" vertical="center"/>
    </xf>
    <xf numFmtId="167" fontId="49" fillId="6" borderId="12" xfId="5" applyNumberFormat="1" applyFont="1" applyFill="1" applyBorder="1" applyAlignment="1">
      <alignment horizontal="center" vertical="center"/>
    </xf>
    <xf numFmtId="167" fontId="49" fillId="0" borderId="12" xfId="5" applyNumberFormat="1" applyFont="1" applyFill="1" applyBorder="1" applyAlignment="1">
      <alignment horizontal="center" vertical="center"/>
    </xf>
    <xf numFmtId="167" fontId="46" fillId="0" borderId="12" xfId="5" applyNumberFormat="1" applyFont="1" applyFill="1" applyBorder="1" applyAlignment="1">
      <alignment horizontal="center" vertical="center"/>
    </xf>
    <xf numFmtId="0" fontId="42" fillId="7" borderId="3" xfId="0" applyFont="1" applyFill="1" applyBorder="1" applyAlignment="1">
      <alignment horizontal="center" vertical="center"/>
    </xf>
    <xf numFmtId="3" fontId="42" fillId="7" borderId="3" xfId="0" applyNumberFormat="1" applyFont="1" applyFill="1" applyBorder="1" applyAlignment="1">
      <alignment horizontal="center" vertical="center"/>
    </xf>
    <xf numFmtId="167" fontId="52" fillId="0" borderId="0" xfId="0" applyNumberFormat="1" applyFont="1" applyFill="1" applyBorder="1" applyAlignment="1">
      <alignment horizontal="center" vertical="center"/>
    </xf>
    <xf numFmtId="167" fontId="49" fillId="0" borderId="0" xfId="5" applyNumberFormat="1" applyFont="1" applyFill="1" applyBorder="1" applyAlignment="1">
      <alignment horizontal="center" vertical="center"/>
    </xf>
    <xf numFmtId="0" fontId="45" fillId="4" borderId="2" xfId="0" applyFont="1" applyFill="1" applyBorder="1" applyAlignment="1">
      <alignment horizontal="center" vertical="center"/>
    </xf>
    <xf numFmtId="169" fontId="45" fillId="4" borderId="2" xfId="0" applyNumberFormat="1" applyFont="1" applyFill="1" applyBorder="1" applyAlignment="1">
      <alignment horizontal="center" vertical="center"/>
    </xf>
    <xf numFmtId="164" fontId="45" fillId="0" borderId="2" xfId="0" applyNumberFormat="1" applyFont="1" applyFill="1" applyBorder="1" applyAlignment="1">
      <alignment horizontal="center" vertical="center"/>
    </xf>
    <xf numFmtId="0" fontId="45" fillId="4" borderId="12" xfId="0" applyFont="1" applyFill="1" applyBorder="1" applyAlignment="1">
      <alignment horizontal="center" vertical="center"/>
    </xf>
    <xf numFmtId="169" fontId="45" fillId="4" borderId="12" xfId="0" applyNumberFormat="1" applyFont="1" applyFill="1" applyBorder="1" applyAlignment="1">
      <alignment horizontal="center" vertical="center"/>
    </xf>
    <xf numFmtId="164" fontId="45" fillId="0" borderId="12" xfId="0" applyNumberFormat="1" applyFont="1" applyFill="1" applyBorder="1" applyAlignment="1">
      <alignment horizontal="center" vertical="center"/>
    </xf>
    <xf numFmtId="0" fontId="45" fillId="4" borderId="3" xfId="0" applyFont="1" applyFill="1" applyBorder="1" applyAlignment="1">
      <alignment horizontal="center" vertical="center"/>
    </xf>
    <xf numFmtId="169" fontId="45" fillId="4" borderId="3" xfId="0" applyNumberFormat="1" applyFont="1" applyFill="1" applyBorder="1" applyAlignment="1">
      <alignment horizontal="center" vertical="center"/>
    </xf>
    <xf numFmtId="164" fontId="45" fillId="0" borderId="3" xfId="0" applyNumberFormat="1" applyFont="1" applyFill="1" applyBorder="1" applyAlignment="1">
      <alignment horizontal="center" vertical="center"/>
    </xf>
    <xf numFmtId="0" fontId="46" fillId="5" borderId="0" xfId="0" applyFont="1" applyFill="1" applyBorder="1" applyAlignment="1">
      <alignment horizontal="center"/>
    </xf>
    <xf numFmtId="169" fontId="45" fillId="5" borderId="0" xfId="0" applyNumberFormat="1" applyFont="1" applyFill="1" applyBorder="1" applyAlignment="1">
      <alignment horizontal="center" vertical="center"/>
    </xf>
    <xf numFmtId="0" fontId="53" fillId="5" borderId="0" xfId="0" applyFont="1" applyFill="1" applyBorder="1" applyAlignment="1">
      <alignment horizontal="center" vertical="center"/>
    </xf>
    <xf numFmtId="0" fontId="50" fillId="4" borderId="0" xfId="0" applyFont="1" applyFill="1" applyBorder="1" applyAlignment="1">
      <alignment horizontal="center" vertical="center"/>
    </xf>
    <xf numFmtId="169" fontId="45" fillId="4" borderId="0" xfId="0" applyNumberFormat="1" applyFont="1" applyFill="1" applyBorder="1" applyAlignment="1">
      <alignment horizontal="center" vertical="center"/>
    </xf>
    <xf numFmtId="164" fontId="45" fillId="4" borderId="0" xfId="0" applyNumberFormat="1" applyFont="1" applyFill="1" applyBorder="1" applyAlignment="1">
      <alignment horizontal="center" vertical="center"/>
    </xf>
    <xf numFmtId="167" fontId="49" fillId="0" borderId="15" xfId="5" applyNumberFormat="1" applyFont="1" applyFill="1" applyBorder="1" applyAlignment="1">
      <alignment horizontal="center" vertical="center"/>
    </xf>
    <xf numFmtId="167" fontId="49" fillId="0" borderId="16" xfId="5" applyNumberFormat="1" applyFont="1" applyFill="1" applyBorder="1" applyAlignment="1">
      <alignment horizontal="center" vertical="center"/>
    </xf>
    <xf numFmtId="167" fontId="46" fillId="0" borderId="16" xfId="5" applyNumberFormat="1" applyFont="1" applyFill="1" applyBorder="1" applyAlignment="1">
      <alignment horizontal="center" vertical="center"/>
    </xf>
    <xf numFmtId="0" fontId="50" fillId="8" borderId="1" xfId="0" applyFont="1" applyFill="1" applyBorder="1" applyAlignment="1">
      <alignment horizontal="center" vertical="center"/>
    </xf>
    <xf numFmtId="167" fontId="50" fillId="8" borderId="1" xfId="0" applyNumberFormat="1" applyFont="1" applyFill="1" applyBorder="1" applyAlignment="1">
      <alignment horizontal="center" vertical="center"/>
    </xf>
    <xf numFmtId="0" fontId="45" fillId="4" borderId="1" xfId="0" applyFont="1" applyFill="1" applyBorder="1" applyAlignment="1">
      <alignment horizontal="left" vertical="center"/>
    </xf>
    <xf numFmtId="169" fontId="45" fillId="4" borderId="1" xfId="0" applyNumberFormat="1" applyFont="1" applyFill="1" applyBorder="1" applyAlignment="1">
      <alignment horizontal="center" vertical="center"/>
    </xf>
    <xf numFmtId="0" fontId="54" fillId="0" borderId="1" xfId="0" applyFont="1" applyFill="1" applyBorder="1" applyAlignment="1">
      <alignment horizontal="left" vertical="center"/>
    </xf>
    <xf numFmtId="167" fontId="45" fillId="4" borderId="1" xfId="0" applyNumberFormat="1" applyFont="1" applyFill="1" applyBorder="1" applyAlignment="1">
      <alignment horizontal="center" vertical="center"/>
    </xf>
    <xf numFmtId="0" fontId="55" fillId="12" borderId="33" xfId="0" applyFont="1" applyFill="1" applyBorder="1" applyAlignment="1">
      <alignment horizontal="justify"/>
    </xf>
    <xf numFmtId="0" fontId="56" fillId="12" borderId="34" xfId="0" applyFont="1" applyFill="1" applyBorder="1" applyAlignment="1">
      <alignment horizontal="center"/>
    </xf>
    <xf numFmtId="0" fontId="57" fillId="12" borderId="35" xfId="0" applyFont="1" applyFill="1" applyBorder="1" applyAlignment="1">
      <alignment horizontal="justify"/>
    </xf>
    <xf numFmtId="3" fontId="0" fillId="0" borderId="0" xfId="0" applyNumberFormat="1"/>
    <xf numFmtId="3" fontId="56" fillId="12" borderId="36" xfId="0" applyNumberFormat="1" applyFont="1" applyFill="1" applyBorder="1" applyAlignment="1">
      <alignment horizontal="center"/>
    </xf>
    <xf numFmtId="0" fontId="57" fillId="12" borderId="37" xfId="0" applyFont="1" applyFill="1" applyBorder="1" applyAlignment="1">
      <alignment horizontal="justify"/>
    </xf>
    <xf numFmtId="10" fontId="56" fillId="12" borderId="36" xfId="0" applyNumberFormat="1" applyFont="1" applyFill="1" applyBorder="1" applyAlignment="1">
      <alignment horizontal="center"/>
    </xf>
    <xf numFmtId="3" fontId="44" fillId="0" borderId="0" xfId="0" applyNumberFormat="1" applyFont="1"/>
    <xf numFmtId="10" fontId="44" fillId="0" borderId="0" xfId="2" applyNumberFormat="1" applyFont="1"/>
    <xf numFmtId="0" fontId="9" fillId="5" borderId="0" xfId="0" applyFont="1" applyFill="1"/>
    <xf numFmtId="0" fontId="44" fillId="5" borderId="0" xfId="0" applyFont="1" applyFill="1"/>
    <xf numFmtId="0" fontId="55" fillId="12" borderId="0" xfId="0" applyFont="1" applyFill="1" applyAlignment="1">
      <alignment horizontal="justify"/>
    </xf>
    <xf numFmtId="0" fontId="56" fillId="12" borderId="35" xfId="0" applyFont="1" applyFill="1" applyBorder="1" applyAlignment="1">
      <alignment horizontal="center"/>
    </xf>
    <xf numFmtId="0" fontId="56" fillId="12" borderId="36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left" vertical="center"/>
    </xf>
    <xf numFmtId="0" fontId="34" fillId="0" borderId="0" xfId="0" applyFont="1" applyFill="1" applyBorder="1" applyAlignment="1">
      <alignment horizontal="center" vertical="center"/>
    </xf>
    <xf numFmtId="1" fontId="34" fillId="0" borderId="0" xfId="0" applyNumberFormat="1" applyFont="1" applyFill="1" applyBorder="1" applyAlignment="1">
      <alignment horizontal="center" vertical="center"/>
    </xf>
    <xf numFmtId="167" fontId="33" fillId="4" borderId="0" xfId="0" applyNumberFormat="1" applyFont="1" applyFill="1" applyBorder="1" applyAlignment="1">
      <alignment horizontal="center" vertical="center"/>
    </xf>
    <xf numFmtId="10" fontId="0" fillId="0" borderId="0" xfId="2" applyNumberFormat="1" applyFont="1"/>
    <xf numFmtId="0" fontId="57" fillId="12" borderId="0" xfId="0" applyFont="1" applyFill="1" applyBorder="1" applyAlignment="1">
      <alignment horizontal="justify"/>
    </xf>
    <xf numFmtId="0" fontId="58" fillId="0" borderId="38" xfId="0" applyFont="1" applyBorder="1" applyAlignment="1">
      <alignment vertical="top" wrapText="1"/>
    </xf>
    <xf numFmtId="0" fontId="58" fillId="0" borderId="39" xfId="0" applyFont="1" applyBorder="1" applyAlignment="1">
      <alignment vertical="top" wrapText="1"/>
    </xf>
    <xf numFmtId="3" fontId="58" fillId="0" borderId="39" xfId="0" applyNumberFormat="1" applyFont="1" applyBorder="1" applyAlignment="1">
      <alignment vertical="top" wrapText="1"/>
    </xf>
    <xf numFmtId="0" fontId="58" fillId="0" borderId="40" xfId="0" applyFont="1" applyBorder="1" applyAlignment="1">
      <alignment vertical="top" wrapText="1"/>
    </xf>
    <xf numFmtId="0" fontId="58" fillId="0" borderId="41" xfId="0" applyFont="1" applyBorder="1" applyAlignment="1">
      <alignment vertical="top" wrapText="1"/>
    </xf>
    <xf numFmtId="3" fontId="58" fillId="0" borderId="41" xfId="0" applyNumberFormat="1" applyFont="1" applyBorder="1" applyAlignment="1">
      <alignment vertical="top" wrapText="1"/>
    </xf>
    <xf numFmtId="3" fontId="6" fillId="6" borderId="42" xfId="0" applyNumberFormat="1" applyFont="1" applyFill="1" applyBorder="1" applyAlignment="1">
      <alignment horizontal="center"/>
    </xf>
    <xf numFmtId="1" fontId="0" fillId="0" borderId="0" xfId="0" applyNumberFormat="1"/>
    <xf numFmtId="0" fontId="2" fillId="0" borderId="1" xfId="0" applyFont="1" applyBorder="1"/>
    <xf numFmtId="1" fontId="0" fillId="0" borderId="1" xfId="0" applyNumberFormat="1" applyBorder="1"/>
    <xf numFmtId="0" fontId="0" fillId="5" borderId="1" xfId="0" applyFill="1" applyBorder="1"/>
    <xf numFmtId="1" fontId="0" fillId="5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42" fillId="7" borderId="0" xfId="0" applyFont="1" applyFill="1" applyAlignment="1">
      <alignment horizontal="center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164" fontId="33" fillId="4" borderId="29" xfId="0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167" fontId="36" fillId="9" borderId="18" xfId="1" applyNumberFormat="1" applyFont="1" applyFill="1" applyBorder="1" applyAlignment="1">
      <alignment horizontal="center" vertical="center"/>
    </xf>
    <xf numFmtId="167" fontId="36" fillId="9" borderId="20" xfId="1" applyNumberFormat="1" applyFont="1" applyFill="1" applyBorder="1" applyAlignment="1">
      <alignment horizontal="center" vertical="center"/>
    </xf>
    <xf numFmtId="167" fontId="37" fillId="10" borderId="19" xfId="1" applyNumberFormat="1" applyFont="1" applyFill="1" applyBorder="1" applyAlignment="1">
      <alignment horizontal="center"/>
    </xf>
  </cellXfs>
  <cellStyles count="15">
    <cellStyle name="Milliers" xfId="1" builtinId="3"/>
    <cellStyle name="Milliers 2" xfId="5"/>
    <cellStyle name="Milliers 3" xfId="7"/>
    <cellStyle name="Milliers 9" xfId="11"/>
    <cellStyle name="Normal" xfId="0" builtinId="0"/>
    <cellStyle name="Normal 10" xfId="13"/>
    <cellStyle name="Normal 11" xfId="14"/>
    <cellStyle name="Normal 2" xfId="3"/>
    <cellStyle name="Normal 3" xfId="4"/>
    <cellStyle name="Normal 4" xfId="8"/>
    <cellStyle name="Normal 5" xfId="6"/>
    <cellStyle name="Normal 6" xfId="9"/>
    <cellStyle name="Normal 8" xfId="10"/>
    <cellStyle name="Normal 9" xfId="12"/>
    <cellStyle name="Pourcentage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58</xdr:row>
      <xdr:rowOff>104775</xdr:rowOff>
    </xdr:from>
    <xdr:to>
      <xdr:col>3</xdr:col>
      <xdr:colOff>830035</xdr:colOff>
      <xdr:row>72</xdr:row>
      <xdr:rowOff>80282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496425"/>
          <a:ext cx="5421085" cy="224245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4</xdr:col>
      <xdr:colOff>774735</xdr:colOff>
      <xdr:row>88</xdr:row>
      <xdr:rowOff>105334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20525"/>
          <a:ext cx="6261135" cy="20484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3</xdr:col>
      <xdr:colOff>276225</xdr:colOff>
      <xdr:row>78</xdr:row>
      <xdr:rowOff>142875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30850"/>
          <a:ext cx="6067425" cy="2047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3</xdr:col>
      <xdr:colOff>244363</xdr:colOff>
      <xdr:row>92</xdr:row>
      <xdr:rowOff>38285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459700"/>
          <a:ext cx="6035563" cy="2133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8"/>
  <sheetViews>
    <sheetView topLeftCell="A79" workbookViewId="0">
      <selection activeCell="E102" sqref="E102"/>
    </sheetView>
  </sheetViews>
  <sheetFormatPr baseColWidth="10" defaultRowHeight="12.75"/>
  <cols>
    <col min="1" max="1" width="44.42578125" style="206" bestFit="1" customWidth="1"/>
    <col min="2" max="2" width="10" style="206" bestFit="1" customWidth="1"/>
    <col min="3" max="3" width="14.42578125" style="206" customWidth="1"/>
    <col min="4" max="4" width="13.42578125" style="206" customWidth="1"/>
    <col min="5" max="5" width="17.85546875" style="206" customWidth="1"/>
    <col min="6" max="6" width="19.28515625" style="206" bestFit="1" customWidth="1"/>
    <col min="7" max="7" width="17.28515625" style="206" bestFit="1" customWidth="1"/>
    <col min="8" max="16384" width="11.42578125" style="206"/>
  </cols>
  <sheetData>
    <row r="1" spans="1:6">
      <c r="A1" s="298" t="s">
        <v>96</v>
      </c>
      <c r="B1" s="298"/>
      <c r="C1" s="298"/>
      <c r="D1" s="298"/>
      <c r="E1" s="298"/>
      <c r="F1" s="205"/>
    </row>
    <row r="2" spans="1:6">
      <c r="A2" s="207"/>
      <c r="B2" s="208"/>
      <c r="C2" s="208"/>
      <c r="D2" s="208"/>
      <c r="E2" s="208"/>
      <c r="F2" s="208"/>
    </row>
    <row r="3" spans="1:6">
      <c r="A3" s="207"/>
      <c r="B3" s="209"/>
      <c r="C3" s="209"/>
      <c r="D3" s="209"/>
      <c r="E3" s="209"/>
      <c r="F3" s="209"/>
    </row>
    <row r="4" spans="1:6">
      <c r="A4" s="210" t="s">
        <v>64</v>
      </c>
      <c r="B4" s="209"/>
      <c r="C4" s="209"/>
      <c r="D4" s="209"/>
      <c r="E4" s="209"/>
      <c r="F4" s="209"/>
    </row>
    <row r="5" spans="1:6">
      <c r="A5" s="211"/>
      <c r="B5" s="209"/>
      <c r="C5" s="209"/>
      <c r="D5" s="209"/>
      <c r="E5" s="209"/>
      <c r="F5" s="209"/>
    </row>
    <row r="6" spans="1:6">
      <c r="A6" s="212" t="s">
        <v>66</v>
      </c>
      <c r="B6" s="213">
        <v>2013</v>
      </c>
      <c r="C6" s="213">
        <v>2014</v>
      </c>
      <c r="D6" s="213">
        <v>2015</v>
      </c>
      <c r="E6" s="214">
        <v>2016</v>
      </c>
      <c r="F6" s="213">
        <v>2017</v>
      </c>
    </row>
    <row r="7" spans="1:6">
      <c r="A7" s="215" t="s">
        <v>67</v>
      </c>
      <c r="B7" s="216">
        <v>1100355</v>
      </c>
      <c r="C7" s="217">
        <v>1148905.6626569475</v>
      </c>
      <c r="D7" s="217">
        <v>1188428.0174523464</v>
      </c>
      <c r="E7" s="217">
        <v>1223962.0151741717</v>
      </c>
      <c r="F7" s="217">
        <v>1266066.308496163</v>
      </c>
    </row>
    <row r="8" spans="1:6">
      <c r="A8" s="218" t="s">
        <v>68</v>
      </c>
      <c r="B8" s="219">
        <f t="shared" ref="B8:F8" si="0">SUM(B9:B10)</f>
        <v>6011</v>
      </c>
      <c r="C8" s="219">
        <f t="shared" si="0"/>
        <v>6167.3</v>
      </c>
      <c r="D8" s="219">
        <f t="shared" si="0"/>
        <v>6325.8471300000001</v>
      </c>
      <c r="E8" s="219">
        <f t="shared" si="0"/>
        <v>6486</v>
      </c>
      <c r="F8" s="219">
        <f t="shared" si="0"/>
        <v>6656</v>
      </c>
    </row>
    <row r="9" spans="1:6">
      <c r="A9" s="220" t="s">
        <v>69</v>
      </c>
      <c r="B9" s="221">
        <v>119</v>
      </c>
      <c r="C9" s="221">
        <v>128</v>
      </c>
      <c r="D9" s="221">
        <v>141</v>
      </c>
      <c r="E9" s="221">
        <v>152</v>
      </c>
      <c r="F9" s="222">
        <v>169</v>
      </c>
    </row>
    <row r="10" spans="1:6">
      <c r="A10" s="220" t="s">
        <v>70</v>
      </c>
      <c r="B10" s="223">
        <v>5892</v>
      </c>
      <c r="C10" s="223">
        <v>6039.3</v>
      </c>
      <c r="D10" s="223">
        <v>6184.8471300000001</v>
      </c>
      <c r="E10" s="223">
        <v>6334</v>
      </c>
      <c r="F10" s="222">
        <v>6487</v>
      </c>
    </row>
    <row r="11" spans="1:6">
      <c r="A11" s="218" t="s">
        <v>71</v>
      </c>
      <c r="B11" s="224">
        <f t="shared" ref="B11" si="1">SUM(B12:B13)</f>
        <v>15</v>
      </c>
      <c r="C11" s="224">
        <f>SUM(C12:C13)</f>
        <v>15</v>
      </c>
      <c r="D11" s="224">
        <f>SUM(D12:D13)</f>
        <v>16</v>
      </c>
      <c r="E11" s="224">
        <f>SUM(E12:E13)</f>
        <v>18</v>
      </c>
      <c r="F11" s="224">
        <f>SUM(F12:F13)</f>
        <v>18</v>
      </c>
    </row>
    <row r="12" spans="1:6">
      <c r="A12" s="220" t="s">
        <v>72</v>
      </c>
      <c r="B12" s="222">
        <v>13</v>
      </c>
      <c r="C12" s="222">
        <v>13</v>
      </c>
      <c r="D12" s="222">
        <v>14</v>
      </c>
      <c r="E12" s="222">
        <v>16</v>
      </c>
      <c r="F12" s="222">
        <v>16</v>
      </c>
    </row>
    <row r="13" spans="1:6">
      <c r="A13" s="220" t="s">
        <v>73</v>
      </c>
      <c r="B13" s="222">
        <v>2</v>
      </c>
      <c r="C13" s="222">
        <v>2</v>
      </c>
      <c r="D13" s="222">
        <v>2</v>
      </c>
      <c r="E13" s="222">
        <v>2</v>
      </c>
      <c r="F13" s="222">
        <v>2</v>
      </c>
    </row>
    <row r="14" spans="1:6">
      <c r="A14" s="225" t="s">
        <v>74</v>
      </c>
      <c r="B14" s="226">
        <f>SUM(B9,B12)</f>
        <v>132</v>
      </c>
      <c r="C14" s="226">
        <f>SUM(C9,C12)</f>
        <v>141</v>
      </c>
      <c r="D14" s="226">
        <f>SUM(D9,D12)</f>
        <v>155</v>
      </c>
      <c r="E14" s="226">
        <f>SUM(E9,E12)</f>
        <v>168</v>
      </c>
      <c r="F14" s="226">
        <f>SUM(F9,F12)</f>
        <v>185</v>
      </c>
    </row>
    <row r="15" spans="1:6">
      <c r="A15" s="225" t="s">
        <v>75</v>
      </c>
      <c r="B15" s="226">
        <f t="shared" ref="B15:F15" si="2">SUM(B7,B10,B13)</f>
        <v>1106249</v>
      </c>
      <c r="C15" s="226">
        <f t="shared" si="2"/>
        <v>1154946.9626569476</v>
      </c>
      <c r="D15" s="226">
        <f t="shared" si="2"/>
        <v>1194614.8645823463</v>
      </c>
      <c r="E15" s="226">
        <f t="shared" si="2"/>
        <v>1230298.0151741717</v>
      </c>
      <c r="F15" s="226">
        <f t="shared" si="2"/>
        <v>1272555.308496163</v>
      </c>
    </row>
    <row r="16" spans="1:6">
      <c r="A16" s="225" t="s">
        <v>76</v>
      </c>
      <c r="B16" s="226">
        <f t="shared" ref="B16:F16" si="3">SUM(B14:B15)</f>
        <v>1106381</v>
      </c>
      <c r="C16" s="226">
        <f t="shared" si="3"/>
        <v>1155087.9626569476</v>
      </c>
      <c r="D16" s="226">
        <f t="shared" si="3"/>
        <v>1194769.8645823463</v>
      </c>
      <c r="E16" s="226">
        <f t="shared" si="3"/>
        <v>1230466.0151741717</v>
      </c>
      <c r="F16" s="226">
        <f t="shared" si="3"/>
        <v>1272740.308496163</v>
      </c>
    </row>
    <row r="17" spans="1:6">
      <c r="A17" s="227"/>
      <c r="B17" s="228"/>
      <c r="C17" s="229"/>
      <c r="D17" s="229"/>
      <c r="E17" s="229"/>
      <c r="F17" s="230"/>
    </row>
    <row r="18" spans="1:6">
      <c r="A18" s="211" t="s">
        <v>97</v>
      </c>
      <c r="B18" s="231"/>
      <c r="C18" s="231"/>
      <c r="D18" s="231"/>
      <c r="E18" s="231"/>
      <c r="F18" s="230"/>
    </row>
    <row r="19" spans="1:6">
      <c r="A19" s="211"/>
      <c r="B19" s="231"/>
      <c r="C19" s="231"/>
      <c r="D19" s="231"/>
      <c r="E19" s="231"/>
      <c r="F19" s="230"/>
    </row>
    <row r="20" spans="1:6">
      <c r="A20" s="215" t="s">
        <v>77</v>
      </c>
      <c r="B20" s="216">
        <v>3430.8</v>
      </c>
      <c r="C20" s="232">
        <v>3681.2484000000004</v>
      </c>
      <c r="D20" s="232">
        <v>3969.2484000000004</v>
      </c>
      <c r="E20" s="232">
        <v>4260.0405497199999</v>
      </c>
      <c r="F20" s="232">
        <v>4557.8641503094004</v>
      </c>
    </row>
    <row r="21" spans="1:6">
      <c r="A21" s="218" t="s">
        <v>78</v>
      </c>
      <c r="B21" s="233">
        <f>SUM(B22:B23)</f>
        <v>2515</v>
      </c>
      <c r="C21" s="234">
        <f>SUM(C22:C23)</f>
        <v>2638.3935000000001</v>
      </c>
      <c r="D21" s="234">
        <f>SUM(D22:D23)</f>
        <v>2783.7793877350005</v>
      </c>
      <c r="E21" s="234">
        <f>+D21+D21*5%</f>
        <v>2922.9683571217506</v>
      </c>
      <c r="F21" s="234">
        <f>SUM(F22:F23)</f>
        <v>3068.4092849281551</v>
      </c>
    </row>
    <row r="22" spans="1:6">
      <c r="A22" s="220" t="s">
        <v>79</v>
      </c>
      <c r="B22" s="221">
        <v>1034</v>
      </c>
      <c r="C22" s="235">
        <v>1137.4000000000001</v>
      </c>
      <c r="D22" s="235">
        <v>1254.5522000000001</v>
      </c>
      <c r="E22" s="235">
        <v>1373.9855694400001</v>
      </c>
      <c r="F22" s="234">
        <v>1495.4458937784962</v>
      </c>
    </row>
    <row r="23" spans="1:6">
      <c r="A23" s="220" t="s">
        <v>80</v>
      </c>
      <c r="B23" s="222">
        <v>1481</v>
      </c>
      <c r="C23" s="234">
        <v>1500.9935</v>
      </c>
      <c r="D23" s="234">
        <v>1529.2271877350001</v>
      </c>
      <c r="E23" s="234">
        <v>1552.7772864261192</v>
      </c>
      <c r="F23" s="234">
        <v>1572.9633911496587</v>
      </c>
    </row>
    <row r="24" spans="1:6">
      <c r="A24" s="218" t="s">
        <v>81</v>
      </c>
      <c r="B24" s="233">
        <f t="shared" ref="B24:F24" si="4">SUM(B25:B26)</f>
        <v>560.70000000000005</v>
      </c>
      <c r="C24" s="234">
        <f t="shared" si="4"/>
        <v>589.875</v>
      </c>
      <c r="D24" s="234">
        <f t="shared" si="4"/>
        <v>619.6875</v>
      </c>
      <c r="E24" s="234">
        <f t="shared" si="4"/>
        <v>650.78187500000001</v>
      </c>
      <c r="F24" s="234">
        <f t="shared" si="4"/>
        <v>683.81596875000014</v>
      </c>
    </row>
    <row r="25" spans="1:6">
      <c r="A25" s="220" t="s">
        <v>82</v>
      </c>
      <c r="B25" s="221">
        <v>555</v>
      </c>
      <c r="C25" s="235">
        <v>582.75</v>
      </c>
      <c r="D25" s="235">
        <v>611.88750000000005</v>
      </c>
      <c r="E25" s="235">
        <v>642.48187500000006</v>
      </c>
      <c r="F25" s="234">
        <v>674.6059687500001</v>
      </c>
    </row>
    <row r="26" spans="1:6">
      <c r="A26" s="220" t="s">
        <v>83</v>
      </c>
      <c r="B26" s="222">
        <v>5.7000000000000455</v>
      </c>
      <c r="C26" s="234">
        <v>7.1250000000000568</v>
      </c>
      <c r="D26" s="234">
        <v>7.8</v>
      </c>
      <c r="E26" s="234">
        <v>8.3000000000000007</v>
      </c>
      <c r="F26" s="234">
        <v>9.2100000000000009</v>
      </c>
    </row>
    <row r="27" spans="1:6">
      <c r="A27" s="225" t="s">
        <v>84</v>
      </c>
      <c r="B27" s="226">
        <f t="shared" ref="B27:D27" si="5">SUM(B22,B25)</f>
        <v>1589</v>
      </c>
      <c r="C27" s="226">
        <f t="shared" si="5"/>
        <v>1720.15</v>
      </c>
      <c r="D27" s="226">
        <f t="shared" si="5"/>
        <v>1866.4397000000001</v>
      </c>
      <c r="E27" s="226">
        <f>SUM(E22,E25)</f>
        <v>2016.4674444400002</v>
      </c>
      <c r="F27" s="226">
        <f>SUM(F22,F25)</f>
        <v>2170.0518625284963</v>
      </c>
    </row>
    <row r="28" spans="1:6">
      <c r="A28" s="225" t="s">
        <v>85</v>
      </c>
      <c r="B28" s="226">
        <f t="shared" ref="B28:D28" si="6">SUM(B20,B23,B26)</f>
        <v>4917.5</v>
      </c>
      <c r="C28" s="226">
        <f t="shared" si="6"/>
        <v>5189.3669000000009</v>
      </c>
      <c r="D28" s="226">
        <f t="shared" si="6"/>
        <v>5506.275587735001</v>
      </c>
      <c r="E28" s="226">
        <f>SUM(E20,E23,E26)</f>
        <v>5821.1178361461198</v>
      </c>
      <c r="F28" s="226">
        <f>SUM(F20,F23,F26)</f>
        <v>6140.037541459059</v>
      </c>
    </row>
    <row r="29" spans="1:6">
      <c r="A29" s="236" t="s">
        <v>86</v>
      </c>
      <c r="B29" s="237">
        <f t="shared" ref="B29:D29" si="7">SUM(B27:B28)</f>
        <v>6506.5</v>
      </c>
      <c r="C29" s="226">
        <f t="shared" si="7"/>
        <v>6909.5169000000005</v>
      </c>
      <c r="D29" s="226">
        <f t="shared" si="7"/>
        <v>7372.7152877350009</v>
      </c>
      <c r="E29" s="226">
        <f>SUM(E27:E28)</f>
        <v>7837.5852805861196</v>
      </c>
      <c r="F29" s="226">
        <f>SUM(F27:F28)</f>
        <v>8310.0894039875548</v>
      </c>
    </row>
    <row r="30" spans="1:6">
      <c r="A30" s="227"/>
      <c r="B30" s="228"/>
      <c r="C30" s="238"/>
      <c r="D30" s="238"/>
      <c r="E30" s="238"/>
      <c r="F30" s="239"/>
    </row>
    <row r="31" spans="1:6">
      <c r="A31" s="240" t="s">
        <v>60</v>
      </c>
      <c r="B31" s="241">
        <v>3.9579689868252301</v>
      </c>
      <c r="C31" s="242">
        <v>3.9579689868252301</v>
      </c>
      <c r="D31" s="242">
        <v>3.9579689868252301</v>
      </c>
      <c r="E31" s="242">
        <v>3.9579689868252301</v>
      </c>
      <c r="F31" s="242">
        <v>3.9579689868252301</v>
      </c>
    </row>
    <row r="32" spans="1:6">
      <c r="A32" s="243" t="s">
        <v>61</v>
      </c>
      <c r="B32" s="244">
        <v>3.3061630218687874</v>
      </c>
      <c r="C32" s="245">
        <v>3.3068204414396498</v>
      </c>
      <c r="D32" s="245">
        <v>3.3068204414396498</v>
      </c>
      <c r="E32" s="245">
        <v>3.3068204414396498</v>
      </c>
      <c r="F32" s="245">
        <v>3.3068204414396498</v>
      </c>
    </row>
    <row r="33" spans="1:7">
      <c r="A33" s="246" t="s">
        <v>62</v>
      </c>
      <c r="B33" s="247">
        <v>2.1901194934902799</v>
      </c>
      <c r="C33" s="248">
        <v>2.1901194934902799</v>
      </c>
      <c r="D33" s="248">
        <v>2.1901194934902799</v>
      </c>
      <c r="E33" s="248">
        <v>2.1901194934902799</v>
      </c>
      <c r="F33" s="248">
        <v>2.1901194934902799</v>
      </c>
    </row>
    <row r="34" spans="1:7">
      <c r="A34" s="249" t="s">
        <v>87</v>
      </c>
      <c r="B34" s="250"/>
      <c r="C34" s="251">
        <v>3.5539999999999998</v>
      </c>
      <c r="D34" s="251">
        <v>3.5539999999999998</v>
      </c>
      <c r="E34" s="251">
        <v>3.5539999999999998</v>
      </c>
      <c r="F34" s="251">
        <v>3.5539999999999998</v>
      </c>
    </row>
    <row r="35" spans="1:7">
      <c r="A35" s="252" t="s">
        <v>98</v>
      </c>
      <c r="B35" s="253"/>
      <c r="C35" s="254"/>
      <c r="D35" s="254"/>
      <c r="E35" s="254"/>
      <c r="F35" s="254"/>
    </row>
    <row r="36" spans="1:7">
      <c r="A36" s="209"/>
      <c r="B36" s="253"/>
      <c r="C36" s="254"/>
      <c r="D36" s="254"/>
      <c r="E36" s="254"/>
      <c r="F36" s="254"/>
    </row>
    <row r="37" spans="1:7">
      <c r="A37" s="215" t="s">
        <v>77</v>
      </c>
      <c r="B37" s="216">
        <v>3430.8</v>
      </c>
      <c r="C37" s="232">
        <f>+C20*C34</f>
        <v>13083.156813600001</v>
      </c>
      <c r="D37" s="232">
        <f>+D20*D34</f>
        <v>14106.7088136</v>
      </c>
      <c r="E37" s="232">
        <f>+E20*E34</f>
        <v>15140.18411370488</v>
      </c>
      <c r="F37" s="255">
        <f>+F20*F34</f>
        <v>16198.649190199609</v>
      </c>
    </row>
    <row r="38" spans="1:7">
      <c r="A38" s="218" t="s">
        <v>78</v>
      </c>
      <c r="B38" s="233">
        <f>SUM(B39:B40)</f>
        <v>2515</v>
      </c>
      <c r="C38" s="234">
        <f>+C21*C34</f>
        <v>9376.8504990000001</v>
      </c>
      <c r="D38" s="234">
        <f>+D21*D34</f>
        <v>9893.5519440101907</v>
      </c>
      <c r="E38" s="234">
        <f>+E21*E34</f>
        <v>10388.229541210701</v>
      </c>
      <c r="F38" s="256">
        <f>+F21*F34</f>
        <v>10905.126598634663</v>
      </c>
    </row>
    <row r="39" spans="1:7">
      <c r="A39" s="220" t="s">
        <v>79</v>
      </c>
      <c r="B39" s="221">
        <v>1034</v>
      </c>
      <c r="C39" s="235">
        <f>+C22*C34</f>
        <v>4042.3196000000003</v>
      </c>
      <c r="D39" s="235">
        <f>+D22*D34</f>
        <v>4458.6785188000003</v>
      </c>
      <c r="E39" s="235">
        <f>+E22*E34</f>
        <v>4883.1447137897603</v>
      </c>
      <c r="F39" s="257">
        <f>+F22*F34</f>
        <v>5314.8147064887753</v>
      </c>
    </row>
    <row r="40" spans="1:7">
      <c r="A40" s="220" t="s">
        <v>80</v>
      </c>
      <c r="B40" s="222">
        <v>1481</v>
      </c>
      <c r="C40" s="234">
        <f>+C23*C34</f>
        <v>5334.5308990000003</v>
      </c>
      <c r="D40" s="234">
        <f>+D23*D34</f>
        <v>5434.8734252101904</v>
      </c>
      <c r="E40" s="234">
        <f>+E23*E34</f>
        <v>5518.5704759584278</v>
      </c>
      <c r="F40" s="256">
        <f>+F23*F34</f>
        <v>5590.3118921458872</v>
      </c>
    </row>
    <row r="41" spans="1:7">
      <c r="A41" s="218" t="s">
        <v>81</v>
      </c>
      <c r="B41" s="233">
        <f t="shared" ref="B41" si="8">SUM(B42:B43)</f>
        <v>560.70000000000005</v>
      </c>
      <c r="C41" s="234">
        <f>+C24*C34</f>
        <v>2096.4157500000001</v>
      </c>
      <c r="D41" s="234">
        <f>+D24*D34</f>
        <v>2202.3693749999998</v>
      </c>
      <c r="E41" s="234">
        <f>+E24*E34</f>
        <v>2312.8787837499999</v>
      </c>
      <c r="F41" s="256">
        <f>+F24*F34</f>
        <v>2430.2819529375006</v>
      </c>
    </row>
    <row r="42" spans="1:7">
      <c r="A42" s="220" t="s">
        <v>82</v>
      </c>
      <c r="B42" s="221">
        <v>555</v>
      </c>
      <c r="C42" s="235">
        <f>+C25*C34</f>
        <v>2071.0934999999999</v>
      </c>
      <c r="D42" s="235">
        <f>+D25*D34</f>
        <v>2174.6481750000003</v>
      </c>
      <c r="E42" s="235">
        <f>+E25*E34</f>
        <v>2283.3805837499999</v>
      </c>
      <c r="F42" s="257">
        <f>+F25*F34</f>
        <v>2397.5496129375001</v>
      </c>
    </row>
    <row r="43" spans="1:7">
      <c r="A43" s="220" t="s">
        <v>83</v>
      </c>
      <c r="B43" s="222">
        <v>5.7000000000000455</v>
      </c>
      <c r="C43" s="234">
        <f>+C26*C34</f>
        <v>25.322250000000199</v>
      </c>
      <c r="D43" s="234">
        <f>+D26*D34</f>
        <v>27.7212</v>
      </c>
      <c r="E43" s="234">
        <f>+E26*E34</f>
        <v>29.498200000000001</v>
      </c>
      <c r="F43" s="256">
        <f>+F26*F34</f>
        <v>32.732340000000001</v>
      </c>
    </row>
    <row r="44" spans="1:7">
      <c r="A44" s="225" t="s">
        <v>84</v>
      </c>
      <c r="B44" s="226">
        <f t="shared" ref="B44:D44" si="9">SUM(B39,B42)</f>
        <v>1589</v>
      </c>
      <c r="C44" s="226">
        <f t="shared" si="9"/>
        <v>6113.4130999999998</v>
      </c>
      <c r="D44" s="226">
        <f t="shared" si="9"/>
        <v>6633.3266938000006</v>
      </c>
      <c r="E44" s="226">
        <f>SUM(E39,E42)</f>
        <v>7166.5252975397598</v>
      </c>
      <c r="F44" s="226">
        <f>SUM(F39,F42)</f>
        <v>7712.364319426275</v>
      </c>
    </row>
    <row r="45" spans="1:7">
      <c r="A45" s="225" t="s">
        <v>85</v>
      </c>
      <c r="B45" s="226">
        <f t="shared" ref="B45:D45" si="10">SUM(B37,B40,B43)</f>
        <v>4917.5</v>
      </c>
      <c r="C45" s="226">
        <f t="shared" si="10"/>
        <v>18443.009962600001</v>
      </c>
      <c r="D45" s="226">
        <f t="shared" si="10"/>
        <v>19569.303438810191</v>
      </c>
      <c r="E45" s="226">
        <f>SUM(E37,E40,E43)</f>
        <v>20688.252789663311</v>
      </c>
      <c r="F45" s="226">
        <f>SUM(F37,F40,F43)</f>
        <v>21821.693422345495</v>
      </c>
    </row>
    <row r="46" spans="1:7">
      <c r="A46" s="236" t="s">
        <v>86</v>
      </c>
      <c r="B46" s="237">
        <f t="shared" ref="B46:D46" si="11">SUM(B44:B45)</f>
        <v>6506.5</v>
      </c>
      <c r="C46" s="226">
        <f t="shared" si="11"/>
        <v>24556.423062599999</v>
      </c>
      <c r="D46" s="226">
        <f t="shared" si="11"/>
        <v>26202.630132610193</v>
      </c>
      <c r="E46" s="226">
        <f>SUM(E44:E45)</f>
        <v>27854.778087203071</v>
      </c>
      <c r="F46" s="226">
        <f>SUM(F44:F45)</f>
        <v>29534.057741771772</v>
      </c>
    </row>
    <row r="47" spans="1:7">
      <c r="A47" s="209"/>
      <c r="B47" s="253"/>
      <c r="C47" s="254"/>
      <c r="D47" s="254"/>
      <c r="E47" s="254"/>
      <c r="F47" s="254"/>
    </row>
    <row r="48" spans="1:7">
      <c r="A48" s="258" t="s">
        <v>0</v>
      </c>
      <c r="B48" s="259">
        <v>2014</v>
      </c>
      <c r="C48" s="259">
        <v>2015</v>
      </c>
      <c r="D48" s="259">
        <v>2016</v>
      </c>
      <c r="E48" s="259">
        <v>2017</v>
      </c>
      <c r="F48" s="231"/>
      <c r="G48" s="231"/>
    </row>
    <row r="49" spans="1:7">
      <c r="A49" s="260" t="s">
        <v>115</v>
      </c>
      <c r="B49" s="261">
        <v>3.5539999999999998</v>
      </c>
      <c r="C49" s="261">
        <v>3.5539999999999998</v>
      </c>
      <c r="D49" s="261">
        <v>3.5539999999999998</v>
      </c>
      <c r="E49" s="261">
        <v>3.5539999999999998</v>
      </c>
      <c r="F49" s="231"/>
      <c r="G49" s="231"/>
    </row>
    <row r="50" spans="1:7">
      <c r="A50" s="262" t="s">
        <v>111</v>
      </c>
      <c r="B50" s="261">
        <f>+B49+(B49*0.01)</f>
        <v>3.58954</v>
      </c>
      <c r="C50" s="261">
        <f>+B50+(B50*0.01)</f>
        <v>3.6254353999999998</v>
      </c>
      <c r="D50" s="261">
        <f>+C50+(C50*0.01)</f>
        <v>3.6616897539999997</v>
      </c>
      <c r="E50" s="261">
        <f>+D50+(D50*0.01)</f>
        <v>3.6983066515399998</v>
      </c>
    </row>
    <row r="51" spans="1:7">
      <c r="A51" s="260" t="s">
        <v>113</v>
      </c>
      <c r="B51" s="263">
        <v>6909.5169000000005</v>
      </c>
      <c r="C51" s="263">
        <v>7372.7152877350009</v>
      </c>
      <c r="D51" s="263">
        <v>7837.5852805861196</v>
      </c>
      <c r="E51" s="263">
        <v>8310.0894039875548</v>
      </c>
      <c r="F51" s="254"/>
    </row>
    <row r="52" spans="1:7">
      <c r="A52" s="260" t="s">
        <v>112</v>
      </c>
      <c r="B52" s="263">
        <f>+B50*B51</f>
        <v>24801.987293226</v>
      </c>
      <c r="C52" s="263">
        <f>+C50*C51</f>
        <v>26729.302998275656</v>
      </c>
      <c r="D52" s="263">
        <f>+D50*D51</f>
        <v>28698.805718023406</v>
      </c>
      <c r="E52" s="263">
        <f>+E50*E51</f>
        <v>30733.258917659248</v>
      </c>
    </row>
    <row r="53" spans="1:7">
      <c r="A53" s="260" t="s">
        <v>114</v>
      </c>
      <c r="B53" s="263">
        <v>24556.423062599999</v>
      </c>
      <c r="C53" s="263">
        <v>26202.630132610193</v>
      </c>
      <c r="D53" s="263">
        <v>27854.778087203071</v>
      </c>
      <c r="E53" s="263">
        <v>29534.057741771772</v>
      </c>
    </row>
    <row r="54" spans="1:7">
      <c r="A54" s="258" t="s">
        <v>116</v>
      </c>
      <c r="B54" s="259">
        <f>+B52-B53</f>
        <v>245.56423062600152</v>
      </c>
      <c r="C54" s="259">
        <f t="shared" ref="C54:E54" si="12">+C52-C53</f>
        <v>526.67286566546318</v>
      </c>
      <c r="D54" s="259">
        <f t="shared" si="12"/>
        <v>844.02763082033562</v>
      </c>
      <c r="E54" s="259">
        <f t="shared" si="12"/>
        <v>1199.201175887476</v>
      </c>
    </row>
    <row r="57" spans="1:7" ht="18.75">
      <c r="A57" s="273" t="s">
        <v>173</v>
      </c>
      <c r="B57" s="274"/>
    </row>
    <row r="59" spans="1:7">
      <c r="A59" s="206" t="s">
        <v>168</v>
      </c>
    </row>
    <row r="74" spans="1:1">
      <c r="A74" s="206" t="s">
        <v>167</v>
      </c>
    </row>
    <row r="76" spans="1:1">
      <c r="A76" s="206" t="s">
        <v>169</v>
      </c>
    </row>
    <row r="90" spans="1:5">
      <c r="A90" s="206" t="s">
        <v>167</v>
      </c>
    </row>
    <row r="91" spans="1:5" ht="13.5" thickBot="1"/>
    <row r="92" spans="1:5" ht="16.5" thickBot="1">
      <c r="A92" s="264"/>
      <c r="B92" s="265">
        <v>2014</v>
      </c>
      <c r="C92" s="265">
        <v>2015</v>
      </c>
      <c r="D92" s="265">
        <v>2016</v>
      </c>
      <c r="E92" s="265">
        <v>2017</v>
      </c>
    </row>
    <row r="93" spans="1:5" ht="16.5" thickBot="1">
      <c r="A93" s="266" t="s">
        <v>170</v>
      </c>
      <c r="B93" s="268">
        <v>7708</v>
      </c>
      <c r="C93" s="268">
        <v>8039</v>
      </c>
      <c r="D93" s="268">
        <v>8526</v>
      </c>
      <c r="E93" s="268">
        <v>9025</v>
      </c>
    </row>
    <row r="94" spans="1:5" ht="16.5" thickBot="1">
      <c r="A94" s="269" t="s">
        <v>171</v>
      </c>
      <c r="B94" s="268">
        <v>1388</v>
      </c>
      <c r="C94" s="268">
        <v>1286</v>
      </c>
      <c r="D94" s="268">
        <v>1343</v>
      </c>
      <c r="E94" s="268">
        <v>1399</v>
      </c>
    </row>
    <row r="95" spans="1:5" ht="16.5" thickBot="1">
      <c r="A95" s="269" t="s">
        <v>172</v>
      </c>
      <c r="B95" s="270">
        <v>0.18010000000000001</v>
      </c>
      <c r="C95" s="270">
        <v>0.15989999999999999</v>
      </c>
      <c r="D95" s="270">
        <v>0.1575</v>
      </c>
      <c r="E95" s="270">
        <v>0.155</v>
      </c>
    </row>
    <row r="97" spans="1:5">
      <c r="A97" s="206" t="s">
        <v>174</v>
      </c>
      <c r="B97" s="271">
        <f>+B93-(C20+C21)</f>
        <v>1388.3580999999995</v>
      </c>
      <c r="C97" s="271">
        <f>+C93-(D20+D21)</f>
        <v>1285.9722122649991</v>
      </c>
      <c r="D97" s="271">
        <f>+D93-(E20+E21)</f>
        <v>1342.991093158249</v>
      </c>
      <c r="E97" s="271">
        <f>+E93-(F20+F21)</f>
        <v>1398.7265647624445</v>
      </c>
    </row>
    <row r="98" spans="1:5">
      <c r="B98" s="272">
        <f>+B97/B93</f>
        <v>0.18011911001556818</v>
      </c>
      <c r="C98" s="272">
        <f t="shared" ref="C98:E98" si="13">+C97/C93</f>
        <v>0.15996668892461738</v>
      </c>
      <c r="D98" s="272">
        <f t="shared" si="13"/>
        <v>0.15751713501738787</v>
      </c>
      <c r="E98" s="272">
        <f t="shared" si="13"/>
        <v>0.15498355288226531</v>
      </c>
    </row>
  </sheetData>
  <mergeCells count="1">
    <mergeCell ref="A1:E1"/>
  </mergeCells>
  <pageMargins left="0.7" right="0.7" top="0.75" bottom="0.75" header="0.3" footer="0.3"/>
  <pageSetup paperSize="9" scale="69" orientation="landscape" r:id="rId1"/>
  <rowBreaks count="2" manualBreakCount="2">
    <brk id="17" max="16383" man="1"/>
    <brk id="4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2"/>
  <sheetViews>
    <sheetView topLeftCell="C72" workbookViewId="0">
      <selection activeCell="J94" sqref="J94"/>
    </sheetView>
  </sheetViews>
  <sheetFormatPr baseColWidth="10" defaultRowHeight="15"/>
  <cols>
    <col min="1" max="1" width="53.85546875" bestFit="1" customWidth="1"/>
    <col min="2" max="2" width="15.7109375" bestFit="1" customWidth="1"/>
    <col min="3" max="3" width="17.28515625" bestFit="1" customWidth="1"/>
    <col min="4" max="4" width="17.7109375" bestFit="1" customWidth="1"/>
    <col min="5" max="5" width="18.42578125" customWidth="1"/>
    <col min="6" max="6" width="7.28515625" customWidth="1"/>
    <col min="7" max="7" width="12.5703125" customWidth="1"/>
  </cols>
  <sheetData>
    <row r="1" spans="1:7" ht="28.5">
      <c r="A1" s="301" t="s">
        <v>99</v>
      </c>
      <c r="B1" s="301"/>
      <c r="C1" s="301"/>
      <c r="D1" s="99"/>
      <c r="E1" s="99"/>
      <c r="F1" s="99"/>
      <c r="G1" s="99"/>
    </row>
    <row r="2" spans="1:7" ht="23.25">
      <c r="A2" s="112"/>
      <c r="B2" s="113"/>
      <c r="C2" s="113"/>
      <c r="D2" s="113"/>
      <c r="E2" s="113"/>
      <c r="F2" s="99"/>
      <c r="G2" s="99"/>
    </row>
    <row r="3" spans="1:7" ht="31.5">
      <c r="A3" s="134" t="s">
        <v>100</v>
      </c>
      <c r="B3" s="100"/>
      <c r="C3" s="100"/>
      <c r="D3" s="100"/>
      <c r="E3" s="100"/>
      <c r="F3" s="100"/>
      <c r="G3" s="100"/>
    </row>
    <row r="4" spans="1:7" ht="28.5">
      <c r="A4" s="114"/>
      <c r="B4" s="299" t="s">
        <v>65</v>
      </c>
      <c r="C4" s="300"/>
      <c r="D4" s="100"/>
      <c r="E4" s="100"/>
      <c r="F4" s="100"/>
      <c r="G4" s="100"/>
    </row>
    <row r="5" spans="1:7" ht="23.25">
      <c r="A5" s="102" t="s">
        <v>66</v>
      </c>
      <c r="B5" s="116">
        <v>2012</v>
      </c>
      <c r="C5" s="106">
        <v>2013</v>
      </c>
      <c r="D5" s="106">
        <v>2014</v>
      </c>
      <c r="E5" s="106">
        <v>2015</v>
      </c>
      <c r="F5" s="115">
        <v>2016</v>
      </c>
      <c r="G5" s="102">
        <v>2017</v>
      </c>
    </row>
    <row r="6" spans="1:7" ht="23.25">
      <c r="A6" s="117" t="s">
        <v>88</v>
      </c>
      <c r="B6" s="118">
        <v>545888</v>
      </c>
      <c r="C6" s="119">
        <v>574888</v>
      </c>
      <c r="D6" s="119">
        <v>604966.19764879998</v>
      </c>
      <c r="E6" s="118">
        <v>639490.19764879998</v>
      </c>
      <c r="F6" s="120">
        <v>672948.38873880496</v>
      </c>
      <c r="G6" s="119">
        <v>710400.66228267201</v>
      </c>
    </row>
    <row r="7" spans="1:7" ht="23.25">
      <c r="A7" s="121" t="s">
        <v>89</v>
      </c>
      <c r="B7" s="122">
        <v>887</v>
      </c>
      <c r="C7" s="123">
        <v>943</v>
      </c>
      <c r="D7" s="123">
        <f>+C7+C7*5.64%</f>
        <v>996.18520000000001</v>
      </c>
      <c r="E7" s="122">
        <f>+D7+D7*5.54%</f>
        <v>1051.37386008</v>
      </c>
      <c r="F7" s="122">
        <f>+E7+E7*4.1%</f>
        <v>1094.4801883432799</v>
      </c>
      <c r="G7" s="122">
        <f>+F7*4.01%+F7</f>
        <v>1138.3688438958454</v>
      </c>
    </row>
    <row r="8" spans="1:7" ht="23.25">
      <c r="A8" s="124" t="s">
        <v>90</v>
      </c>
      <c r="B8" s="125">
        <v>0</v>
      </c>
      <c r="C8" s="125">
        <v>0</v>
      </c>
      <c r="D8" s="125">
        <v>0</v>
      </c>
      <c r="E8" s="125">
        <v>0</v>
      </c>
      <c r="F8" s="125">
        <v>0</v>
      </c>
      <c r="G8" s="125">
        <v>0</v>
      </c>
    </row>
    <row r="9" spans="1:7" ht="23.25">
      <c r="A9" s="124" t="s">
        <v>91</v>
      </c>
      <c r="B9" s="125">
        <v>887</v>
      </c>
      <c r="C9" s="125">
        <v>943</v>
      </c>
      <c r="D9" s="125">
        <v>996.18520000000001</v>
      </c>
      <c r="E9" s="125">
        <v>1051.37386008</v>
      </c>
      <c r="F9" s="125">
        <v>1094.4801883432799</v>
      </c>
      <c r="G9" s="125">
        <v>1138.3688438958454</v>
      </c>
    </row>
    <row r="10" spans="1:7" ht="23.25">
      <c r="A10" s="121" t="s">
        <v>92</v>
      </c>
      <c r="B10" s="122">
        <v>36</v>
      </c>
      <c r="C10" s="123">
        <v>39</v>
      </c>
      <c r="D10" s="123">
        <v>41</v>
      </c>
      <c r="E10" s="122">
        <v>42</v>
      </c>
      <c r="F10" s="122">
        <v>44</v>
      </c>
      <c r="G10" s="122">
        <v>46</v>
      </c>
    </row>
    <row r="11" spans="1:7" ht="23.25">
      <c r="A11" s="124" t="s">
        <v>93</v>
      </c>
      <c r="B11" s="125">
        <v>2</v>
      </c>
      <c r="C11" s="125">
        <v>2</v>
      </c>
      <c r="D11" s="125">
        <v>3</v>
      </c>
      <c r="E11" s="125">
        <v>3</v>
      </c>
      <c r="F11" s="126">
        <v>4</v>
      </c>
      <c r="G11" s="125">
        <v>4</v>
      </c>
    </row>
    <row r="12" spans="1:7" ht="23.25">
      <c r="A12" s="124" t="s">
        <v>94</v>
      </c>
      <c r="B12" s="125">
        <v>34</v>
      </c>
      <c r="C12" s="125">
        <v>37</v>
      </c>
      <c r="D12" s="125">
        <v>38</v>
      </c>
      <c r="E12" s="125">
        <v>39</v>
      </c>
      <c r="F12" s="126">
        <v>40</v>
      </c>
      <c r="G12" s="125">
        <v>42</v>
      </c>
    </row>
    <row r="13" spans="1:7" ht="23.25">
      <c r="A13" s="127" t="s">
        <v>74</v>
      </c>
      <c r="B13" s="103">
        <f t="shared" ref="B13:G13" si="0">SUM(B8,B11)</f>
        <v>2</v>
      </c>
      <c r="C13" s="103">
        <f t="shared" si="0"/>
        <v>2</v>
      </c>
      <c r="D13" s="103">
        <f t="shared" si="0"/>
        <v>3</v>
      </c>
      <c r="E13" s="103">
        <f t="shared" si="0"/>
        <v>3</v>
      </c>
      <c r="F13" s="103">
        <f t="shared" si="0"/>
        <v>4</v>
      </c>
      <c r="G13" s="103">
        <f t="shared" si="0"/>
        <v>4</v>
      </c>
    </row>
    <row r="14" spans="1:7" ht="23.25">
      <c r="A14" s="127" t="s">
        <v>75</v>
      </c>
      <c r="B14" s="103">
        <f t="shared" ref="B14:G14" si="1">SUM(B6,B9,B12)</f>
        <v>546809</v>
      </c>
      <c r="C14" s="103">
        <f t="shared" si="1"/>
        <v>575868</v>
      </c>
      <c r="D14" s="103">
        <f t="shared" si="1"/>
        <v>606000.38284879993</v>
      </c>
      <c r="E14" s="103">
        <f t="shared" si="1"/>
        <v>640580.57150888001</v>
      </c>
      <c r="F14" s="103">
        <f t="shared" si="1"/>
        <v>674082.86892714829</v>
      </c>
      <c r="G14" s="103">
        <f t="shared" si="1"/>
        <v>711581.03112656786</v>
      </c>
    </row>
    <row r="15" spans="1:7" ht="23.25">
      <c r="A15" s="128" t="s">
        <v>76</v>
      </c>
      <c r="B15" s="129">
        <f t="shared" ref="B15:G15" si="2">SUM(B13:B14)</f>
        <v>546811</v>
      </c>
      <c r="C15" s="129">
        <f t="shared" si="2"/>
        <v>575870</v>
      </c>
      <c r="D15" s="129">
        <f t="shared" si="2"/>
        <v>606003.38284879993</v>
      </c>
      <c r="E15" s="129">
        <f t="shared" si="2"/>
        <v>640583.57150888001</v>
      </c>
      <c r="F15" s="129">
        <f t="shared" si="2"/>
        <v>674086.86892714829</v>
      </c>
      <c r="G15" s="129">
        <f t="shared" si="2"/>
        <v>711585.03112656786</v>
      </c>
    </row>
    <row r="16" spans="1:7" ht="31.5">
      <c r="A16" s="130" t="s">
        <v>101</v>
      </c>
      <c r="B16" s="100"/>
      <c r="C16" s="105"/>
      <c r="D16" s="105"/>
      <c r="E16" s="105"/>
      <c r="F16" s="105"/>
      <c r="G16" s="104"/>
    </row>
    <row r="17" spans="1:7" ht="28.5">
      <c r="A17" s="101"/>
      <c r="B17" s="100"/>
      <c r="C17" s="105"/>
      <c r="D17" s="105"/>
      <c r="E17" s="105"/>
      <c r="F17" s="105"/>
      <c r="G17" s="104"/>
    </row>
    <row r="18" spans="1:7" ht="23.25">
      <c r="A18" s="131" t="s">
        <v>102</v>
      </c>
      <c r="B18" s="119">
        <v>7085.5</v>
      </c>
      <c r="C18" s="119">
        <v>7195</v>
      </c>
      <c r="D18" s="135">
        <v>7353.29</v>
      </c>
      <c r="E18" s="135">
        <v>7510.6504059999997</v>
      </c>
      <c r="F18" s="135">
        <v>7670.6272596477993</v>
      </c>
      <c r="G18" s="135">
        <v>7854.7223138793461</v>
      </c>
    </row>
    <row r="19" spans="1:7" ht="23.25">
      <c r="A19" s="121" t="s">
        <v>103</v>
      </c>
      <c r="B19" s="132">
        <f t="shared" ref="B19:E19" si="3">SUM(B20:B21)</f>
        <v>1726.1</v>
      </c>
      <c r="C19" s="132">
        <f t="shared" si="3"/>
        <v>1892.6</v>
      </c>
      <c r="D19" s="136">
        <f t="shared" si="3"/>
        <v>2079.7757999999999</v>
      </c>
      <c r="E19" s="136">
        <f t="shared" si="3"/>
        <v>2278.5115732600002</v>
      </c>
      <c r="F19" s="137">
        <f>+E19+E19*7.345%</f>
        <v>2445.8682483159473</v>
      </c>
      <c r="G19" s="136">
        <f>SUM(G20:G21)</f>
        <v>2710.53343743604</v>
      </c>
    </row>
    <row r="20" spans="1:7" ht="23.25">
      <c r="A20" s="124" t="s">
        <v>104</v>
      </c>
      <c r="B20" s="125">
        <v>0</v>
      </c>
      <c r="C20" s="125">
        <v>0</v>
      </c>
      <c r="D20" s="138">
        <v>0</v>
      </c>
      <c r="E20" s="138">
        <v>0</v>
      </c>
      <c r="F20" s="139">
        <v>0</v>
      </c>
      <c r="G20" s="139">
        <v>0</v>
      </c>
    </row>
    <row r="21" spans="1:7" ht="23.25">
      <c r="A21" s="124" t="s">
        <v>105</v>
      </c>
      <c r="B21" s="133">
        <v>1726.1</v>
      </c>
      <c r="C21" s="133">
        <v>1892.6</v>
      </c>
      <c r="D21" s="140">
        <v>2079.7757999999999</v>
      </c>
      <c r="E21" s="140">
        <v>2278.5115732600002</v>
      </c>
      <c r="F21" s="137">
        <v>2485.8999412544999</v>
      </c>
      <c r="G21" s="137">
        <v>2710.53343743604</v>
      </c>
    </row>
    <row r="22" spans="1:7" ht="23.25">
      <c r="A22" s="121" t="s">
        <v>106</v>
      </c>
      <c r="B22" s="132">
        <f t="shared" ref="B22:G22" si="4">SUM(B23:B24)</f>
        <v>1518.9</v>
      </c>
      <c r="C22" s="132">
        <f t="shared" si="4"/>
        <v>1587.6</v>
      </c>
      <c r="D22" s="136">
        <f t="shared" si="4"/>
        <v>1713.692</v>
      </c>
      <c r="E22" s="136">
        <f t="shared" si="4"/>
        <v>1833.37394433437</v>
      </c>
      <c r="F22" s="136">
        <f t="shared" si="4"/>
        <v>1953.1000000000001</v>
      </c>
      <c r="G22" s="136">
        <f t="shared" si="4"/>
        <v>2082.27069361127</v>
      </c>
    </row>
    <row r="23" spans="1:7" ht="23.25">
      <c r="A23" s="124" t="s">
        <v>107</v>
      </c>
      <c r="B23" s="133">
        <v>527</v>
      </c>
      <c r="C23" s="133">
        <v>544</v>
      </c>
      <c r="D23" s="140">
        <v>600.69200000000001</v>
      </c>
      <c r="E23" s="140">
        <v>659</v>
      </c>
      <c r="F23" s="137">
        <v>720.72111478290003</v>
      </c>
      <c r="G23" s="137">
        <v>789.27069361126996</v>
      </c>
    </row>
    <row r="24" spans="1:7" ht="23.25">
      <c r="A24" s="124" t="s">
        <v>108</v>
      </c>
      <c r="B24" s="133">
        <v>991.90000000000009</v>
      </c>
      <c r="C24" s="133">
        <v>1043.5999999999999</v>
      </c>
      <c r="D24" s="140">
        <v>1113</v>
      </c>
      <c r="E24" s="140">
        <v>1174.37394433437</v>
      </c>
      <c r="F24" s="137">
        <v>1232.3788852171001</v>
      </c>
      <c r="G24" s="139">
        <v>1293</v>
      </c>
    </row>
    <row r="25" spans="1:7" ht="23.25">
      <c r="A25" s="127" t="s">
        <v>109</v>
      </c>
      <c r="B25" s="103">
        <f t="shared" ref="B25:D25" si="5">SUM(B20,B23)</f>
        <v>527</v>
      </c>
      <c r="C25" s="103">
        <f t="shared" si="5"/>
        <v>544</v>
      </c>
      <c r="D25" s="103">
        <f t="shared" si="5"/>
        <v>600.69200000000001</v>
      </c>
      <c r="E25" s="103">
        <f>SUM(E20,E23)</f>
        <v>659</v>
      </c>
      <c r="F25" s="103">
        <f>SUM(F20,F23)</f>
        <v>720.72111478290003</v>
      </c>
      <c r="G25" s="103">
        <f>SUM(G20,G23)</f>
        <v>789.27069361126996</v>
      </c>
    </row>
    <row r="26" spans="1:7" ht="23.25">
      <c r="A26" s="127" t="s">
        <v>110</v>
      </c>
      <c r="B26" s="103">
        <f t="shared" ref="B26:E26" si="6">+B18+B21+B24</f>
        <v>9803.5</v>
      </c>
      <c r="C26" s="103">
        <f t="shared" si="6"/>
        <v>10131.200000000001</v>
      </c>
      <c r="D26" s="103">
        <f t="shared" si="6"/>
        <v>10546.0658</v>
      </c>
      <c r="E26" s="103">
        <f t="shared" si="6"/>
        <v>10963.535923594369</v>
      </c>
      <c r="F26" s="103">
        <f>+F18+F21+F24</f>
        <v>11388.906086119399</v>
      </c>
      <c r="G26" s="103">
        <f>+G18+G21+G24</f>
        <v>11858.255751315386</v>
      </c>
    </row>
    <row r="27" spans="1:7" ht="23.25">
      <c r="A27" s="128" t="s">
        <v>86</v>
      </c>
      <c r="B27" s="129">
        <f t="shared" ref="B27:E27" si="7">+B25+B26</f>
        <v>10330.5</v>
      </c>
      <c r="C27" s="129">
        <f t="shared" si="7"/>
        <v>10675.2</v>
      </c>
      <c r="D27" s="103">
        <f t="shared" si="7"/>
        <v>11146.757799999999</v>
      </c>
      <c r="E27" s="103">
        <f t="shared" si="7"/>
        <v>11622.535923594369</v>
      </c>
      <c r="F27" s="103">
        <f>+F25+F26</f>
        <v>12109.6272009023</v>
      </c>
      <c r="G27" s="103">
        <f>+G25+G26</f>
        <v>12647.526444926656</v>
      </c>
    </row>
    <row r="28" spans="1:7" s="28" customFormat="1" ht="23.25">
      <c r="A28" s="141"/>
      <c r="B28" s="142"/>
      <c r="C28" s="142">
        <v>10585</v>
      </c>
      <c r="D28" s="111"/>
      <c r="E28" s="111"/>
      <c r="F28" s="143"/>
      <c r="G28" s="143"/>
    </row>
    <row r="29" spans="1:7" ht="23.25">
      <c r="A29" s="108" t="s">
        <v>87</v>
      </c>
      <c r="B29" s="109"/>
      <c r="C29" s="110"/>
      <c r="D29" s="109">
        <v>0.29799999999999999</v>
      </c>
      <c r="E29" s="109">
        <v>0.29799999999999999</v>
      </c>
      <c r="F29" s="109">
        <v>0.29799999999999999</v>
      </c>
      <c r="G29" s="109">
        <v>0.29799999999999999</v>
      </c>
    </row>
    <row r="30" spans="1:7" ht="31.5">
      <c r="A30" s="144" t="s">
        <v>95</v>
      </c>
      <c r="B30" s="100"/>
      <c r="C30" s="105"/>
      <c r="D30" s="105"/>
      <c r="E30" s="105"/>
      <c r="F30" s="105"/>
      <c r="G30" s="104"/>
    </row>
    <row r="31" spans="1:7" ht="28.5">
      <c r="A31" s="101"/>
      <c r="B31" s="100"/>
      <c r="C31" s="105"/>
      <c r="D31" s="105"/>
      <c r="E31" s="105"/>
      <c r="F31" s="105"/>
      <c r="G31" s="104"/>
    </row>
    <row r="32" spans="1:7" ht="23.25">
      <c r="A32" s="131" t="s">
        <v>102</v>
      </c>
      <c r="B32" s="119">
        <v>7085.5</v>
      </c>
      <c r="C32" s="119">
        <v>7195</v>
      </c>
      <c r="D32" s="135">
        <f>+D18*D29</f>
        <v>2191.28042</v>
      </c>
      <c r="E32" s="135">
        <f>+E18*E29</f>
        <v>2238.173820988</v>
      </c>
      <c r="F32" s="135">
        <f>+F18*F29</f>
        <v>2285.8469233750443</v>
      </c>
      <c r="G32" s="145">
        <f>+G18*G29</f>
        <v>2340.7072495360449</v>
      </c>
    </row>
    <row r="33" spans="1:7" ht="23.25">
      <c r="A33" s="121" t="s">
        <v>103</v>
      </c>
      <c r="B33" s="132">
        <f t="shared" ref="B33:C33" si="8">SUM(B34:B35)</f>
        <v>1726.1</v>
      </c>
      <c r="C33" s="132">
        <f t="shared" si="8"/>
        <v>1892.6</v>
      </c>
      <c r="D33" s="136">
        <f>+D19*D29</f>
        <v>619.77318839999998</v>
      </c>
      <c r="E33" s="136">
        <f>+E19*E29</f>
        <v>678.99644883148005</v>
      </c>
      <c r="F33" s="136">
        <f>+F19*F29</f>
        <v>728.86873799815226</v>
      </c>
      <c r="G33" s="146">
        <f>+G19*G29</f>
        <v>807.73896435593986</v>
      </c>
    </row>
    <row r="34" spans="1:7" ht="23.25">
      <c r="A34" s="124" t="s">
        <v>104</v>
      </c>
      <c r="B34" s="125">
        <v>0</v>
      </c>
      <c r="C34" s="125">
        <v>0</v>
      </c>
      <c r="D34" s="138">
        <v>0</v>
      </c>
      <c r="E34" s="138">
        <v>0</v>
      </c>
      <c r="F34" s="139">
        <v>0</v>
      </c>
      <c r="G34" s="147">
        <v>0</v>
      </c>
    </row>
    <row r="35" spans="1:7" ht="23.25">
      <c r="A35" s="124" t="s">
        <v>105</v>
      </c>
      <c r="B35" s="133">
        <v>1726.1</v>
      </c>
      <c r="C35" s="133">
        <v>1892.6</v>
      </c>
      <c r="D35" s="140">
        <f>+D21*D29</f>
        <v>619.77318839999998</v>
      </c>
      <c r="E35" s="140">
        <f>+E21*E29</f>
        <v>678.99644883148005</v>
      </c>
      <c r="F35" s="140">
        <f>+F21*F29</f>
        <v>740.79818249384095</v>
      </c>
      <c r="G35" s="148">
        <f>+G21*G29</f>
        <v>807.73896435593986</v>
      </c>
    </row>
    <row r="36" spans="1:7" ht="23.25">
      <c r="A36" s="121" t="s">
        <v>106</v>
      </c>
      <c r="B36" s="132">
        <f t="shared" ref="B36:C36" si="9">SUM(B37:B38)</f>
        <v>1518.9</v>
      </c>
      <c r="C36" s="132">
        <f t="shared" si="9"/>
        <v>1587.6</v>
      </c>
      <c r="D36" s="136">
        <f>+D22*D29</f>
        <v>510.68021599999997</v>
      </c>
      <c r="E36" s="136">
        <f>+E22*E29</f>
        <v>546.34543541164226</v>
      </c>
      <c r="F36" s="136">
        <f>+F22*F29</f>
        <v>582.02380000000005</v>
      </c>
      <c r="G36" s="146">
        <f>+G22*G29</f>
        <v>620.51666669615838</v>
      </c>
    </row>
    <row r="37" spans="1:7" ht="23.25">
      <c r="A37" s="124" t="s">
        <v>107</v>
      </c>
      <c r="B37" s="133">
        <v>527</v>
      </c>
      <c r="C37" s="133">
        <v>544</v>
      </c>
      <c r="D37" s="140">
        <f>+D23*D29</f>
        <v>179.00621599999999</v>
      </c>
      <c r="E37" s="140">
        <f>+E23*E29</f>
        <v>196.38200000000001</v>
      </c>
      <c r="F37" s="140">
        <f>+F23*F29</f>
        <v>214.77489220530421</v>
      </c>
      <c r="G37" s="148">
        <f>+G23*G29</f>
        <v>235.20266669615845</v>
      </c>
    </row>
    <row r="38" spans="1:7" ht="23.25">
      <c r="A38" s="124" t="s">
        <v>108</v>
      </c>
      <c r="B38" s="133">
        <v>991.90000000000009</v>
      </c>
      <c r="C38" s="133">
        <v>1043.5999999999999</v>
      </c>
      <c r="D38" s="140">
        <f>+D24*D29</f>
        <v>331.67399999999998</v>
      </c>
      <c r="E38" s="140">
        <f>+E24*E29</f>
        <v>349.96343541164225</v>
      </c>
      <c r="F38" s="140">
        <f>+F24*F29</f>
        <v>367.24890779469581</v>
      </c>
      <c r="G38" s="148">
        <f>+G24*G29</f>
        <v>385.31399999999996</v>
      </c>
    </row>
    <row r="39" spans="1:7" ht="23.25">
      <c r="A39" s="127" t="s">
        <v>109</v>
      </c>
      <c r="B39" s="103">
        <f t="shared" ref="B39:D39" si="10">SUM(B34,B37)</f>
        <v>527</v>
      </c>
      <c r="C39" s="103">
        <f t="shared" si="10"/>
        <v>544</v>
      </c>
      <c r="D39" s="103">
        <f t="shared" si="10"/>
        <v>179.00621599999999</v>
      </c>
      <c r="E39" s="103">
        <f>SUM(E34,E37)</f>
        <v>196.38200000000001</v>
      </c>
      <c r="F39" s="103">
        <f>SUM(F34,F37)</f>
        <v>214.77489220530421</v>
      </c>
      <c r="G39" s="103">
        <f>SUM(G34,G37)</f>
        <v>235.20266669615845</v>
      </c>
    </row>
    <row r="40" spans="1:7" ht="23.25">
      <c r="A40" s="127" t="s">
        <v>110</v>
      </c>
      <c r="B40" s="103">
        <f t="shared" ref="B40:E40" si="11">+B32+B35+B38</f>
        <v>9803.5</v>
      </c>
      <c r="C40" s="103">
        <f t="shared" si="11"/>
        <v>10131.200000000001</v>
      </c>
      <c r="D40" s="103">
        <f t="shared" si="11"/>
        <v>3142.7276084</v>
      </c>
      <c r="E40" s="103">
        <f t="shared" si="11"/>
        <v>3267.1337052311223</v>
      </c>
      <c r="F40" s="103">
        <f>+F32+F35+F38</f>
        <v>3393.8940136635811</v>
      </c>
      <c r="G40" s="103">
        <f>+G32+G35+G38</f>
        <v>3533.7602138919847</v>
      </c>
    </row>
    <row r="41" spans="1:7" ht="23.25">
      <c r="A41" s="128" t="s">
        <v>86</v>
      </c>
      <c r="B41" s="129">
        <f t="shared" ref="B41:E41" si="12">+B39+B40</f>
        <v>10330.5</v>
      </c>
      <c r="C41" s="129">
        <f t="shared" si="12"/>
        <v>10675.2</v>
      </c>
      <c r="D41" s="103">
        <f t="shared" si="12"/>
        <v>3321.7338244000002</v>
      </c>
      <c r="E41" s="103">
        <f t="shared" si="12"/>
        <v>3463.5157052311224</v>
      </c>
      <c r="F41" s="103">
        <f>+F39+F40</f>
        <v>3608.6689058688853</v>
      </c>
      <c r="G41" s="103">
        <f>+G39+G40</f>
        <v>3768.962880588143</v>
      </c>
    </row>
    <row r="43" spans="1:7">
      <c r="C43">
        <f>+C41*D29</f>
        <v>3181.2096000000001</v>
      </c>
      <c r="D43">
        <v>10041</v>
      </c>
    </row>
    <row r="44" spans="1:7">
      <c r="C44">
        <f>+C28*D29</f>
        <v>3154.33</v>
      </c>
    </row>
    <row r="45" spans="1:7" ht="15.75">
      <c r="A45" s="156" t="s">
        <v>0</v>
      </c>
      <c r="B45" s="157">
        <v>2014</v>
      </c>
      <c r="C45" s="157">
        <v>2015</v>
      </c>
      <c r="D45" s="157">
        <v>2016</v>
      </c>
      <c r="E45" s="157">
        <v>2017</v>
      </c>
    </row>
    <row r="46" spans="1:7" ht="15.75">
      <c r="A46" s="152" t="s">
        <v>150</v>
      </c>
      <c r="B46" s="153">
        <v>0.29799999999999999</v>
      </c>
      <c r="C46" s="153">
        <v>0.29799999999999999</v>
      </c>
      <c r="D46" s="153">
        <v>0.29799999999999999</v>
      </c>
      <c r="E46" s="153">
        <v>0.29799999999999999</v>
      </c>
    </row>
    <row r="47" spans="1:7" ht="15.75">
      <c r="A47" s="154" t="s">
        <v>111</v>
      </c>
      <c r="B47" s="153">
        <f>+B46+(B46*0.01)</f>
        <v>0.30097999999999997</v>
      </c>
      <c r="C47" s="153">
        <f>+B47+(B47*0.01)</f>
        <v>0.30398979999999998</v>
      </c>
      <c r="D47" s="153">
        <f>+C47+(C47*0.01)</f>
        <v>0.30702969799999996</v>
      </c>
      <c r="E47" s="153">
        <f>+D47+(D47*0.01)</f>
        <v>0.31009999497999996</v>
      </c>
    </row>
    <row r="48" spans="1:7" ht="15.75">
      <c r="A48" s="152" t="s">
        <v>151</v>
      </c>
      <c r="B48" s="155">
        <v>11146.757799999999</v>
      </c>
      <c r="C48" s="155">
        <v>11622.535923594369</v>
      </c>
      <c r="D48" s="155">
        <v>12109.6272009023</v>
      </c>
      <c r="E48" s="155">
        <v>12647.526444926656</v>
      </c>
    </row>
    <row r="49" spans="1:7" ht="15.75">
      <c r="A49" s="152" t="s">
        <v>152</v>
      </c>
      <c r="B49" s="155">
        <f>+B47*B48</f>
        <v>3354.9511626439994</v>
      </c>
      <c r="C49" s="155">
        <f>+C47*C48</f>
        <v>3533.1323709062672</v>
      </c>
      <c r="D49" s="155">
        <f>+D47*D48</f>
        <v>3718.0151823856181</v>
      </c>
      <c r="E49" s="155">
        <f>+E47*E48</f>
        <v>3921.9978870811728</v>
      </c>
    </row>
    <row r="50" spans="1:7" ht="15.75">
      <c r="A50" s="152" t="s">
        <v>153</v>
      </c>
      <c r="B50" s="155">
        <v>3321.7338244000002</v>
      </c>
      <c r="C50" s="155">
        <v>3463.5157052311224</v>
      </c>
      <c r="D50" s="155">
        <v>3608.6689058688853</v>
      </c>
      <c r="E50" s="155">
        <v>3768.962880588143</v>
      </c>
    </row>
    <row r="51" spans="1:7" ht="15.75">
      <c r="A51" s="156" t="s">
        <v>116</v>
      </c>
      <c r="B51" s="157">
        <f>+B49-B50</f>
        <v>33.217338243999166</v>
      </c>
      <c r="C51" s="157">
        <f t="shared" ref="C51:E51" si="13">+C49-C50</f>
        <v>69.616665675144759</v>
      </c>
      <c r="D51" s="157">
        <f t="shared" si="13"/>
        <v>109.34627651673281</v>
      </c>
      <c r="E51" s="157">
        <f t="shared" si="13"/>
        <v>153.03500649302987</v>
      </c>
    </row>
    <row r="54" spans="1:7" ht="15.75" thickBot="1"/>
    <row r="55" spans="1:7" ht="17.25" thickTop="1" thickBot="1">
      <c r="A55" s="193" t="s">
        <v>0</v>
      </c>
      <c r="B55" s="193">
        <v>2012</v>
      </c>
      <c r="C55" s="193">
        <v>2013</v>
      </c>
      <c r="D55" s="194">
        <v>2014</v>
      </c>
      <c r="E55" s="194">
        <v>2015</v>
      </c>
      <c r="F55" s="194">
        <v>2016</v>
      </c>
      <c r="G55" s="194">
        <v>2017</v>
      </c>
    </row>
    <row r="56" spans="1:7" ht="17.25" thickTop="1" thickBot="1">
      <c r="A56" s="188" t="s">
        <v>150</v>
      </c>
      <c r="B56" s="195" t="s">
        <v>157</v>
      </c>
      <c r="C56" s="302">
        <v>0.29799999999999999</v>
      </c>
      <c r="D56" s="302">
        <v>0.29799999999999999</v>
      </c>
      <c r="E56" s="302">
        <v>0.29799999999999999</v>
      </c>
      <c r="F56" s="302">
        <v>0.29799999999999999</v>
      </c>
      <c r="G56" s="302">
        <v>0.29799999999999999</v>
      </c>
    </row>
    <row r="57" spans="1:7" ht="17.25" thickTop="1" thickBot="1">
      <c r="A57" s="188"/>
      <c r="B57" s="195" t="s">
        <v>158</v>
      </c>
      <c r="C57" s="302"/>
      <c r="D57" s="302"/>
      <c r="E57" s="302"/>
      <c r="F57" s="302"/>
      <c r="G57" s="302"/>
    </row>
    <row r="58" spans="1:7" ht="17.25" thickTop="1" thickBot="1">
      <c r="A58" s="188"/>
      <c r="B58" s="195" t="s">
        <v>159</v>
      </c>
      <c r="C58" s="302"/>
      <c r="D58" s="302"/>
      <c r="E58" s="302"/>
      <c r="F58" s="302"/>
      <c r="G58" s="302"/>
    </row>
    <row r="59" spans="1:7" ht="17.25" thickTop="1" thickBot="1">
      <c r="A59" s="184" t="s">
        <v>151</v>
      </c>
      <c r="B59" s="186">
        <v>10330.455530634639</v>
      </c>
      <c r="C59" s="186">
        <v>10585.199999999999</v>
      </c>
      <c r="D59" s="190">
        <v>11146.757799999999</v>
      </c>
      <c r="E59" s="190">
        <v>11622.535923594369</v>
      </c>
      <c r="F59" s="190">
        <v>12109.6272009023</v>
      </c>
      <c r="G59" s="190">
        <v>12647.526444926656</v>
      </c>
    </row>
    <row r="60" spans="1:7" ht="17.25" thickTop="1" thickBot="1">
      <c r="A60" s="188" t="s">
        <v>112</v>
      </c>
      <c r="B60" s="189">
        <v>0</v>
      </c>
      <c r="C60" s="189">
        <v>0</v>
      </c>
      <c r="D60" s="187">
        <f>+C56+(C56*0.01)</f>
        <v>0.30097999999999997</v>
      </c>
      <c r="E60" s="191"/>
      <c r="F60" s="191"/>
      <c r="G60" s="191"/>
    </row>
    <row r="61" spans="1:7" ht="17.25" thickTop="1" thickBot="1">
      <c r="A61" s="188" t="s">
        <v>114</v>
      </c>
      <c r="B61" s="190">
        <v>3086.0655531392877</v>
      </c>
      <c r="C61" s="190">
        <v>3157.6244000000006</v>
      </c>
      <c r="D61" s="191">
        <v>3321.7338244000002</v>
      </c>
      <c r="E61" s="191">
        <v>3463.5157052311224</v>
      </c>
      <c r="F61" s="191">
        <v>3608.6689058688853</v>
      </c>
      <c r="G61" s="191">
        <v>3768.962880588143</v>
      </c>
    </row>
    <row r="62" spans="1:7" ht="17.25" thickTop="1" thickBot="1">
      <c r="A62" s="188" t="s">
        <v>116</v>
      </c>
      <c r="B62" s="190"/>
      <c r="C62" s="190"/>
      <c r="D62" s="191"/>
      <c r="E62" s="191"/>
      <c r="F62" s="191"/>
      <c r="G62" s="191"/>
    </row>
    <row r="63" spans="1:7" ht="17.25" thickTop="1" thickBot="1">
      <c r="A63" s="184" t="s">
        <v>116</v>
      </c>
      <c r="B63" s="185"/>
      <c r="C63" s="186"/>
      <c r="D63" s="191">
        <v>33.217338243999166</v>
      </c>
      <c r="E63" s="191">
        <v>69.616665675144759</v>
      </c>
      <c r="F63" s="191">
        <v>109.34627651673281</v>
      </c>
      <c r="G63" s="191">
        <v>153.03500649302987</v>
      </c>
    </row>
    <row r="64" spans="1:7" s="71" customFormat="1" ht="16.5" thickTop="1">
      <c r="A64" s="278"/>
      <c r="B64" s="279"/>
      <c r="C64" s="280"/>
      <c r="D64" s="281"/>
      <c r="E64" s="281"/>
      <c r="F64" s="281"/>
      <c r="G64" s="281"/>
    </row>
    <row r="66" spans="1:8" ht="18.75">
      <c r="A66" s="273" t="s">
        <v>173</v>
      </c>
      <c r="B66" s="274"/>
    </row>
    <row r="67" spans="1:8">
      <c r="A67" s="71" t="s">
        <v>168</v>
      </c>
    </row>
    <row r="76" spans="1:8">
      <c r="E76" s="292" t="s">
        <v>181</v>
      </c>
      <c r="F76" s="16"/>
      <c r="G76" s="16"/>
      <c r="H76" s="16" t="s">
        <v>182</v>
      </c>
    </row>
    <row r="77" spans="1:8">
      <c r="E77" s="16">
        <f>7195-1</f>
        <v>7194</v>
      </c>
      <c r="F77" s="16" t="s">
        <v>178</v>
      </c>
      <c r="G77" s="16">
        <v>0.32</v>
      </c>
      <c r="H77" s="293">
        <f>+E77*G77</f>
        <v>2302.08</v>
      </c>
    </row>
    <row r="78" spans="1:8">
      <c r="E78" s="16">
        <v>1803</v>
      </c>
      <c r="F78" s="16" t="s">
        <v>179</v>
      </c>
      <c r="G78" s="16">
        <v>0.33</v>
      </c>
      <c r="H78" s="293">
        <f>+E78*G78</f>
        <v>594.99</v>
      </c>
    </row>
    <row r="79" spans="1:8">
      <c r="E79" s="16">
        <v>1044</v>
      </c>
      <c r="F79" s="16" t="s">
        <v>180</v>
      </c>
      <c r="G79" s="16">
        <v>0.16400000000000001</v>
      </c>
      <c r="H79" s="293">
        <f>+E79*G79</f>
        <v>171.21600000000001</v>
      </c>
    </row>
    <row r="80" spans="1:8">
      <c r="A80" s="71" t="s">
        <v>167</v>
      </c>
      <c r="E80" s="294">
        <f>SUM(E77:E79)</f>
        <v>10041</v>
      </c>
      <c r="F80" s="294"/>
      <c r="G80" s="294"/>
      <c r="H80" s="295">
        <f>SUM(H77:H79)</f>
        <v>3068.2859999999996</v>
      </c>
    </row>
    <row r="81" spans="1:10">
      <c r="A81" s="71" t="s">
        <v>169</v>
      </c>
      <c r="E81" s="292" t="s">
        <v>183</v>
      </c>
      <c r="F81" s="16"/>
      <c r="G81" s="16"/>
      <c r="H81" s="16"/>
    </row>
    <row r="82" spans="1:10">
      <c r="E82" s="294">
        <v>544</v>
      </c>
      <c r="F82" s="294" t="s">
        <v>180</v>
      </c>
      <c r="G82" s="294">
        <v>0.16400000000000001</v>
      </c>
      <c r="H82" s="295">
        <f>+E82*G82</f>
        <v>89.216000000000008</v>
      </c>
      <c r="J82" s="291"/>
    </row>
    <row r="83" spans="1:10">
      <c r="E83" s="292" t="s">
        <v>184</v>
      </c>
      <c r="F83" s="16"/>
      <c r="G83" s="16"/>
      <c r="H83" s="16"/>
      <c r="J83" s="291"/>
    </row>
    <row r="84" spans="1:10">
      <c r="E84" s="296">
        <f>+E80+E82</f>
        <v>10585</v>
      </c>
      <c r="F84" s="296"/>
      <c r="G84" s="296"/>
      <c r="H84" s="297">
        <f>+H80+H82</f>
        <v>3157.5019999999995</v>
      </c>
      <c r="J84" s="291"/>
    </row>
    <row r="85" spans="1:10">
      <c r="J85" s="291"/>
    </row>
    <row r="86" spans="1:10">
      <c r="E86" s="292" t="s">
        <v>185</v>
      </c>
      <c r="F86" s="16"/>
      <c r="G86" s="16"/>
      <c r="H86" s="16" t="s">
        <v>182</v>
      </c>
    </row>
    <row r="87" spans="1:10">
      <c r="E87" s="16">
        <v>7086</v>
      </c>
      <c r="F87" s="16" t="s">
        <v>178</v>
      </c>
      <c r="G87" s="16">
        <v>0.32</v>
      </c>
      <c r="H87" s="293">
        <f>+E87*G87</f>
        <v>2267.52</v>
      </c>
    </row>
    <row r="88" spans="1:10">
      <c r="E88" s="16">
        <v>1726</v>
      </c>
      <c r="F88" s="16" t="s">
        <v>179</v>
      </c>
      <c r="G88" s="16">
        <v>0.33</v>
      </c>
      <c r="H88" s="293">
        <f>+E88*G88</f>
        <v>569.58000000000004</v>
      </c>
      <c r="J88">
        <f>2268+570+163</f>
        <v>3001</v>
      </c>
    </row>
    <row r="89" spans="1:10">
      <c r="E89" s="16">
        <v>992</v>
      </c>
      <c r="F89" s="16" t="s">
        <v>180</v>
      </c>
      <c r="G89" s="16">
        <v>0.16400000000000001</v>
      </c>
      <c r="H89" s="293">
        <f>+E89*G89</f>
        <v>162.68800000000002</v>
      </c>
      <c r="J89">
        <f>86+3000</f>
        <v>3086</v>
      </c>
    </row>
    <row r="90" spans="1:10">
      <c r="E90" s="294">
        <f>SUM(E87:E89)</f>
        <v>9804</v>
      </c>
      <c r="F90" s="294"/>
      <c r="G90" s="294"/>
      <c r="H90" s="295">
        <f>SUM(H87:H89)</f>
        <v>2999.788</v>
      </c>
      <c r="J90" s="291">
        <f>+H89+H92</f>
        <v>249.11600000000001</v>
      </c>
    </row>
    <row r="91" spans="1:10">
      <c r="E91" s="292" t="s">
        <v>183</v>
      </c>
      <c r="F91" s="16"/>
      <c r="G91" s="16"/>
      <c r="H91" s="16"/>
    </row>
    <row r="92" spans="1:10">
      <c r="E92" s="294">
        <v>527</v>
      </c>
      <c r="F92" s="294" t="s">
        <v>180</v>
      </c>
      <c r="G92" s="294">
        <v>0.16400000000000001</v>
      </c>
      <c r="H92" s="295">
        <f>+E92*G92</f>
        <v>86.427999999999997</v>
      </c>
    </row>
    <row r="93" spans="1:10">
      <c r="E93" s="292" t="s">
        <v>184</v>
      </c>
      <c r="F93" s="16"/>
      <c r="G93" s="16"/>
      <c r="H93" s="16"/>
    </row>
    <row r="94" spans="1:10">
      <c r="A94" s="71" t="s">
        <v>167</v>
      </c>
      <c r="E94" s="296">
        <f>+E90+E92</f>
        <v>10331</v>
      </c>
      <c r="F94" s="296"/>
      <c r="G94" s="296"/>
      <c r="H94" s="297">
        <f>+H90+H92</f>
        <v>3086.2159999999999</v>
      </c>
    </row>
    <row r="95" spans="1:10" ht="15.75" thickBot="1"/>
    <row r="96" spans="1:10" ht="16.5" thickBot="1">
      <c r="A96" s="275"/>
      <c r="B96" s="276">
        <v>2014</v>
      </c>
      <c r="C96" s="265">
        <v>2015</v>
      </c>
      <c r="D96" s="265">
        <v>2016</v>
      </c>
      <c r="E96" s="265">
        <v>2017</v>
      </c>
    </row>
    <row r="97" spans="1:5" ht="16.5" thickBot="1">
      <c r="A97" s="266" t="s">
        <v>175</v>
      </c>
      <c r="B97" s="268">
        <v>10143</v>
      </c>
      <c r="C97" s="268">
        <v>10414</v>
      </c>
      <c r="D97" s="268">
        <v>10700</v>
      </c>
      <c r="E97" s="268">
        <v>11005</v>
      </c>
    </row>
    <row r="98" spans="1:5" ht="16.5" thickBot="1">
      <c r="A98" s="269" t="s">
        <v>171</v>
      </c>
      <c r="B98" s="277">
        <v>710</v>
      </c>
      <c r="C98" s="277">
        <v>625</v>
      </c>
      <c r="D98" s="277">
        <v>583</v>
      </c>
      <c r="E98" s="277">
        <v>440</v>
      </c>
    </row>
    <row r="99" spans="1:5" ht="16.5" thickBot="1">
      <c r="A99" s="269" t="s">
        <v>172</v>
      </c>
      <c r="B99" s="270">
        <v>7.0000000000000007E-2</v>
      </c>
      <c r="C99" s="270">
        <v>0.06</v>
      </c>
      <c r="D99" s="270">
        <v>5.45E-2</v>
      </c>
      <c r="E99" s="270">
        <v>0.04</v>
      </c>
    </row>
    <row r="101" spans="1:5" ht="15.75">
      <c r="A101" s="283" t="s">
        <v>176</v>
      </c>
      <c r="B101" s="267">
        <f>+B97-(D18+D19)</f>
        <v>709.93419999999969</v>
      </c>
      <c r="C101" s="267">
        <f t="shared" ref="C101:E101" si="14">+C97-(E18+E19)</f>
        <v>624.8380207400005</v>
      </c>
      <c r="D101" s="267">
        <f t="shared" si="14"/>
        <v>583.50449203625249</v>
      </c>
      <c r="E101" s="267">
        <f t="shared" si="14"/>
        <v>439.74424868461392</v>
      </c>
    </row>
    <row r="102" spans="1:5">
      <c r="B102" s="282">
        <f>+B101/B97</f>
        <v>6.9992526865818763E-2</v>
      </c>
      <c r="C102" s="282">
        <f t="shared" ref="C102:E102" si="15">+C101/C97</f>
        <v>5.9999809942385296E-2</v>
      </c>
      <c r="D102" s="282">
        <f t="shared" si="15"/>
        <v>5.4533130096846023E-2</v>
      </c>
      <c r="E102" s="282">
        <f t="shared" si="15"/>
        <v>3.9958586886380182E-2</v>
      </c>
    </row>
  </sheetData>
  <mergeCells count="7">
    <mergeCell ref="B4:C4"/>
    <mergeCell ref="A1:C1"/>
    <mergeCell ref="E56:E58"/>
    <mergeCell ref="F56:F58"/>
    <mergeCell ref="G56:G58"/>
    <mergeCell ref="C56:C58"/>
    <mergeCell ref="D56:D58"/>
  </mergeCells>
  <pageMargins left="0.7" right="0.7" top="0.75" bottom="0.75" header="0.3" footer="0.3"/>
  <pageSetup paperSize="9" scale="71" orientation="landscape" r:id="rId1"/>
  <rowBreaks count="1" manualBreakCount="1">
    <brk id="2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4:L30"/>
  <sheetViews>
    <sheetView workbookViewId="0">
      <selection activeCell="B15" sqref="B15"/>
    </sheetView>
  </sheetViews>
  <sheetFormatPr baseColWidth="10" defaultRowHeight="15"/>
  <cols>
    <col min="1" max="1" width="36.140625" bestFit="1" customWidth="1"/>
    <col min="2" max="3" width="11.85546875" bestFit="1" customWidth="1"/>
    <col min="4" max="4" width="13.42578125" customWidth="1"/>
    <col min="5" max="5" width="11.85546875" bestFit="1" customWidth="1"/>
    <col min="7" max="7" width="5.140625" bestFit="1" customWidth="1"/>
  </cols>
  <sheetData>
    <row r="4" spans="1:12" s="72" customFormat="1">
      <c r="A4" s="63" t="s">
        <v>0</v>
      </c>
      <c r="B4" s="150">
        <v>2010</v>
      </c>
      <c r="C4" s="150">
        <v>2011</v>
      </c>
      <c r="D4" s="150">
        <v>2012</v>
      </c>
      <c r="E4" s="150">
        <v>2013</v>
      </c>
      <c r="F4" s="150">
        <v>2014</v>
      </c>
      <c r="G4" s="150">
        <v>2015</v>
      </c>
      <c r="H4" s="150">
        <v>2016</v>
      </c>
      <c r="I4" s="150">
        <v>2017</v>
      </c>
    </row>
    <row r="5" spans="1:12">
      <c r="A5" s="63" t="s">
        <v>1</v>
      </c>
      <c r="B5" s="5">
        <v>1.7</v>
      </c>
      <c r="C5" s="5">
        <v>1.75</v>
      </c>
      <c r="D5" s="5">
        <v>1.867</v>
      </c>
      <c r="E5" s="5">
        <v>2.1800000000000002</v>
      </c>
      <c r="F5" s="6">
        <v>2.3257485714285715</v>
      </c>
      <c r="G5" s="6">
        <v>2.4812414759183672</v>
      </c>
      <c r="H5" s="6">
        <v>2.6471301917369092</v>
      </c>
      <c r="I5" s="6">
        <v>2.8241097531273196</v>
      </c>
    </row>
    <row r="6" spans="1:12">
      <c r="A6" s="63" t="s">
        <v>2</v>
      </c>
      <c r="B6" s="5"/>
      <c r="C6" s="7">
        <v>2.941176470588238E-2</v>
      </c>
      <c r="D6" s="8">
        <v>6.6857142857142851E-2</v>
      </c>
      <c r="E6" s="8">
        <v>0.16764863417246928</v>
      </c>
      <c r="F6" s="8">
        <v>6.6857142857142809E-2</v>
      </c>
      <c r="G6" s="8">
        <v>6.6857142857142754E-2</v>
      </c>
      <c r="H6" s="8">
        <v>6.6857142857142768E-2</v>
      </c>
      <c r="I6" s="8">
        <v>6.6857142857142809E-2</v>
      </c>
    </row>
    <row r="7" spans="1:12">
      <c r="A7" s="2"/>
      <c r="B7" s="2"/>
      <c r="C7" s="2"/>
      <c r="D7" s="2"/>
      <c r="E7" s="2"/>
      <c r="F7" s="2"/>
      <c r="G7" s="2"/>
      <c r="H7" s="2"/>
      <c r="I7" s="2"/>
    </row>
    <row r="8" spans="1:12" s="4" customFormat="1">
      <c r="A8" s="4" t="s">
        <v>3</v>
      </c>
      <c r="B8" s="9">
        <v>0.2823529411764707</v>
      </c>
      <c r="D8" s="4" t="s">
        <v>3</v>
      </c>
      <c r="E8" s="9">
        <v>0.21427990446647202</v>
      </c>
    </row>
    <row r="9" spans="1:12">
      <c r="A9" s="2"/>
      <c r="B9" s="2"/>
      <c r="C9" s="2"/>
      <c r="D9" s="2"/>
      <c r="E9" s="2"/>
      <c r="F9" s="2"/>
      <c r="G9" s="2"/>
      <c r="H9" s="2"/>
      <c r="I9" s="2"/>
    </row>
    <row r="10" spans="1:12">
      <c r="A10" s="3" t="s">
        <v>4</v>
      </c>
      <c r="B10" s="2"/>
      <c r="C10" s="2"/>
      <c r="D10" s="2"/>
      <c r="E10" s="2"/>
      <c r="F10" s="2"/>
      <c r="G10" s="2"/>
      <c r="H10" s="2"/>
      <c r="I10" s="2"/>
    </row>
    <row r="11" spans="1:12">
      <c r="A11" s="2" t="s">
        <v>5</v>
      </c>
      <c r="B11" s="2"/>
      <c r="C11" s="2"/>
      <c r="D11" s="2"/>
      <c r="E11" s="2"/>
      <c r="F11" s="2"/>
      <c r="G11" s="2"/>
      <c r="H11" s="2"/>
      <c r="I11" s="2"/>
    </row>
    <row r="14" spans="1:12" ht="18.75">
      <c r="A14" s="12" t="s">
        <v>6</v>
      </c>
      <c r="B14" s="15">
        <v>2014</v>
      </c>
      <c r="C14" s="15">
        <v>2015</v>
      </c>
      <c r="D14" s="15">
        <v>2016</v>
      </c>
      <c r="E14" s="15">
        <v>2017</v>
      </c>
      <c r="G14" s="71"/>
      <c r="H14" s="71"/>
      <c r="I14" s="71"/>
      <c r="J14" s="71"/>
      <c r="K14" s="71"/>
      <c r="L14" s="71"/>
    </row>
    <row r="15" spans="1:12">
      <c r="A15" s="16" t="s">
        <v>7</v>
      </c>
      <c r="B15" s="14">
        <v>7707.5446375624897</v>
      </c>
      <c r="C15" s="14">
        <v>8038.7045203251091</v>
      </c>
      <c r="D15" s="14">
        <v>8526.1117296451685</v>
      </c>
      <c r="E15" s="13">
        <v>9025.0922510283199</v>
      </c>
      <c r="G15" s="71"/>
      <c r="H15" s="71"/>
      <c r="I15" s="71"/>
      <c r="J15" s="71"/>
      <c r="K15" s="71"/>
      <c r="L15" s="71"/>
    </row>
    <row r="16" spans="1:12">
      <c r="A16" s="16" t="s">
        <v>8</v>
      </c>
      <c r="B16" s="14">
        <v>589.875</v>
      </c>
      <c r="C16" s="14">
        <v>619.6875</v>
      </c>
      <c r="D16" s="14">
        <v>650.78187500000001</v>
      </c>
      <c r="E16" s="14">
        <v>683.81596875000014</v>
      </c>
      <c r="G16" s="71"/>
      <c r="H16" s="71"/>
      <c r="I16" s="71"/>
      <c r="J16" s="71"/>
      <c r="K16" s="71"/>
      <c r="L16" s="71"/>
    </row>
    <row r="17" spans="1:12">
      <c r="A17" s="17" t="s">
        <v>9</v>
      </c>
      <c r="B17" s="10">
        <f>SUM(B15:B16)</f>
        <v>8297.4196375624888</v>
      </c>
      <c r="C17" s="10">
        <f t="shared" ref="C17:E17" si="0">SUM(C15:C16)</f>
        <v>8658.3920203251091</v>
      </c>
      <c r="D17" s="10">
        <f t="shared" si="0"/>
        <v>9176.893604645169</v>
      </c>
      <c r="E17" s="10">
        <f t="shared" si="0"/>
        <v>9708.9082197783209</v>
      </c>
      <c r="G17" s="71"/>
      <c r="H17" s="71"/>
      <c r="I17" s="71"/>
      <c r="J17" s="71"/>
      <c r="K17" s="71"/>
      <c r="L17" s="71"/>
    </row>
    <row r="18" spans="1:12">
      <c r="A18" s="18" t="s">
        <v>10</v>
      </c>
      <c r="B18" s="11">
        <v>0.36</v>
      </c>
      <c r="C18" s="11">
        <v>0.36</v>
      </c>
      <c r="D18" s="11">
        <v>0.36</v>
      </c>
      <c r="E18" s="11">
        <v>0.36</v>
      </c>
      <c r="G18" s="71"/>
      <c r="H18" s="71"/>
      <c r="I18" s="71"/>
      <c r="J18" s="71"/>
      <c r="K18" s="71"/>
      <c r="L18" s="71"/>
    </row>
    <row r="19" spans="1:12" ht="15.75" thickBot="1">
      <c r="A19" s="19" t="s">
        <v>11</v>
      </c>
      <c r="B19" s="23">
        <v>0.64</v>
      </c>
      <c r="C19" s="23">
        <v>0.64</v>
      </c>
      <c r="D19" s="23">
        <v>0.64</v>
      </c>
      <c r="E19" s="23">
        <v>0.64</v>
      </c>
      <c r="G19" s="71"/>
      <c r="H19" s="71"/>
      <c r="I19" s="71"/>
      <c r="J19" s="71"/>
      <c r="K19" s="71"/>
      <c r="L19" s="71"/>
    </row>
    <row r="20" spans="1:12">
      <c r="A20" s="21" t="s">
        <v>12</v>
      </c>
      <c r="B20" s="24">
        <f>(B17*B18)</f>
        <v>2987.0710695224957</v>
      </c>
      <c r="C20" s="24">
        <f t="shared" ref="C20:E20" si="1">(C17*C18)</f>
        <v>3117.0211273170394</v>
      </c>
      <c r="D20" s="24">
        <f t="shared" si="1"/>
        <v>3303.6816976722607</v>
      </c>
      <c r="E20" s="24">
        <f t="shared" si="1"/>
        <v>3495.2069591201953</v>
      </c>
      <c r="G20" s="71"/>
      <c r="H20" s="71"/>
      <c r="I20" s="71"/>
      <c r="J20" s="71"/>
      <c r="K20" s="71"/>
      <c r="L20" s="71"/>
    </row>
    <row r="21" spans="1:12">
      <c r="A21" s="22" t="s">
        <v>13</v>
      </c>
      <c r="B21" s="25">
        <v>1.7250000000000001</v>
      </c>
      <c r="C21" s="25">
        <v>1.7250000000000001</v>
      </c>
      <c r="D21" s="25">
        <v>1.7250000000000001</v>
      </c>
      <c r="E21" s="26">
        <v>1.7250000000000001</v>
      </c>
      <c r="G21" s="71"/>
      <c r="H21" s="71"/>
      <c r="I21" s="71"/>
      <c r="J21" s="71"/>
      <c r="K21" s="71"/>
      <c r="L21" s="71"/>
    </row>
    <row r="22" spans="1:12" ht="15.75" thickBot="1">
      <c r="A22" s="94" t="s">
        <v>14</v>
      </c>
      <c r="B22" s="95">
        <f>B20*B21</f>
        <v>5152.6975949263051</v>
      </c>
      <c r="C22" s="95">
        <f t="shared" ref="C22:E22" si="2">C20*C21</f>
        <v>5376.8614446218935</v>
      </c>
      <c r="D22" s="95">
        <f t="shared" si="2"/>
        <v>5698.8509284846505</v>
      </c>
      <c r="E22" s="95">
        <f t="shared" si="2"/>
        <v>6029.2320044823373</v>
      </c>
    </row>
    <row r="23" spans="1:12">
      <c r="A23" s="20" t="s">
        <v>15</v>
      </c>
      <c r="B23" s="27">
        <f>B17*B19</f>
        <v>5310.3485680399926</v>
      </c>
      <c r="C23" s="27">
        <f t="shared" ref="C23:E23" si="3">C17*C19</f>
        <v>5541.3708930080702</v>
      </c>
      <c r="D23" s="27">
        <f t="shared" si="3"/>
        <v>5873.2119069729079</v>
      </c>
      <c r="E23" s="27">
        <f t="shared" si="3"/>
        <v>6213.7012606581256</v>
      </c>
    </row>
    <row r="24" spans="1:12">
      <c r="A24" s="16" t="s">
        <v>1</v>
      </c>
      <c r="B24" s="1">
        <v>2.33</v>
      </c>
      <c r="C24" s="1">
        <v>2.48</v>
      </c>
      <c r="D24" s="1">
        <v>2.65</v>
      </c>
      <c r="E24" s="1">
        <v>2.82</v>
      </c>
    </row>
    <row r="25" spans="1:12" ht="15.75" thickBot="1">
      <c r="A25" s="94" t="s">
        <v>16</v>
      </c>
      <c r="B25" s="95">
        <f>B23*B24</f>
        <v>12373.112163533184</v>
      </c>
      <c r="C25" s="95">
        <f t="shared" ref="C25:E25" si="4">C23*C24</f>
        <v>13742.599814660014</v>
      </c>
      <c r="D25" s="95">
        <f t="shared" si="4"/>
        <v>15564.011553478205</v>
      </c>
      <c r="E25" s="95">
        <f t="shared" si="4"/>
        <v>17522.637555055913</v>
      </c>
    </row>
    <row r="26" spans="1:12" ht="15.75" thickBot="1">
      <c r="A26" s="94" t="s">
        <v>17</v>
      </c>
      <c r="B26" s="95">
        <f>B22+B25</f>
        <v>17525.809758459487</v>
      </c>
      <c r="C26" s="95">
        <f t="shared" ref="C26:E26" si="5">C22+C25</f>
        <v>19119.461259281907</v>
      </c>
      <c r="D26" s="95">
        <f t="shared" si="5"/>
        <v>21262.862481962857</v>
      </c>
      <c r="E26" s="95">
        <f t="shared" si="5"/>
        <v>23551.869559538252</v>
      </c>
    </row>
    <row r="28" spans="1:12">
      <c r="B28" s="76"/>
      <c r="C28" s="76"/>
      <c r="D28" s="76"/>
      <c r="E28" s="76"/>
    </row>
    <row r="30" spans="1:12" ht="18" customHeight="1"/>
  </sheetData>
  <pageMargins left="0.7" right="0.7" top="0.75" bottom="0.75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4:J21"/>
  <sheetViews>
    <sheetView workbookViewId="0">
      <selection activeCell="B22" sqref="B22"/>
    </sheetView>
  </sheetViews>
  <sheetFormatPr baseColWidth="10" defaultRowHeight="15"/>
  <cols>
    <col min="1" max="1" width="37.5703125" customWidth="1"/>
    <col min="2" max="2" width="12.85546875" bestFit="1" customWidth="1"/>
    <col min="3" max="3" width="12.42578125" bestFit="1" customWidth="1"/>
    <col min="4" max="4" width="14.28515625" customWidth="1"/>
    <col min="5" max="5" width="12.85546875" bestFit="1" customWidth="1"/>
    <col min="6" max="7" width="11.85546875" bestFit="1" customWidth="1"/>
    <col min="8" max="9" width="11.5703125" bestFit="1" customWidth="1"/>
  </cols>
  <sheetData>
    <row r="4" spans="1:10" s="72" customFormat="1">
      <c r="A4" s="151" t="s">
        <v>0</v>
      </c>
      <c r="B4" s="150">
        <v>2010</v>
      </c>
      <c r="C4" s="150">
        <v>2011</v>
      </c>
      <c r="D4" s="150">
        <v>2012</v>
      </c>
      <c r="E4" s="150">
        <v>2013</v>
      </c>
      <c r="F4" s="150">
        <v>2014</v>
      </c>
      <c r="G4" s="150">
        <v>2015</v>
      </c>
      <c r="H4" s="150">
        <v>2016</v>
      </c>
      <c r="I4" s="150">
        <v>2017</v>
      </c>
      <c r="J4" s="29"/>
    </row>
    <row r="5" spans="1:10">
      <c r="A5" s="151" t="s">
        <v>18</v>
      </c>
      <c r="B5" s="5">
        <v>9.6139000000000002E-2</v>
      </c>
      <c r="C5" s="5">
        <v>9.9023E-2</v>
      </c>
      <c r="D5" s="30">
        <v>0.102427</v>
      </c>
      <c r="E5" s="31">
        <v>0.102427</v>
      </c>
      <c r="F5" s="32">
        <v>0.10594801540046253</v>
      </c>
      <c r="G5" s="32">
        <v>0.10594801540046253</v>
      </c>
      <c r="H5" s="33">
        <v>0.10959006870548435</v>
      </c>
      <c r="I5" s="33">
        <v>0.10959006870548435</v>
      </c>
      <c r="J5" s="28"/>
    </row>
    <row r="6" spans="1:10">
      <c r="A6" s="151" t="s">
        <v>2</v>
      </c>
      <c r="B6" s="5"/>
      <c r="C6" s="7">
        <v>2.999823172697862E-2</v>
      </c>
      <c r="D6" s="8">
        <v>3.4375852074770549E-2</v>
      </c>
      <c r="E6" s="8">
        <v>0</v>
      </c>
      <c r="F6" s="8">
        <v>3.4375852074770584E-2</v>
      </c>
      <c r="G6" s="8">
        <v>0</v>
      </c>
      <c r="H6" s="8">
        <v>3.4375852074770619E-2</v>
      </c>
      <c r="I6" s="8">
        <v>0</v>
      </c>
      <c r="J6" s="28"/>
    </row>
    <row r="7" spans="1:10">
      <c r="A7" s="28"/>
      <c r="B7" s="28"/>
      <c r="C7" s="28"/>
      <c r="D7" s="28"/>
      <c r="E7" s="28"/>
      <c r="F7" s="28"/>
      <c r="G7" s="28"/>
      <c r="H7" s="28"/>
      <c r="I7" s="28"/>
      <c r="J7" s="28"/>
    </row>
    <row r="8" spans="1:10">
      <c r="A8" s="28" t="s">
        <v>3</v>
      </c>
      <c r="B8" s="9">
        <v>6.5405298578100471E-2</v>
      </c>
      <c r="C8" s="28"/>
      <c r="D8" s="28" t="s">
        <v>3</v>
      </c>
      <c r="E8" s="9">
        <v>3.4375852074770619E-2</v>
      </c>
      <c r="F8" s="28"/>
      <c r="G8" s="28"/>
      <c r="H8" s="28"/>
      <c r="I8" s="28"/>
      <c r="J8" s="28"/>
    </row>
    <row r="9" spans="1:10">
      <c r="A9" s="28"/>
      <c r="B9" s="28"/>
      <c r="C9" s="28"/>
      <c r="D9" s="28"/>
      <c r="E9" s="28"/>
      <c r="F9" s="28"/>
      <c r="G9" s="28"/>
      <c r="H9" s="28"/>
      <c r="I9" s="28"/>
      <c r="J9" s="28"/>
    </row>
    <row r="10" spans="1:10">
      <c r="A10" s="29" t="s">
        <v>4</v>
      </c>
      <c r="B10" s="28"/>
      <c r="C10" s="28"/>
      <c r="D10" s="28"/>
      <c r="E10" s="28"/>
      <c r="F10" s="28"/>
      <c r="G10" s="28"/>
      <c r="H10" s="28"/>
      <c r="I10" s="28"/>
      <c r="J10" s="28"/>
    </row>
    <row r="11" spans="1:10">
      <c r="A11" s="28" t="s">
        <v>19</v>
      </c>
      <c r="B11" s="28"/>
      <c r="C11" s="28"/>
      <c r="D11" s="28"/>
      <c r="E11" s="28"/>
      <c r="F11" s="28"/>
      <c r="G11" s="28"/>
      <c r="H11" s="28"/>
      <c r="I11" s="28"/>
      <c r="J11" s="28"/>
    </row>
    <row r="14" spans="1:10">
      <c r="B14" s="41">
        <v>2014</v>
      </c>
      <c r="C14" s="41">
        <v>2015</v>
      </c>
      <c r="D14" s="41">
        <v>2016</v>
      </c>
      <c r="E14" s="41">
        <v>2017</v>
      </c>
    </row>
    <row r="15" spans="1:10" ht="18.75">
      <c r="A15" s="87" t="s">
        <v>20</v>
      </c>
      <c r="B15" s="88">
        <v>2014</v>
      </c>
      <c r="C15" s="88">
        <v>2015</v>
      </c>
      <c r="D15" s="88">
        <v>2016</v>
      </c>
      <c r="E15" s="88">
        <v>2017</v>
      </c>
    </row>
    <row r="16" spans="1:10">
      <c r="A16" s="89" t="s">
        <v>21</v>
      </c>
      <c r="B16" s="36">
        <v>10143.081505376345</v>
      </c>
      <c r="C16" s="36">
        <v>10414.002105595744</v>
      </c>
      <c r="D16" s="36">
        <v>10699.62507452538</v>
      </c>
      <c r="E16" s="36">
        <v>11005.474740953528</v>
      </c>
    </row>
    <row r="17" spans="1:5">
      <c r="A17" s="89" t="s">
        <v>22</v>
      </c>
      <c r="B17" s="36">
        <v>1713.692</v>
      </c>
      <c r="C17" s="36">
        <v>1833.37394433437</v>
      </c>
      <c r="D17" s="36">
        <v>1953.1000000000001</v>
      </c>
      <c r="E17" s="36">
        <v>2082.27069361127</v>
      </c>
    </row>
    <row r="18" spans="1:5">
      <c r="A18" s="69" t="s">
        <v>59</v>
      </c>
      <c r="B18" s="38">
        <v>9254</v>
      </c>
      <c r="C18" s="38">
        <v>9254</v>
      </c>
      <c r="D18" s="38">
        <v>9254</v>
      </c>
      <c r="E18" s="38">
        <v>9254</v>
      </c>
    </row>
    <row r="19" spans="1:5">
      <c r="A19" s="89" t="s">
        <v>23</v>
      </c>
      <c r="B19" s="36">
        <f>SUM(B16:B18)</f>
        <v>21110.773505376346</v>
      </c>
      <c r="C19" s="36">
        <f>SUM(C16:C18)</f>
        <v>21501.376049930113</v>
      </c>
      <c r="D19" s="36">
        <f t="shared" ref="D19:E19" si="0">SUM(D16:D18)</f>
        <v>21906.72507452538</v>
      </c>
      <c r="E19" s="36">
        <f t="shared" si="0"/>
        <v>22341.7454345648</v>
      </c>
    </row>
    <row r="20" spans="1:5">
      <c r="A20" s="90" t="s">
        <v>24</v>
      </c>
      <c r="B20" s="96">
        <v>0.10594801540046253</v>
      </c>
      <c r="C20" s="96">
        <v>0.10594801540046253</v>
      </c>
      <c r="D20" s="96">
        <v>0.10959006870548435</v>
      </c>
      <c r="E20" s="96">
        <v>0.10959006870548435</v>
      </c>
    </row>
    <row r="21" spans="1:5">
      <c r="A21" s="89" t="s">
        <v>25</v>
      </c>
      <c r="B21" s="89">
        <f>B19*B20</f>
        <v>2236.6445564632895</v>
      </c>
      <c r="C21" s="89">
        <f t="shared" ref="C21:E21" si="1">C19*C20</f>
        <v>2278.0281208691317</v>
      </c>
      <c r="D21" s="89">
        <f t="shared" si="1"/>
        <v>2400.7595060293934</v>
      </c>
      <c r="E21" s="89">
        <f t="shared" si="1"/>
        <v>2448.4334171743976</v>
      </c>
    </row>
  </sheetData>
  <pageMargins left="0.7" right="0.7" top="0.75" bottom="0.75" header="0.3" footer="0.3"/>
  <pageSetup paperSize="9" scale="96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H25"/>
  <sheetViews>
    <sheetView topLeftCell="A19" workbookViewId="0">
      <selection activeCell="B13" sqref="B13"/>
    </sheetView>
  </sheetViews>
  <sheetFormatPr baseColWidth="10" defaultRowHeight="15"/>
  <cols>
    <col min="1" max="1" width="35.42578125" bestFit="1" customWidth="1"/>
    <col min="2" max="5" width="11.85546875" style="41" bestFit="1" customWidth="1"/>
  </cols>
  <sheetData>
    <row r="2" spans="1:8">
      <c r="A2" s="63" t="s">
        <v>26</v>
      </c>
      <c r="B2" s="81">
        <v>2014</v>
      </c>
      <c r="C2" s="81">
        <v>2015</v>
      </c>
      <c r="D2" s="81">
        <v>2016</v>
      </c>
      <c r="E2" s="81">
        <v>2017</v>
      </c>
    </row>
    <row r="3" spans="1:8" ht="18.75">
      <c r="A3" s="12" t="s">
        <v>9</v>
      </c>
      <c r="B3" s="88">
        <v>8297.4196375624888</v>
      </c>
      <c r="C3" s="88">
        <v>8658.3920203251091</v>
      </c>
      <c r="D3" s="88">
        <v>9176.893604645169</v>
      </c>
      <c r="E3" s="88">
        <v>9708.9082197783209</v>
      </c>
      <c r="F3" s="42"/>
      <c r="G3" s="42"/>
      <c r="H3" s="42"/>
    </row>
    <row r="4" spans="1:8" ht="15.75">
      <c r="A4" s="65" t="s">
        <v>27</v>
      </c>
      <c r="B4" s="40">
        <v>0.66</v>
      </c>
      <c r="C4" s="40">
        <v>0.66</v>
      </c>
      <c r="D4" s="40">
        <v>0.66</v>
      </c>
      <c r="E4" s="40">
        <v>0.66</v>
      </c>
      <c r="F4" s="42"/>
      <c r="G4" s="43"/>
      <c r="H4" s="42"/>
    </row>
    <row r="5" spans="1:8">
      <c r="A5" s="92" t="s">
        <v>28</v>
      </c>
      <c r="B5" s="97">
        <f>B3*B4</f>
        <v>5476.2969607912428</v>
      </c>
      <c r="C5" s="97">
        <f t="shared" ref="C5:E5" si="0">C3*C4</f>
        <v>5714.5387334145726</v>
      </c>
      <c r="D5" s="97">
        <f t="shared" si="0"/>
        <v>6056.7497790658117</v>
      </c>
      <c r="E5" s="97">
        <f t="shared" si="0"/>
        <v>6407.8794250536921</v>
      </c>
      <c r="F5" s="42"/>
      <c r="G5" s="42"/>
      <c r="H5" s="42"/>
    </row>
    <row r="6" spans="1:8">
      <c r="A6" s="5" t="s">
        <v>63</v>
      </c>
      <c r="B6" s="98">
        <v>21110.773505376346</v>
      </c>
      <c r="C6" s="98">
        <v>21501.376049930113</v>
      </c>
      <c r="D6" s="98">
        <v>21906.72507452538</v>
      </c>
      <c r="E6" s="98">
        <v>22341.7454345648</v>
      </c>
      <c r="F6" s="42"/>
      <c r="G6" s="42"/>
      <c r="H6" s="42"/>
    </row>
    <row r="7" spans="1:8">
      <c r="A7" s="65" t="s">
        <v>29</v>
      </c>
      <c r="B7" s="36">
        <v>0.04</v>
      </c>
      <c r="C7" s="36">
        <v>0.04</v>
      </c>
      <c r="D7" s="36">
        <v>0.04</v>
      </c>
      <c r="E7" s="36">
        <v>0.04</v>
      </c>
      <c r="F7" s="42"/>
      <c r="G7" s="42"/>
      <c r="H7" s="42"/>
    </row>
    <row r="8" spans="1:8">
      <c r="A8" s="92" t="s">
        <v>28</v>
      </c>
      <c r="B8" s="93">
        <f>B6*B7</f>
        <v>844.43094021505385</v>
      </c>
      <c r="C8" s="93">
        <f t="shared" ref="C8:E8" si="1">C6*C7</f>
        <v>860.05504199720451</v>
      </c>
      <c r="D8" s="93">
        <f t="shared" si="1"/>
        <v>876.26900298101521</v>
      </c>
      <c r="E8" s="93">
        <f t="shared" si="1"/>
        <v>893.66981738259199</v>
      </c>
      <c r="F8" s="42"/>
      <c r="G8" s="42"/>
      <c r="H8" s="42"/>
    </row>
    <row r="9" spans="1:8">
      <c r="A9" s="66" t="s">
        <v>30</v>
      </c>
      <c r="B9" s="91">
        <f>B5+B8</f>
        <v>6320.7279010062966</v>
      </c>
      <c r="C9" s="91">
        <f t="shared" ref="C9:E9" si="2">C5+C8</f>
        <v>6574.5937754117767</v>
      </c>
      <c r="D9" s="91">
        <f t="shared" si="2"/>
        <v>6933.0187820468273</v>
      </c>
      <c r="E9" s="91">
        <f t="shared" si="2"/>
        <v>7301.5492424362837</v>
      </c>
      <c r="F9" s="42"/>
      <c r="G9" s="42"/>
      <c r="H9" s="42"/>
    </row>
    <row r="10" spans="1:8">
      <c r="A10" s="42"/>
      <c r="B10" s="35"/>
      <c r="C10" s="35"/>
      <c r="D10" s="35"/>
      <c r="E10" s="35"/>
      <c r="F10" s="42"/>
      <c r="G10" s="42"/>
      <c r="H10" s="42"/>
    </row>
    <row r="12" spans="1:8" ht="18.75">
      <c r="A12" s="149" t="s">
        <v>31</v>
      </c>
      <c r="B12" s="15">
        <v>2014</v>
      </c>
      <c r="C12" s="15">
        <v>2015</v>
      </c>
      <c r="D12" s="15">
        <v>2016</v>
      </c>
      <c r="E12" s="15">
        <v>2017</v>
      </c>
      <c r="F12" s="42"/>
      <c r="G12" s="42"/>
      <c r="H12" s="42"/>
    </row>
    <row r="13" spans="1:8">
      <c r="A13" s="44" t="s">
        <v>32</v>
      </c>
      <c r="B13" s="40">
        <v>1938</v>
      </c>
      <c r="C13" s="39">
        <v>1976.76</v>
      </c>
      <c r="D13" s="39">
        <v>2016.2952</v>
      </c>
      <c r="E13" s="39">
        <v>2056.6211039999998</v>
      </c>
      <c r="F13" s="42"/>
      <c r="G13" s="42"/>
      <c r="H13" s="42"/>
    </row>
    <row r="15" spans="1:8">
      <c r="A15" s="42" t="s">
        <v>33</v>
      </c>
      <c r="C15" s="41" t="s">
        <v>38</v>
      </c>
      <c r="D15" s="46">
        <v>0.02</v>
      </c>
      <c r="E15" s="37"/>
      <c r="H15" s="42"/>
    </row>
    <row r="16" spans="1:8">
      <c r="A16" s="42"/>
      <c r="F16" s="42"/>
      <c r="G16" s="42"/>
      <c r="H16" s="42"/>
    </row>
    <row r="17" spans="1:8" ht="18.75">
      <c r="A17" s="149" t="s">
        <v>35</v>
      </c>
      <c r="B17" s="15">
        <v>2014</v>
      </c>
      <c r="C17" s="15">
        <v>2015</v>
      </c>
      <c r="D17" s="15">
        <v>2016</v>
      </c>
      <c r="E17" s="15">
        <v>2017</v>
      </c>
      <c r="F17" s="42"/>
      <c r="G17" s="42"/>
      <c r="H17" s="42"/>
    </row>
    <row r="18" spans="1:8">
      <c r="A18" s="44" t="s">
        <v>32</v>
      </c>
      <c r="B18" s="40">
        <v>70.097345132743357</v>
      </c>
      <c r="C18" s="39">
        <v>55.209413423134151</v>
      </c>
      <c r="D18" s="39">
        <v>43.483520306716279</v>
      </c>
      <c r="E18" s="39">
        <v>34.2480823654668</v>
      </c>
      <c r="F18" s="42"/>
      <c r="G18" s="42"/>
      <c r="H18" s="42"/>
    </row>
    <row r="19" spans="1:8">
      <c r="A19" s="42"/>
      <c r="F19" s="42"/>
      <c r="G19" s="42"/>
      <c r="H19" s="42"/>
    </row>
    <row r="20" spans="1:8">
      <c r="A20" s="42" t="s">
        <v>36</v>
      </c>
      <c r="C20" s="41" t="s">
        <v>34</v>
      </c>
      <c r="D20" s="34">
        <v>-0.21238938053097345</v>
      </c>
      <c r="F20" s="42"/>
      <c r="G20" s="42"/>
      <c r="H20" s="42"/>
    </row>
    <row r="21" spans="1:8">
      <c r="A21" s="42"/>
      <c r="D21" s="34"/>
      <c r="F21" s="42"/>
      <c r="G21" s="42"/>
      <c r="H21" s="42"/>
    </row>
    <row r="22" spans="1:8">
      <c r="A22" s="42"/>
      <c r="B22" s="15">
        <v>2014</v>
      </c>
      <c r="C22" s="15">
        <v>2015</v>
      </c>
      <c r="D22" s="15">
        <v>2016</v>
      </c>
      <c r="E22" s="15">
        <v>2017</v>
      </c>
      <c r="F22" s="42"/>
      <c r="G22" s="42"/>
      <c r="H22" s="42"/>
    </row>
    <row r="23" spans="1:8">
      <c r="A23" s="45" t="s">
        <v>37</v>
      </c>
      <c r="B23" s="47">
        <f>B9+B13+B18</f>
        <v>8328.8252461390384</v>
      </c>
      <c r="C23" s="47">
        <f t="shared" ref="C23:E23" si="3">C9+C13+C18</f>
        <v>8606.5631888349108</v>
      </c>
      <c r="D23" s="47">
        <f t="shared" si="3"/>
        <v>8992.7975023535437</v>
      </c>
      <c r="E23" s="47">
        <f t="shared" si="3"/>
        <v>9392.4184288017495</v>
      </c>
      <c r="F23" s="42"/>
      <c r="G23" s="42"/>
      <c r="H23" s="42"/>
    </row>
    <row r="24" spans="1:8">
      <c r="A24" s="42"/>
      <c r="D24" s="34"/>
      <c r="F24" s="42"/>
      <c r="G24" s="42"/>
      <c r="H24" s="42"/>
    </row>
    <row r="25" spans="1:8">
      <c r="B25" s="34">
        <f>(C23-B23)/B23</f>
        <v>3.3346592645177933E-2</v>
      </c>
      <c r="C25" s="34">
        <f t="shared" ref="C25:E25" si="4">(D23-C23)/C23</f>
        <v>4.4876718504743625E-2</v>
      </c>
      <c r="D25" s="34">
        <f t="shared" si="4"/>
        <v>4.4437887803391474E-2</v>
      </c>
      <c r="E25" s="34">
        <f t="shared" si="4"/>
        <v>-1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H34"/>
  <sheetViews>
    <sheetView topLeftCell="A13" workbookViewId="0">
      <selection activeCell="D34" sqref="D34"/>
    </sheetView>
  </sheetViews>
  <sheetFormatPr baseColWidth="10" defaultRowHeight="15"/>
  <cols>
    <col min="1" max="1" width="21.140625" customWidth="1"/>
    <col min="2" max="2" width="18.7109375" bestFit="1" customWidth="1"/>
    <col min="3" max="3" width="19.85546875" bestFit="1" customWidth="1"/>
    <col min="4" max="4" width="18.7109375" bestFit="1" customWidth="1"/>
    <col min="5" max="5" width="18.28515625" bestFit="1" customWidth="1"/>
    <col min="6" max="7" width="15.140625" bestFit="1" customWidth="1"/>
    <col min="8" max="8" width="15.5703125" bestFit="1" customWidth="1"/>
  </cols>
  <sheetData>
    <row r="3" spans="1:8" s="52" customFormat="1">
      <c r="A3" s="50" t="s">
        <v>39</v>
      </c>
      <c r="B3" s="51">
        <v>2011</v>
      </c>
      <c r="C3" s="51">
        <v>2012</v>
      </c>
      <c r="D3" s="51">
        <v>2013</v>
      </c>
      <c r="E3" s="51">
        <v>2014</v>
      </c>
      <c r="F3" s="51">
        <v>2015</v>
      </c>
      <c r="G3" s="51">
        <v>2016</v>
      </c>
      <c r="H3" s="51">
        <v>2017</v>
      </c>
    </row>
    <row r="4" spans="1:8" s="52" customFormat="1">
      <c r="A4" s="53" t="s">
        <v>40</v>
      </c>
      <c r="B4" s="54">
        <v>1285591.430980538</v>
      </c>
      <c r="C4" s="54">
        <v>1368350</v>
      </c>
      <c r="D4" s="54">
        <v>1424747</v>
      </c>
      <c r="E4" s="54">
        <v>1483468.4210976723</v>
      </c>
      <c r="F4" s="54">
        <v>1544610.0650810432</v>
      </c>
      <c r="G4" s="54">
        <v>1608271.6822406701</v>
      </c>
      <c r="H4" s="54">
        <v>1674557.1341084868</v>
      </c>
    </row>
    <row r="5" spans="1:8" s="52" customFormat="1">
      <c r="A5" s="53" t="s">
        <v>41</v>
      </c>
      <c r="B5" s="54">
        <v>976902.55701121874</v>
      </c>
      <c r="C5" s="54">
        <v>1058072</v>
      </c>
      <c r="D5" s="54">
        <v>1099082</v>
      </c>
      <c r="E5" s="55">
        <v>1141681.5138516093</v>
      </c>
      <c r="F5" s="55">
        <v>1185932.1498036566</v>
      </c>
      <c r="G5" s="55">
        <v>1231897.9039899956</v>
      </c>
      <c r="H5" s="55">
        <v>1279645.2529819638</v>
      </c>
    </row>
    <row r="6" spans="1:8" s="52" customFormat="1">
      <c r="A6" s="53" t="s">
        <v>42</v>
      </c>
      <c r="B6" s="54">
        <v>736087.11653253948</v>
      </c>
      <c r="C6" s="54">
        <v>702737</v>
      </c>
      <c r="D6" s="54">
        <v>728788</v>
      </c>
      <c r="E6" s="54">
        <v>755804.73056634271</v>
      </c>
      <c r="F6" s="54">
        <v>783822.99207240227</v>
      </c>
      <c r="G6" s="54">
        <v>812879.91203887353</v>
      </c>
      <c r="H6" s="54">
        <v>843013.99433214217</v>
      </c>
    </row>
    <row r="7" spans="1:8" s="52" customFormat="1">
      <c r="A7" s="56"/>
      <c r="B7" s="57"/>
      <c r="C7" s="58"/>
      <c r="D7" s="58"/>
      <c r="E7" s="58"/>
      <c r="F7" s="58"/>
      <c r="G7" s="58"/>
      <c r="H7" s="58"/>
    </row>
    <row r="8" spans="1:8">
      <c r="A8" s="48"/>
      <c r="B8" s="48"/>
      <c r="C8" s="48"/>
      <c r="D8" s="48"/>
      <c r="E8" s="48"/>
      <c r="F8" s="48"/>
      <c r="G8" s="48"/>
      <c r="H8" s="48"/>
    </row>
    <row r="9" spans="1:8">
      <c r="A9" s="48"/>
      <c r="B9" s="48"/>
      <c r="C9" s="48"/>
      <c r="D9" s="48"/>
      <c r="E9" s="48"/>
      <c r="F9" s="48"/>
      <c r="G9" s="48"/>
      <c r="H9" s="48"/>
    </row>
    <row r="10" spans="1:8">
      <c r="A10" s="48"/>
      <c r="B10" s="48"/>
      <c r="C10" s="48"/>
      <c r="D10" s="48"/>
      <c r="E10" s="48"/>
      <c r="F10" s="48"/>
      <c r="G10" s="48"/>
      <c r="H10" s="48"/>
    </row>
    <row r="11" spans="1:8">
      <c r="A11" s="48"/>
      <c r="B11" s="48"/>
      <c r="C11" s="48" t="s">
        <v>43</v>
      </c>
      <c r="D11" s="49">
        <v>6.4373927069769674E-2</v>
      </c>
      <c r="E11" s="49">
        <v>4.1215332334563523E-2</v>
      </c>
      <c r="F11" s="48"/>
      <c r="G11" s="48"/>
      <c r="H11" s="48"/>
    </row>
    <row r="12" spans="1:8">
      <c r="A12" s="48"/>
      <c r="B12" s="48"/>
      <c r="C12" s="48" t="s">
        <v>44</v>
      </c>
      <c r="D12" s="49">
        <v>8.3088576650996629E-2</v>
      </c>
      <c r="E12" s="49">
        <v>3.8759177069235366E-2</v>
      </c>
      <c r="F12" s="48"/>
      <c r="G12" s="48"/>
      <c r="H12" s="48"/>
    </row>
    <row r="13" spans="1:8">
      <c r="A13" s="48"/>
      <c r="B13" s="48"/>
      <c r="C13" s="48" t="s">
        <v>45</v>
      </c>
      <c r="D13" s="49">
        <v>-4.5307295540833188E-2</v>
      </c>
      <c r="E13" s="49">
        <v>3.7070767584459048E-2</v>
      </c>
      <c r="F13" s="48"/>
      <c r="G13" s="48"/>
      <c r="H13" s="48"/>
    </row>
    <row r="14" spans="1:8">
      <c r="A14" s="48"/>
      <c r="B14" s="48"/>
      <c r="C14" s="48"/>
      <c r="D14" s="48"/>
      <c r="E14" s="48"/>
      <c r="F14" s="48"/>
      <c r="G14" s="48"/>
      <c r="H14" s="48"/>
    </row>
    <row r="17" spans="1:7" ht="18.75">
      <c r="A17" s="149" t="s">
        <v>46</v>
      </c>
      <c r="B17" s="15">
        <v>2014</v>
      </c>
      <c r="C17" s="15">
        <v>2015</v>
      </c>
      <c r="D17" s="15">
        <v>2016</v>
      </c>
      <c r="E17" s="15">
        <v>2017</v>
      </c>
    </row>
    <row r="18" spans="1:7">
      <c r="A18" s="65" t="s">
        <v>47</v>
      </c>
      <c r="B18" s="65">
        <v>943</v>
      </c>
      <c r="C18" s="65">
        <v>1002</v>
      </c>
      <c r="D18" s="65">
        <v>1046</v>
      </c>
      <c r="E18" s="65">
        <v>1080</v>
      </c>
    </row>
    <row r="19" spans="1:7">
      <c r="A19" s="65" t="s">
        <v>48</v>
      </c>
      <c r="B19" s="68">
        <v>1483468.4210976723</v>
      </c>
      <c r="C19" s="68">
        <v>1544610.0650810432</v>
      </c>
      <c r="D19" s="68">
        <v>1608271.6822406701</v>
      </c>
      <c r="E19" s="68">
        <v>1674557.1341084868</v>
      </c>
    </row>
    <row r="20" spans="1:7">
      <c r="A20" s="66" t="s">
        <v>32</v>
      </c>
      <c r="B20" s="69">
        <v>1398910721.0951049</v>
      </c>
      <c r="C20" s="69">
        <v>1547699285.2112052</v>
      </c>
      <c r="D20" s="69">
        <v>1682252179.6237409</v>
      </c>
      <c r="E20" s="69">
        <v>1808521704.8371658</v>
      </c>
    </row>
    <row r="21" spans="1:7">
      <c r="A21" s="65" t="s">
        <v>49</v>
      </c>
      <c r="B21" s="65">
        <v>1867</v>
      </c>
      <c r="C21" s="65">
        <v>1914</v>
      </c>
      <c r="D21" s="65">
        <v>2006</v>
      </c>
      <c r="E21" s="65">
        <v>2139</v>
      </c>
    </row>
    <row r="22" spans="1:7">
      <c r="A22" s="65" t="s">
        <v>48</v>
      </c>
      <c r="B22" s="68">
        <v>1141681.5138516093</v>
      </c>
      <c r="C22" s="68">
        <v>1185932.1498036566</v>
      </c>
      <c r="D22" s="68">
        <v>1231897.9039899956</v>
      </c>
      <c r="E22" s="68">
        <v>1279645.2529819638</v>
      </c>
    </row>
    <row r="23" spans="1:7">
      <c r="A23" s="66" t="s">
        <v>32</v>
      </c>
      <c r="B23" s="69">
        <v>2131519386.3609545</v>
      </c>
      <c r="C23" s="69">
        <v>2269874134.7241988</v>
      </c>
      <c r="D23" s="69">
        <v>2471187195.4039311</v>
      </c>
      <c r="E23" s="69">
        <v>2737161196.1284204</v>
      </c>
    </row>
    <row r="24" spans="1:7">
      <c r="A24" s="65" t="s">
        <v>50</v>
      </c>
      <c r="B24" s="65">
        <v>873</v>
      </c>
      <c r="C24" s="65">
        <v>893</v>
      </c>
      <c r="D24" s="65">
        <v>895</v>
      </c>
      <c r="E24" s="65">
        <v>893</v>
      </c>
    </row>
    <row r="25" spans="1:7">
      <c r="A25" s="65" t="s">
        <v>48</v>
      </c>
      <c r="B25" s="68">
        <v>755804.73056634271</v>
      </c>
      <c r="C25" s="68">
        <v>783822.99207240227</v>
      </c>
      <c r="D25" s="68">
        <v>812879.91203887353</v>
      </c>
      <c r="E25" s="68">
        <v>843013.99433214217</v>
      </c>
    </row>
    <row r="26" spans="1:7">
      <c r="A26" s="66" t="s">
        <v>32</v>
      </c>
      <c r="B26" s="69">
        <v>659817529.78441715</v>
      </c>
      <c r="C26" s="69">
        <v>699953931.92065525</v>
      </c>
      <c r="D26" s="69">
        <v>727527521.27479184</v>
      </c>
      <c r="E26" s="69">
        <v>752811496.93860292</v>
      </c>
    </row>
    <row r="27" spans="1:7" ht="15.75" thickBot="1">
      <c r="A27" s="67" t="s">
        <v>46</v>
      </c>
      <c r="B27" s="70">
        <v>4190247637.2404766</v>
      </c>
      <c r="C27" s="70">
        <v>4517527351.8560591</v>
      </c>
      <c r="D27" s="70">
        <v>4880966896.3024635</v>
      </c>
      <c r="E27" s="70">
        <v>5298494397.9041882</v>
      </c>
    </row>
    <row r="30" spans="1:7" ht="15.75" thickBot="1"/>
    <row r="31" spans="1:7" ht="15.75" thickBot="1">
      <c r="B31" s="284">
        <v>735</v>
      </c>
      <c r="C31" s="285">
        <v>826</v>
      </c>
      <c r="D31" s="285">
        <v>943</v>
      </c>
      <c r="E31" s="286">
        <v>1002</v>
      </c>
      <c r="F31" s="285">
        <v>1046</v>
      </c>
      <c r="G31" s="285">
        <v>1080</v>
      </c>
    </row>
    <row r="32" spans="1:7" ht="15.75" thickBot="1">
      <c r="B32" s="287">
        <v>1708</v>
      </c>
      <c r="C32" s="288">
        <v>1743</v>
      </c>
      <c r="D32" s="289">
        <v>1867</v>
      </c>
      <c r="E32" s="289">
        <v>1914</v>
      </c>
      <c r="F32" s="288">
        <v>2006</v>
      </c>
      <c r="G32" s="288">
        <v>2139</v>
      </c>
    </row>
    <row r="33" spans="2:7" ht="15.75" thickBot="1">
      <c r="B33" s="287">
        <v>775</v>
      </c>
      <c r="C33" s="288">
        <v>848</v>
      </c>
      <c r="D33" s="288">
        <v>873</v>
      </c>
      <c r="E33" s="288">
        <v>893</v>
      </c>
      <c r="F33" s="288">
        <v>895</v>
      </c>
      <c r="G33" s="288">
        <v>893</v>
      </c>
    </row>
    <row r="34" spans="2:7">
      <c r="D34">
        <f>SUM(D31:D33)</f>
        <v>3683</v>
      </c>
      <c r="E34" s="71">
        <f t="shared" ref="E34:G34" si="0">SUM(E31:E33)</f>
        <v>3809</v>
      </c>
      <c r="F34" s="71">
        <f t="shared" si="0"/>
        <v>3947</v>
      </c>
      <c r="G34" s="71">
        <f t="shared" si="0"/>
        <v>4112</v>
      </c>
    </row>
  </sheetData>
  <pageMargins left="0.7" right="0.7" top="0.75" bottom="0.75" header="0.3" footer="0.3"/>
  <pageSetup paperSize="9" scale="92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P41"/>
  <sheetViews>
    <sheetView topLeftCell="A34" workbookViewId="0">
      <selection activeCell="D40" sqref="D40"/>
    </sheetView>
  </sheetViews>
  <sheetFormatPr baseColWidth="10" defaultRowHeight="15"/>
  <cols>
    <col min="1" max="1" width="37.42578125" style="72" customWidth="1"/>
  </cols>
  <sheetData>
    <row r="3" spans="1:16">
      <c r="B3" s="71"/>
      <c r="C3" s="71"/>
      <c r="D3" s="71"/>
      <c r="E3" s="71"/>
      <c r="F3" s="71"/>
      <c r="G3" s="71"/>
      <c r="H3" s="71"/>
      <c r="I3" s="71"/>
      <c r="J3" s="71"/>
      <c r="K3" s="76"/>
      <c r="L3" s="71"/>
      <c r="M3" s="71"/>
      <c r="N3" s="71"/>
      <c r="O3" s="71"/>
      <c r="P3" s="71"/>
    </row>
    <row r="4" spans="1:16" s="72" customFormat="1">
      <c r="A4" s="63" t="s">
        <v>0</v>
      </c>
      <c r="B4" s="59">
        <v>2011</v>
      </c>
      <c r="C4" s="59">
        <v>2012</v>
      </c>
      <c r="D4" s="59">
        <v>2013</v>
      </c>
      <c r="E4" s="59">
        <v>2014</v>
      </c>
      <c r="F4" s="59">
        <v>2015</v>
      </c>
      <c r="G4" s="59">
        <v>2016</v>
      </c>
      <c r="H4" s="59">
        <v>2017</v>
      </c>
      <c r="K4" s="86"/>
    </row>
    <row r="5" spans="1:16">
      <c r="A5" s="74" t="s">
        <v>51</v>
      </c>
      <c r="B5" s="80">
        <v>146</v>
      </c>
      <c r="C5" s="79">
        <v>160</v>
      </c>
      <c r="D5" s="79">
        <v>165</v>
      </c>
      <c r="E5" s="82">
        <v>170.15625</v>
      </c>
      <c r="F5" s="83">
        <v>175.4736328125</v>
      </c>
      <c r="G5" s="83">
        <v>180.95718383789062</v>
      </c>
      <c r="H5" s="83">
        <v>186.61209583282471</v>
      </c>
      <c r="I5" s="71"/>
      <c r="J5" s="71"/>
      <c r="K5" s="76"/>
      <c r="L5" s="71"/>
      <c r="M5" s="71"/>
      <c r="N5" s="71"/>
      <c r="O5" s="71"/>
      <c r="P5" s="71"/>
    </row>
    <row r="7" spans="1:16">
      <c r="B7" s="77" t="s">
        <v>34</v>
      </c>
      <c r="C7" s="76">
        <v>9.5890410958904104E-2</v>
      </c>
      <c r="D7" s="76">
        <v>3.125E-2</v>
      </c>
      <c r="E7" s="203">
        <f>+(E5-D5)/D5</f>
        <v>3.125E-2</v>
      </c>
      <c r="F7" s="203">
        <f>+(F5-E5)/E5</f>
        <v>3.125E-2</v>
      </c>
      <c r="G7" s="203">
        <f>+(G5-F5)/F5</f>
        <v>3.125E-2</v>
      </c>
      <c r="H7" s="203">
        <f t="shared" ref="H7" si="0">+(H5-G5)/G5</f>
        <v>3.125E-2</v>
      </c>
      <c r="I7" s="71"/>
      <c r="J7" s="71"/>
      <c r="K7" s="71"/>
      <c r="L7" s="71"/>
      <c r="M7" s="71"/>
      <c r="N7" s="71"/>
      <c r="O7" s="71"/>
      <c r="P7" s="71"/>
    </row>
    <row r="9" spans="1:16" s="72" customFormat="1">
      <c r="A9" s="63" t="s">
        <v>0</v>
      </c>
      <c r="B9" s="59">
        <v>2011</v>
      </c>
      <c r="C9" s="59">
        <v>2012</v>
      </c>
      <c r="D9" s="59">
        <v>2013</v>
      </c>
      <c r="E9" s="59">
        <v>2014</v>
      </c>
      <c r="F9" s="59">
        <v>2015</v>
      </c>
      <c r="G9" s="59">
        <v>2016</v>
      </c>
      <c r="H9" s="59">
        <v>2017</v>
      </c>
    </row>
    <row r="10" spans="1:16">
      <c r="A10" s="60" t="s">
        <v>52</v>
      </c>
      <c r="B10" s="79">
        <v>3600</v>
      </c>
      <c r="C10" s="79">
        <v>3800</v>
      </c>
      <c r="D10" s="79">
        <v>3950</v>
      </c>
      <c r="E10" s="82">
        <v>4105.9210526315792</v>
      </c>
      <c r="F10" s="83">
        <v>4267.9968836565104</v>
      </c>
      <c r="G10" s="83">
        <v>4436.4704448534776</v>
      </c>
      <c r="H10" s="83">
        <v>4611.594278202957</v>
      </c>
    </row>
    <row r="12" spans="1:16">
      <c r="B12" s="77" t="s">
        <v>34</v>
      </c>
      <c r="C12" s="76">
        <v>5.5555555555555552E-2</v>
      </c>
      <c r="D12" s="76">
        <v>3.9473684210526314E-2</v>
      </c>
      <c r="E12" s="76">
        <f>+(E10-D10)/D10</f>
        <v>3.9473684210526376E-2</v>
      </c>
      <c r="F12" s="76">
        <f t="shared" ref="F12:H12" si="1">+(F10-E10)/E10</f>
        <v>3.9473684210526418E-2</v>
      </c>
      <c r="G12" s="76">
        <f t="shared" si="1"/>
        <v>3.9473684210526251E-2</v>
      </c>
      <c r="H12" s="76">
        <f t="shared" si="1"/>
        <v>3.9473684210526314E-2</v>
      </c>
    </row>
    <row r="14" spans="1:16">
      <c r="B14" s="71"/>
      <c r="C14" s="84"/>
      <c r="D14" s="71"/>
      <c r="E14" s="71"/>
      <c r="F14" s="71"/>
      <c r="G14" s="71"/>
      <c r="H14" s="71"/>
    </row>
    <row r="15" spans="1:16" s="72" customFormat="1">
      <c r="A15" s="59" t="s">
        <v>0</v>
      </c>
      <c r="B15" s="59">
        <v>2011</v>
      </c>
      <c r="C15" s="59">
        <v>2012</v>
      </c>
      <c r="D15" s="59">
        <v>2013</v>
      </c>
      <c r="E15" s="59">
        <v>2014</v>
      </c>
      <c r="F15" s="59">
        <v>2015</v>
      </c>
      <c r="G15" s="59">
        <v>2016</v>
      </c>
      <c r="H15" s="59">
        <v>2017</v>
      </c>
    </row>
    <row r="16" spans="1:16">
      <c r="A16" s="62" t="s">
        <v>53</v>
      </c>
      <c r="B16" s="80">
        <v>279</v>
      </c>
      <c r="C16" s="79">
        <v>327</v>
      </c>
      <c r="D16" s="79">
        <v>348</v>
      </c>
      <c r="E16" s="82">
        <v>370.348623853211</v>
      </c>
      <c r="F16" s="82">
        <v>394.13248043094012</v>
      </c>
      <c r="G16" s="82">
        <v>419.44374064210143</v>
      </c>
      <c r="H16" s="82">
        <v>446.38049462829144</v>
      </c>
    </row>
    <row r="18" spans="1:8">
      <c r="B18" s="77" t="s">
        <v>34</v>
      </c>
      <c r="C18" s="76"/>
      <c r="D18" s="76">
        <v>6.4220183486238536E-2</v>
      </c>
      <c r="E18" s="76">
        <f>+(E16-D16)/D16</f>
        <v>6.4220183486238494E-2</v>
      </c>
      <c r="F18" s="76">
        <f t="shared" ref="F18:H18" si="2">+(F16-E16)/E16</f>
        <v>6.422018348623848E-2</v>
      </c>
      <c r="G18" s="76">
        <f t="shared" si="2"/>
        <v>6.4220183486238577E-2</v>
      </c>
      <c r="H18" s="76">
        <f t="shared" si="2"/>
        <v>6.4220183486238563E-2</v>
      </c>
    </row>
    <row r="20" spans="1:8">
      <c r="B20" s="71"/>
      <c r="C20" s="71"/>
      <c r="D20" s="71"/>
      <c r="E20" s="71"/>
      <c r="F20" s="71"/>
      <c r="G20" s="71"/>
      <c r="H20" s="71"/>
    </row>
    <row r="21" spans="1:8" s="72" customFormat="1">
      <c r="A21" s="59" t="s">
        <v>0</v>
      </c>
      <c r="B21" s="59">
        <v>2012</v>
      </c>
      <c r="C21" s="59">
        <v>2013</v>
      </c>
      <c r="D21" s="59">
        <v>2014</v>
      </c>
      <c r="E21" s="59">
        <v>2015</v>
      </c>
      <c r="F21" s="59">
        <v>2016</v>
      </c>
      <c r="G21" s="59">
        <v>2017</v>
      </c>
    </row>
    <row r="22" spans="1:8">
      <c r="A22" s="61" t="s">
        <v>54</v>
      </c>
      <c r="B22" s="79">
        <v>1050</v>
      </c>
      <c r="C22" s="79">
        <v>1320</v>
      </c>
      <c r="D22" s="79">
        <v>1659.4285714285713</v>
      </c>
      <c r="E22" s="79">
        <v>2086.1387755102041</v>
      </c>
      <c r="F22" s="79">
        <v>2622.5744606413996</v>
      </c>
      <c r="G22" s="79">
        <v>3296.9507505206166</v>
      </c>
      <c r="H22" s="71"/>
    </row>
    <row r="23" spans="1:8">
      <c r="B23" s="71"/>
      <c r="C23" s="71"/>
      <c r="D23" s="71"/>
      <c r="E23" s="71"/>
      <c r="F23" s="71"/>
      <c r="G23" s="71"/>
      <c r="H23" s="71"/>
    </row>
    <row r="24" spans="1:8">
      <c r="B24" s="71" t="s">
        <v>34</v>
      </c>
      <c r="C24" s="76">
        <v>0.25714285714285712</v>
      </c>
      <c r="D24" s="76">
        <f>+(D22-C22)/C22</f>
        <v>0.25714285714285706</v>
      </c>
      <c r="E24" s="76">
        <f t="shared" ref="E24:G24" si="3">+(E22-D22)/D22</f>
        <v>0.25714285714285723</v>
      </c>
      <c r="F24" s="76">
        <f t="shared" si="3"/>
        <v>0.25714285714285717</v>
      </c>
      <c r="G24" s="76">
        <f t="shared" si="3"/>
        <v>0.25714285714285712</v>
      </c>
      <c r="H24" s="71"/>
    </row>
    <row r="26" spans="1:8" s="72" customFormat="1">
      <c r="A26" s="59" t="s">
        <v>0</v>
      </c>
      <c r="B26" s="73">
        <v>2011</v>
      </c>
      <c r="C26" s="59">
        <v>2012</v>
      </c>
      <c r="D26" s="59">
        <v>2013</v>
      </c>
      <c r="E26" s="59">
        <v>2014</v>
      </c>
      <c r="F26" s="59">
        <v>2015</v>
      </c>
      <c r="G26" s="59">
        <v>2016</v>
      </c>
      <c r="H26" s="59">
        <v>2017</v>
      </c>
    </row>
    <row r="27" spans="1:8">
      <c r="A27" s="61" t="s">
        <v>55</v>
      </c>
      <c r="B27" s="81">
        <v>607</v>
      </c>
      <c r="C27" s="79">
        <v>1000</v>
      </c>
      <c r="D27" s="79">
        <v>1200</v>
      </c>
      <c r="E27" s="79">
        <v>1440</v>
      </c>
      <c r="F27" s="79">
        <v>1728</v>
      </c>
      <c r="G27" s="79">
        <v>2073.6</v>
      </c>
      <c r="H27" s="79">
        <v>2488.3199999999997</v>
      </c>
    </row>
    <row r="29" spans="1:8">
      <c r="B29" s="76" t="s">
        <v>34</v>
      </c>
      <c r="C29" s="76">
        <v>0.64744645799011535</v>
      </c>
      <c r="D29" s="76">
        <v>0.2</v>
      </c>
      <c r="E29" s="76">
        <f>+(E27-D27)/D27</f>
        <v>0.2</v>
      </c>
      <c r="F29" s="76">
        <f t="shared" ref="F29:G29" si="4">+(F27-E27)/E27</f>
        <v>0.2</v>
      </c>
      <c r="G29" s="76">
        <f t="shared" si="4"/>
        <v>0.19999999999999996</v>
      </c>
      <c r="H29" s="76">
        <f>+(H27-G27)/G27</f>
        <v>0.1999999999999999</v>
      </c>
    </row>
    <row r="32" spans="1:8" s="72" customFormat="1">
      <c r="A32" s="59" t="s">
        <v>0</v>
      </c>
      <c r="B32" s="59">
        <v>2012</v>
      </c>
      <c r="C32" s="59">
        <v>2013</v>
      </c>
      <c r="D32" s="59">
        <v>2014</v>
      </c>
      <c r="E32" s="59">
        <v>2015</v>
      </c>
      <c r="F32" s="59">
        <v>2016</v>
      </c>
      <c r="G32" s="59">
        <v>2017</v>
      </c>
    </row>
    <row r="33" spans="1:8">
      <c r="A33" s="64" t="s">
        <v>56</v>
      </c>
      <c r="B33" s="79">
        <v>5</v>
      </c>
      <c r="C33" s="79">
        <v>10</v>
      </c>
      <c r="D33" s="81">
        <v>15</v>
      </c>
      <c r="E33" s="81">
        <v>20</v>
      </c>
      <c r="F33" s="81">
        <v>25</v>
      </c>
      <c r="G33" s="81">
        <v>30</v>
      </c>
      <c r="H33" s="71"/>
    </row>
    <row r="36" spans="1:8" s="72" customFormat="1">
      <c r="A36" s="59" t="s">
        <v>0</v>
      </c>
      <c r="B36" s="59">
        <v>2012</v>
      </c>
      <c r="C36" s="59">
        <v>2013</v>
      </c>
      <c r="D36" s="59">
        <v>2014</v>
      </c>
      <c r="E36" s="59">
        <v>2015</v>
      </c>
      <c r="F36" s="59">
        <v>2016</v>
      </c>
      <c r="G36" s="59">
        <v>2017</v>
      </c>
    </row>
    <row r="37" spans="1:8">
      <c r="A37" s="74" t="s">
        <v>57</v>
      </c>
      <c r="B37" s="75">
        <v>967</v>
      </c>
      <c r="C37" s="75">
        <v>1015</v>
      </c>
      <c r="D37" s="75">
        <v>1065.3826266804549</v>
      </c>
      <c r="E37" s="75">
        <v>1118.2661489975819</v>
      </c>
      <c r="F37" s="75">
        <v>1173.7747065486512</v>
      </c>
      <c r="G37" s="75">
        <v>1232.0386009791944</v>
      </c>
    </row>
    <row r="38" spans="1:8">
      <c r="A38" s="74" t="s">
        <v>58</v>
      </c>
      <c r="B38" s="75">
        <v>800</v>
      </c>
      <c r="C38" s="75">
        <v>858</v>
      </c>
      <c r="D38" s="75">
        <v>920.20500000000004</v>
      </c>
      <c r="E38" s="75">
        <v>986.91986250000002</v>
      </c>
      <c r="F38" s="75">
        <v>1058.4715525312499</v>
      </c>
      <c r="G38" s="75">
        <v>1135.2107400897655</v>
      </c>
    </row>
    <row r="40" spans="1:8">
      <c r="A40" s="85" t="s">
        <v>57</v>
      </c>
      <c r="B40" s="78">
        <v>4.963805584281282E-2</v>
      </c>
      <c r="C40" s="71"/>
      <c r="D40" s="71"/>
      <c r="E40" s="71"/>
      <c r="F40" s="71"/>
      <c r="G40" s="71"/>
    </row>
    <row r="41" spans="1:8">
      <c r="A41" s="85" t="s">
        <v>58</v>
      </c>
      <c r="B41" s="78">
        <v>7.2499999999999995E-2</v>
      </c>
      <c r="C41" s="71"/>
      <c r="D41" s="71"/>
      <c r="E41" s="71"/>
      <c r="F41" s="71"/>
      <c r="G41" s="71"/>
    </row>
  </sheetData>
  <pageMargins left="0.7" right="0.7" top="0.75" bottom="0.75" header="0.3" footer="0.3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81"/>
  <sheetViews>
    <sheetView tabSelected="1" topLeftCell="A85" workbookViewId="0">
      <selection activeCell="B97" sqref="B97:G97"/>
    </sheetView>
  </sheetViews>
  <sheetFormatPr baseColWidth="10" defaultRowHeight="15"/>
  <cols>
    <col min="1" max="1" width="44.42578125" customWidth="1"/>
    <col min="3" max="3" width="12.85546875" bestFit="1" customWidth="1"/>
    <col min="4" max="4" width="15.28515625" customWidth="1"/>
    <col min="5" max="5" width="13.5703125" customWidth="1"/>
    <col min="6" max="6" width="13.85546875" customWidth="1"/>
    <col min="7" max="7" width="13.5703125" customWidth="1"/>
  </cols>
  <sheetData>
    <row r="1" spans="1:9" ht="24.75" thickTop="1" thickBot="1">
      <c r="A1" s="193" t="s">
        <v>0</v>
      </c>
      <c r="B1" s="193">
        <v>2012</v>
      </c>
      <c r="C1" s="193">
        <v>2013</v>
      </c>
      <c r="D1" s="194">
        <v>2014</v>
      </c>
      <c r="E1" s="194">
        <v>2015</v>
      </c>
      <c r="F1" s="194">
        <v>2016</v>
      </c>
      <c r="G1" s="194">
        <v>2017</v>
      </c>
      <c r="H1" s="105"/>
      <c r="I1" s="105"/>
    </row>
    <row r="2" spans="1:9" ht="24.75" thickTop="1" thickBot="1">
      <c r="A2" s="188" t="s">
        <v>115</v>
      </c>
      <c r="B2" s="195" t="s">
        <v>154</v>
      </c>
      <c r="C2" s="302">
        <v>3.5538793240879456</v>
      </c>
      <c r="D2" s="302">
        <v>3.5538793240879456</v>
      </c>
      <c r="E2" s="302">
        <v>3.5538793240879456</v>
      </c>
      <c r="F2" s="302">
        <v>3.5538793240879456</v>
      </c>
      <c r="G2" s="302">
        <v>3.5538793240879456</v>
      </c>
      <c r="H2" s="105"/>
      <c r="I2" s="105"/>
    </row>
    <row r="3" spans="1:9" ht="17.25" thickTop="1" thickBot="1">
      <c r="A3" s="188"/>
      <c r="B3" s="195" t="s">
        <v>155</v>
      </c>
      <c r="C3" s="302"/>
      <c r="D3" s="302"/>
      <c r="E3" s="302"/>
      <c r="F3" s="302"/>
      <c r="G3" s="302"/>
      <c r="H3" s="71"/>
      <c r="I3" s="71"/>
    </row>
    <row r="4" spans="1:9" ht="24.75" thickTop="1" thickBot="1">
      <c r="A4" s="188"/>
      <c r="B4" s="195" t="s">
        <v>156</v>
      </c>
      <c r="C4" s="302"/>
      <c r="D4" s="302"/>
      <c r="E4" s="302"/>
      <c r="F4" s="302"/>
      <c r="G4" s="302"/>
      <c r="H4" s="107"/>
      <c r="I4" s="71"/>
    </row>
    <row r="5" spans="1:9" ht="17.25" thickTop="1" thickBot="1">
      <c r="A5" s="184" t="s">
        <v>111</v>
      </c>
      <c r="B5" s="185">
        <v>0</v>
      </c>
      <c r="C5" s="186">
        <v>0</v>
      </c>
      <c r="D5" s="187">
        <f>+D2+(D2*0.01)</f>
        <v>3.5894181173288251</v>
      </c>
      <c r="E5" s="187">
        <f>+D5+(D5*0.01)</f>
        <v>3.6253122985021133</v>
      </c>
      <c r="F5" s="187">
        <f>+E5+(E5*0.01)</f>
        <v>3.6615654214871345</v>
      </c>
      <c r="G5" s="187">
        <f>+F5+(F5*0.01)</f>
        <v>3.6981810757020059</v>
      </c>
      <c r="H5" s="71"/>
      <c r="I5" s="71"/>
    </row>
    <row r="6" spans="1:9" ht="17.25" thickTop="1" thickBot="1">
      <c r="A6" s="188" t="s">
        <v>113</v>
      </c>
      <c r="B6" s="189">
        <v>6118.9963072342489</v>
      </c>
      <c r="C6" s="190">
        <v>6506.3463852763425</v>
      </c>
      <c r="D6" s="191">
        <v>6909.5168999999996</v>
      </c>
      <c r="E6" s="191">
        <v>7372.7152877350009</v>
      </c>
      <c r="F6" s="191">
        <v>7837.5852805861196</v>
      </c>
      <c r="G6" s="191">
        <v>8310.0894039875493</v>
      </c>
      <c r="H6" s="71"/>
      <c r="I6" s="71"/>
    </row>
    <row r="7" spans="1:9" ht="17.25" thickTop="1" thickBot="1">
      <c r="A7" s="188" t="s">
        <v>165</v>
      </c>
      <c r="B7" s="192">
        <v>0</v>
      </c>
      <c r="C7" s="190">
        <v>0</v>
      </c>
      <c r="D7" s="191">
        <f>+D5*D6</f>
        <v>24801.145142849698</v>
      </c>
      <c r="E7" s="191">
        <f>+E5*E6</f>
        <v>26728.395405980245</v>
      </c>
      <c r="F7" s="191">
        <f>+F5*F6</f>
        <v>28697.831251350675</v>
      </c>
      <c r="G7" s="191">
        <f>+G5*G6</f>
        <v>30732.215371218517</v>
      </c>
    </row>
    <row r="8" spans="1:9" s="71" customFormat="1" ht="17.25" thickTop="1" thickBot="1">
      <c r="A8" s="188" t="s">
        <v>114</v>
      </c>
      <c r="B8" s="190">
        <v>21721.407588434151</v>
      </c>
      <c r="C8" s="190">
        <v>23122.769893987937</v>
      </c>
      <c r="D8" s="191">
        <v>24556.423062599999</v>
      </c>
      <c r="E8" s="191">
        <v>26202.630132610193</v>
      </c>
      <c r="F8" s="191">
        <v>27854.778087203071</v>
      </c>
      <c r="G8" s="191">
        <v>29534.057741771772</v>
      </c>
    </row>
    <row r="9" spans="1:9" s="71" customFormat="1" ht="17.25" thickTop="1" thickBot="1">
      <c r="A9" s="180" t="s">
        <v>116</v>
      </c>
      <c r="B9" s="181">
        <v>0</v>
      </c>
      <c r="C9" s="181">
        <v>0</v>
      </c>
      <c r="D9" s="182">
        <f>+D7-D8</f>
        <v>244.7220802496995</v>
      </c>
      <c r="E9" s="182">
        <f t="shared" ref="E9:G9" si="0">+E7-E8</f>
        <v>525.76527337005245</v>
      </c>
      <c r="F9" s="182">
        <f t="shared" si="0"/>
        <v>843.05316414760455</v>
      </c>
      <c r="G9" s="183">
        <f t="shared" si="0"/>
        <v>1198.157629446745</v>
      </c>
    </row>
    <row r="10" spans="1:9" s="71" customFormat="1" ht="16.5" thickTop="1" thickBot="1"/>
    <row r="11" spans="1:9" s="71" customFormat="1" ht="17.25" thickTop="1" thickBot="1">
      <c r="A11" s="193" t="s">
        <v>0</v>
      </c>
      <c r="B11" s="193">
        <v>2012</v>
      </c>
      <c r="C11" s="193">
        <v>2013</v>
      </c>
      <c r="D11" s="194">
        <v>2014</v>
      </c>
      <c r="E11" s="194">
        <v>2015</v>
      </c>
      <c r="F11" s="194">
        <v>2016</v>
      </c>
      <c r="G11" s="194">
        <v>2017</v>
      </c>
    </row>
    <row r="12" spans="1:9" s="71" customFormat="1" ht="17.25" thickTop="1" thickBot="1">
      <c r="A12" s="188" t="s">
        <v>115</v>
      </c>
      <c r="B12" s="195" t="s">
        <v>154</v>
      </c>
      <c r="C12" s="302">
        <v>3.5538793240879456</v>
      </c>
      <c r="D12" s="302">
        <v>3.5538793240879456</v>
      </c>
      <c r="E12" s="302">
        <v>3.5538793240879456</v>
      </c>
      <c r="F12" s="302">
        <v>3.5538793240879456</v>
      </c>
      <c r="G12" s="302">
        <v>3.5538793240879456</v>
      </c>
    </row>
    <row r="13" spans="1:9" s="71" customFormat="1" ht="17.25" thickTop="1" thickBot="1">
      <c r="A13" s="188"/>
      <c r="B13" s="195" t="s">
        <v>155</v>
      </c>
      <c r="C13" s="302"/>
      <c r="D13" s="302"/>
      <c r="E13" s="302"/>
      <c r="F13" s="302"/>
      <c r="G13" s="302"/>
    </row>
    <row r="14" spans="1:9" s="71" customFormat="1" ht="17.25" thickTop="1" thickBot="1">
      <c r="A14" s="188"/>
      <c r="B14" s="195" t="s">
        <v>156</v>
      </c>
      <c r="C14" s="302"/>
      <c r="D14" s="302"/>
      <c r="E14" s="302"/>
      <c r="F14" s="302"/>
      <c r="G14" s="302"/>
    </row>
    <row r="15" spans="1:9" s="71" customFormat="1" ht="17.25" thickTop="1" thickBot="1">
      <c r="A15" s="184" t="s">
        <v>160</v>
      </c>
      <c r="B15" s="185">
        <v>0</v>
      </c>
      <c r="C15" s="186">
        <v>0</v>
      </c>
      <c r="D15" s="187">
        <f>+D12+(D12*0.05)</f>
        <v>3.7315732902923431</v>
      </c>
      <c r="E15" s="187">
        <f>+D15+(D15*0.05)</f>
        <v>3.9181519548069601</v>
      </c>
      <c r="F15" s="187">
        <f>+E15+(E15*0.05)</f>
        <v>4.1140595525473085</v>
      </c>
      <c r="G15" s="187">
        <f>+F15+(F15*0.05)</f>
        <v>4.3197625301746738</v>
      </c>
    </row>
    <row r="16" spans="1:9" s="71" customFormat="1" ht="17.25" thickTop="1" thickBot="1">
      <c r="A16" s="188" t="s">
        <v>113</v>
      </c>
      <c r="B16" s="189">
        <v>6118.9963072342489</v>
      </c>
      <c r="C16" s="190">
        <v>6506.3463852763425</v>
      </c>
      <c r="D16" s="191">
        <v>6909.5168999999996</v>
      </c>
      <c r="E16" s="191">
        <v>7372.7152877350009</v>
      </c>
      <c r="F16" s="191">
        <v>7837.5852805861196</v>
      </c>
      <c r="G16" s="191">
        <v>8310.0894039875493</v>
      </c>
    </row>
    <row r="17" spans="1:7" s="71" customFormat="1" ht="17.25" thickTop="1" thickBot="1">
      <c r="A17" s="188" t="s">
        <v>165</v>
      </c>
      <c r="B17" s="192">
        <v>0</v>
      </c>
      <c r="C17" s="190">
        <v>0</v>
      </c>
      <c r="D17" s="191">
        <f>+D15*D16</f>
        <v>25783.36871286355</v>
      </c>
      <c r="E17" s="191">
        <f>+E15*E16</f>
        <v>28887.418816874051</v>
      </c>
      <c r="F17" s="191">
        <f>+F15*F16</f>
        <v>32244.292592499503</v>
      </c>
      <c r="G17" s="191">
        <f>+G15*G16</f>
        <v>35897.612829747006</v>
      </c>
    </row>
    <row r="18" spans="1:7" s="71" customFormat="1" ht="17.25" thickTop="1" thickBot="1">
      <c r="A18" s="188" t="s">
        <v>114</v>
      </c>
      <c r="B18" s="190">
        <v>21721.407588434151</v>
      </c>
      <c r="C18" s="190">
        <v>23122.769893987937</v>
      </c>
      <c r="D18" s="191">
        <v>24556.423062599999</v>
      </c>
      <c r="E18" s="191">
        <v>26202.630132610193</v>
      </c>
      <c r="F18" s="191">
        <v>27854.778087203071</v>
      </c>
      <c r="G18" s="191">
        <v>29534.057741771772</v>
      </c>
    </row>
    <row r="19" spans="1:7" s="71" customFormat="1" ht="17.25" thickTop="1" thickBot="1">
      <c r="A19" s="180" t="s">
        <v>116</v>
      </c>
      <c r="B19" s="181">
        <v>0</v>
      </c>
      <c r="C19" s="181">
        <v>0</v>
      </c>
      <c r="D19" s="182">
        <f>+D17-D18</f>
        <v>1226.9456502635512</v>
      </c>
      <c r="E19" s="182">
        <f t="shared" ref="E19" si="1">+E17-E18</f>
        <v>2684.7886842638582</v>
      </c>
      <c r="F19" s="182">
        <f t="shared" ref="F19" si="2">+F17-F18</f>
        <v>4389.5145052964326</v>
      </c>
      <c r="G19" s="183">
        <f t="shared" ref="G19" si="3">+G17-G18</f>
        <v>6363.5550879752336</v>
      </c>
    </row>
    <row r="20" spans="1:7" s="71" customFormat="1" ht="16.5" thickTop="1">
      <c r="A20" s="196"/>
      <c r="B20" s="196"/>
      <c r="C20" s="196"/>
      <c r="D20" s="197"/>
      <c r="E20" s="197"/>
      <c r="F20" s="197"/>
      <c r="G20" s="197"/>
    </row>
    <row r="21" spans="1:7" s="71" customFormat="1">
      <c r="A21" s="179" t="s">
        <v>161</v>
      </c>
      <c r="B21" s="179">
        <v>-4896.031383000005</v>
      </c>
      <c r="C21" s="179">
        <v>-5763.0423319999973</v>
      </c>
      <c r="D21" s="198">
        <v>-3744.1397033649337</v>
      </c>
      <c r="E21" s="198">
        <v>-2157.044058571475</v>
      </c>
      <c r="F21" s="198">
        <v>-929.28832449002948</v>
      </c>
      <c r="G21" s="179">
        <v>673.14740374179382</v>
      </c>
    </row>
    <row r="22" spans="1:7" s="71" customFormat="1" ht="15.75" thickBot="1"/>
    <row r="23" spans="1:7" s="71" customFormat="1" ht="17.25" thickTop="1" thickBot="1">
      <c r="A23" s="193" t="s">
        <v>0</v>
      </c>
      <c r="B23" s="193">
        <v>2012</v>
      </c>
      <c r="C23" s="193">
        <v>2013</v>
      </c>
      <c r="D23" s="194">
        <v>2014</v>
      </c>
      <c r="E23" s="194">
        <v>2015</v>
      </c>
      <c r="F23" s="194">
        <v>2016</v>
      </c>
      <c r="G23" s="194">
        <v>2017</v>
      </c>
    </row>
    <row r="24" spans="1:7" s="71" customFormat="1" ht="17.25" thickTop="1" thickBot="1">
      <c r="A24" s="188" t="s">
        <v>115</v>
      </c>
      <c r="B24" s="195" t="s">
        <v>154</v>
      </c>
      <c r="C24" s="302">
        <v>3.5538793240879456</v>
      </c>
      <c r="D24" s="302">
        <v>3.5538793240879456</v>
      </c>
      <c r="E24" s="302">
        <v>3.5538793240879456</v>
      </c>
      <c r="F24" s="302">
        <v>3.5538793240879456</v>
      </c>
      <c r="G24" s="302">
        <v>3.5538793240879456</v>
      </c>
    </row>
    <row r="25" spans="1:7" s="71" customFormat="1" ht="17.25" thickTop="1" thickBot="1">
      <c r="A25" s="188"/>
      <c r="B25" s="195" t="s">
        <v>155</v>
      </c>
      <c r="C25" s="302"/>
      <c r="D25" s="302"/>
      <c r="E25" s="302"/>
      <c r="F25" s="302"/>
      <c r="G25" s="302"/>
    </row>
    <row r="26" spans="1:7" s="71" customFormat="1" ht="17.25" thickTop="1" thickBot="1">
      <c r="A26" s="188"/>
      <c r="B26" s="195" t="s">
        <v>156</v>
      </c>
      <c r="C26" s="302"/>
      <c r="D26" s="302"/>
      <c r="E26" s="302"/>
      <c r="F26" s="302"/>
      <c r="G26" s="302"/>
    </row>
    <row r="27" spans="1:7" s="71" customFormat="1" ht="17.25" thickTop="1" thickBot="1">
      <c r="A27" s="184" t="s">
        <v>162</v>
      </c>
      <c r="B27" s="185">
        <v>0</v>
      </c>
      <c r="C27" s="186">
        <v>0</v>
      </c>
      <c r="D27" s="187">
        <f>+D24+(D24*0.1)</f>
        <v>3.9092672564967401</v>
      </c>
      <c r="E27" s="187">
        <f>+D27+(D27*0.1)</f>
        <v>4.3001939821464141</v>
      </c>
      <c r="F27" s="187">
        <f>+E27+(E27*0.1)</f>
        <v>4.7302133803610555</v>
      </c>
      <c r="G27" s="187">
        <f>+F27+(F27*0.1)</f>
        <v>5.2032347183971615</v>
      </c>
    </row>
    <row r="28" spans="1:7" s="71" customFormat="1" ht="17.25" thickTop="1" thickBot="1">
      <c r="A28" s="188" t="s">
        <v>113</v>
      </c>
      <c r="B28" s="189">
        <v>6118.9963072342489</v>
      </c>
      <c r="C28" s="190">
        <v>6506.3463852763425</v>
      </c>
      <c r="D28" s="191">
        <v>6909.5168999999996</v>
      </c>
      <c r="E28" s="191">
        <v>7372.7152877350009</v>
      </c>
      <c r="F28" s="191">
        <v>7837.5852805861196</v>
      </c>
      <c r="G28" s="191">
        <v>8310.0894039875493</v>
      </c>
    </row>
    <row r="29" spans="1:7" s="71" customFormat="1" ht="17.25" thickTop="1" thickBot="1">
      <c r="A29" s="188" t="s">
        <v>165</v>
      </c>
      <c r="B29" s="192">
        <v>0</v>
      </c>
      <c r="C29" s="190">
        <v>0</v>
      </c>
      <c r="D29" s="191">
        <f>+D27*D28</f>
        <v>27011.148175380858</v>
      </c>
      <c r="E29" s="191">
        <f>+E27*E28</f>
        <v>31704.105912396917</v>
      </c>
      <c r="F29" s="191">
        <f>+F27*F28</f>
        <v>37073.450763949324</v>
      </c>
      <c r="G29" s="191">
        <f>+G27*G28</f>
        <v>43239.345699812395</v>
      </c>
    </row>
    <row r="30" spans="1:7" s="71" customFormat="1" ht="17.25" thickTop="1" thickBot="1">
      <c r="A30" s="188" t="s">
        <v>114</v>
      </c>
      <c r="B30" s="190">
        <v>21721.407588434151</v>
      </c>
      <c r="C30" s="190">
        <v>23122.769893987937</v>
      </c>
      <c r="D30" s="191">
        <v>24556.423062599999</v>
      </c>
      <c r="E30" s="191">
        <v>26202.630132610193</v>
      </c>
      <c r="F30" s="191">
        <v>27854.778087203071</v>
      </c>
      <c r="G30" s="191">
        <v>29534.057741771772</v>
      </c>
    </row>
    <row r="31" spans="1:7" s="71" customFormat="1" ht="17.25" thickTop="1" thickBot="1">
      <c r="A31" s="180" t="s">
        <v>116</v>
      </c>
      <c r="B31" s="181">
        <v>0</v>
      </c>
      <c r="C31" s="181">
        <v>0</v>
      </c>
      <c r="D31" s="182">
        <f>+D29-D30</f>
        <v>2454.7251127808595</v>
      </c>
      <c r="E31" s="182">
        <f t="shared" ref="E31" si="4">+E29-E30</f>
        <v>5501.4757797867242</v>
      </c>
      <c r="F31" s="182">
        <f t="shared" ref="F31" si="5">+F29-F30</f>
        <v>9218.6726767462533</v>
      </c>
      <c r="G31" s="183">
        <f t="shared" ref="G31" si="6">+G29-G30</f>
        <v>13705.287958040622</v>
      </c>
    </row>
    <row r="32" spans="1:7" s="71" customFormat="1" ht="15.75" thickTop="1"/>
    <row r="33" spans="1:9">
      <c r="A33" s="71"/>
      <c r="B33" s="179">
        <v>-4896.031383000005</v>
      </c>
      <c r="C33" s="179">
        <v>-5763.0423319999973</v>
      </c>
      <c r="D33" s="198">
        <v>-2540.9158300979761</v>
      </c>
      <c r="E33" s="179">
        <v>603.30929504093365</v>
      </c>
      <c r="F33" s="179">
        <v>3803.2866835307868</v>
      </c>
      <c r="G33" s="179">
        <v>7868.0456164058778</v>
      </c>
      <c r="I33">
        <v>3157.6244000000006</v>
      </c>
    </row>
    <row r="34" spans="1:9">
      <c r="A34" s="71"/>
      <c r="B34" s="71"/>
      <c r="C34" s="71"/>
      <c r="D34" s="71"/>
      <c r="E34" s="71"/>
      <c r="F34" s="71"/>
      <c r="G34" s="71"/>
    </row>
    <row r="35" spans="1:9" ht="15.75" thickBot="1">
      <c r="A35" s="71"/>
      <c r="B35" s="71"/>
      <c r="C35" s="71"/>
      <c r="D35" s="71"/>
      <c r="E35" s="71"/>
      <c r="F35" s="71"/>
      <c r="G35" s="71"/>
      <c r="H35" s="71"/>
    </row>
    <row r="36" spans="1:9" ht="17.25" thickTop="1" thickBot="1">
      <c r="A36" s="193" t="s">
        <v>0</v>
      </c>
      <c r="B36" s="193">
        <v>2012</v>
      </c>
      <c r="C36" s="193">
        <v>2013</v>
      </c>
      <c r="D36" s="194">
        <v>2014</v>
      </c>
      <c r="E36" s="194">
        <v>2015</v>
      </c>
      <c r="F36" s="194">
        <v>2016</v>
      </c>
      <c r="G36" s="194">
        <v>2017</v>
      </c>
      <c r="H36" s="71"/>
    </row>
    <row r="37" spans="1:9" ht="17.25" thickTop="1" thickBot="1">
      <c r="A37" s="188" t="s">
        <v>115</v>
      </c>
      <c r="B37" s="195" t="s">
        <v>154</v>
      </c>
      <c r="C37" s="302">
        <v>3.5538793240879456</v>
      </c>
      <c r="D37" s="302">
        <v>3.5538793240879456</v>
      </c>
      <c r="E37" s="302">
        <v>3.5538793240879456</v>
      </c>
      <c r="F37" s="302">
        <v>3.5538793240879456</v>
      </c>
      <c r="G37" s="302">
        <v>3.5538793240879456</v>
      </c>
      <c r="H37" s="71"/>
    </row>
    <row r="38" spans="1:9" ht="17.25" thickTop="1" thickBot="1">
      <c r="A38" s="188"/>
      <c r="B38" s="195" t="s">
        <v>155</v>
      </c>
      <c r="C38" s="302"/>
      <c r="D38" s="302"/>
      <c r="E38" s="302"/>
      <c r="F38" s="302"/>
      <c r="G38" s="302"/>
      <c r="H38" s="71"/>
    </row>
    <row r="39" spans="1:9" ht="17.25" thickTop="1" thickBot="1">
      <c r="A39" s="188"/>
      <c r="B39" s="195" t="s">
        <v>156</v>
      </c>
      <c r="C39" s="302"/>
      <c r="D39" s="302"/>
      <c r="E39" s="302"/>
      <c r="F39" s="302"/>
      <c r="G39" s="302"/>
      <c r="H39" s="71"/>
    </row>
    <row r="40" spans="1:9" ht="17.25" thickTop="1" thickBot="1">
      <c r="A40" s="184" t="s">
        <v>163</v>
      </c>
      <c r="B40" s="185">
        <v>0</v>
      </c>
      <c r="C40" s="186">
        <v>0</v>
      </c>
      <c r="D40" s="187">
        <f>+D37+(D37*0.25)</f>
        <v>4.4423491551099321</v>
      </c>
      <c r="E40" s="187">
        <f>+D40+(D40*0.07)</f>
        <v>4.7533135959676276</v>
      </c>
      <c r="F40" s="187">
        <f>+E40+(E40*0.07)</f>
        <v>5.0860455476853614</v>
      </c>
      <c r="G40" s="187">
        <f>+F40+(F40*0.07)</f>
        <v>5.4420687360233364</v>
      </c>
      <c r="H40" s="71"/>
    </row>
    <row r="41" spans="1:9" ht="17.25" thickTop="1" thickBot="1">
      <c r="A41" s="188" t="s">
        <v>113</v>
      </c>
      <c r="B41" s="189">
        <v>6118.9963072342489</v>
      </c>
      <c r="C41" s="190">
        <v>6506.3463852763425</v>
      </c>
      <c r="D41" s="191">
        <v>6909.5168999999996</v>
      </c>
      <c r="E41" s="191">
        <v>7372.7152877350009</v>
      </c>
      <c r="F41" s="191">
        <v>7837.5852805861196</v>
      </c>
      <c r="G41" s="191">
        <v>8310.0894039875493</v>
      </c>
      <c r="H41" s="71"/>
    </row>
    <row r="42" spans="1:9" ht="17.25" thickTop="1" thickBot="1">
      <c r="A42" s="188" t="s">
        <v>165</v>
      </c>
      <c r="B42" s="192">
        <v>0</v>
      </c>
      <c r="C42" s="190">
        <v>0</v>
      </c>
      <c r="D42" s="191">
        <f>+D40*D41</f>
        <v>30694.486562932794</v>
      </c>
      <c r="E42" s="191">
        <f>+E40*E41</f>
        <v>35044.827816389159</v>
      </c>
      <c r="F42" s="191">
        <f>+F40*F41</f>
        <v>39862.315720929357</v>
      </c>
      <c r="G42" s="191">
        <f>+G40*G41</f>
        <v>45224.07773899944</v>
      </c>
      <c r="H42" s="71"/>
    </row>
    <row r="43" spans="1:9" ht="17.25" thickTop="1" thickBot="1">
      <c r="A43" s="188" t="s">
        <v>114</v>
      </c>
      <c r="B43" s="190">
        <v>21721.407588434151</v>
      </c>
      <c r="C43" s="190">
        <v>23122.769893987937</v>
      </c>
      <c r="D43" s="191">
        <v>24556.423062599999</v>
      </c>
      <c r="E43" s="191">
        <v>26202.630132610193</v>
      </c>
      <c r="F43" s="191">
        <v>27854.778087203071</v>
      </c>
      <c r="G43" s="191">
        <v>29534.057741771772</v>
      </c>
      <c r="H43" s="71"/>
    </row>
    <row r="44" spans="1:9" ht="17.25" thickTop="1" thickBot="1">
      <c r="A44" s="180" t="s">
        <v>116</v>
      </c>
      <c r="B44" s="181">
        <v>0</v>
      </c>
      <c r="C44" s="181">
        <v>0</v>
      </c>
      <c r="D44" s="182">
        <f>+D42-D43</f>
        <v>6138.0635003327952</v>
      </c>
      <c r="E44" s="182">
        <f t="shared" ref="E44" si="7">+E42-E43</f>
        <v>8842.1976837789662</v>
      </c>
      <c r="F44" s="182">
        <f t="shared" ref="F44" si="8">+F42-F43</f>
        <v>12007.537633726286</v>
      </c>
      <c r="G44" s="183">
        <f t="shared" ref="G44" si="9">+G42-G43</f>
        <v>15690.019997227668</v>
      </c>
      <c r="H44" s="71"/>
    </row>
    <row r="45" spans="1:9" ht="15.75" thickTop="1">
      <c r="A45" s="71"/>
      <c r="B45" s="71"/>
      <c r="C45" s="71"/>
      <c r="D45" s="71"/>
      <c r="E45" s="71"/>
      <c r="F45" s="71"/>
      <c r="G45" s="71"/>
      <c r="H45" s="71"/>
    </row>
    <row r="46" spans="1:9">
      <c r="A46" s="71"/>
      <c r="B46" s="179">
        <v>-4896.031383000005</v>
      </c>
      <c r="C46" s="179">
        <v>-5763.0423319999973</v>
      </c>
      <c r="D46" s="199">
        <v>1068.7557897029328</v>
      </c>
      <c r="E46" s="179">
        <v>3877.216760953328</v>
      </c>
      <c r="F46" s="179">
        <v>6536.3743413712218</v>
      </c>
      <c r="G46" s="179">
        <v>9813.0830148091845</v>
      </c>
      <c r="H46" s="71"/>
    </row>
    <row r="47" spans="1:9" s="71" customFormat="1">
      <c r="A47" s="28"/>
      <c r="B47" s="201"/>
      <c r="C47" s="201"/>
      <c r="D47" s="202"/>
      <c r="E47" s="201"/>
      <c r="F47" s="201"/>
      <c r="G47" s="201"/>
    </row>
    <row r="48" spans="1:9" s="71" customFormat="1" ht="15.75" thickBot="1">
      <c r="A48" s="28"/>
      <c r="B48" s="201"/>
      <c r="C48" s="201"/>
      <c r="D48" s="202"/>
      <c r="E48" s="201"/>
      <c r="F48" s="201"/>
      <c r="G48" s="201"/>
    </row>
    <row r="49" spans="1:9" s="71" customFormat="1" ht="17.25" thickTop="1" thickBot="1">
      <c r="A49" s="193" t="s">
        <v>0</v>
      </c>
      <c r="B49" s="193">
        <v>2012</v>
      </c>
      <c r="C49" s="193">
        <v>2013</v>
      </c>
      <c r="D49" s="194">
        <v>2014</v>
      </c>
      <c r="E49" s="194">
        <v>2015</v>
      </c>
      <c r="F49" s="194">
        <v>2016</v>
      </c>
      <c r="G49" s="194">
        <v>2017</v>
      </c>
    </row>
    <row r="50" spans="1:9" s="71" customFormat="1" ht="17.25" thickTop="1" thickBot="1">
      <c r="A50" s="188" t="s">
        <v>115</v>
      </c>
      <c r="B50" s="200" t="s">
        <v>154</v>
      </c>
      <c r="C50" s="302">
        <v>3.5538793240879456</v>
      </c>
      <c r="D50" s="302">
        <v>3.5538793240879456</v>
      </c>
      <c r="E50" s="302">
        <v>3.5538793240879456</v>
      </c>
      <c r="F50" s="302">
        <v>3.5538793240879456</v>
      </c>
      <c r="G50" s="302">
        <v>3.5538793240879456</v>
      </c>
    </row>
    <row r="51" spans="1:9" s="71" customFormat="1" ht="17.25" thickTop="1" thickBot="1">
      <c r="A51" s="188"/>
      <c r="B51" s="200" t="s">
        <v>155</v>
      </c>
      <c r="C51" s="302"/>
      <c r="D51" s="302"/>
      <c r="E51" s="302"/>
      <c r="F51" s="302"/>
      <c r="G51" s="302"/>
    </row>
    <row r="52" spans="1:9" s="71" customFormat="1" ht="17.25" thickTop="1" thickBot="1">
      <c r="A52" s="188"/>
      <c r="B52" s="200" t="s">
        <v>156</v>
      </c>
      <c r="C52" s="302"/>
      <c r="D52" s="302"/>
      <c r="E52" s="302"/>
      <c r="F52" s="302"/>
      <c r="G52" s="302"/>
    </row>
    <row r="53" spans="1:9" s="71" customFormat="1" ht="17.25" thickTop="1" thickBot="1">
      <c r="A53" s="184" t="s">
        <v>164</v>
      </c>
      <c r="B53" s="185">
        <v>0</v>
      </c>
      <c r="C53" s="186">
        <v>0</v>
      </c>
      <c r="D53" s="187">
        <f>+D50+(D50*0.15)</f>
        <v>4.0869612227011372</v>
      </c>
      <c r="E53" s="187">
        <f>+D53+(D53*0.07)</f>
        <v>4.3730485082902169</v>
      </c>
      <c r="F53" s="187">
        <f>+E53+(E53*0.07)</f>
        <v>4.6791619038705319</v>
      </c>
      <c r="G53" s="187">
        <f>+F53+(F53*0.07)</f>
        <v>5.006703237141469</v>
      </c>
    </row>
    <row r="54" spans="1:9" s="71" customFormat="1" ht="17.25" thickTop="1" thickBot="1">
      <c r="A54" s="188" t="s">
        <v>113</v>
      </c>
      <c r="B54" s="189">
        <v>6118.9963072342489</v>
      </c>
      <c r="C54" s="190">
        <v>6506.3463852763425</v>
      </c>
      <c r="D54" s="191">
        <v>6909.5168999999996</v>
      </c>
      <c r="E54" s="191">
        <v>7372.7152877350009</v>
      </c>
      <c r="F54" s="191">
        <v>7837.5852805861196</v>
      </c>
      <c r="G54" s="191">
        <v>8310.0894039875493</v>
      </c>
    </row>
    <row r="55" spans="1:9" s="71" customFormat="1" ht="17.25" thickTop="1" thickBot="1">
      <c r="A55" s="188" t="s">
        <v>165</v>
      </c>
      <c r="B55" s="192">
        <v>0</v>
      </c>
      <c r="C55" s="190">
        <v>0</v>
      </c>
      <c r="D55" s="191">
        <f>+D53*D54</f>
        <v>28238.92763789817</v>
      </c>
      <c r="E55" s="191">
        <f>+E53*E54</f>
        <v>32241.241591078022</v>
      </c>
      <c r="F55" s="191">
        <f>+F53*F54</f>
        <v>36673.330463255006</v>
      </c>
      <c r="G55" s="191">
        <f>+G53*G54</f>
        <v>41606.15151987948</v>
      </c>
    </row>
    <row r="56" spans="1:9" s="71" customFormat="1" ht="17.25" thickTop="1" thickBot="1">
      <c r="A56" s="188" t="s">
        <v>114</v>
      </c>
      <c r="B56" s="190">
        <v>21721.407588434151</v>
      </c>
      <c r="C56" s="190">
        <v>23122.769893987937</v>
      </c>
      <c r="D56" s="191">
        <v>24556.423062599999</v>
      </c>
      <c r="E56" s="191">
        <v>26202.630132610193</v>
      </c>
      <c r="F56" s="191">
        <v>27854.778087203071</v>
      </c>
      <c r="G56" s="191">
        <v>29534.057741771772</v>
      </c>
    </row>
    <row r="57" spans="1:9" s="71" customFormat="1" ht="17.25" thickTop="1" thickBot="1">
      <c r="A57" s="180" t="s">
        <v>116</v>
      </c>
      <c r="B57" s="181">
        <v>0</v>
      </c>
      <c r="C57" s="181">
        <v>0</v>
      </c>
      <c r="D57" s="182">
        <f>+D55-D56</f>
        <v>3682.5045752981714</v>
      </c>
      <c r="E57" s="182">
        <f t="shared" ref="E57:G57" si="10">+E55-E56</f>
        <v>6038.6114584678289</v>
      </c>
      <c r="F57" s="182">
        <f t="shared" si="10"/>
        <v>8818.5523760519354</v>
      </c>
      <c r="G57" s="183">
        <f t="shared" si="10"/>
        <v>12072.093778107708</v>
      </c>
    </row>
    <row r="58" spans="1:9" s="71" customFormat="1" ht="15.75" thickTop="1"/>
    <row r="59" spans="1:9" s="71" customFormat="1">
      <c r="B59" s="179">
        <v>-4896.031383000005</v>
      </c>
      <c r="C59" s="179">
        <v>-5763.0423319999973</v>
      </c>
      <c r="D59" s="199">
        <v>-1337.6919568310113</v>
      </c>
      <c r="E59" s="179">
        <v>1129.7022601484205</v>
      </c>
      <c r="F59" s="179">
        <v>3411.1687888503584</v>
      </c>
      <c r="G59" s="179">
        <v>6267.5153200716304</v>
      </c>
    </row>
    <row r="60" spans="1:9" s="71" customFormat="1" ht="15.75" thickBot="1">
      <c r="A60" s="28"/>
      <c r="B60" s="201"/>
      <c r="C60" s="201"/>
      <c r="D60" s="202"/>
      <c r="E60" s="201"/>
      <c r="F60" s="201"/>
      <c r="G60" s="201"/>
    </row>
    <row r="61" spans="1:9" s="71" customFormat="1" ht="17.25" thickTop="1" thickBot="1">
      <c r="A61" s="193" t="s">
        <v>0</v>
      </c>
      <c r="B61" s="193">
        <v>2012</v>
      </c>
      <c r="C61" s="193">
        <v>2013</v>
      </c>
      <c r="D61" s="194">
        <v>2014</v>
      </c>
      <c r="E61" s="194">
        <v>2015</v>
      </c>
      <c r="F61" s="194">
        <v>2016</v>
      </c>
      <c r="G61" s="194">
        <v>2017</v>
      </c>
    </row>
    <row r="62" spans="1:9" s="71" customFormat="1" ht="17.25" thickTop="1" thickBot="1">
      <c r="A62" s="188" t="s">
        <v>115</v>
      </c>
      <c r="B62" s="200" t="s">
        <v>154</v>
      </c>
      <c r="C62" s="302">
        <v>3.5538793240879456</v>
      </c>
      <c r="D62" s="302">
        <v>3.5538793240879456</v>
      </c>
      <c r="E62" s="302">
        <v>3.5538793240879456</v>
      </c>
      <c r="F62" s="302">
        <v>3.5538793240879456</v>
      </c>
      <c r="G62" s="302">
        <v>3.5538793240879456</v>
      </c>
      <c r="I62" s="204">
        <f>+(5.017-3.427)/3.427</f>
        <v>0.46396264954770944</v>
      </c>
    </row>
    <row r="63" spans="1:9" s="71" customFormat="1" ht="17.25" thickTop="1" thickBot="1">
      <c r="A63" s="188"/>
      <c r="B63" s="200" t="s">
        <v>155</v>
      </c>
      <c r="C63" s="302"/>
      <c r="D63" s="302"/>
      <c r="E63" s="302"/>
      <c r="F63" s="302"/>
      <c r="G63" s="302"/>
    </row>
    <row r="64" spans="1:9" s="71" customFormat="1" ht="17.25" thickTop="1" thickBot="1">
      <c r="A64" s="188"/>
      <c r="B64" s="200" t="s">
        <v>156</v>
      </c>
      <c r="C64" s="302"/>
      <c r="D64" s="302"/>
      <c r="E64" s="302"/>
      <c r="F64" s="302"/>
      <c r="G64" s="302"/>
    </row>
    <row r="65" spans="1:8" s="71" customFormat="1" ht="17.25" thickTop="1" thickBot="1">
      <c r="A65" s="184" t="s">
        <v>166</v>
      </c>
      <c r="B65" s="185">
        <v>0</v>
      </c>
      <c r="C65" s="186">
        <v>0</v>
      </c>
      <c r="D65" s="187">
        <f>+D62+(D62*0.2056)</f>
        <v>4.2845569131204275</v>
      </c>
      <c r="E65" s="187">
        <f>+D65+(D65*0.01)</f>
        <v>4.3274024822516317</v>
      </c>
      <c r="F65" s="187">
        <f>+E65+(E65*0.01)</f>
        <v>4.3706765070741485</v>
      </c>
      <c r="G65" s="187">
        <f>+F65+(F65*0.01)</f>
        <v>4.4143832721448897</v>
      </c>
    </row>
    <row r="66" spans="1:8" s="71" customFormat="1" ht="17.25" thickTop="1" thickBot="1">
      <c r="A66" s="188" t="s">
        <v>113</v>
      </c>
      <c r="B66" s="189">
        <v>6118.9963072342489</v>
      </c>
      <c r="C66" s="190">
        <v>6506.3463852763425</v>
      </c>
      <c r="D66" s="191">
        <v>6909.5168999999996</v>
      </c>
      <c r="E66" s="191">
        <v>7372.7152877350009</v>
      </c>
      <c r="F66" s="191">
        <v>7837.5852805861196</v>
      </c>
      <c r="G66" s="191">
        <v>8310.0894039875493</v>
      </c>
    </row>
    <row r="67" spans="1:8" s="71" customFormat="1" ht="17.25" thickTop="1" thickBot="1">
      <c r="A67" s="188" t="s">
        <v>165</v>
      </c>
      <c r="B67" s="192">
        <v>0</v>
      </c>
      <c r="C67" s="190">
        <v>0</v>
      </c>
      <c r="D67" s="191">
        <f>+D65*D66</f>
        <v>29604.218400217425</v>
      </c>
      <c r="E67" s="191">
        <f>+E65*E66</f>
        <v>31904.706437078996</v>
      </c>
      <c r="F67" s="191">
        <f>+F65*F66</f>
        <v>34255.549858047903</v>
      </c>
      <c r="G67" s="191">
        <f>+G65*G66</f>
        <v>36683.919654991136</v>
      </c>
    </row>
    <row r="68" spans="1:8" s="71" customFormat="1" ht="17.25" thickTop="1" thickBot="1">
      <c r="A68" s="188" t="s">
        <v>114</v>
      </c>
      <c r="B68" s="190">
        <v>21721.407588434151</v>
      </c>
      <c r="C68" s="190">
        <v>23122.769893987937</v>
      </c>
      <c r="D68" s="191">
        <v>24556.423062599999</v>
      </c>
      <c r="E68" s="191">
        <v>26202.630132610193</v>
      </c>
      <c r="F68" s="191">
        <v>27854.778087203071</v>
      </c>
      <c r="G68" s="191">
        <v>29534.057741771772</v>
      </c>
    </row>
    <row r="69" spans="1:8" s="71" customFormat="1" ht="17.25" thickTop="1" thickBot="1">
      <c r="A69" s="180" t="s">
        <v>116</v>
      </c>
      <c r="B69" s="181">
        <v>0</v>
      </c>
      <c r="C69" s="181">
        <v>0</v>
      </c>
      <c r="D69" s="182">
        <f>+D67-D68</f>
        <v>5047.7953376174264</v>
      </c>
      <c r="E69" s="182">
        <f t="shared" ref="E69:G69" si="11">+E67-E68</f>
        <v>5702.0763044688028</v>
      </c>
      <c r="F69" s="182">
        <f t="shared" si="11"/>
        <v>6400.7717708448326</v>
      </c>
      <c r="G69" s="183">
        <f t="shared" si="11"/>
        <v>7149.8619132193635</v>
      </c>
    </row>
    <row r="70" spans="1:8" ht="15.75" thickTop="1">
      <c r="A70" s="71"/>
      <c r="B70" s="71"/>
      <c r="C70" s="71"/>
      <c r="D70" s="71"/>
      <c r="E70" s="71"/>
      <c r="F70" s="71"/>
      <c r="G70" s="71"/>
      <c r="H70" s="71"/>
    </row>
    <row r="71" spans="1:8">
      <c r="A71" s="179" t="s">
        <v>177</v>
      </c>
      <c r="B71" s="179">
        <v>-4896.031383000005</v>
      </c>
      <c r="C71" s="179">
        <v>-5763.0423319999973</v>
      </c>
      <c r="D71" s="179">
        <v>0.29299024186184397</v>
      </c>
      <c r="E71" s="179">
        <v>799.89780922936916</v>
      </c>
      <c r="F71" s="179">
        <v>1041.7437957473958</v>
      </c>
      <c r="G71" s="179">
        <v>1443.7280924810402</v>
      </c>
      <c r="H71" s="71"/>
    </row>
    <row r="72" spans="1:8" s="71" customFormat="1">
      <c r="B72" s="201"/>
      <c r="C72" s="201"/>
      <c r="D72" s="202"/>
      <c r="E72" s="201"/>
      <c r="F72" s="201"/>
      <c r="G72" s="201"/>
    </row>
    <row r="73" spans="1:8" s="71" customFormat="1" ht="15.75" thickBot="1">
      <c r="B73" s="201"/>
      <c r="C73" s="201"/>
      <c r="D73" s="202"/>
      <c r="E73" s="201"/>
      <c r="F73" s="201"/>
      <c r="G73" s="201"/>
    </row>
    <row r="74" spans="1:8" s="71" customFormat="1" ht="17.25" thickTop="1" thickBot="1">
      <c r="A74" s="193" t="s">
        <v>0</v>
      </c>
      <c r="B74" s="193">
        <v>2012</v>
      </c>
      <c r="C74" s="193">
        <v>2013</v>
      </c>
      <c r="D74" s="194">
        <v>2014</v>
      </c>
      <c r="E74" s="194">
        <v>2015</v>
      </c>
      <c r="F74" s="194">
        <v>2016</v>
      </c>
      <c r="G74" s="194">
        <v>2017</v>
      </c>
    </row>
    <row r="75" spans="1:8" s="71" customFormat="1" ht="17.25" thickTop="1" thickBot="1">
      <c r="A75" s="188" t="s">
        <v>115</v>
      </c>
      <c r="B75" s="200" t="s">
        <v>154</v>
      </c>
      <c r="C75" s="302">
        <v>3.5538793240879456</v>
      </c>
      <c r="D75" s="302">
        <v>3.5538793240879456</v>
      </c>
      <c r="E75" s="302">
        <v>3.5538793240879456</v>
      </c>
      <c r="F75" s="302">
        <v>3.5538793240879456</v>
      </c>
      <c r="G75" s="302">
        <v>3.5538793240879456</v>
      </c>
    </row>
    <row r="76" spans="1:8" s="71" customFormat="1" ht="17.25" thickTop="1" thickBot="1">
      <c r="A76" s="188"/>
      <c r="B76" s="200" t="s">
        <v>155</v>
      </c>
      <c r="C76" s="302"/>
      <c r="D76" s="302"/>
      <c r="E76" s="302"/>
      <c r="F76" s="302"/>
      <c r="G76" s="302"/>
    </row>
    <row r="77" spans="1:8" s="71" customFormat="1" ht="17.25" thickTop="1" thickBot="1">
      <c r="A77" s="188"/>
      <c r="B77" s="200" t="s">
        <v>156</v>
      </c>
      <c r="C77" s="302"/>
      <c r="D77" s="302"/>
      <c r="E77" s="302"/>
      <c r="F77" s="302"/>
      <c r="G77" s="302"/>
    </row>
    <row r="78" spans="1:8" s="71" customFormat="1" ht="17.25" thickTop="1" thickBot="1">
      <c r="A78" s="184" t="s">
        <v>166</v>
      </c>
      <c r="B78" s="185">
        <v>0</v>
      </c>
      <c r="C78" s="186">
        <v>0</v>
      </c>
      <c r="D78" s="187">
        <f>+D75+(D75*0.2056)</f>
        <v>4.2845569131204275</v>
      </c>
      <c r="E78" s="187">
        <f>+E75+(E75*0.2056)+0.1+0.1</f>
        <v>4.4845569131204268</v>
      </c>
      <c r="F78" s="187">
        <f>+F75+(F75*0.2056)+0.1+0.1+0.1</f>
        <v>4.5845569131204265</v>
      </c>
      <c r="G78" s="187">
        <f>+G75+(G75*0.2056)+0.1+0.1+0.1+0.1</f>
        <v>4.6845569131204261</v>
      </c>
    </row>
    <row r="79" spans="1:8" s="71" customFormat="1" ht="17.25" thickTop="1" thickBot="1">
      <c r="A79" s="188" t="s">
        <v>113</v>
      </c>
      <c r="B79" s="189">
        <v>6118.9963072342489</v>
      </c>
      <c r="C79" s="190">
        <v>6506.3463852763425</v>
      </c>
      <c r="D79" s="191">
        <v>6909.5168999999996</v>
      </c>
      <c r="E79" s="191">
        <v>7372.7152877350009</v>
      </c>
      <c r="F79" s="191">
        <v>7837.5852805861196</v>
      </c>
      <c r="G79" s="191">
        <v>8310.0894039875493</v>
      </c>
    </row>
    <row r="80" spans="1:8" s="71" customFormat="1" ht="17.25" thickTop="1" thickBot="1">
      <c r="A80" s="188" t="s">
        <v>165</v>
      </c>
      <c r="B80" s="192">
        <v>0</v>
      </c>
      <c r="C80" s="190">
        <v>0</v>
      </c>
      <c r="D80" s="191">
        <f>+D78*D79</f>
        <v>29604.218400217425</v>
      </c>
      <c r="E80" s="191">
        <f>+E78*E79</f>
        <v>33063.361312080655</v>
      </c>
      <c r="F80" s="191">
        <f>+F78*F79</f>
        <v>35931.855780281992</v>
      </c>
      <c r="G80" s="191">
        <f>+G78*G79</f>
        <v>38929.086766098677</v>
      </c>
    </row>
    <row r="81" spans="1:7" s="71" customFormat="1" ht="17.25" thickTop="1" thickBot="1">
      <c r="A81" s="188" t="s">
        <v>114</v>
      </c>
      <c r="B81" s="190">
        <v>21721.407588434151</v>
      </c>
      <c r="C81" s="190">
        <v>23122.769893987937</v>
      </c>
      <c r="D81" s="191">
        <v>24556.423062599999</v>
      </c>
      <c r="E81" s="191">
        <v>26202.630132610193</v>
      </c>
      <c r="F81" s="191">
        <v>27854.778087203071</v>
      </c>
      <c r="G81" s="191">
        <v>29534.057741771772</v>
      </c>
    </row>
    <row r="82" spans="1:7" s="71" customFormat="1" ht="17.25" thickTop="1" thickBot="1">
      <c r="A82" s="180" t="s">
        <v>116</v>
      </c>
      <c r="B82" s="181">
        <v>0</v>
      </c>
      <c r="C82" s="181">
        <v>0</v>
      </c>
      <c r="D82" s="182">
        <f>+D80-D81</f>
        <v>5047.7953376174264</v>
      </c>
      <c r="E82" s="182">
        <f t="shared" ref="E82:G82" si="12">+E80-E81</f>
        <v>6860.7311794704619</v>
      </c>
      <c r="F82" s="182">
        <f t="shared" si="12"/>
        <v>8077.0776930789216</v>
      </c>
      <c r="G82" s="183">
        <f t="shared" si="12"/>
        <v>9395.0290243269046</v>
      </c>
    </row>
    <row r="83" spans="1:7" s="71" customFormat="1" ht="15.75" thickTop="1"/>
    <row r="84" spans="1:7" s="71" customFormat="1">
      <c r="B84" s="179">
        <v>-4896.031383000005</v>
      </c>
      <c r="C84" s="179">
        <v>-5763.0423319999973</v>
      </c>
      <c r="D84" s="199">
        <v>0.29299024186184397</v>
      </c>
      <c r="E84" s="179">
        <v>1935.3795867309964</v>
      </c>
      <c r="F84" s="179">
        <v>2684.5235995368057</v>
      </c>
      <c r="G84" s="179">
        <v>3643.991861366434</v>
      </c>
    </row>
    <row r="85" spans="1:7" s="71" customFormat="1">
      <c r="B85" s="201"/>
      <c r="C85" s="201"/>
      <c r="D85" s="202"/>
      <c r="E85" s="201"/>
      <c r="F85" s="201"/>
      <c r="G85" s="201"/>
    </row>
    <row r="86" spans="1:7" s="71" customFormat="1">
      <c r="B86" s="201"/>
      <c r="C86" s="201"/>
      <c r="D86" s="202"/>
      <c r="E86" s="201"/>
      <c r="F86" s="201"/>
      <c r="G86" s="201"/>
    </row>
    <row r="87" spans="1:7" s="71" customFormat="1">
      <c r="B87" s="201"/>
      <c r="C87" s="201"/>
      <c r="D87" s="202"/>
      <c r="E87" s="201"/>
      <c r="F87" s="201"/>
      <c r="G87" s="201"/>
    </row>
    <row r="88" spans="1:7" s="71" customFormat="1">
      <c r="B88" s="201"/>
      <c r="C88" s="201"/>
      <c r="D88" s="202"/>
      <c r="E88" s="201"/>
      <c r="F88" s="201"/>
      <c r="G88" s="201"/>
    </row>
    <row r="89" spans="1:7" s="71" customFormat="1">
      <c r="B89" s="201"/>
      <c r="C89" s="201"/>
      <c r="D89" s="202"/>
      <c r="E89" s="201"/>
      <c r="F89" s="201"/>
      <c r="G89" s="201"/>
    </row>
    <row r="90" spans="1:7" s="71" customFormat="1">
      <c r="B90" s="201"/>
      <c r="C90" s="201"/>
      <c r="D90" s="202"/>
      <c r="E90" s="201"/>
      <c r="F90" s="201"/>
      <c r="G90" s="201"/>
    </row>
    <row r="91" spans="1:7" ht="18.75">
      <c r="A91" s="303" t="s">
        <v>117</v>
      </c>
      <c r="B91" s="303"/>
      <c r="C91" s="303"/>
      <c r="D91" s="71"/>
      <c r="E91" s="71"/>
      <c r="F91" s="71"/>
      <c r="G91" s="71"/>
    </row>
    <row r="92" spans="1:7" ht="15.75" thickBot="1">
      <c r="A92" s="71"/>
      <c r="B92" s="71"/>
      <c r="C92" s="71"/>
      <c r="D92" s="71"/>
      <c r="E92" s="71"/>
      <c r="F92" s="71"/>
      <c r="G92" s="71"/>
    </row>
    <row r="93" spans="1:7" ht="15.75" thickBot="1">
      <c r="A93" s="304" t="s">
        <v>66</v>
      </c>
      <c r="B93" s="306" t="s">
        <v>118</v>
      </c>
      <c r="C93" s="306"/>
      <c r="D93" s="306"/>
      <c r="E93" s="306"/>
      <c r="F93" s="306"/>
      <c r="G93" s="306"/>
    </row>
    <row r="94" spans="1:7">
      <c r="A94" s="305"/>
      <c r="B94" s="158">
        <v>2012</v>
      </c>
      <c r="C94" s="158">
        <v>2013</v>
      </c>
      <c r="D94" s="158">
        <v>2014</v>
      </c>
      <c r="E94" s="158">
        <v>2015</v>
      </c>
      <c r="F94" s="158">
        <v>2016</v>
      </c>
      <c r="G94" s="158">
        <v>2017</v>
      </c>
    </row>
    <row r="95" spans="1:7">
      <c r="A95" s="74" t="s">
        <v>119</v>
      </c>
      <c r="B95" s="159">
        <f t="shared" ref="B95:G95" si="13">SUM(B96:B99)</f>
        <v>26574.999999999996</v>
      </c>
      <c r="C95" s="159">
        <f t="shared" si="13"/>
        <v>28154</v>
      </c>
      <c r="D95" s="159">
        <f t="shared" si="13"/>
        <v>34911.806026897881</v>
      </c>
      <c r="E95" s="159">
        <f t="shared" si="13"/>
        <v>38632.547323578234</v>
      </c>
      <c r="F95" s="159">
        <f t="shared" si="13"/>
        <v>41773.102039361896</v>
      </c>
      <c r="G95" s="159">
        <f t="shared" si="13"/>
        <v>45065.336107167634</v>
      </c>
    </row>
    <row r="96" spans="1:7">
      <c r="A96" s="160" t="s">
        <v>120</v>
      </c>
      <c r="B96" s="79">
        <v>21721.999999999996</v>
      </c>
      <c r="C96" s="79">
        <v>23123</v>
      </c>
      <c r="D96" s="79">
        <v>29604.218400217425</v>
      </c>
      <c r="E96" s="79">
        <v>33063.361312080655</v>
      </c>
      <c r="F96" s="79">
        <v>35931.855780281992</v>
      </c>
      <c r="G96" s="79">
        <v>38929.086766098677</v>
      </c>
    </row>
    <row r="97" spans="1:7">
      <c r="A97" s="160" t="s">
        <v>121</v>
      </c>
      <c r="B97" s="79">
        <v>3086</v>
      </c>
      <c r="C97" s="79">
        <v>3158</v>
      </c>
      <c r="D97" s="79">
        <v>3322</v>
      </c>
      <c r="E97" s="79">
        <v>3464</v>
      </c>
      <c r="F97" s="79">
        <v>3609</v>
      </c>
      <c r="G97" s="79">
        <v>3769</v>
      </c>
    </row>
    <row r="98" spans="1:7">
      <c r="A98" s="160" t="s">
        <v>57</v>
      </c>
      <c r="B98" s="79">
        <v>967</v>
      </c>
      <c r="C98" s="79">
        <v>1015</v>
      </c>
      <c r="D98" s="79">
        <v>1065.3826266804549</v>
      </c>
      <c r="E98" s="79">
        <v>1118.2661489975819</v>
      </c>
      <c r="F98" s="79">
        <v>1173.7747065486512</v>
      </c>
      <c r="G98" s="79">
        <v>1232.0386009791944</v>
      </c>
    </row>
    <row r="99" spans="1:7">
      <c r="A99" s="160" t="s">
        <v>58</v>
      </c>
      <c r="B99" s="79">
        <v>800</v>
      </c>
      <c r="C99" s="79">
        <v>858</v>
      </c>
      <c r="D99" s="79">
        <v>920.20500000000004</v>
      </c>
      <c r="E99" s="79">
        <v>986.91986250000002</v>
      </c>
      <c r="F99" s="79">
        <v>1058.4715525312499</v>
      </c>
      <c r="G99" s="79">
        <v>1135.2107400897655</v>
      </c>
    </row>
    <row r="100" spans="1:7">
      <c r="A100" s="160" t="s">
        <v>122</v>
      </c>
      <c r="B100" s="161">
        <v>0</v>
      </c>
      <c r="C100" s="161">
        <v>0</v>
      </c>
      <c r="D100" s="161">
        <v>0</v>
      </c>
      <c r="E100" s="161">
        <v>0</v>
      </c>
      <c r="F100" s="161">
        <v>0</v>
      </c>
      <c r="G100" s="161">
        <v>0</v>
      </c>
    </row>
    <row r="101" spans="1:7">
      <c r="A101" s="160" t="s">
        <v>123</v>
      </c>
      <c r="B101" s="79">
        <v>0</v>
      </c>
      <c r="C101" s="79">
        <v>0</v>
      </c>
      <c r="D101" s="79">
        <v>0</v>
      </c>
      <c r="E101" s="79">
        <v>0</v>
      </c>
      <c r="F101" s="79">
        <v>0</v>
      </c>
      <c r="G101" s="79">
        <v>0</v>
      </c>
    </row>
    <row r="102" spans="1:7" ht="15.75" thickBot="1">
      <c r="A102" s="160" t="s">
        <v>124</v>
      </c>
      <c r="B102" s="162"/>
      <c r="C102" s="163"/>
      <c r="D102" s="164"/>
      <c r="E102" s="164"/>
      <c r="F102" s="164"/>
      <c r="G102" s="164"/>
    </row>
    <row r="103" spans="1:7" ht="15.75" thickBot="1">
      <c r="A103" s="165" t="s">
        <v>125</v>
      </c>
      <c r="B103" s="166">
        <f>B95+B100+B101</f>
        <v>26574.999999999996</v>
      </c>
      <c r="C103" s="167">
        <f t="shared" ref="C103:F103" si="14">C95+C100+C101</f>
        <v>28154</v>
      </c>
      <c r="D103" s="167">
        <f t="shared" si="14"/>
        <v>34911.806026897881</v>
      </c>
      <c r="E103" s="167">
        <f t="shared" si="14"/>
        <v>38632.547323578234</v>
      </c>
      <c r="F103" s="167">
        <f t="shared" si="14"/>
        <v>41773.102039361896</v>
      </c>
      <c r="G103" s="168">
        <f>G95+G100+G101</f>
        <v>45065.336107167634</v>
      </c>
    </row>
    <row r="104" spans="1:7">
      <c r="A104" s="74" t="s">
        <v>126</v>
      </c>
      <c r="B104" s="169">
        <f>SUM(B105:B109)</f>
        <v>-17491.031383000001</v>
      </c>
      <c r="C104" s="169">
        <f t="shared" ref="C104:G104" si="15">SUM(C105:C109)</f>
        <v>-19461.042331999997</v>
      </c>
      <c r="D104" s="169">
        <f t="shared" si="15"/>
        <v>-20162.454314922797</v>
      </c>
      <c r="E104" s="169">
        <f t="shared" si="15"/>
        <v>-21797.489380151019</v>
      </c>
      <c r="F104" s="169">
        <f t="shared" si="15"/>
        <v>-24063.621987992239</v>
      </c>
      <c r="G104" s="169">
        <f t="shared" si="15"/>
        <v>-26400.302976712639</v>
      </c>
    </row>
    <row r="105" spans="1:7">
      <c r="A105" s="160" t="s">
        <v>127</v>
      </c>
      <c r="B105" s="79">
        <v>-400</v>
      </c>
      <c r="C105" s="79">
        <v>-400</v>
      </c>
      <c r="D105" s="79">
        <v>-400</v>
      </c>
      <c r="E105" s="79">
        <v>-400</v>
      </c>
      <c r="F105" s="79">
        <v>-400</v>
      </c>
      <c r="G105" s="79">
        <v>-400</v>
      </c>
    </row>
    <row r="106" spans="1:7">
      <c r="A106" s="160" t="s">
        <v>128</v>
      </c>
      <c r="B106" s="79">
        <v>-1846.656383</v>
      </c>
      <c r="C106" s="79">
        <v>-2100.3923319999999</v>
      </c>
      <c r="D106" s="79">
        <v>-2236.64455646329</v>
      </c>
      <c r="E106" s="79">
        <v>-2278.0281208691299</v>
      </c>
      <c r="F106" s="79">
        <v>-2400.7595060293902</v>
      </c>
      <c r="G106" s="79">
        <v>-2448.4334171743999</v>
      </c>
    </row>
    <row r="107" spans="1:7">
      <c r="A107" s="160" t="s">
        <v>129</v>
      </c>
      <c r="B107" s="79">
        <v>-6960.375</v>
      </c>
      <c r="C107" s="159">
        <v>-5131.1499999999996</v>
      </c>
      <c r="D107" s="79">
        <v>-5152.6975949263096</v>
      </c>
      <c r="E107" s="79">
        <v>-5376.8614446218899</v>
      </c>
      <c r="F107" s="79">
        <v>-5698.8509284846496</v>
      </c>
      <c r="G107" s="79">
        <v>-6029.23200448234</v>
      </c>
    </row>
    <row r="108" spans="1:7">
      <c r="A108" s="160" t="s">
        <v>130</v>
      </c>
      <c r="B108" s="79">
        <v>-8284</v>
      </c>
      <c r="C108" s="79">
        <v>-11829.5</v>
      </c>
      <c r="D108" s="79">
        <v>-12373.1121635332</v>
      </c>
      <c r="E108" s="79">
        <v>-13742.59981466</v>
      </c>
      <c r="F108" s="79">
        <v>-15564.0115534782</v>
      </c>
      <c r="G108" s="79">
        <v>-17522.637555055899</v>
      </c>
    </row>
    <row r="109" spans="1:7">
      <c r="A109" s="160" t="s">
        <v>131</v>
      </c>
      <c r="B109" s="79">
        <v>0</v>
      </c>
      <c r="C109" s="79">
        <v>0</v>
      </c>
      <c r="D109" s="79">
        <v>0</v>
      </c>
      <c r="E109" s="79">
        <v>0</v>
      </c>
      <c r="F109" s="79">
        <v>0</v>
      </c>
      <c r="G109" s="79">
        <v>0</v>
      </c>
    </row>
    <row r="110" spans="1:7" ht="15.75" thickBot="1">
      <c r="A110" s="160" t="s">
        <v>132</v>
      </c>
      <c r="B110" s="170">
        <f>-7137-721</f>
        <v>-7858</v>
      </c>
      <c r="C110" s="170">
        <f>-7428-821</f>
        <v>-8249</v>
      </c>
      <c r="D110" s="170">
        <v>-8328.8252461390402</v>
      </c>
      <c r="E110" s="170">
        <v>-8606.5631888349108</v>
      </c>
      <c r="F110" s="170">
        <v>-8992.79750235354</v>
      </c>
      <c r="G110" s="170">
        <v>-9392.4184288017495</v>
      </c>
    </row>
    <row r="111" spans="1:7" ht="15.75" thickBot="1">
      <c r="A111" s="165" t="s">
        <v>133</v>
      </c>
      <c r="B111" s="166">
        <f>B104+B110</f>
        <v>-25349.031383000001</v>
      </c>
      <c r="C111" s="166">
        <f t="shared" ref="C111:G111" si="16">C104+C110</f>
        <v>-27710.042331999997</v>
      </c>
      <c r="D111" s="166">
        <f t="shared" si="16"/>
        <v>-28491.279561061838</v>
      </c>
      <c r="E111" s="166">
        <f t="shared" si="16"/>
        <v>-30404.052568985928</v>
      </c>
      <c r="F111" s="166">
        <f t="shared" si="16"/>
        <v>-33056.419490345783</v>
      </c>
      <c r="G111" s="166">
        <f t="shared" si="16"/>
        <v>-35792.721405514385</v>
      </c>
    </row>
    <row r="112" spans="1:7" ht="15.75" thickBot="1">
      <c r="A112" s="165" t="s">
        <v>134</v>
      </c>
      <c r="B112" s="171">
        <f t="shared" ref="B112:G112" si="17">B103+B111</f>
        <v>1225.968616999995</v>
      </c>
      <c r="C112" s="171">
        <f t="shared" si="17"/>
        <v>443.95766800000274</v>
      </c>
      <c r="D112" s="171">
        <f t="shared" si="17"/>
        <v>6420.5264658360429</v>
      </c>
      <c r="E112" s="171">
        <f t="shared" si="17"/>
        <v>8228.494754592306</v>
      </c>
      <c r="F112" s="171">
        <f t="shared" si="17"/>
        <v>8716.6825490161136</v>
      </c>
      <c r="G112" s="171">
        <f t="shared" si="17"/>
        <v>9272.6147016532486</v>
      </c>
    </row>
    <row r="113" spans="1:7">
      <c r="A113" s="160" t="s">
        <v>135</v>
      </c>
      <c r="B113" s="172">
        <v>-3358</v>
      </c>
      <c r="C113" s="172">
        <v>-3711</v>
      </c>
      <c r="D113" s="172">
        <v>-4190</v>
      </c>
      <c r="E113" s="172">
        <v>-4517</v>
      </c>
      <c r="F113" s="172">
        <v>-4881</v>
      </c>
      <c r="G113" s="172">
        <v>-5298</v>
      </c>
    </row>
    <row r="114" spans="1:7" ht="15.75" thickBot="1">
      <c r="A114" s="160" t="s">
        <v>136</v>
      </c>
      <c r="B114" s="170">
        <v>-532</v>
      </c>
      <c r="C114" s="170">
        <v>-563</v>
      </c>
      <c r="D114" s="170">
        <f>-+D95*0.02</f>
        <v>-698.23612053795762</v>
      </c>
      <c r="E114" s="170">
        <f>-E95*0.02</f>
        <v>-772.65094647156468</v>
      </c>
      <c r="F114" s="170">
        <f>-F95*0.02</f>
        <v>-835.46204078723792</v>
      </c>
      <c r="G114" s="170">
        <f>-G95*0.02</f>
        <v>-901.30672214335266</v>
      </c>
    </row>
    <row r="115" spans="1:7" ht="15.75" thickBot="1">
      <c r="A115" s="165" t="s">
        <v>137</v>
      </c>
      <c r="B115" s="166">
        <f>B112+B113+B114</f>
        <v>-2664.031383000005</v>
      </c>
      <c r="C115" s="166">
        <f t="shared" ref="C115" si="18">C112+C113+C114</f>
        <v>-3830.0423319999973</v>
      </c>
      <c r="D115" s="166">
        <f>D112+D113+D114</f>
        <v>1532.2903452980854</v>
      </c>
      <c r="E115" s="166">
        <f>E112+E113+E114</f>
        <v>2938.8438081207414</v>
      </c>
      <c r="F115" s="166">
        <f>F112+F113+F114</f>
        <v>3000.2205082288756</v>
      </c>
      <c r="G115" s="166">
        <f>G112+G113+G114</f>
        <v>3073.3079795098961</v>
      </c>
    </row>
    <row r="116" spans="1:7">
      <c r="A116" s="160" t="s">
        <v>54</v>
      </c>
      <c r="B116" s="172">
        <v>1050</v>
      </c>
      <c r="C116" s="172">
        <v>1320</v>
      </c>
      <c r="D116" s="172">
        <v>1659.4285714285713</v>
      </c>
      <c r="E116" s="172">
        <v>2086.1387755102041</v>
      </c>
      <c r="F116" s="172">
        <v>2622.5744606413996</v>
      </c>
      <c r="G116" s="172">
        <v>3296.9507505206166</v>
      </c>
    </row>
    <row r="117" spans="1:7">
      <c r="A117" s="160" t="s">
        <v>51</v>
      </c>
      <c r="B117" s="79">
        <v>-160</v>
      </c>
      <c r="C117" s="79">
        <v>-165</v>
      </c>
      <c r="D117" s="79">
        <v>-170.15625</v>
      </c>
      <c r="E117" s="79">
        <v>-175.4736328125</v>
      </c>
      <c r="F117" s="79">
        <v>-180.95718383789</v>
      </c>
      <c r="G117" s="79">
        <v>-186.612095832824</v>
      </c>
    </row>
    <row r="118" spans="1:7">
      <c r="A118" s="160" t="s">
        <v>52</v>
      </c>
      <c r="B118" s="79">
        <v>-3800</v>
      </c>
      <c r="C118" s="79">
        <v>-3950</v>
      </c>
      <c r="D118" s="79">
        <v>-4105.9210526315801</v>
      </c>
      <c r="E118" s="79">
        <v>-4267.9968836565104</v>
      </c>
      <c r="F118" s="79">
        <v>-4436.4704448534803</v>
      </c>
      <c r="G118" s="79">
        <v>-4611.5942782029597</v>
      </c>
    </row>
    <row r="119" spans="1:7" ht="15.75" thickBot="1">
      <c r="A119" s="160" t="s">
        <v>55</v>
      </c>
      <c r="B119" s="79">
        <v>1000</v>
      </c>
      <c r="C119" s="79">
        <v>1200</v>
      </c>
      <c r="D119" s="79">
        <v>1440</v>
      </c>
      <c r="E119" s="79">
        <v>1728</v>
      </c>
      <c r="F119" s="79">
        <v>2073.6</v>
      </c>
      <c r="G119" s="79">
        <v>2488.3199999999997</v>
      </c>
    </row>
    <row r="120" spans="1:7" ht="15.75" thickBot="1">
      <c r="A120" s="165" t="s">
        <v>138</v>
      </c>
      <c r="B120" s="173">
        <f>SUM(B115:B119)</f>
        <v>-4574.031383000005</v>
      </c>
      <c r="C120" s="173">
        <f t="shared" ref="C120:G120" si="19">SUM(C115:C119)</f>
        <v>-5425.0423319999973</v>
      </c>
      <c r="D120" s="173">
        <f t="shared" si="19"/>
        <v>355.64161409507687</v>
      </c>
      <c r="E120" s="173">
        <f t="shared" si="19"/>
        <v>2309.5120671619352</v>
      </c>
      <c r="F120" s="173">
        <f t="shared" si="19"/>
        <v>3078.9673401789055</v>
      </c>
      <c r="G120" s="173">
        <f t="shared" si="19"/>
        <v>4060.3723559947293</v>
      </c>
    </row>
    <row r="121" spans="1:7">
      <c r="A121" s="160" t="s">
        <v>56</v>
      </c>
      <c r="B121" s="79">
        <v>5</v>
      </c>
      <c r="C121" s="79">
        <v>10</v>
      </c>
      <c r="D121" s="81">
        <v>15</v>
      </c>
      <c r="E121" s="81">
        <v>20</v>
      </c>
      <c r="F121" s="81">
        <v>25</v>
      </c>
      <c r="G121" s="81">
        <v>30</v>
      </c>
    </row>
    <row r="122" spans="1:7" ht="15.75" thickBot="1">
      <c r="A122" s="160" t="s">
        <v>53</v>
      </c>
      <c r="B122" s="79">
        <v>-327</v>
      </c>
      <c r="C122" s="79">
        <v>-348</v>
      </c>
      <c r="D122" s="79">
        <v>-370.348623853211</v>
      </c>
      <c r="E122" s="79">
        <v>-394.13248043094001</v>
      </c>
      <c r="F122" s="79">
        <v>-419.44374064210098</v>
      </c>
      <c r="G122" s="79">
        <v>-446.38049462829099</v>
      </c>
    </row>
    <row r="123" spans="1:7" ht="15.75" thickBot="1">
      <c r="A123" s="165" t="s">
        <v>139</v>
      </c>
      <c r="B123" s="173">
        <f>B121+B122</f>
        <v>-322</v>
      </c>
      <c r="C123" s="173">
        <f t="shared" ref="C123:G123" si="20">C121+C122</f>
        <v>-338</v>
      </c>
      <c r="D123" s="173">
        <f t="shared" si="20"/>
        <v>-355.348623853211</v>
      </c>
      <c r="E123" s="173">
        <f t="shared" si="20"/>
        <v>-374.13248043094001</v>
      </c>
      <c r="F123" s="173">
        <f t="shared" si="20"/>
        <v>-394.44374064210098</v>
      </c>
      <c r="G123" s="173">
        <f t="shared" si="20"/>
        <v>-416.38049462829099</v>
      </c>
    </row>
    <row r="124" spans="1:7" ht="15.75" thickBot="1">
      <c r="A124" s="165" t="s">
        <v>140</v>
      </c>
      <c r="B124" s="173">
        <f>B120+B123</f>
        <v>-4896.031383000005</v>
      </c>
      <c r="C124" s="173">
        <f t="shared" ref="C124:G124" si="21">C120+C123</f>
        <v>-5763.0423319999973</v>
      </c>
      <c r="D124" s="173">
        <f t="shared" si="21"/>
        <v>0.29299024186587985</v>
      </c>
      <c r="E124" s="173">
        <f t="shared" si="21"/>
        <v>1935.3795867309952</v>
      </c>
      <c r="F124" s="173">
        <f t="shared" si="21"/>
        <v>2684.5235995368043</v>
      </c>
      <c r="G124" s="173">
        <f t="shared" si="21"/>
        <v>3643.9918613664386</v>
      </c>
    </row>
    <row r="125" spans="1:7">
      <c r="A125" s="160" t="s">
        <v>141</v>
      </c>
      <c r="B125" s="174">
        <v>0</v>
      </c>
      <c r="C125" s="174">
        <v>0</v>
      </c>
      <c r="D125" s="174">
        <v>0</v>
      </c>
      <c r="E125" s="174">
        <v>0</v>
      </c>
      <c r="F125" s="174">
        <v>0</v>
      </c>
      <c r="G125" s="174">
        <v>0</v>
      </c>
    </row>
    <row r="126" spans="1:7" ht="15.75" thickBot="1">
      <c r="A126" s="175" t="s">
        <v>142</v>
      </c>
      <c r="B126" s="176">
        <v>0</v>
      </c>
      <c r="C126" s="176">
        <v>0</v>
      </c>
      <c r="D126" s="176">
        <v>0</v>
      </c>
      <c r="E126" s="176">
        <v>0</v>
      </c>
      <c r="F126" s="176">
        <v>0</v>
      </c>
      <c r="G126" s="176">
        <v>0</v>
      </c>
    </row>
    <row r="127" spans="1:7" ht="15.75" thickBot="1">
      <c r="A127" s="165" t="s">
        <v>143</v>
      </c>
      <c r="B127" s="173">
        <f>B103+B116+B119+B121</f>
        <v>28629.999999999996</v>
      </c>
      <c r="C127" s="173">
        <f t="shared" ref="C127:G127" si="22">C103+C116+C119+C121</f>
        <v>30684</v>
      </c>
      <c r="D127" s="173">
        <f t="shared" si="22"/>
        <v>38026.234598326453</v>
      </c>
      <c r="E127" s="173">
        <f t="shared" si="22"/>
        <v>42466.686099088438</v>
      </c>
      <c r="F127" s="173">
        <f t="shared" si="22"/>
        <v>46494.276500003296</v>
      </c>
      <c r="G127" s="173">
        <f t="shared" si="22"/>
        <v>50880.606857688246</v>
      </c>
    </row>
    <row r="128" spans="1:7" ht="15.75" thickBot="1">
      <c r="A128" s="165" t="s">
        <v>144</v>
      </c>
      <c r="B128" s="173">
        <f>B111+B113+B114+B117+B118+B122</f>
        <v>-33526.031383000001</v>
      </c>
      <c r="C128" s="173">
        <f t="shared" ref="C128:G128" si="23">C111+C113+C114+C117+C118+C122</f>
        <v>-36447.042331999997</v>
      </c>
      <c r="D128" s="173">
        <f t="shared" si="23"/>
        <v>-38025.941608084591</v>
      </c>
      <c r="E128" s="173">
        <f t="shared" si="23"/>
        <v>-40531.306512357442</v>
      </c>
      <c r="F128" s="173">
        <f t="shared" si="23"/>
        <v>-43809.75290046649</v>
      </c>
      <c r="G128" s="173">
        <f t="shared" si="23"/>
        <v>-47236.614996321812</v>
      </c>
    </row>
    <row r="129" spans="1:7" ht="15.75" thickBot="1">
      <c r="A129" s="165" t="s">
        <v>145</v>
      </c>
      <c r="B129" s="173">
        <f>B127+B128</f>
        <v>-4896.031383000005</v>
      </c>
      <c r="C129" s="173">
        <f t="shared" ref="C129:G129" si="24">C127+C128</f>
        <v>-5763.0423319999973</v>
      </c>
      <c r="D129" s="173">
        <f t="shared" si="24"/>
        <v>0.29299024186184397</v>
      </c>
      <c r="E129" s="173">
        <f t="shared" si="24"/>
        <v>1935.3795867309964</v>
      </c>
      <c r="F129" s="173">
        <f t="shared" si="24"/>
        <v>2684.5235995368057</v>
      </c>
      <c r="G129" s="173">
        <f t="shared" si="24"/>
        <v>3643.991861366434</v>
      </c>
    </row>
    <row r="130" spans="1:7">
      <c r="A130" s="160" t="s">
        <v>146</v>
      </c>
      <c r="B130" s="176">
        <v>0</v>
      </c>
      <c r="C130" s="176">
        <v>0</v>
      </c>
      <c r="D130" s="176">
        <v>0</v>
      </c>
      <c r="E130" s="176">
        <v>0</v>
      </c>
      <c r="F130" s="176">
        <v>0</v>
      </c>
      <c r="G130" s="176">
        <v>0</v>
      </c>
    </row>
    <row r="131" spans="1:7" ht="15.75" thickBot="1">
      <c r="A131" s="160" t="s">
        <v>147</v>
      </c>
      <c r="B131" s="176">
        <v>0</v>
      </c>
      <c r="C131" s="176">
        <v>0</v>
      </c>
      <c r="D131" s="176">
        <v>0</v>
      </c>
      <c r="E131" s="176">
        <v>0</v>
      </c>
      <c r="F131" s="176">
        <v>0</v>
      </c>
      <c r="G131" s="176">
        <v>0</v>
      </c>
    </row>
    <row r="132" spans="1:7" ht="15.75" thickBot="1">
      <c r="A132" s="165" t="s">
        <v>148</v>
      </c>
      <c r="B132" s="177">
        <f>SUM(B130:B131)</f>
        <v>0</v>
      </c>
      <c r="C132" s="177">
        <f t="shared" ref="C132:G132" si="25">SUM(C130:C131)</f>
        <v>0</v>
      </c>
      <c r="D132" s="177">
        <f t="shared" si="25"/>
        <v>0</v>
      </c>
      <c r="E132" s="177">
        <f t="shared" si="25"/>
        <v>0</v>
      </c>
      <c r="F132" s="177">
        <f t="shared" si="25"/>
        <v>0</v>
      </c>
      <c r="G132" s="177">
        <f t="shared" si="25"/>
        <v>0</v>
      </c>
    </row>
    <row r="133" spans="1:7" ht="15.75" thickBot="1">
      <c r="A133" s="178" t="s">
        <v>149</v>
      </c>
      <c r="B133" s="179">
        <f>B129+B132</f>
        <v>-4896.031383000005</v>
      </c>
      <c r="C133" s="179">
        <f t="shared" ref="C133:G133" si="26">C129+C132</f>
        <v>-5763.0423319999973</v>
      </c>
      <c r="D133" s="179">
        <f t="shared" si="26"/>
        <v>0.29299024186184397</v>
      </c>
      <c r="E133" s="179">
        <f t="shared" si="26"/>
        <v>1935.3795867309964</v>
      </c>
      <c r="F133" s="179">
        <f t="shared" si="26"/>
        <v>2684.5235995368057</v>
      </c>
      <c r="G133" s="179">
        <f t="shared" si="26"/>
        <v>3643.991861366434</v>
      </c>
    </row>
    <row r="134" spans="1:7">
      <c r="A134" s="71"/>
      <c r="B134" s="71"/>
      <c r="C134" s="71"/>
      <c r="D134" s="71"/>
      <c r="E134" s="71"/>
      <c r="F134" s="71"/>
      <c r="G134" s="71"/>
    </row>
    <row r="137" spans="1:7" ht="18.75">
      <c r="A137" s="303" t="s">
        <v>117</v>
      </c>
      <c r="B137" s="303"/>
      <c r="C137" s="303"/>
      <c r="D137" s="71"/>
      <c r="E137" s="71"/>
      <c r="F137" s="71"/>
      <c r="G137" s="71"/>
    </row>
    <row r="138" spans="1:7" ht="15.75" thickBot="1">
      <c r="A138" s="71"/>
      <c r="B138" s="71">
        <v>21721.999999999996</v>
      </c>
      <c r="C138" s="71">
        <v>23122</v>
      </c>
      <c r="D138" s="71">
        <v>24556.423062599999</v>
      </c>
      <c r="E138" s="71">
        <v>26202.630132610193</v>
      </c>
      <c r="F138">
        <v>27854.778087203071</v>
      </c>
      <c r="G138">
        <v>29534.057741771772</v>
      </c>
    </row>
    <row r="139" spans="1:7" ht="15.75" thickBot="1">
      <c r="A139" s="304" t="s">
        <v>66</v>
      </c>
      <c r="B139" s="306" t="s">
        <v>118</v>
      </c>
      <c r="C139" s="306"/>
      <c r="D139" s="306"/>
      <c r="E139" s="306"/>
      <c r="F139" s="306"/>
      <c r="G139" s="306"/>
    </row>
    <row r="140" spans="1:7">
      <c r="A140" s="305"/>
      <c r="B140" s="158">
        <v>2012</v>
      </c>
      <c r="C140" s="158">
        <v>2013</v>
      </c>
      <c r="D140" s="158">
        <v>2014</v>
      </c>
      <c r="E140" s="158">
        <v>2015</v>
      </c>
      <c r="F140" s="158">
        <v>2016</v>
      </c>
      <c r="G140" s="158">
        <v>2017</v>
      </c>
    </row>
    <row r="141" spans="1:7">
      <c r="A141" s="74" t="s">
        <v>119</v>
      </c>
      <c r="B141" s="159">
        <f t="shared" ref="B141:G141" si="27">SUM(B142:B145)</f>
        <v>26574.999999999996</v>
      </c>
      <c r="C141" s="159">
        <f t="shared" si="27"/>
        <v>28154</v>
      </c>
      <c r="D141" s="159">
        <f t="shared" si="27"/>
        <v>29863.587626680455</v>
      </c>
      <c r="E141" s="159">
        <f t="shared" si="27"/>
        <v>31772.186011497583</v>
      </c>
      <c r="F141" s="159">
        <f t="shared" si="27"/>
        <v>33696.246259079904</v>
      </c>
      <c r="G141" s="159">
        <f t="shared" si="27"/>
        <v>35670.249341068957</v>
      </c>
    </row>
    <row r="142" spans="1:7">
      <c r="A142" s="160" t="s">
        <v>120</v>
      </c>
      <c r="B142" s="79">
        <v>21721.999999999996</v>
      </c>
      <c r="C142" s="79">
        <v>23123</v>
      </c>
      <c r="D142" s="79">
        <v>24556</v>
      </c>
      <c r="E142" s="79">
        <v>26203</v>
      </c>
      <c r="F142" s="79">
        <v>27855</v>
      </c>
      <c r="G142" s="79">
        <v>29534</v>
      </c>
    </row>
    <row r="143" spans="1:7">
      <c r="A143" s="160" t="s">
        <v>121</v>
      </c>
      <c r="B143" s="79">
        <v>3086</v>
      </c>
      <c r="C143" s="79">
        <v>3158</v>
      </c>
      <c r="D143" s="79">
        <v>3322</v>
      </c>
      <c r="E143" s="79">
        <v>3464</v>
      </c>
      <c r="F143" s="79">
        <v>3609</v>
      </c>
      <c r="G143" s="79">
        <v>3769</v>
      </c>
    </row>
    <row r="144" spans="1:7">
      <c r="A144" s="160" t="s">
        <v>57</v>
      </c>
      <c r="B144" s="79">
        <v>967</v>
      </c>
      <c r="C144" s="79">
        <v>1015</v>
      </c>
      <c r="D144" s="79">
        <v>1065.3826266804549</v>
      </c>
      <c r="E144" s="79">
        <v>1118.2661489975819</v>
      </c>
      <c r="F144" s="79">
        <v>1173.7747065486512</v>
      </c>
      <c r="G144" s="79">
        <v>1232.0386009791944</v>
      </c>
    </row>
    <row r="145" spans="1:8">
      <c r="A145" s="160" t="s">
        <v>58</v>
      </c>
      <c r="B145" s="79">
        <v>800</v>
      </c>
      <c r="C145" s="79">
        <v>858</v>
      </c>
      <c r="D145" s="79">
        <v>920.20500000000004</v>
      </c>
      <c r="E145" s="79">
        <v>986.91986250000002</v>
      </c>
      <c r="F145" s="79">
        <v>1058.4715525312499</v>
      </c>
      <c r="G145" s="79">
        <v>1135.2107400897655</v>
      </c>
    </row>
    <row r="146" spans="1:8">
      <c r="A146" s="160" t="s">
        <v>122</v>
      </c>
      <c r="B146" s="161">
        <v>0</v>
      </c>
      <c r="C146" s="161">
        <v>0</v>
      </c>
      <c r="D146" s="161">
        <v>0</v>
      </c>
      <c r="E146" s="161">
        <v>0</v>
      </c>
      <c r="F146" s="161">
        <v>0</v>
      </c>
      <c r="G146" s="161">
        <v>0</v>
      </c>
    </row>
    <row r="147" spans="1:8">
      <c r="A147" s="160" t="s">
        <v>123</v>
      </c>
      <c r="B147" s="79">
        <v>0</v>
      </c>
      <c r="C147" s="79">
        <v>0</v>
      </c>
      <c r="D147" s="79">
        <v>0</v>
      </c>
      <c r="E147" s="79">
        <v>0</v>
      </c>
      <c r="F147" s="79">
        <v>0</v>
      </c>
      <c r="G147" s="79">
        <v>0</v>
      </c>
    </row>
    <row r="148" spans="1:8" ht="15.75" thickBot="1">
      <c r="A148" s="160" t="s">
        <v>124</v>
      </c>
      <c r="B148" s="162"/>
      <c r="C148" s="163"/>
      <c r="D148" s="164"/>
      <c r="E148" s="164"/>
      <c r="F148" s="164"/>
      <c r="G148" s="164"/>
    </row>
    <row r="149" spans="1:8" ht="15.75" thickBot="1">
      <c r="A149" s="165" t="s">
        <v>125</v>
      </c>
      <c r="B149" s="166">
        <f>B141+B146+B147</f>
        <v>26574.999999999996</v>
      </c>
      <c r="C149" s="167">
        <f t="shared" ref="C149:F149" si="28">C141+C146+C147</f>
        <v>28154</v>
      </c>
      <c r="D149" s="167">
        <f t="shared" si="28"/>
        <v>29863.587626680455</v>
      </c>
      <c r="E149" s="167">
        <f t="shared" si="28"/>
        <v>31772.186011497583</v>
      </c>
      <c r="F149" s="167">
        <f t="shared" si="28"/>
        <v>33696.246259079904</v>
      </c>
      <c r="G149" s="168">
        <f>G141+G146+G147</f>
        <v>35670.249341068957</v>
      </c>
    </row>
    <row r="150" spans="1:8">
      <c r="A150" s="74" t="s">
        <v>126</v>
      </c>
      <c r="B150" s="169">
        <f>SUM(B151:B155)</f>
        <v>-17491.031383000001</v>
      </c>
      <c r="C150" s="169">
        <f t="shared" ref="C150:G150" si="29">SUM(C151:C155)</f>
        <v>-19461.042331999997</v>
      </c>
      <c r="D150" s="169">
        <f t="shared" si="29"/>
        <v>-20162.454314922797</v>
      </c>
      <c r="E150" s="169">
        <f t="shared" si="29"/>
        <v>-21797.489380151019</v>
      </c>
      <c r="F150" s="169">
        <f t="shared" si="29"/>
        <v>-24063.621987992239</v>
      </c>
      <c r="G150" s="169">
        <f t="shared" si="29"/>
        <v>-26400.302976712639</v>
      </c>
    </row>
    <row r="151" spans="1:8">
      <c r="A151" s="160" t="s">
        <v>127</v>
      </c>
      <c r="B151" s="79">
        <v>-400</v>
      </c>
      <c r="C151" s="79">
        <v>-400</v>
      </c>
      <c r="D151" s="79">
        <v>-400</v>
      </c>
      <c r="E151" s="79">
        <v>-400</v>
      </c>
      <c r="F151" s="79">
        <v>-400</v>
      </c>
      <c r="G151" s="79">
        <v>-400</v>
      </c>
    </row>
    <row r="152" spans="1:8">
      <c r="A152" s="160" t="s">
        <v>128</v>
      </c>
      <c r="B152" s="79">
        <v>-1846.656383</v>
      </c>
      <c r="C152" s="79">
        <v>-2100.3923319999999</v>
      </c>
      <c r="D152" s="79">
        <v>-2236.64455646329</v>
      </c>
      <c r="E152" s="79">
        <v>-2278.0281208691299</v>
      </c>
      <c r="F152" s="79">
        <v>-2400.7595060293902</v>
      </c>
      <c r="G152" s="79">
        <v>-2448.4334171743999</v>
      </c>
    </row>
    <row r="153" spans="1:8">
      <c r="A153" s="160" t="s">
        <v>129</v>
      </c>
      <c r="B153" s="79">
        <v>-6960.375</v>
      </c>
      <c r="C153" s="159">
        <v>-5131.1499999999996</v>
      </c>
      <c r="D153" s="79">
        <v>-5152.6975949263096</v>
      </c>
      <c r="E153" s="79">
        <v>-5376.8614446218899</v>
      </c>
      <c r="F153" s="79">
        <v>-5698.8509284846496</v>
      </c>
      <c r="G153" s="79">
        <v>-6029.23200448234</v>
      </c>
    </row>
    <row r="154" spans="1:8">
      <c r="A154" s="160" t="s">
        <v>130</v>
      </c>
      <c r="B154" s="79">
        <v>-8284</v>
      </c>
      <c r="C154" s="79">
        <v>-11829.5</v>
      </c>
      <c r="D154" s="79">
        <v>-12373.1121635332</v>
      </c>
      <c r="E154" s="79">
        <v>-13742.59981466</v>
      </c>
      <c r="F154" s="79">
        <v>-15564.0115534782</v>
      </c>
      <c r="G154" s="79">
        <v>-17522.637555055899</v>
      </c>
    </row>
    <row r="155" spans="1:8">
      <c r="A155" s="160" t="s">
        <v>131</v>
      </c>
      <c r="B155" s="79">
        <v>0</v>
      </c>
      <c r="C155" s="79">
        <v>0</v>
      </c>
      <c r="D155" s="79">
        <v>0</v>
      </c>
      <c r="E155" s="79">
        <v>0</v>
      </c>
      <c r="F155" s="79">
        <v>0</v>
      </c>
      <c r="G155" s="79">
        <v>0</v>
      </c>
    </row>
    <row r="156" spans="1:8" ht="15.75" thickBot="1">
      <c r="A156" s="160" t="s">
        <v>132</v>
      </c>
      <c r="B156" s="170">
        <f>-7137-721</f>
        <v>-7858</v>
      </c>
      <c r="C156" s="170">
        <f>-7428-821</f>
        <v>-8249</v>
      </c>
      <c r="D156" s="170">
        <v>-8328.8252461390402</v>
      </c>
      <c r="E156" s="170">
        <v>-8606.5631888349108</v>
      </c>
      <c r="F156" s="170">
        <v>-8992.79750235354</v>
      </c>
      <c r="G156" s="170">
        <v>-9392.4184288017495</v>
      </c>
    </row>
    <row r="157" spans="1:8" ht="15.75" thickBot="1">
      <c r="A157" s="165" t="s">
        <v>133</v>
      </c>
      <c r="B157" s="166">
        <f>B150+B156</f>
        <v>-25349.031383000001</v>
      </c>
      <c r="C157" s="166">
        <f t="shared" ref="C157:G157" si="30">C150+C156</f>
        <v>-27710.042331999997</v>
      </c>
      <c r="D157" s="166">
        <f t="shared" si="30"/>
        <v>-28491.279561061838</v>
      </c>
      <c r="E157" s="166">
        <f t="shared" si="30"/>
        <v>-30404.052568985928</v>
      </c>
      <c r="F157" s="166">
        <f t="shared" si="30"/>
        <v>-33056.419490345783</v>
      </c>
      <c r="G157" s="166">
        <f t="shared" si="30"/>
        <v>-35792.721405514385</v>
      </c>
      <c r="H157" s="290">
        <f>+(G157-B157)/B157*100</f>
        <v>41.19956247921295</v>
      </c>
    </row>
    <row r="158" spans="1:8" ht="15.75" thickBot="1">
      <c r="A158" s="165" t="s">
        <v>134</v>
      </c>
      <c r="B158" s="171">
        <f t="shared" ref="B158" si="31">B149+B157</f>
        <v>1225.968616999995</v>
      </c>
      <c r="C158" s="171">
        <f t="shared" ref="C158" si="32">C149+C157</f>
        <v>443.95766800000274</v>
      </c>
      <c r="D158" s="171">
        <f t="shared" ref="D158" si="33">D149+D157</f>
        <v>1372.3080656186175</v>
      </c>
      <c r="E158" s="171">
        <f t="shared" ref="E158" si="34">E149+E157</f>
        <v>1368.1334425116547</v>
      </c>
      <c r="F158" s="171">
        <f t="shared" ref="F158" si="35">F149+F157</f>
        <v>639.82676873412129</v>
      </c>
      <c r="G158" s="171">
        <f t="shared" ref="G158" si="36">G149+G157</f>
        <v>-122.47206444542826</v>
      </c>
    </row>
    <row r="159" spans="1:8">
      <c r="A159" s="160" t="s">
        <v>135</v>
      </c>
      <c r="B159" s="172">
        <v>-3358</v>
      </c>
      <c r="C159" s="172">
        <v>-3711</v>
      </c>
      <c r="D159" s="172">
        <v>-4190</v>
      </c>
      <c r="E159" s="172">
        <v>-4517</v>
      </c>
      <c r="F159" s="172">
        <v>-4881</v>
      </c>
      <c r="G159" s="172">
        <v>-5298</v>
      </c>
    </row>
    <row r="160" spans="1:8" ht="15.75" thickBot="1">
      <c r="A160" s="160" t="s">
        <v>136</v>
      </c>
      <c r="B160" s="170">
        <v>-532</v>
      </c>
      <c r="C160" s="170">
        <v>-563</v>
      </c>
      <c r="D160" s="170">
        <f>-+D141*0.02</f>
        <v>-597.27175253360917</v>
      </c>
      <c r="E160" s="170">
        <f>-E141*0.02</f>
        <v>-635.44372022995162</v>
      </c>
      <c r="F160" s="170">
        <f>-F141*0.02</f>
        <v>-673.92492518159804</v>
      </c>
      <c r="G160" s="170">
        <f>-G141*0.02</f>
        <v>-713.40498682137911</v>
      </c>
    </row>
    <row r="161" spans="1:7" ht="15.75" thickBot="1">
      <c r="A161" s="165" t="s">
        <v>137</v>
      </c>
      <c r="B161" s="166">
        <f>B158+B159+B160</f>
        <v>-2664.031383000005</v>
      </c>
      <c r="C161" s="166">
        <f t="shared" ref="C161" si="37">C158+C159+C160</f>
        <v>-3830.0423319999973</v>
      </c>
      <c r="D161" s="166">
        <f>D158+D159+D160</f>
        <v>-3414.9636869149917</v>
      </c>
      <c r="E161" s="166">
        <f>E158+E159+E160</f>
        <v>-3784.3102777182967</v>
      </c>
      <c r="F161" s="166">
        <f>F158+F159+F160</f>
        <v>-4915.0981564474769</v>
      </c>
      <c r="G161" s="166">
        <f>G158+G159+G160</f>
        <v>-6133.877051266807</v>
      </c>
    </row>
    <row r="162" spans="1:7">
      <c r="A162" s="160" t="s">
        <v>54</v>
      </c>
      <c r="B162" s="172">
        <v>1050</v>
      </c>
      <c r="C162" s="172">
        <v>1320</v>
      </c>
      <c r="D162" s="172">
        <v>1659.4285714285713</v>
      </c>
      <c r="E162" s="172">
        <v>2086.1387755102041</v>
      </c>
      <c r="F162" s="172">
        <v>2622.5744606413996</v>
      </c>
      <c r="G162" s="172">
        <v>3296.9507505206166</v>
      </c>
    </row>
    <row r="163" spans="1:7">
      <c r="A163" s="160" t="s">
        <v>51</v>
      </c>
      <c r="B163" s="79">
        <v>-160</v>
      </c>
      <c r="C163" s="79">
        <v>-165</v>
      </c>
      <c r="D163" s="79">
        <v>-170.15625</v>
      </c>
      <c r="E163" s="79">
        <v>-175.4736328125</v>
      </c>
      <c r="F163" s="79">
        <v>-180.95718383789</v>
      </c>
      <c r="G163" s="79">
        <v>-186.612095832824</v>
      </c>
    </row>
    <row r="164" spans="1:7">
      <c r="A164" s="160" t="s">
        <v>52</v>
      </c>
      <c r="B164" s="79">
        <v>-3800</v>
      </c>
      <c r="C164" s="79">
        <v>-3950</v>
      </c>
      <c r="D164" s="79">
        <v>-4105.9210526315801</v>
      </c>
      <c r="E164" s="79">
        <v>-4267.9968836565104</v>
      </c>
      <c r="F164" s="79">
        <v>-4436.4704448534803</v>
      </c>
      <c r="G164" s="79">
        <v>-4611.5942782029597</v>
      </c>
    </row>
    <row r="165" spans="1:7" ht="15.75" thickBot="1">
      <c r="A165" s="160" t="s">
        <v>55</v>
      </c>
      <c r="B165" s="79">
        <v>1000</v>
      </c>
      <c r="C165" s="79">
        <v>1200</v>
      </c>
      <c r="D165" s="79">
        <v>1440</v>
      </c>
      <c r="E165" s="79">
        <v>1728</v>
      </c>
      <c r="F165" s="79">
        <v>2073.6</v>
      </c>
      <c r="G165" s="79">
        <v>2488.3199999999997</v>
      </c>
    </row>
    <row r="166" spans="1:7" ht="15.75" thickBot="1">
      <c r="A166" s="165" t="s">
        <v>138</v>
      </c>
      <c r="B166" s="173">
        <f>SUM(B161:B165)</f>
        <v>-4574.031383000005</v>
      </c>
      <c r="C166" s="173">
        <f t="shared" ref="C166:G166" si="38">SUM(C161:C165)</f>
        <v>-5425.0423319999973</v>
      </c>
      <c r="D166" s="173">
        <f t="shared" si="38"/>
        <v>-4591.6124181180003</v>
      </c>
      <c r="E166" s="173">
        <f t="shared" si="38"/>
        <v>-4413.6420186771029</v>
      </c>
      <c r="F166" s="173">
        <f t="shared" si="38"/>
        <v>-4836.3513244974474</v>
      </c>
      <c r="G166" s="173">
        <f t="shared" si="38"/>
        <v>-5146.8126747819742</v>
      </c>
    </row>
    <row r="167" spans="1:7">
      <c r="A167" s="160" t="s">
        <v>56</v>
      </c>
      <c r="B167" s="79">
        <v>5</v>
      </c>
      <c r="C167" s="79">
        <v>10</v>
      </c>
      <c r="D167" s="81">
        <v>15</v>
      </c>
      <c r="E167" s="81">
        <v>20</v>
      </c>
      <c r="F167" s="81">
        <v>25</v>
      </c>
      <c r="G167" s="81">
        <v>30</v>
      </c>
    </row>
    <row r="168" spans="1:7" ht="15.75" thickBot="1">
      <c r="A168" s="160" t="s">
        <v>53</v>
      </c>
      <c r="B168" s="79">
        <v>-327</v>
      </c>
      <c r="C168" s="79">
        <v>-348</v>
      </c>
      <c r="D168" s="79">
        <v>-370.348623853211</v>
      </c>
      <c r="E168" s="79">
        <v>-394.13248043094001</v>
      </c>
      <c r="F168" s="79">
        <v>-419.44374064210098</v>
      </c>
      <c r="G168" s="79">
        <v>-446.38049462829099</v>
      </c>
    </row>
    <row r="169" spans="1:7" ht="15.75" thickBot="1">
      <c r="A169" s="165" t="s">
        <v>139</v>
      </c>
      <c r="B169" s="173">
        <f>B167+B168</f>
        <v>-322</v>
      </c>
      <c r="C169" s="173">
        <f t="shared" ref="C169:G169" si="39">C167+C168</f>
        <v>-338</v>
      </c>
      <c r="D169" s="173">
        <f t="shared" si="39"/>
        <v>-355.348623853211</v>
      </c>
      <c r="E169" s="173">
        <f t="shared" si="39"/>
        <v>-374.13248043094001</v>
      </c>
      <c r="F169" s="173">
        <f t="shared" si="39"/>
        <v>-394.44374064210098</v>
      </c>
      <c r="G169" s="173">
        <f t="shared" si="39"/>
        <v>-416.38049462829099</v>
      </c>
    </row>
    <row r="170" spans="1:7" ht="15.75" thickBot="1">
      <c r="A170" s="165" t="s">
        <v>140</v>
      </c>
      <c r="B170" s="173">
        <f>B166+B169</f>
        <v>-4896.031383000005</v>
      </c>
      <c r="C170" s="173">
        <f t="shared" ref="C170:G170" si="40">C166+C169</f>
        <v>-5763.0423319999973</v>
      </c>
      <c r="D170" s="173">
        <f t="shared" si="40"/>
        <v>-4946.9610419712117</v>
      </c>
      <c r="E170" s="173">
        <f t="shared" si="40"/>
        <v>-4787.7744991080426</v>
      </c>
      <c r="F170" s="173">
        <f t="shared" si="40"/>
        <v>-5230.7950651395486</v>
      </c>
      <c r="G170" s="173">
        <f t="shared" si="40"/>
        <v>-5563.193169410265</v>
      </c>
    </row>
    <row r="171" spans="1:7">
      <c r="A171" s="160" t="s">
        <v>141</v>
      </c>
      <c r="B171" s="174">
        <v>0</v>
      </c>
      <c r="C171" s="174">
        <v>0</v>
      </c>
      <c r="D171" s="174">
        <v>0</v>
      </c>
      <c r="E171" s="174">
        <v>0</v>
      </c>
      <c r="F171" s="174">
        <v>0</v>
      </c>
      <c r="G171" s="174">
        <v>0</v>
      </c>
    </row>
    <row r="172" spans="1:7" ht="15.75" thickBot="1">
      <c r="A172" s="175" t="s">
        <v>142</v>
      </c>
      <c r="B172" s="176">
        <v>0</v>
      </c>
      <c r="C172" s="176">
        <v>0</v>
      </c>
      <c r="D172" s="176">
        <v>0</v>
      </c>
      <c r="E172" s="176">
        <v>0</v>
      </c>
      <c r="F172" s="176">
        <v>0</v>
      </c>
      <c r="G172" s="176">
        <v>0</v>
      </c>
    </row>
    <row r="173" spans="1:7" ht="15.75" thickBot="1">
      <c r="A173" s="165" t="s">
        <v>143</v>
      </c>
      <c r="B173" s="173">
        <f>B149+B162+B165+B167</f>
        <v>28629.999999999996</v>
      </c>
      <c r="C173" s="173">
        <f t="shared" ref="C173:G173" si="41">C149+C162+C165+C167</f>
        <v>30684</v>
      </c>
      <c r="D173" s="173">
        <f t="shared" si="41"/>
        <v>32978.016198109028</v>
      </c>
      <c r="E173" s="173">
        <f t="shared" si="41"/>
        <v>35606.32478700779</v>
      </c>
      <c r="F173" s="173">
        <f t="shared" si="41"/>
        <v>38417.420719721304</v>
      </c>
      <c r="G173" s="173">
        <f t="shared" si="41"/>
        <v>41485.520091589577</v>
      </c>
    </row>
    <row r="174" spans="1:7" ht="15.75" thickBot="1">
      <c r="A174" s="165" t="s">
        <v>144</v>
      </c>
      <c r="B174" s="173">
        <f>B157+B159+B160+B163+B164+B168</f>
        <v>-33526.031383000001</v>
      </c>
      <c r="C174" s="173">
        <f t="shared" ref="C174:G174" si="42">C157+C159+C160+C163+C164+C168</f>
        <v>-36447.042331999997</v>
      </c>
      <c r="D174" s="173">
        <f t="shared" si="42"/>
        <v>-37924.977240080239</v>
      </c>
      <c r="E174" s="173">
        <f t="shared" si="42"/>
        <v>-40394.09928611583</v>
      </c>
      <c r="F174" s="173">
        <f t="shared" si="42"/>
        <v>-43648.215784860855</v>
      </c>
      <c r="G174" s="173">
        <f t="shared" si="42"/>
        <v>-47048.713260999837</v>
      </c>
    </row>
    <row r="175" spans="1:7" ht="15.75" thickBot="1">
      <c r="A175" s="165" t="s">
        <v>145</v>
      </c>
      <c r="B175" s="173">
        <f>B173+B174</f>
        <v>-4896.031383000005</v>
      </c>
      <c r="C175" s="173">
        <f t="shared" ref="C175:G175" si="43">C173+C174</f>
        <v>-5763.0423319999973</v>
      </c>
      <c r="D175" s="173">
        <f t="shared" si="43"/>
        <v>-4946.9610419712117</v>
      </c>
      <c r="E175" s="173">
        <f t="shared" si="43"/>
        <v>-4787.7744991080399</v>
      </c>
      <c r="F175" s="173">
        <f t="shared" si="43"/>
        <v>-5230.7950651395513</v>
      </c>
      <c r="G175" s="173">
        <f t="shared" si="43"/>
        <v>-5563.1931694102605</v>
      </c>
    </row>
    <row r="176" spans="1:7">
      <c r="A176" s="160" t="s">
        <v>146</v>
      </c>
      <c r="B176" s="176">
        <v>0</v>
      </c>
      <c r="C176" s="176">
        <v>0</v>
      </c>
      <c r="D176" s="176">
        <v>0</v>
      </c>
      <c r="E176" s="176">
        <v>0</v>
      </c>
      <c r="F176" s="176">
        <v>0</v>
      </c>
      <c r="G176" s="176">
        <v>0</v>
      </c>
    </row>
    <row r="177" spans="1:7" ht="15.75" thickBot="1">
      <c r="A177" s="160" t="s">
        <v>147</v>
      </c>
      <c r="B177" s="176">
        <v>0</v>
      </c>
      <c r="C177" s="176">
        <v>0</v>
      </c>
      <c r="D177" s="176">
        <v>0</v>
      </c>
      <c r="E177" s="176">
        <v>0</v>
      </c>
      <c r="F177" s="176">
        <v>0</v>
      </c>
      <c r="G177" s="176">
        <v>0</v>
      </c>
    </row>
    <row r="178" spans="1:7" ht="15.75" thickBot="1">
      <c r="A178" s="165" t="s">
        <v>148</v>
      </c>
      <c r="B178" s="177">
        <f>SUM(B176:B177)</f>
        <v>0</v>
      </c>
      <c r="C178" s="177">
        <f t="shared" ref="C178:G178" si="44">SUM(C176:C177)</f>
        <v>0</v>
      </c>
      <c r="D178" s="177">
        <f t="shared" si="44"/>
        <v>0</v>
      </c>
      <c r="E178" s="177">
        <f t="shared" si="44"/>
        <v>0</v>
      </c>
      <c r="F178" s="177">
        <f t="shared" si="44"/>
        <v>0</v>
      </c>
      <c r="G178" s="177">
        <f t="shared" si="44"/>
        <v>0</v>
      </c>
    </row>
    <row r="179" spans="1:7" ht="15.75" thickBot="1">
      <c r="A179" s="178" t="s">
        <v>149</v>
      </c>
      <c r="B179" s="179">
        <f>B175+B178</f>
        <v>-4896.031383000005</v>
      </c>
      <c r="C179" s="179">
        <f t="shared" ref="C179:G179" si="45">C175+C178</f>
        <v>-5763.0423319999973</v>
      </c>
      <c r="D179" s="179">
        <f t="shared" si="45"/>
        <v>-4946.9610419712117</v>
      </c>
      <c r="E179" s="179">
        <f t="shared" si="45"/>
        <v>-4787.7744991080399</v>
      </c>
      <c r="F179" s="179">
        <f t="shared" si="45"/>
        <v>-5230.7950651395513</v>
      </c>
      <c r="G179" s="179">
        <f t="shared" si="45"/>
        <v>-5563.1931694102605</v>
      </c>
    </row>
    <row r="180" spans="1:7">
      <c r="A180" s="71"/>
      <c r="B180" s="71"/>
      <c r="C180" s="71"/>
      <c r="D180" s="71"/>
      <c r="E180" s="71"/>
      <c r="F180" s="71"/>
      <c r="G180" s="71"/>
    </row>
    <row r="181" spans="1:7">
      <c r="G181">
        <f>+(G179-B179)/B179*100</f>
        <v>13.626583128669761</v>
      </c>
    </row>
  </sheetData>
  <mergeCells count="41">
    <mergeCell ref="C75:C77"/>
    <mergeCell ref="D75:D77"/>
    <mergeCell ref="E75:E77"/>
    <mergeCell ref="F75:F77"/>
    <mergeCell ref="G75:G77"/>
    <mergeCell ref="C62:C64"/>
    <mergeCell ref="D62:D64"/>
    <mergeCell ref="E62:E64"/>
    <mergeCell ref="F62:F64"/>
    <mergeCell ref="G62:G64"/>
    <mergeCell ref="C50:C52"/>
    <mergeCell ref="D50:D52"/>
    <mergeCell ref="E50:E52"/>
    <mergeCell ref="F50:F52"/>
    <mergeCell ref="G50:G52"/>
    <mergeCell ref="C12:C14"/>
    <mergeCell ref="D12:D14"/>
    <mergeCell ref="E12:E14"/>
    <mergeCell ref="F12:F14"/>
    <mergeCell ref="G12:G14"/>
    <mergeCell ref="A137:C137"/>
    <mergeCell ref="A139:A140"/>
    <mergeCell ref="B139:G139"/>
    <mergeCell ref="C24:C26"/>
    <mergeCell ref="D24:D26"/>
    <mergeCell ref="E24:E26"/>
    <mergeCell ref="F24:F26"/>
    <mergeCell ref="A91:C91"/>
    <mergeCell ref="A93:A94"/>
    <mergeCell ref="B93:G93"/>
    <mergeCell ref="G24:G26"/>
    <mergeCell ref="C37:C39"/>
    <mergeCell ref="D37:D39"/>
    <mergeCell ref="E37:E39"/>
    <mergeCell ref="F37:F39"/>
    <mergeCell ref="G37:G39"/>
    <mergeCell ref="C2:C4"/>
    <mergeCell ref="D2:D4"/>
    <mergeCell ref="E2:E4"/>
    <mergeCell ref="F2:F4"/>
    <mergeCell ref="G2:G4"/>
  </mergeCells>
  <pageMargins left="0.7" right="0.7" top="0.75" bottom="0.75" header="0.3" footer="0.3"/>
  <pageSetup paperSize="9" scale="6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VENTE ELEC</vt:lpstr>
      <vt:lpstr>VENTE GAZ</vt:lpstr>
      <vt:lpstr>achat Elec</vt:lpstr>
      <vt:lpstr>achat Gaz</vt:lpstr>
      <vt:lpstr>Services</vt:lpstr>
      <vt:lpstr>Frais Personnel</vt:lpstr>
      <vt:lpstr>Autres</vt:lpstr>
      <vt:lpstr>Feuil2</vt:lpstr>
      <vt:lpstr>Feuil1</vt:lpstr>
      <vt:lpstr>'VENTE ELEC'!Zone_d_impression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nabila</dc:creator>
  <cp:lastModifiedBy>bellounes</cp:lastModifiedBy>
  <cp:lastPrinted>2012-12-26T15:11:33Z</cp:lastPrinted>
  <dcterms:created xsi:type="dcterms:W3CDTF">2012-11-19T19:35:40Z</dcterms:created>
  <dcterms:modified xsi:type="dcterms:W3CDTF">2012-12-31T08:14:34Z</dcterms:modified>
</cp:coreProperties>
</file>