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8025" activeTab="1"/>
  </bookViews>
  <sheets>
    <sheet name="Eligible+non Eligible ELEC" sheetId="1" r:id="rId1"/>
    <sheet name="Eligible+non Eligible GAZ" sheetId="4" r:id="rId2"/>
  </sheets>
  <calcPr calcId="124519"/>
</workbook>
</file>

<file path=xl/calcChain.xml><?xml version="1.0" encoding="utf-8"?>
<calcChain xmlns="http://schemas.openxmlformats.org/spreadsheetml/2006/main">
  <c r="F47" i="1"/>
  <c r="G47"/>
  <c r="H47"/>
  <c r="I47"/>
  <c r="J47"/>
  <c r="F46"/>
  <c r="G46"/>
  <c r="H46"/>
  <c r="I46"/>
  <c r="J46"/>
  <c r="E46"/>
  <c r="F45"/>
  <c r="G45"/>
  <c r="H45"/>
  <c r="I45"/>
  <c r="J45"/>
  <c r="E45"/>
  <c r="F44"/>
  <c r="G44"/>
  <c r="H44"/>
  <c r="I44"/>
  <c r="J44"/>
  <c r="E44"/>
  <c r="F43"/>
  <c r="G43"/>
  <c r="H43"/>
  <c r="I43"/>
  <c r="J43"/>
  <c r="E43"/>
  <c r="F42"/>
  <c r="G42"/>
  <c r="H42"/>
  <c r="I42"/>
  <c r="J42"/>
  <c r="E42"/>
  <c r="F41"/>
  <c r="G41"/>
  <c r="H41"/>
  <c r="I41"/>
  <c r="J41"/>
  <c r="F40"/>
  <c r="G40"/>
  <c r="H40"/>
  <c r="I40"/>
  <c r="J40"/>
  <c r="E40"/>
  <c r="E37"/>
  <c r="E41"/>
  <c r="E39"/>
  <c r="G39"/>
  <c r="H39"/>
  <c r="I39"/>
  <c r="J39"/>
  <c r="J38"/>
  <c r="F38"/>
  <c r="G38"/>
  <c r="H38"/>
  <c r="I38"/>
  <c r="E38"/>
  <c r="F39"/>
  <c r="F36"/>
  <c r="G36"/>
  <c r="H36"/>
  <c r="I36"/>
  <c r="J36"/>
  <c r="E36"/>
  <c r="C36"/>
  <c r="B36"/>
  <c r="F50" i="4"/>
  <c r="F49"/>
  <c r="E50"/>
  <c r="E40"/>
  <c r="G49"/>
  <c r="H49"/>
  <c r="I49"/>
  <c r="J49"/>
  <c r="F48"/>
  <c r="G48"/>
  <c r="H48"/>
  <c r="I48"/>
  <c r="J48"/>
  <c r="F47"/>
  <c r="G47"/>
  <c r="H47"/>
  <c r="I47"/>
  <c r="J47"/>
  <c r="E49"/>
  <c r="E48"/>
  <c r="E47"/>
  <c r="F46"/>
  <c r="G46"/>
  <c r="H46"/>
  <c r="I46"/>
  <c r="J46"/>
  <c r="F45"/>
  <c r="G45"/>
  <c r="H45"/>
  <c r="I45"/>
  <c r="J45"/>
  <c r="F44"/>
  <c r="G44"/>
  <c r="H44"/>
  <c r="I44"/>
  <c r="J44"/>
  <c r="G42"/>
  <c r="H42"/>
  <c r="I42"/>
  <c r="J42"/>
  <c r="G40"/>
  <c r="H40"/>
  <c r="I40"/>
  <c r="J40"/>
  <c r="G41"/>
  <c r="H41"/>
  <c r="I41"/>
  <c r="J41"/>
  <c r="E42"/>
  <c r="F42"/>
  <c r="F40"/>
  <c r="F41"/>
  <c r="E46"/>
  <c r="E43"/>
  <c r="E45"/>
  <c r="E44"/>
  <c r="E41"/>
  <c r="F36"/>
  <c r="G36"/>
  <c r="H36"/>
  <c r="I36"/>
  <c r="J36"/>
  <c r="E36"/>
  <c r="D47" i="1"/>
  <c r="D46"/>
  <c r="D45"/>
  <c r="D44"/>
  <c r="D43"/>
  <c r="D42"/>
  <c r="D41"/>
  <c r="D40"/>
  <c r="D39"/>
  <c r="D38"/>
  <c r="D49" i="4"/>
  <c r="D48"/>
  <c r="D47"/>
  <c r="D46"/>
  <c r="D45"/>
  <c r="D44"/>
  <c r="D43"/>
  <c r="D42"/>
  <c r="J43"/>
  <c r="I43"/>
  <c r="H43"/>
  <c r="G43"/>
  <c r="F43"/>
  <c r="D41"/>
  <c r="D40"/>
  <c r="C36"/>
  <c r="B36"/>
  <c r="E48" i="1" l="1"/>
  <c r="E47"/>
  <c r="G48"/>
  <c r="I48"/>
  <c r="G50" i="4"/>
  <c r="I50"/>
  <c r="H50"/>
  <c r="J50"/>
  <c r="J48" i="1" l="1"/>
  <c r="H48"/>
  <c r="F48"/>
  <c r="H23" l="1"/>
  <c r="J26" l="1"/>
  <c r="I26"/>
  <c r="H23" i="4"/>
  <c r="I23" s="1"/>
  <c r="H20"/>
  <c r="I20" s="1"/>
  <c r="G11"/>
  <c r="H7"/>
  <c r="I7" s="1"/>
  <c r="H8"/>
  <c r="I8" s="1"/>
  <c r="I26"/>
  <c r="I14"/>
  <c r="I23" i="1"/>
  <c r="J23" s="1"/>
  <c r="J23" i="4" l="1"/>
  <c r="J20"/>
  <c r="J8"/>
  <c r="I10"/>
  <c r="I22"/>
  <c r="I25"/>
  <c r="J10" i="1" l="1"/>
  <c r="J13"/>
  <c r="J14"/>
  <c r="J17"/>
  <c r="J25"/>
  <c r="J15" l="1"/>
  <c r="J16" s="1"/>
  <c r="D7" i="4" l="1"/>
  <c r="H11" l="1"/>
  <c r="G17" i="1"/>
  <c r="D8"/>
  <c r="D9"/>
  <c r="D11"/>
  <c r="D12"/>
  <c r="D19"/>
  <c r="D20"/>
  <c r="D21"/>
  <c r="D23"/>
  <c r="D24"/>
  <c r="D7"/>
  <c r="B10"/>
  <c r="I8"/>
  <c r="I17" s="1"/>
  <c r="H8"/>
  <c r="J26" i="4"/>
  <c r="H26"/>
  <c r="G26"/>
  <c r="F26"/>
  <c r="E26"/>
  <c r="C26"/>
  <c r="B26"/>
  <c r="F25"/>
  <c r="E25"/>
  <c r="C25"/>
  <c r="B25"/>
  <c r="D24"/>
  <c r="D23"/>
  <c r="F22"/>
  <c r="E22"/>
  <c r="C22"/>
  <c r="B22"/>
  <c r="B27" s="1"/>
  <c r="G22"/>
  <c r="D20"/>
  <c r="D19"/>
  <c r="J14"/>
  <c r="H14"/>
  <c r="G14"/>
  <c r="F14"/>
  <c r="E14"/>
  <c r="C14"/>
  <c r="B14"/>
  <c r="G13"/>
  <c r="F13"/>
  <c r="E13"/>
  <c r="C13"/>
  <c r="B13"/>
  <c r="D12"/>
  <c r="D11"/>
  <c r="G10"/>
  <c r="F10"/>
  <c r="E10"/>
  <c r="C10"/>
  <c r="B10"/>
  <c r="D8"/>
  <c r="I11" l="1"/>
  <c r="D13"/>
  <c r="D10"/>
  <c r="E27"/>
  <c r="G17"/>
  <c r="H10"/>
  <c r="H13"/>
  <c r="H19"/>
  <c r="I19" s="1"/>
  <c r="G29"/>
  <c r="G29" i="1"/>
  <c r="H20"/>
  <c r="H17"/>
  <c r="H19"/>
  <c r="C15" i="4"/>
  <c r="G15"/>
  <c r="F15"/>
  <c r="E15"/>
  <c r="D26"/>
  <c r="D25"/>
  <c r="C27"/>
  <c r="D27" s="1"/>
  <c r="B15"/>
  <c r="B28"/>
  <c r="E28"/>
  <c r="D22"/>
  <c r="G25"/>
  <c r="D14"/>
  <c r="F27"/>
  <c r="J19" l="1"/>
  <c r="I27"/>
  <c r="I28" s="1"/>
  <c r="I29"/>
  <c r="I19" i="1"/>
  <c r="J19" s="1"/>
  <c r="J11" i="4"/>
  <c r="I13"/>
  <c r="I15" s="1"/>
  <c r="I16" s="1"/>
  <c r="I17"/>
  <c r="D15"/>
  <c r="I20" i="1"/>
  <c r="G27" i="4"/>
  <c r="E16"/>
  <c r="C16"/>
  <c r="J13"/>
  <c r="F16"/>
  <c r="G16"/>
  <c r="J10"/>
  <c r="H15"/>
  <c r="H29"/>
  <c r="H17"/>
  <c r="H29" i="1"/>
  <c r="B16" i="4"/>
  <c r="C28"/>
  <c r="H25"/>
  <c r="F28"/>
  <c r="G28"/>
  <c r="H22"/>
  <c r="G10" i="1"/>
  <c r="H14"/>
  <c r="I14"/>
  <c r="H13"/>
  <c r="I13"/>
  <c r="H10"/>
  <c r="I10"/>
  <c r="G26"/>
  <c r="H26"/>
  <c r="F22"/>
  <c r="E22"/>
  <c r="B22"/>
  <c r="C22"/>
  <c r="F25"/>
  <c r="G14"/>
  <c r="G13"/>
  <c r="F26"/>
  <c r="F14"/>
  <c r="F13"/>
  <c r="F10"/>
  <c r="E25"/>
  <c r="E26"/>
  <c r="E14"/>
  <c r="E13"/>
  <c r="E10"/>
  <c r="C26"/>
  <c r="B26"/>
  <c r="C14"/>
  <c r="C13"/>
  <c r="C10"/>
  <c r="B14"/>
  <c r="B13"/>
  <c r="C25"/>
  <c r="B25"/>
  <c r="J20" l="1"/>
  <c r="J29" s="1"/>
  <c r="E27"/>
  <c r="H15"/>
  <c r="I15"/>
  <c r="D28" i="4"/>
  <c r="D16"/>
  <c r="H16"/>
  <c r="J29"/>
  <c r="J17"/>
  <c r="J15"/>
  <c r="D25" i="1"/>
  <c r="D14"/>
  <c r="D26"/>
  <c r="F27"/>
  <c r="F15"/>
  <c r="C15"/>
  <c r="D10"/>
  <c r="D13"/>
  <c r="G15"/>
  <c r="G16" s="1"/>
  <c r="D22"/>
  <c r="I29"/>
  <c r="B27"/>
  <c r="J25" i="4"/>
  <c r="J22"/>
  <c r="H27"/>
  <c r="E15" i="1"/>
  <c r="I16"/>
  <c r="C27"/>
  <c r="G25"/>
  <c r="H16"/>
  <c r="B15"/>
  <c r="F28"/>
  <c r="G22"/>
  <c r="E28"/>
  <c r="J22" l="1"/>
  <c r="J27" s="1"/>
  <c r="J28" s="1"/>
  <c r="B16"/>
  <c r="E16"/>
  <c r="B28"/>
  <c r="F16"/>
  <c r="J27" i="4"/>
  <c r="J16"/>
  <c r="G27" i="1"/>
  <c r="D27"/>
  <c r="C16"/>
  <c r="D15"/>
  <c r="J28" i="4"/>
  <c r="H28"/>
  <c r="H22" i="1"/>
  <c r="H25"/>
  <c r="C28"/>
  <c r="D28" l="1"/>
  <c r="D16"/>
  <c r="G28"/>
  <c r="H27"/>
  <c r="I25"/>
  <c r="I22"/>
  <c r="H28" l="1"/>
  <c r="I27"/>
  <c r="I28" l="1"/>
</calcChain>
</file>

<file path=xl/comments1.xml><?xml version="1.0" encoding="utf-8"?>
<comments xmlns="http://schemas.openxmlformats.org/spreadsheetml/2006/main">
  <authors>
    <author>bellounes</author>
  </authors>
  <commentList>
    <comment ref="B43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 CA Eligible HT dcm eronné (835)
prix de vte DCM Eronné (2,24) </t>
        </r>
      </text>
    </comment>
  </commentList>
</comments>
</file>

<file path=xl/comments2.xml><?xml version="1.0" encoding="utf-8"?>
<comments xmlns="http://schemas.openxmlformats.org/spreadsheetml/2006/main">
  <authors>
    <author>bellounes</author>
  </authors>
  <commentList>
    <comment ref="F45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1325
Prix vte DCM ER 2,35</t>
        </r>
      </text>
    </comment>
  </commentList>
</comments>
</file>

<file path=xl/sharedStrings.xml><?xml version="1.0" encoding="utf-8"?>
<sst xmlns="http://schemas.openxmlformats.org/spreadsheetml/2006/main" count="118" uniqueCount="65">
  <si>
    <t>TE%</t>
  </si>
  <si>
    <t>Total clients</t>
  </si>
  <si>
    <t>Prix vte BT</t>
  </si>
  <si>
    <t>Prix vte MT</t>
  </si>
  <si>
    <t>LIBELE</t>
  </si>
  <si>
    <t>Prix vte BP</t>
  </si>
  <si>
    <t>Prix vte MP</t>
  </si>
  <si>
    <t xml:space="preserve">Budget 2012 </t>
  </si>
  <si>
    <t xml:space="preserve">Bilan 2011 </t>
  </si>
  <si>
    <t xml:space="preserve">Bilan 2010 </t>
  </si>
  <si>
    <t>ok</t>
  </si>
  <si>
    <t>Vtes Elec MT Eligible</t>
  </si>
  <si>
    <t>Prix vte HT</t>
  </si>
  <si>
    <t>Nbre clients MT Eligible</t>
  </si>
  <si>
    <t>Nbre clients HT Eligible</t>
  </si>
  <si>
    <t xml:space="preserve">  Nbre client MT Non Eligible</t>
  </si>
  <si>
    <t xml:space="preserve">  Nbre client HT Non Eligible</t>
  </si>
  <si>
    <t>Nbre clients MT Dont :</t>
  </si>
  <si>
    <t>Nbre clients HT Dont :</t>
  </si>
  <si>
    <t>Total clients  Eligible</t>
  </si>
  <si>
    <t>Total clients  Non Eligible</t>
  </si>
  <si>
    <t>Nbre clients BT (Non Eligible)</t>
  </si>
  <si>
    <t>Vtes Elec BT (Non Eligible)</t>
  </si>
  <si>
    <t>Vtes Elec MT  Dont :</t>
  </si>
  <si>
    <t>Vtes Elec MT Non Eligible</t>
  </si>
  <si>
    <t>Vtes Elec HT  Dont :</t>
  </si>
  <si>
    <t>Vtes Elec HT Eligible</t>
  </si>
  <si>
    <t>Vtes Elec HT Non Eligible</t>
  </si>
  <si>
    <t>VENTES ELEC</t>
  </si>
  <si>
    <t>NOMBRE CLIENTS ELEC</t>
  </si>
  <si>
    <t>Vtes Elec  Eligible</t>
  </si>
  <si>
    <t>Vtes Elec  Non Eligible</t>
  </si>
  <si>
    <t>Total ventes</t>
  </si>
  <si>
    <t>PARAMETRES AVANT TRANSFERT SDA</t>
  </si>
  <si>
    <t>Nbre clients BP (Non Eligible)</t>
  </si>
  <si>
    <t>Source: Plan de développement 2012-2022</t>
  </si>
  <si>
    <t>contrôle calcul</t>
  </si>
  <si>
    <t>Source: Plan de développement 201é-2022</t>
  </si>
  <si>
    <t xml:space="preserve">  Nbre client MP Non Eligible</t>
  </si>
  <si>
    <t xml:space="preserve">  Nbre client HP Non Eligible</t>
  </si>
  <si>
    <t>Prix vte HP</t>
  </si>
  <si>
    <t>Nbre clients MP Dont :</t>
  </si>
  <si>
    <t>Nbre clients MP Eligible</t>
  </si>
  <si>
    <t>Nbre clients HP Dont :</t>
  </si>
  <si>
    <t>Nbre clients HP Eligible</t>
  </si>
  <si>
    <t>Vtes Elec BP (Non Eligible)</t>
  </si>
  <si>
    <t>Vtes Elec MP  Dont :</t>
  </si>
  <si>
    <t>Vtes Elec MP Eligible</t>
  </si>
  <si>
    <t>Vtes Elec MP Non Eligible</t>
  </si>
  <si>
    <t>Vtes Elec HP  Dont :</t>
  </si>
  <si>
    <t>Vtes Elec HP Eligible</t>
  </si>
  <si>
    <t>Vtes Elec HP Non Eligible</t>
  </si>
  <si>
    <t xml:space="preserve">rajoût delta chaque année (2014 à 2017) idem plan stratégique </t>
  </si>
  <si>
    <t xml:space="preserve">Plan stratégique + variation 2013 </t>
  </si>
  <si>
    <t>Calcul prix vte moyen</t>
  </si>
  <si>
    <t>Chiffres d'affaires Elec BT (Non Eligible)</t>
  </si>
  <si>
    <t>Chiffres d'affaires  Elec MT  Dont :</t>
  </si>
  <si>
    <t>CA Elec MT Eligible</t>
  </si>
  <si>
    <t>CA Elec c MT Non Eligible</t>
  </si>
  <si>
    <t>Chiffres d'affaires  Elec  HT  Dont :</t>
  </si>
  <si>
    <t>CA Elec HT Eligible</t>
  </si>
  <si>
    <t>CA Elec  HT Non Eligible</t>
  </si>
  <si>
    <t>CA Elec  Eligible</t>
  </si>
  <si>
    <t>CA Elec  Non Eligible</t>
  </si>
  <si>
    <t>Total CA</t>
  </si>
</sst>
</file>

<file path=xl/styles.xml><?xml version="1.0" encoding="utf-8"?>
<styleSheet xmlns="http://schemas.openxmlformats.org/spreadsheetml/2006/main">
  <numFmts count="9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6" formatCode="0.000"/>
    <numFmt numFmtId="167" formatCode="0.0"/>
    <numFmt numFmtId="168" formatCode="#,##0.0"/>
    <numFmt numFmtId="169" formatCode="_-* #,##0.000\ _€_-;\-* #,##0.000\ _€_-;_-* &quot;-&quot;??\ _€_-;_-@_-"/>
    <numFmt numFmtId="170" formatCode="_-* #,##0.000\ _€_-;\-* #,##0.000\ _€_-;_-* &quot;-&quot;???\ _€_-;_-@_-"/>
    <numFmt numFmtId="171" formatCode="#,##0.000"/>
  </numFmts>
  <fonts count="30">
    <font>
      <sz val="12"/>
      <color theme="1"/>
      <name val="Candara"/>
      <family val="2"/>
    </font>
    <font>
      <sz val="12"/>
      <color theme="1"/>
      <name val="Candar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sz val="14"/>
      <color theme="0"/>
      <name val="Candara"/>
      <family val="2"/>
    </font>
    <font>
      <b/>
      <sz val="16"/>
      <color theme="1"/>
      <name val="Candara"/>
      <family val="2"/>
    </font>
    <font>
      <b/>
      <sz val="10"/>
      <color rgb="FFFFFF00"/>
      <name val="Candara"/>
      <family val="2"/>
    </font>
    <font>
      <b/>
      <sz val="10"/>
      <color rgb="FFFF0000"/>
      <name val="Candara"/>
      <family val="2"/>
    </font>
    <font>
      <b/>
      <sz val="10"/>
      <color theme="1"/>
      <name val="Candara"/>
      <family val="2"/>
    </font>
    <font>
      <sz val="12"/>
      <color rgb="FFFF0000"/>
      <name val="Candara"/>
      <family val="2"/>
    </font>
    <font>
      <b/>
      <sz val="12"/>
      <color theme="1"/>
      <name val="Candara"/>
      <family val="2"/>
    </font>
    <font>
      <sz val="12"/>
      <name val="Candara"/>
      <family val="2"/>
    </font>
    <font>
      <b/>
      <sz val="12"/>
      <color rgb="FFFF0000"/>
      <name val="Candara"/>
      <family val="2"/>
    </font>
    <font>
      <sz val="12"/>
      <color rgb="FF00B0F0"/>
      <name val="Candara"/>
      <family val="2"/>
    </font>
    <font>
      <b/>
      <sz val="12"/>
      <color rgb="FF00B0F0"/>
      <name val="Candara"/>
      <family val="2"/>
    </font>
    <font>
      <b/>
      <sz val="12"/>
      <name val="Candara"/>
      <family val="2"/>
    </font>
    <font>
      <sz val="12"/>
      <color theme="0"/>
      <name val="Candara"/>
      <family val="2"/>
    </font>
    <font>
      <b/>
      <sz val="12"/>
      <color theme="5" tint="-0.249977111117893"/>
      <name val="Candara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2"/>
      <color theme="9" tint="-0.249977111117893"/>
      <name val="Candar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3" tint="0.39997558519241921"/>
      <name val="Candara"/>
      <family val="2"/>
    </font>
    <font>
      <sz val="12"/>
      <color theme="3" tint="-0.249977111117893"/>
      <name val="Candara"/>
      <family val="2"/>
    </font>
    <font>
      <b/>
      <sz val="12"/>
      <color theme="3" tint="-0.249977111117893"/>
      <name val="Candara"/>
      <family val="2"/>
    </font>
    <font>
      <b/>
      <sz val="12"/>
      <color theme="0"/>
      <name val="Candara"/>
      <family val="2"/>
    </font>
    <font>
      <b/>
      <sz val="14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6" fillId="3" borderId="0" xfId="0" applyFont="1" applyFill="1" applyBorder="1"/>
    <xf numFmtId="3" fontId="5" fillId="0" borderId="0" xfId="0" applyNumberFormat="1" applyFont="1"/>
    <xf numFmtId="0" fontId="7" fillId="5" borderId="0" xfId="0" applyFont="1" applyFill="1"/>
    <xf numFmtId="0" fontId="5" fillId="5" borderId="0" xfId="0" applyFont="1" applyFill="1"/>
    <xf numFmtId="0" fontId="7" fillId="3" borderId="0" xfId="0" applyFont="1" applyFill="1"/>
    <xf numFmtId="0" fontId="5" fillId="3" borderId="0" xfId="0" applyFont="1" applyFill="1"/>
    <xf numFmtId="0" fontId="4" fillId="5" borderId="0" xfId="0" applyFont="1" applyFill="1"/>
    <xf numFmtId="0" fontId="4" fillId="3" borderId="0" xfId="0" applyFont="1" applyFill="1"/>
    <xf numFmtId="3" fontId="4" fillId="3" borderId="0" xfId="0" applyNumberFormat="1" applyFont="1" applyFill="1"/>
    <xf numFmtId="0" fontId="4" fillId="0" borderId="0" xfId="0" applyFont="1" applyBorder="1"/>
    <xf numFmtId="170" fontId="10" fillId="0" borderId="0" xfId="0" applyNumberFormat="1" applyFont="1"/>
    <xf numFmtId="165" fontId="8" fillId="3" borderId="0" xfId="1" applyNumberFormat="1" applyFont="1" applyFill="1" applyBorder="1"/>
    <xf numFmtId="3" fontId="9" fillId="3" borderId="0" xfId="0" applyNumberFormat="1" applyFont="1" applyFill="1" applyBorder="1"/>
    <xf numFmtId="165" fontId="9" fillId="3" borderId="0" xfId="1" applyNumberFormat="1" applyFont="1" applyFill="1" applyBorder="1"/>
    <xf numFmtId="0" fontId="0" fillId="0" borderId="0" xfId="0" applyFont="1"/>
    <xf numFmtId="0" fontId="11" fillId="0" borderId="5" xfId="0" applyFont="1" applyBorder="1"/>
    <xf numFmtId="0" fontId="0" fillId="3" borderId="0" xfId="0" applyFont="1" applyFill="1" applyBorder="1"/>
    <xf numFmtId="0" fontId="12" fillId="2" borderId="0" xfId="0" applyFont="1" applyFill="1"/>
    <xf numFmtId="0" fontId="12" fillId="2" borderId="6" xfId="0" applyFont="1" applyFill="1" applyBorder="1"/>
    <xf numFmtId="0" fontId="12" fillId="3" borderId="0" xfId="0" applyFont="1" applyFill="1" applyBorder="1" applyAlignment="1">
      <alignment horizontal="right"/>
    </xf>
    <xf numFmtId="0" fontId="12" fillId="2" borderId="4" xfId="0" applyFont="1" applyFill="1" applyBorder="1"/>
    <xf numFmtId="0" fontId="12" fillId="3" borderId="12" xfId="0" applyFont="1" applyFill="1" applyBorder="1" applyAlignment="1">
      <alignment horizontal="center"/>
    </xf>
    <xf numFmtId="167" fontId="0" fillId="3" borderId="1" xfId="0" applyNumberFormat="1" applyFont="1" applyFill="1" applyBorder="1"/>
    <xf numFmtId="3" fontId="13" fillId="3" borderId="1" xfId="0" applyNumberFormat="1" applyFont="1" applyFill="1" applyBorder="1"/>
    <xf numFmtId="0" fontId="0" fillId="0" borderId="0" xfId="0" applyFont="1" applyFill="1"/>
    <xf numFmtId="167" fontId="13" fillId="3" borderId="1" xfId="0" applyNumberFormat="1" applyFont="1" applyFill="1" applyBorder="1"/>
    <xf numFmtId="0" fontId="0" fillId="3" borderId="8" xfId="0" applyFont="1" applyFill="1" applyBorder="1"/>
    <xf numFmtId="3" fontId="11" fillId="3" borderId="9" xfId="0" applyNumberFormat="1" applyFont="1" applyFill="1" applyBorder="1" applyAlignment="1">
      <alignment horizontal="center"/>
    </xf>
    <xf numFmtId="3" fontId="14" fillId="3" borderId="9" xfId="0" applyNumberFormat="1" applyFont="1" applyFill="1" applyBorder="1" applyAlignment="1">
      <alignment horizontal="center"/>
    </xf>
    <xf numFmtId="167" fontId="14" fillId="3" borderId="9" xfId="0" applyNumberFormat="1" applyFont="1" applyFill="1" applyBorder="1"/>
    <xf numFmtId="165" fontId="15" fillId="3" borderId="9" xfId="1" applyNumberFormat="1" applyFont="1" applyFill="1" applyBorder="1"/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" xfId="0" applyFont="1" applyFill="1" applyBorder="1"/>
    <xf numFmtId="0" fontId="12" fillId="0" borderId="0" xfId="0" applyFont="1"/>
    <xf numFmtId="166" fontId="0" fillId="3" borderId="1" xfId="0" applyNumberFormat="1" applyFont="1" applyFill="1" applyBorder="1"/>
    <xf numFmtId="0" fontId="17" fillId="3" borderId="0" xfId="0" applyFont="1" applyFill="1" applyBorder="1"/>
    <xf numFmtId="0" fontId="18" fillId="3" borderId="0" xfId="0" applyFont="1" applyFill="1" applyBorder="1"/>
    <xf numFmtId="3" fontId="12" fillId="0" borderId="0" xfId="0" applyNumberFormat="1" applyFont="1"/>
    <xf numFmtId="0" fontId="12" fillId="0" borderId="0" xfId="0" applyFont="1" applyBorder="1"/>
    <xf numFmtId="164" fontId="12" fillId="3" borderId="1" xfId="1" applyNumberFormat="1" applyFont="1" applyFill="1" applyBorder="1"/>
    <xf numFmtId="164" fontId="17" fillId="3" borderId="1" xfId="1" applyNumberFormat="1" applyFont="1" applyFill="1" applyBorder="1"/>
    <xf numFmtId="0" fontId="12" fillId="0" borderId="0" xfId="0" applyFont="1" applyFill="1"/>
    <xf numFmtId="0" fontId="12" fillId="3" borderId="8" xfId="0" applyFont="1" applyFill="1" applyBorder="1"/>
    <xf numFmtId="165" fontId="16" fillId="3" borderId="9" xfId="1" applyNumberFormat="1" applyFont="1" applyFill="1" applyBorder="1"/>
    <xf numFmtId="0" fontId="14" fillId="0" borderId="0" xfId="0" applyFont="1"/>
    <xf numFmtId="167" fontId="17" fillId="3" borderId="1" xfId="0" applyNumberFormat="1" applyFont="1" applyFill="1" applyBorder="1"/>
    <xf numFmtId="3" fontId="13" fillId="3" borderId="0" xfId="0" applyNumberFormat="1" applyFont="1" applyFill="1" applyBorder="1"/>
    <xf numFmtId="171" fontId="13" fillId="3" borderId="0" xfId="0" applyNumberFormat="1" applyFont="1" applyFill="1" applyBorder="1"/>
    <xf numFmtId="167" fontId="5" fillId="0" borderId="0" xfId="0" applyNumberFormat="1" applyFont="1"/>
    <xf numFmtId="0" fontId="12" fillId="3" borderId="12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169" fontId="12" fillId="3" borderId="9" xfId="0" applyNumberFormat="1" applyFont="1" applyFill="1" applyBorder="1" applyAlignment="1">
      <alignment horizontal="center"/>
    </xf>
    <xf numFmtId="0" fontId="11" fillId="0" borderId="2" xfId="0" applyFont="1" applyBorder="1"/>
    <xf numFmtId="0" fontId="12" fillId="4" borderId="14" xfId="0" applyFont="1" applyFill="1" applyBorder="1"/>
    <xf numFmtId="0" fontId="12" fillId="4" borderId="15" xfId="0" applyFont="1" applyFill="1" applyBorder="1"/>
    <xf numFmtId="0" fontId="11" fillId="0" borderId="8" xfId="0" applyFont="1" applyBorder="1" applyAlignment="1"/>
    <xf numFmtId="0" fontId="11" fillId="0" borderId="9" xfId="0" applyFont="1" applyBorder="1" applyAlignment="1"/>
    <xf numFmtId="0" fontId="0" fillId="0" borderId="10" xfId="0" applyFont="1" applyBorder="1"/>
    <xf numFmtId="0" fontId="12" fillId="3" borderId="12" xfId="0" applyFont="1" applyFill="1" applyBorder="1" applyAlignment="1"/>
    <xf numFmtId="0" fontId="12" fillId="3" borderId="8" xfId="0" applyFont="1" applyFill="1" applyBorder="1" applyAlignment="1"/>
    <xf numFmtId="0" fontId="12" fillId="3" borderId="9" xfId="0" applyFont="1" applyFill="1" applyBorder="1" applyAlignment="1"/>
    <xf numFmtId="0" fontId="12" fillId="3" borderId="10" xfId="0" applyFont="1" applyFill="1" applyBorder="1" applyAlignment="1"/>
    <xf numFmtId="3" fontId="20" fillId="0" borderId="0" xfId="0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3" fontId="21" fillId="0" borderId="0" xfId="0" applyNumberFormat="1" applyFont="1" applyBorder="1" applyAlignment="1">
      <alignment horizontal="center" wrapText="1"/>
    </xf>
    <xf numFmtId="165" fontId="11" fillId="3" borderId="1" xfId="1" applyNumberFormat="1" applyFont="1" applyFill="1" applyBorder="1"/>
    <xf numFmtId="165" fontId="13" fillId="3" borderId="1" xfId="1" applyNumberFormat="1" applyFont="1" applyFill="1" applyBorder="1"/>
    <xf numFmtId="165" fontId="19" fillId="3" borderId="1" xfId="1" applyNumberFormat="1" applyFont="1" applyFill="1" applyBorder="1"/>
    <xf numFmtId="166" fontId="0" fillId="3" borderId="11" xfId="0" applyNumberFormat="1" applyFont="1" applyFill="1" applyBorder="1"/>
    <xf numFmtId="0" fontId="11" fillId="3" borderId="0" xfId="0" applyFont="1" applyFill="1" applyBorder="1"/>
    <xf numFmtId="0" fontId="12" fillId="3" borderId="0" xfId="0" applyFont="1" applyFill="1" applyBorder="1"/>
    <xf numFmtId="3" fontId="11" fillId="3" borderId="1" xfId="0" applyNumberFormat="1" applyFont="1" applyFill="1" applyBorder="1"/>
    <xf numFmtId="169" fontId="11" fillId="3" borderId="0" xfId="0" applyNumberFormat="1" applyFont="1" applyFill="1" applyBorder="1"/>
    <xf numFmtId="3" fontId="12" fillId="3" borderId="1" xfId="0" applyNumberFormat="1" applyFont="1" applyFill="1" applyBorder="1"/>
    <xf numFmtId="165" fontId="12" fillId="3" borderId="1" xfId="1" applyNumberFormat="1" applyFont="1" applyFill="1" applyBorder="1"/>
    <xf numFmtId="3" fontId="14" fillId="3" borderId="1" xfId="0" applyNumberFormat="1" applyFont="1" applyFill="1" applyBorder="1"/>
    <xf numFmtId="165" fontId="14" fillId="3" borderId="1" xfId="1" applyNumberFormat="1" applyFont="1" applyFill="1" applyBorder="1"/>
    <xf numFmtId="3" fontId="22" fillId="3" borderId="1" xfId="0" applyNumberFormat="1" applyFont="1" applyFill="1" applyBorder="1"/>
    <xf numFmtId="165" fontId="22" fillId="3" borderId="1" xfId="1" applyNumberFormat="1" applyFont="1" applyFill="1" applyBorder="1"/>
    <xf numFmtId="0" fontId="12" fillId="3" borderId="0" xfId="0" applyFont="1" applyFill="1"/>
    <xf numFmtId="3" fontId="17" fillId="3" borderId="1" xfId="0" applyNumberFormat="1" applyFont="1" applyFill="1" applyBorder="1"/>
    <xf numFmtId="166" fontId="12" fillId="3" borderId="1" xfId="0" applyNumberFormat="1" applyFont="1" applyFill="1" applyBorder="1"/>
    <xf numFmtId="169" fontId="14" fillId="3" borderId="1" xfId="0" applyNumberFormat="1" applyFont="1" applyFill="1" applyBorder="1"/>
    <xf numFmtId="0" fontId="23" fillId="0" borderId="0" xfId="0" applyFont="1" applyBorder="1"/>
    <xf numFmtId="1" fontId="24" fillId="0" borderId="0" xfId="0" applyNumberFormat="1" applyFont="1" applyBorder="1"/>
    <xf numFmtId="0" fontId="24" fillId="0" borderId="0" xfId="0" applyFont="1" applyBorder="1"/>
    <xf numFmtId="166" fontId="12" fillId="3" borderId="0" xfId="0" applyNumberFormat="1" applyFont="1" applyFill="1" applyBorder="1"/>
    <xf numFmtId="169" fontId="14" fillId="3" borderId="0" xfId="0" applyNumberFormat="1" applyFont="1" applyFill="1" applyBorder="1"/>
    <xf numFmtId="171" fontId="14" fillId="3" borderId="0" xfId="0" applyNumberFormat="1" applyFont="1" applyFill="1" applyBorder="1"/>
    <xf numFmtId="165" fontId="25" fillId="3" borderId="1" xfId="1" applyNumberFormat="1" applyFont="1" applyFill="1" applyBorder="1"/>
    <xf numFmtId="3" fontId="27" fillId="3" borderId="1" xfId="0" applyNumberFormat="1" applyFont="1" applyFill="1" applyBorder="1"/>
    <xf numFmtId="171" fontId="13" fillId="3" borderId="1" xfId="0" applyNumberFormat="1" applyFont="1" applyFill="1" applyBorder="1"/>
    <xf numFmtId="0" fontId="28" fillId="3" borderId="0" xfId="0" applyFont="1" applyFill="1" applyBorder="1"/>
    <xf numFmtId="168" fontId="13" fillId="3" borderId="1" xfId="0" applyNumberFormat="1" applyFont="1" applyFill="1" applyBorder="1"/>
    <xf numFmtId="170" fontId="5" fillId="0" borderId="0" xfId="0" applyNumberFormat="1" applyFont="1"/>
    <xf numFmtId="3" fontId="0" fillId="3" borderId="1" xfId="0" applyNumberFormat="1" applyFont="1" applyFill="1" applyBorder="1"/>
    <xf numFmtId="165" fontId="0" fillId="3" borderId="1" xfId="1" applyNumberFormat="1" applyFont="1" applyFill="1" applyBorder="1"/>
    <xf numFmtId="49" fontId="0" fillId="3" borderId="1" xfId="0" applyNumberFormat="1" applyFont="1" applyFill="1" applyBorder="1" applyAlignment="1"/>
    <xf numFmtId="0" fontId="0" fillId="3" borderId="1" xfId="0" applyFont="1" applyFill="1" applyBorder="1"/>
    <xf numFmtId="1" fontId="0" fillId="3" borderId="1" xfId="0" applyNumberFormat="1" applyFont="1" applyFill="1" applyBorder="1"/>
    <xf numFmtId="165" fontId="16" fillId="3" borderId="1" xfId="0" applyNumberFormat="1" applyFont="1" applyFill="1" applyBorder="1"/>
    <xf numFmtId="169" fontId="11" fillId="3" borderId="1" xfId="0" applyNumberFormat="1" applyFont="1" applyFill="1" applyBorder="1"/>
    <xf numFmtId="0" fontId="0" fillId="3" borderId="11" xfId="0" applyFont="1" applyFill="1" applyBorder="1"/>
    <xf numFmtId="169" fontId="11" fillId="3" borderId="11" xfId="0" applyNumberFormat="1" applyFont="1" applyFill="1" applyBorder="1"/>
    <xf numFmtId="0" fontId="0" fillId="3" borderId="0" xfId="0" applyFont="1" applyFill="1"/>
    <xf numFmtId="0" fontId="11" fillId="3" borderId="1" xfId="0" applyFont="1" applyFill="1" applyBorder="1" applyAlignment="1">
      <alignment horizontal="center"/>
    </xf>
    <xf numFmtId="3" fontId="18" fillId="3" borderId="0" xfId="0" applyNumberFormat="1" applyFont="1" applyFill="1" applyBorder="1"/>
    <xf numFmtId="167" fontId="18" fillId="3" borderId="0" xfId="0" applyNumberFormat="1" applyFont="1" applyFill="1" applyBorder="1"/>
    <xf numFmtId="0" fontId="14" fillId="3" borderId="0" xfId="0" applyFont="1" applyFill="1" applyAlignment="1">
      <alignment horizontal="center"/>
    </xf>
    <xf numFmtId="0" fontId="14" fillId="3" borderId="5" xfId="0" applyFont="1" applyFill="1" applyBorder="1"/>
    <xf numFmtId="0" fontId="12" fillId="3" borderId="6" xfId="0" applyFont="1" applyFill="1" applyBorder="1"/>
    <xf numFmtId="0" fontId="12" fillId="3" borderId="4" xfId="0" applyFont="1" applyFill="1" applyBorder="1"/>
    <xf numFmtId="0" fontId="12" fillId="3" borderId="11" xfId="0" applyFont="1" applyFill="1" applyBorder="1"/>
    <xf numFmtId="0" fontId="12" fillId="3" borderId="13" xfId="0" applyFont="1" applyFill="1" applyBorder="1"/>
    <xf numFmtId="3" fontId="26" fillId="3" borderId="1" xfId="0" applyNumberFormat="1" applyFont="1" applyFill="1" applyBorder="1"/>
    <xf numFmtId="49" fontId="12" fillId="3" borderId="1" xfId="0" applyNumberFormat="1" applyFont="1" applyFill="1" applyBorder="1" applyAlignment="1"/>
    <xf numFmtId="1" fontId="17" fillId="3" borderId="1" xfId="0" applyNumberFormat="1" applyFont="1" applyFill="1" applyBorder="1"/>
    <xf numFmtId="165" fontId="17" fillId="3" borderId="1" xfId="1" applyNumberFormat="1" applyFont="1" applyFill="1" applyBorder="1"/>
    <xf numFmtId="0" fontId="14" fillId="3" borderId="1" xfId="0" applyFont="1" applyFill="1" applyBorder="1"/>
    <xf numFmtId="171" fontId="14" fillId="3" borderId="1" xfId="0" applyNumberFormat="1" applyFont="1" applyFill="1" applyBorder="1"/>
    <xf numFmtId="171" fontId="14" fillId="3" borderId="11" xfId="0" applyNumberFormat="1" applyFont="1" applyFill="1" applyBorder="1"/>
    <xf numFmtId="3" fontId="29" fillId="3" borderId="1" xfId="0" applyNumberFormat="1" applyFont="1" applyFill="1" applyBorder="1"/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F7FE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opLeftCell="A34" zoomScaleSheetLayoutView="140" workbookViewId="0">
      <selection activeCell="G54" sqref="G54"/>
    </sheetView>
  </sheetViews>
  <sheetFormatPr baseColWidth="10" defaultColWidth="12.21875" defaultRowHeight="18.75"/>
  <cols>
    <col min="1" max="1" width="31.6640625" style="2" customWidth="1"/>
    <col min="2" max="2" width="7.5546875" style="2" customWidth="1"/>
    <col min="3" max="3" width="10.6640625" style="2" customWidth="1"/>
    <col min="4" max="4" width="6.88671875" style="2" customWidth="1"/>
    <col min="5" max="5" width="10.21875" style="2" customWidth="1"/>
    <col min="6" max="6" width="12.109375" style="2" customWidth="1"/>
    <col min="7" max="7" width="11.44140625" style="2" customWidth="1"/>
    <col min="8" max="10" width="12.21875" style="2"/>
    <col min="11" max="11" width="10.77734375" style="2" customWidth="1"/>
    <col min="12" max="16384" width="12.21875" style="2"/>
  </cols>
  <sheetData>
    <row r="1" spans="1:11" ht="21">
      <c r="A1" s="6" t="s">
        <v>33</v>
      </c>
      <c r="B1" s="6"/>
      <c r="C1" s="7"/>
      <c r="F1" s="53"/>
      <c r="H1" s="53"/>
    </row>
    <row r="2" spans="1:11" ht="21">
      <c r="A2" s="8"/>
      <c r="B2" s="8"/>
      <c r="C2" s="9"/>
      <c r="F2" s="53"/>
      <c r="H2" s="53"/>
    </row>
    <row r="3" spans="1:11" ht="19.5" thickBot="1">
      <c r="D3" s="3"/>
    </row>
    <row r="4" spans="1:11">
      <c r="A4" s="18"/>
      <c r="B4" s="19" t="s">
        <v>9</v>
      </c>
      <c r="C4" s="19" t="s">
        <v>8</v>
      </c>
      <c r="D4" s="20"/>
      <c r="E4" s="57" t="s">
        <v>7</v>
      </c>
      <c r="F4" s="60" t="s">
        <v>35</v>
      </c>
      <c r="G4" s="61"/>
      <c r="H4" s="61"/>
      <c r="I4" s="61"/>
      <c r="J4" s="62"/>
    </row>
    <row r="5" spans="1:11">
      <c r="A5" s="21" t="s">
        <v>4</v>
      </c>
      <c r="B5" s="22">
        <v>2010</v>
      </c>
      <c r="C5" s="22">
        <v>2011</v>
      </c>
      <c r="D5" s="23" t="s">
        <v>0</v>
      </c>
      <c r="E5" s="24">
        <v>2012</v>
      </c>
      <c r="F5" s="58">
        <v>2013</v>
      </c>
      <c r="G5" s="58">
        <v>2014</v>
      </c>
      <c r="H5" s="58">
        <v>2015</v>
      </c>
      <c r="I5" s="59">
        <v>2016</v>
      </c>
      <c r="J5" s="59">
        <v>2017</v>
      </c>
      <c r="K5" s="18"/>
    </row>
    <row r="6" spans="1:11">
      <c r="A6" s="25" t="s">
        <v>29</v>
      </c>
      <c r="B6" s="25"/>
      <c r="C6" s="25"/>
      <c r="D6" s="25"/>
      <c r="E6" s="25"/>
      <c r="F6" s="25"/>
      <c r="G6" s="25"/>
      <c r="H6" s="25"/>
      <c r="I6" s="25"/>
      <c r="J6" s="54"/>
      <c r="K6" s="18"/>
    </row>
    <row r="7" spans="1:11">
      <c r="A7" s="37" t="s">
        <v>21</v>
      </c>
      <c r="B7" s="100">
        <v>959553</v>
      </c>
      <c r="C7" s="101">
        <v>1012356</v>
      </c>
      <c r="D7" s="26">
        <f>+(C7-B7)/B7*100</f>
        <v>5.5028747760676069</v>
      </c>
      <c r="E7" s="70">
        <v>1053856</v>
      </c>
      <c r="F7" s="70">
        <v>1100355</v>
      </c>
      <c r="G7" s="70">
        <v>1079134</v>
      </c>
      <c r="H7" s="70">
        <v>1121407</v>
      </c>
      <c r="I7" s="70">
        <v>1161961</v>
      </c>
      <c r="J7" s="70">
        <v>1202242</v>
      </c>
      <c r="K7" s="127" t="s">
        <v>53</v>
      </c>
    </row>
    <row r="8" spans="1:11">
      <c r="A8" s="37" t="s">
        <v>17</v>
      </c>
      <c r="B8" s="100">
        <v>5555</v>
      </c>
      <c r="C8" s="101">
        <v>5698</v>
      </c>
      <c r="D8" s="26">
        <f t="shared" ref="D8:D28" si="0">+(C8-B8)/B8*100</f>
        <v>2.5742574257425743</v>
      </c>
      <c r="E8" s="70">
        <v>5849</v>
      </c>
      <c r="F8" s="70">
        <v>6011</v>
      </c>
      <c r="G8" s="94">
        <v>6008</v>
      </c>
      <c r="H8" s="70">
        <f>6152+1</f>
        <v>6153</v>
      </c>
      <c r="I8" s="70">
        <f>6298+1</f>
        <v>6299</v>
      </c>
      <c r="J8" s="70">
        <v>6444</v>
      </c>
      <c r="K8" s="128"/>
    </row>
    <row r="9" spans="1:11">
      <c r="A9" s="102" t="s">
        <v>13</v>
      </c>
      <c r="B9" s="100">
        <v>86</v>
      </c>
      <c r="C9" s="101">
        <v>97</v>
      </c>
      <c r="D9" s="26">
        <f t="shared" si="0"/>
        <v>12.790697674418606</v>
      </c>
      <c r="E9" s="101">
        <v>105</v>
      </c>
      <c r="F9" s="101">
        <v>119</v>
      </c>
      <c r="G9" s="101">
        <v>128</v>
      </c>
      <c r="H9" s="101">
        <v>141</v>
      </c>
      <c r="I9" s="101">
        <v>152</v>
      </c>
      <c r="J9" s="101">
        <v>152</v>
      </c>
      <c r="K9" s="18"/>
    </row>
    <row r="10" spans="1:11">
      <c r="A10" s="102" t="s">
        <v>15</v>
      </c>
      <c r="B10" s="27">
        <f>+B8-B9</f>
        <v>5469</v>
      </c>
      <c r="C10" s="27">
        <f t="shared" ref="C10" si="1">+C8-C9</f>
        <v>5601</v>
      </c>
      <c r="D10" s="27">
        <f t="shared" si="0"/>
        <v>2.4136039495337358</v>
      </c>
      <c r="E10" s="27">
        <f>+E8-E9</f>
        <v>5744</v>
      </c>
      <c r="F10" s="27">
        <f>+F8-F9</f>
        <v>5892</v>
      </c>
      <c r="G10" s="27">
        <f>+G8-G9</f>
        <v>5880</v>
      </c>
      <c r="H10" s="27">
        <f t="shared" ref="H10:I10" si="2">+H8-H9</f>
        <v>6012</v>
      </c>
      <c r="I10" s="27">
        <f t="shared" si="2"/>
        <v>6147</v>
      </c>
      <c r="J10" s="27">
        <f t="shared" ref="J10" si="3">+J8-J9</f>
        <v>6292</v>
      </c>
      <c r="K10" s="28"/>
    </row>
    <row r="11" spans="1:11">
      <c r="A11" s="37" t="s">
        <v>18</v>
      </c>
      <c r="B11" s="100">
        <v>10</v>
      </c>
      <c r="C11" s="101">
        <v>11</v>
      </c>
      <c r="D11" s="26">
        <f t="shared" si="0"/>
        <v>10</v>
      </c>
      <c r="E11" s="70">
        <v>12</v>
      </c>
      <c r="F11" s="70">
        <v>15</v>
      </c>
      <c r="G11" s="70">
        <v>15</v>
      </c>
      <c r="H11" s="70">
        <v>15</v>
      </c>
      <c r="I11" s="94">
        <v>16</v>
      </c>
      <c r="J11" s="94">
        <v>16</v>
      </c>
      <c r="K11" s="18"/>
    </row>
    <row r="12" spans="1:11">
      <c r="A12" s="102" t="s">
        <v>14</v>
      </c>
      <c r="B12" s="27">
        <v>9</v>
      </c>
      <c r="C12" s="71">
        <v>11</v>
      </c>
      <c r="D12" s="29">
        <f t="shared" si="0"/>
        <v>22.222222222222221</v>
      </c>
      <c r="E12" s="71">
        <v>11</v>
      </c>
      <c r="F12" s="71">
        <v>13</v>
      </c>
      <c r="G12" s="71">
        <v>13</v>
      </c>
      <c r="H12" s="71">
        <v>14</v>
      </c>
      <c r="I12" s="71">
        <v>16</v>
      </c>
      <c r="J12" s="71">
        <v>16</v>
      </c>
      <c r="K12" s="18"/>
    </row>
    <row r="13" spans="1:11">
      <c r="A13" s="102" t="s">
        <v>16</v>
      </c>
      <c r="B13" s="27">
        <f>+B11-B12</f>
        <v>1</v>
      </c>
      <c r="C13" s="27">
        <f>+C11-C12</f>
        <v>0</v>
      </c>
      <c r="D13" s="29">
        <f t="shared" si="0"/>
        <v>-100</v>
      </c>
      <c r="E13" s="71">
        <f>+E11-E12</f>
        <v>1</v>
      </c>
      <c r="F13" s="71">
        <f>+F11-F12</f>
        <v>2</v>
      </c>
      <c r="G13" s="71">
        <f>+G11-G12</f>
        <v>2</v>
      </c>
      <c r="H13" s="71">
        <f t="shared" ref="H13:I13" si="4">+H11-H12</f>
        <v>1</v>
      </c>
      <c r="I13" s="71">
        <f t="shared" si="4"/>
        <v>0</v>
      </c>
      <c r="J13" s="71">
        <f t="shared" ref="J13" si="5">+J11-J12</f>
        <v>0</v>
      </c>
      <c r="K13" s="28"/>
    </row>
    <row r="14" spans="1:11">
      <c r="A14" s="103" t="s">
        <v>19</v>
      </c>
      <c r="B14" s="27">
        <f>+B9+B12</f>
        <v>95</v>
      </c>
      <c r="C14" s="27">
        <f>+C9+C12</f>
        <v>108</v>
      </c>
      <c r="D14" s="29">
        <f t="shared" si="0"/>
        <v>13.684210526315791</v>
      </c>
      <c r="E14" s="71">
        <f>+E9+E12</f>
        <v>116</v>
      </c>
      <c r="F14" s="71">
        <f>+F9+F12</f>
        <v>132</v>
      </c>
      <c r="G14" s="71">
        <f>+G9+G12</f>
        <v>141</v>
      </c>
      <c r="H14" s="71">
        <f t="shared" ref="H14:I14" si="6">+H9+H12</f>
        <v>155</v>
      </c>
      <c r="I14" s="71">
        <f t="shared" si="6"/>
        <v>168</v>
      </c>
      <c r="J14" s="71">
        <f t="shared" ref="J14" si="7">+J9+J12</f>
        <v>168</v>
      </c>
      <c r="K14" s="18"/>
    </row>
    <row r="15" spans="1:11">
      <c r="A15" s="103" t="s">
        <v>20</v>
      </c>
      <c r="B15" s="27">
        <f>+B7+B10+B13</f>
        <v>965023</v>
      </c>
      <c r="C15" s="27">
        <f>+C7+C10+C13</f>
        <v>1017957</v>
      </c>
      <c r="D15" s="29">
        <f t="shared" si="0"/>
        <v>5.4852578643203325</v>
      </c>
      <c r="E15" s="71">
        <f>+E7+E10+E13</f>
        <v>1059601</v>
      </c>
      <c r="F15" s="71">
        <f>+F7+F10+F13</f>
        <v>1106249</v>
      </c>
      <c r="G15" s="71">
        <f>+G7+G10+G13</f>
        <v>1085016</v>
      </c>
      <c r="H15" s="71">
        <f t="shared" ref="H15:I15" si="8">+H7+H10+H13</f>
        <v>1127420</v>
      </c>
      <c r="I15" s="71">
        <f t="shared" si="8"/>
        <v>1168108</v>
      </c>
      <c r="J15" s="71">
        <f t="shared" ref="J15" si="9">+J7+J10+J13</f>
        <v>1208534</v>
      </c>
      <c r="K15" s="18"/>
    </row>
    <row r="16" spans="1:11">
      <c r="A16" s="103" t="s">
        <v>1</v>
      </c>
      <c r="B16" s="27">
        <f>+B14+B15</f>
        <v>965118</v>
      </c>
      <c r="C16" s="27">
        <f>+C14+C15</f>
        <v>1018065</v>
      </c>
      <c r="D16" s="29">
        <f t="shared" si="0"/>
        <v>5.4860649164143664</v>
      </c>
      <c r="E16" s="71">
        <f>+E14+E15</f>
        <v>1059717</v>
      </c>
      <c r="F16" s="71">
        <f>+F14+F15</f>
        <v>1106381</v>
      </c>
      <c r="G16" s="71">
        <f>+G14+G15</f>
        <v>1085157</v>
      </c>
      <c r="H16" s="71">
        <f t="shared" ref="H16:I16" si="10">+H14+H15</f>
        <v>1127575</v>
      </c>
      <c r="I16" s="71">
        <f t="shared" si="10"/>
        <v>1168276</v>
      </c>
      <c r="J16" s="71">
        <f t="shared" ref="J16" si="11">+J14+J15</f>
        <v>1208702</v>
      </c>
      <c r="K16" s="18"/>
    </row>
    <row r="17" spans="1:11">
      <c r="A17" s="30"/>
      <c r="B17" s="31" t="s">
        <v>10</v>
      </c>
      <c r="C17" s="32" t="s">
        <v>10</v>
      </c>
      <c r="D17" s="33"/>
      <c r="E17" s="32" t="s">
        <v>10</v>
      </c>
      <c r="F17" s="32" t="s">
        <v>10</v>
      </c>
      <c r="G17" s="34">
        <f>+G7+G8+G11</f>
        <v>1085157</v>
      </c>
      <c r="H17" s="34">
        <f t="shared" ref="H17:I17" si="12">+H7+H8+H11</f>
        <v>1127575</v>
      </c>
      <c r="I17" s="34">
        <f t="shared" si="12"/>
        <v>1168276</v>
      </c>
      <c r="J17" s="34">
        <f t="shared" ref="J17" si="13">+J7+J8+J11</f>
        <v>1208702</v>
      </c>
      <c r="K17" s="18" t="s">
        <v>36</v>
      </c>
    </row>
    <row r="18" spans="1:11">
      <c r="A18" s="35" t="s">
        <v>28</v>
      </c>
      <c r="B18" s="36"/>
      <c r="C18" s="36"/>
      <c r="D18" s="36"/>
      <c r="E18" s="36"/>
      <c r="F18" s="56"/>
      <c r="G18" s="36"/>
      <c r="H18" s="36"/>
      <c r="I18" s="55"/>
      <c r="J18" s="55"/>
      <c r="K18" s="18"/>
    </row>
    <row r="19" spans="1:11">
      <c r="A19" s="37" t="s">
        <v>22</v>
      </c>
      <c r="B19" s="100">
        <v>2786.6</v>
      </c>
      <c r="C19" s="101">
        <v>2954.8</v>
      </c>
      <c r="D19" s="29">
        <f t="shared" si="0"/>
        <v>6.036029570085419</v>
      </c>
      <c r="E19" s="70">
        <v>3199.5</v>
      </c>
      <c r="F19" s="70">
        <v>3430.8</v>
      </c>
      <c r="G19" s="72">
        <v>3309</v>
      </c>
      <c r="H19" s="72">
        <f>+(3597-3309)+G19</f>
        <v>3597</v>
      </c>
      <c r="I19" s="72">
        <f>+(3800-3597)+H19</f>
        <v>3800</v>
      </c>
      <c r="J19" s="72">
        <f>+(4012-3800)+I19</f>
        <v>4012</v>
      </c>
      <c r="K19" s="127" t="s">
        <v>52</v>
      </c>
    </row>
    <row r="20" spans="1:11">
      <c r="A20" s="37" t="s">
        <v>23</v>
      </c>
      <c r="B20" s="100">
        <v>2109.1999999999998</v>
      </c>
      <c r="C20" s="101">
        <v>2246.3000000000002</v>
      </c>
      <c r="D20" s="29">
        <f t="shared" si="0"/>
        <v>6.5000948226816027</v>
      </c>
      <c r="E20" s="70">
        <v>2385</v>
      </c>
      <c r="F20" s="70">
        <v>2514</v>
      </c>
      <c r="G20" s="72">
        <v>2492</v>
      </c>
      <c r="H20" s="72">
        <f>+(2685-2492)+G20</f>
        <v>2685</v>
      </c>
      <c r="I20" s="72">
        <f>+(2853-2685)+H20</f>
        <v>2853</v>
      </c>
      <c r="J20" s="72">
        <f>+(3021-2853)+I20</f>
        <v>3021</v>
      </c>
      <c r="K20" s="128"/>
    </row>
    <row r="21" spans="1:11">
      <c r="A21" s="102" t="s">
        <v>11</v>
      </c>
      <c r="B21" s="104">
        <v>656.76</v>
      </c>
      <c r="C21" s="104">
        <v>774.61</v>
      </c>
      <c r="D21" s="29">
        <f t="shared" si="0"/>
        <v>17.944150070040809</v>
      </c>
      <c r="E21" s="101">
        <v>913.57</v>
      </c>
      <c r="F21" s="101">
        <v>1077</v>
      </c>
      <c r="G21" s="101">
        <v>1271</v>
      </c>
      <c r="H21" s="101">
        <v>1499</v>
      </c>
      <c r="I21" s="101">
        <v>1768</v>
      </c>
      <c r="J21" s="101">
        <v>2086</v>
      </c>
      <c r="K21" s="18"/>
    </row>
    <row r="22" spans="1:11">
      <c r="A22" s="102" t="s">
        <v>24</v>
      </c>
      <c r="B22" s="27">
        <f>+B20-B21</f>
        <v>1452.4399999999998</v>
      </c>
      <c r="C22" s="27">
        <f>+C20-C21</f>
        <v>1471.69</v>
      </c>
      <c r="D22" s="29">
        <f t="shared" si="0"/>
        <v>1.3253559527416092</v>
      </c>
      <c r="E22" s="71">
        <f t="shared" ref="E22:I22" si="14">+E20-E21</f>
        <v>1471.4299999999998</v>
      </c>
      <c r="F22" s="71">
        <f t="shared" si="14"/>
        <v>1437</v>
      </c>
      <c r="G22" s="71">
        <f t="shared" si="14"/>
        <v>1221</v>
      </c>
      <c r="H22" s="71">
        <f t="shared" si="14"/>
        <v>1186</v>
      </c>
      <c r="I22" s="71">
        <f t="shared" si="14"/>
        <v>1085</v>
      </c>
      <c r="J22" s="71">
        <f>+J20-J21</f>
        <v>935</v>
      </c>
      <c r="K22" s="28"/>
    </row>
    <row r="23" spans="1:11">
      <c r="A23" s="37" t="s">
        <v>25</v>
      </c>
      <c r="B23" s="100">
        <v>373.9</v>
      </c>
      <c r="C23" s="101">
        <v>482.1</v>
      </c>
      <c r="D23" s="29">
        <f t="shared" si="0"/>
        <v>28.938218775073565</v>
      </c>
      <c r="E23" s="70">
        <v>534</v>
      </c>
      <c r="F23" s="70">
        <v>560.70000000000005</v>
      </c>
      <c r="G23" s="72">
        <v>572</v>
      </c>
      <c r="H23" s="72">
        <f>(681-572)+G23</f>
        <v>681</v>
      </c>
      <c r="I23" s="72">
        <f>(790-681)+H23</f>
        <v>790</v>
      </c>
      <c r="J23" s="72">
        <f>(901-790)+I23</f>
        <v>901</v>
      </c>
      <c r="K23" s="18"/>
    </row>
    <row r="24" spans="1:11">
      <c r="A24" s="102" t="s">
        <v>26</v>
      </c>
      <c r="B24" s="100">
        <v>372</v>
      </c>
      <c r="C24" s="101">
        <v>482</v>
      </c>
      <c r="D24" s="26">
        <f t="shared" si="0"/>
        <v>29.56989247311828</v>
      </c>
      <c r="E24" s="101">
        <v>531</v>
      </c>
      <c r="F24" s="101">
        <v>555</v>
      </c>
      <c r="G24" s="101">
        <v>560</v>
      </c>
      <c r="H24" s="101">
        <v>626</v>
      </c>
      <c r="I24" s="101">
        <v>661</v>
      </c>
      <c r="J24" s="101">
        <v>676</v>
      </c>
      <c r="K24" s="18"/>
    </row>
    <row r="25" spans="1:11">
      <c r="A25" s="102" t="s">
        <v>27</v>
      </c>
      <c r="B25" s="27">
        <f>+B23-B24</f>
        <v>1.8999999999999773</v>
      </c>
      <c r="C25" s="71">
        <f>+C23-C24</f>
        <v>0.10000000000002274</v>
      </c>
      <c r="D25" s="29">
        <f t="shared" si="0"/>
        <v>-94.7368421052619</v>
      </c>
      <c r="E25" s="71">
        <f>+E23-E24</f>
        <v>3</v>
      </c>
      <c r="F25" s="71">
        <f>+F23-F24</f>
        <v>5.7000000000000455</v>
      </c>
      <c r="G25" s="71">
        <f t="shared" ref="G25:I25" si="15">+G23-G24</f>
        <v>12</v>
      </c>
      <c r="H25" s="71">
        <f t="shared" si="15"/>
        <v>55</v>
      </c>
      <c r="I25" s="71">
        <f t="shared" si="15"/>
        <v>129</v>
      </c>
      <c r="J25" s="71">
        <f t="shared" ref="J25" si="16">+J23-J24</f>
        <v>225</v>
      </c>
      <c r="K25" s="28"/>
    </row>
    <row r="26" spans="1:11">
      <c r="A26" s="103" t="s">
        <v>30</v>
      </c>
      <c r="B26" s="27">
        <f>+B21+B24</f>
        <v>1028.76</v>
      </c>
      <c r="C26" s="27">
        <f>+C21+C24</f>
        <v>1256.6100000000001</v>
      </c>
      <c r="D26" s="29">
        <f t="shared" si="0"/>
        <v>22.148022862475226</v>
      </c>
      <c r="E26" s="27">
        <f t="shared" ref="E26:H26" si="17">+E21+E24</f>
        <v>1444.5700000000002</v>
      </c>
      <c r="F26" s="27">
        <f t="shared" si="17"/>
        <v>1632</v>
      </c>
      <c r="G26" s="27">
        <f t="shared" si="17"/>
        <v>1831</v>
      </c>
      <c r="H26" s="27">
        <f t="shared" si="17"/>
        <v>2125</v>
      </c>
      <c r="I26" s="27">
        <f>+I21+I24</f>
        <v>2429</v>
      </c>
      <c r="J26" s="27">
        <f>+J21+J24</f>
        <v>2762</v>
      </c>
      <c r="K26" s="18"/>
    </row>
    <row r="27" spans="1:11">
      <c r="A27" s="103" t="s">
        <v>31</v>
      </c>
      <c r="B27" s="27">
        <f>+B19+B22+B25</f>
        <v>4240.9399999999996</v>
      </c>
      <c r="C27" s="27">
        <f>+C19+C22+C25</f>
        <v>4426.59</v>
      </c>
      <c r="D27" s="29">
        <f t="shared" si="0"/>
        <v>4.3775672374520873</v>
      </c>
      <c r="E27" s="27">
        <f t="shared" ref="E27:I27" si="18">+E19+E22+E25</f>
        <v>4673.93</v>
      </c>
      <c r="F27" s="27">
        <f t="shared" si="18"/>
        <v>4873.5</v>
      </c>
      <c r="G27" s="27">
        <f t="shared" si="18"/>
        <v>4542</v>
      </c>
      <c r="H27" s="27">
        <f t="shared" si="18"/>
        <v>4838</v>
      </c>
      <c r="I27" s="27">
        <f t="shared" si="18"/>
        <v>5014</v>
      </c>
      <c r="J27" s="27">
        <f t="shared" ref="J27" si="19">+J19+J22+J25</f>
        <v>5172</v>
      </c>
      <c r="K27" s="18"/>
    </row>
    <row r="28" spans="1:11">
      <c r="A28" s="103" t="s">
        <v>32</v>
      </c>
      <c r="B28" s="27">
        <f>+B26+B27</f>
        <v>5269.7</v>
      </c>
      <c r="C28" s="27">
        <f>+C26+C27</f>
        <v>5683.2000000000007</v>
      </c>
      <c r="D28" s="29">
        <f t="shared" si="0"/>
        <v>7.8467464941078413</v>
      </c>
      <c r="E28" s="27">
        <f t="shared" ref="E28:I28" si="20">+E26+E27</f>
        <v>6118.5</v>
      </c>
      <c r="F28" s="27">
        <f t="shared" si="20"/>
        <v>6505.5</v>
      </c>
      <c r="G28" s="27">
        <f t="shared" si="20"/>
        <v>6373</v>
      </c>
      <c r="H28" s="27">
        <f t="shared" si="20"/>
        <v>6963</v>
      </c>
      <c r="I28" s="27">
        <f t="shared" si="20"/>
        <v>7443</v>
      </c>
      <c r="J28" s="27">
        <f t="shared" ref="J28" si="21">+J26+J27</f>
        <v>7934</v>
      </c>
      <c r="K28" s="18"/>
    </row>
    <row r="29" spans="1:11">
      <c r="A29" s="103"/>
      <c r="B29" s="32" t="s">
        <v>10</v>
      </c>
      <c r="C29" s="32" t="s">
        <v>10</v>
      </c>
      <c r="D29" s="37"/>
      <c r="E29" s="32" t="s">
        <v>10</v>
      </c>
      <c r="F29" s="32" t="s">
        <v>10</v>
      </c>
      <c r="G29" s="105">
        <f>+G19+G20+G23</f>
        <v>6373</v>
      </c>
      <c r="H29" s="105">
        <f t="shared" ref="H29:I29" si="22">+H19+H20+H23</f>
        <v>6963</v>
      </c>
      <c r="I29" s="105">
        <f t="shared" si="22"/>
        <v>7443</v>
      </c>
      <c r="J29" s="105">
        <f t="shared" ref="J29" si="23">+J19+J20+J23</f>
        <v>7934</v>
      </c>
      <c r="K29" s="38" t="s">
        <v>36</v>
      </c>
    </row>
    <row r="30" spans="1:11">
      <c r="A30" s="103" t="s">
        <v>2</v>
      </c>
      <c r="B30" s="39">
        <v>3.9620000000000002</v>
      </c>
      <c r="C30" s="39">
        <v>3.988</v>
      </c>
      <c r="D30" s="39"/>
      <c r="E30" s="106">
        <v>3.9580000000000002</v>
      </c>
      <c r="F30" s="106">
        <v>3.9580000000000002</v>
      </c>
      <c r="G30" s="106">
        <v>3.5539999999999998</v>
      </c>
      <c r="H30" s="106">
        <v>3.5539999999999998</v>
      </c>
      <c r="I30" s="106">
        <v>3.5539999999999998</v>
      </c>
      <c r="J30" s="106">
        <v>3.5539999999999998</v>
      </c>
      <c r="K30" s="18"/>
    </row>
    <row r="31" spans="1:11">
      <c r="A31" s="103" t="s">
        <v>3</v>
      </c>
      <c r="B31" s="39">
        <v>3.2839999999999998</v>
      </c>
      <c r="C31" s="39">
        <v>3.2509999999999999</v>
      </c>
      <c r="D31" s="39"/>
      <c r="E31" s="106">
        <v>3.3069999999999999</v>
      </c>
      <c r="F31" s="106">
        <v>3.3069999999999999</v>
      </c>
      <c r="G31" s="106">
        <v>3.5539999999999998</v>
      </c>
      <c r="H31" s="106">
        <v>3.5539999999999998</v>
      </c>
      <c r="I31" s="106">
        <v>3.5539999999999998</v>
      </c>
      <c r="J31" s="106">
        <v>3.5539999999999998</v>
      </c>
      <c r="K31" s="18"/>
    </row>
    <row r="32" spans="1:11">
      <c r="A32" s="107" t="s">
        <v>12</v>
      </c>
      <c r="B32" s="73">
        <v>2.2959999999999998</v>
      </c>
      <c r="C32" s="73">
        <v>2.3719999999999999</v>
      </c>
      <c r="D32" s="73"/>
      <c r="E32" s="108">
        <v>2.1890000000000001</v>
      </c>
      <c r="F32" s="108">
        <v>2.1890000000000001</v>
      </c>
      <c r="G32" s="108">
        <v>3.5539999999999998</v>
      </c>
      <c r="H32" s="108">
        <v>3.5539999999999998</v>
      </c>
      <c r="I32" s="108">
        <v>3.5539999999999998</v>
      </c>
      <c r="J32" s="108">
        <v>3.5539999999999998</v>
      </c>
      <c r="K32" s="18"/>
    </row>
    <row r="33" spans="1:13">
      <c r="A33" s="20"/>
      <c r="B33" s="20"/>
      <c r="C33" s="20"/>
      <c r="D33" s="20"/>
      <c r="E33" s="74"/>
      <c r="F33" s="77"/>
      <c r="G33" s="77"/>
      <c r="H33" s="77"/>
      <c r="I33" s="77"/>
      <c r="J33" s="77"/>
      <c r="K33" s="20"/>
    </row>
    <row r="34" spans="1:13">
      <c r="A34" s="109"/>
      <c r="B34" s="110">
        <v>3.5722526899064464</v>
      </c>
      <c r="C34" s="110">
        <v>3.559262387387387</v>
      </c>
      <c r="D34" s="103"/>
      <c r="E34" s="110">
        <v>3.5502165563455095</v>
      </c>
      <c r="F34" s="110">
        <v>3.5542233494735225</v>
      </c>
      <c r="G34" s="110">
        <v>3.5539999999999994</v>
      </c>
      <c r="H34" s="110">
        <v>3.5540000000000003</v>
      </c>
      <c r="I34" s="110">
        <v>3.5539999999999994</v>
      </c>
      <c r="J34" s="110">
        <v>3.5539999999999998</v>
      </c>
      <c r="K34" s="20"/>
    </row>
    <row r="35" spans="1:13">
      <c r="A35" s="40" t="s">
        <v>54</v>
      </c>
      <c r="B35" s="96">
        <v>3.5720000000000001</v>
      </c>
      <c r="C35" s="96">
        <v>3.5590000000000002</v>
      </c>
      <c r="D35" s="96"/>
      <c r="E35" s="96">
        <v>3.55</v>
      </c>
      <c r="F35" s="96">
        <v>3.5539999999999998</v>
      </c>
      <c r="G35" s="96">
        <v>3.5539999999999998</v>
      </c>
      <c r="H35" s="96">
        <v>3.5539999999999998</v>
      </c>
      <c r="I35" s="96">
        <v>3.5539999999999998</v>
      </c>
      <c r="J35" s="96">
        <v>3.5539999999999998</v>
      </c>
      <c r="K35" s="20"/>
      <c r="L35" s="5"/>
    </row>
    <row r="36" spans="1:13">
      <c r="A36" s="97"/>
      <c r="B36" s="27">
        <f>+B28*B35</f>
        <v>18823.368399999999</v>
      </c>
      <c r="C36" s="27">
        <f>+C28*C35</f>
        <v>20226.508800000003</v>
      </c>
      <c r="D36" s="96"/>
      <c r="E36" s="27">
        <f>+E28*E35</f>
        <v>21720.674999999999</v>
      </c>
      <c r="F36" s="27">
        <f t="shared" ref="F36:J36" si="24">+F28*F35</f>
        <v>23120.546999999999</v>
      </c>
      <c r="G36" s="27">
        <f t="shared" si="24"/>
        <v>22649.642</v>
      </c>
      <c r="H36" s="27">
        <f t="shared" si="24"/>
        <v>24746.502</v>
      </c>
      <c r="I36" s="27">
        <f t="shared" si="24"/>
        <v>26452.421999999999</v>
      </c>
      <c r="J36" s="27">
        <f t="shared" si="24"/>
        <v>28197.435999999998</v>
      </c>
      <c r="K36" s="20"/>
    </row>
    <row r="37" spans="1:13">
      <c r="A37" s="97"/>
      <c r="B37" s="111"/>
      <c r="C37" s="111"/>
      <c r="D37" s="112"/>
      <c r="E37" s="51">
        <f>+E22*E31</f>
        <v>4866.0190099999991</v>
      </c>
      <c r="F37" s="51"/>
      <c r="G37" s="51"/>
      <c r="H37" s="51"/>
      <c r="I37" s="51"/>
      <c r="J37" s="51"/>
      <c r="K37" s="20"/>
    </row>
    <row r="38" spans="1:13">
      <c r="A38" s="37" t="s">
        <v>55</v>
      </c>
      <c r="B38" s="100">
        <v>11039</v>
      </c>
      <c r="C38" s="100">
        <v>11783</v>
      </c>
      <c r="D38" s="26">
        <f t="shared" ref="D38:D47" si="25">+(C38-B38)/B38*100</f>
        <v>6.7397409185614636</v>
      </c>
      <c r="E38" s="76">
        <f>+E19*E30+2</f>
        <v>12665.621000000001</v>
      </c>
      <c r="F38" s="76">
        <f>+F19*F30+1</f>
        <v>13580.106400000001</v>
      </c>
      <c r="G38" s="76">
        <f t="shared" ref="G38:I38" si="26">+G19*G30</f>
        <v>11760.186</v>
      </c>
      <c r="H38" s="76">
        <f t="shared" si="26"/>
        <v>12783.737999999999</v>
      </c>
      <c r="I38" s="76">
        <f t="shared" si="26"/>
        <v>13505.199999999999</v>
      </c>
      <c r="J38" s="76">
        <f>+J19*J30</f>
        <v>14258.647999999999</v>
      </c>
      <c r="K38" s="20"/>
    </row>
    <row r="39" spans="1:13">
      <c r="A39" s="37" t="s">
        <v>56</v>
      </c>
      <c r="B39" s="100">
        <v>6927</v>
      </c>
      <c r="C39" s="100">
        <v>7302</v>
      </c>
      <c r="D39" s="26">
        <f t="shared" si="25"/>
        <v>5.4135989605889989</v>
      </c>
      <c r="E39" s="76">
        <f>+E20*E31</f>
        <v>7887.1949999999997</v>
      </c>
      <c r="F39" s="76">
        <f>+F20*F31</f>
        <v>8313.7980000000007</v>
      </c>
      <c r="G39" s="76">
        <f>+G20*G31</f>
        <v>8856.5679999999993</v>
      </c>
      <c r="H39" s="76">
        <f t="shared" ref="H39:J39" si="27">+H20*H31</f>
        <v>9542.49</v>
      </c>
      <c r="I39" s="76">
        <f t="shared" si="27"/>
        <v>10139.562</v>
      </c>
      <c r="J39" s="76">
        <f t="shared" si="27"/>
        <v>10736.634</v>
      </c>
      <c r="K39" s="20"/>
    </row>
    <row r="40" spans="1:13">
      <c r="A40" s="102" t="s">
        <v>57</v>
      </c>
      <c r="B40" s="100">
        <v>2156.7998399999997</v>
      </c>
      <c r="C40" s="100">
        <v>2518.25711</v>
      </c>
      <c r="D40" s="26">
        <f t="shared" si="25"/>
        <v>16.758962203928967</v>
      </c>
      <c r="E40" s="76">
        <f>+E21*E31</f>
        <v>3021.1759900000002</v>
      </c>
      <c r="F40" s="76">
        <f t="shared" ref="F40:J40" si="28">+F21*F31</f>
        <v>3561.6390000000001</v>
      </c>
      <c r="G40" s="76">
        <f t="shared" si="28"/>
        <v>4517.134</v>
      </c>
      <c r="H40" s="76">
        <f t="shared" si="28"/>
        <v>5327.4459999999999</v>
      </c>
      <c r="I40" s="76">
        <f t="shared" si="28"/>
        <v>6283.4719999999998</v>
      </c>
      <c r="J40" s="76">
        <f t="shared" si="28"/>
        <v>7413.6439999999993</v>
      </c>
      <c r="K40" s="75"/>
    </row>
    <row r="41" spans="1:13">
      <c r="A41" s="102" t="s">
        <v>58</v>
      </c>
      <c r="B41" s="27">
        <v>4770.2001600000003</v>
      </c>
      <c r="C41" s="27">
        <v>4783.7428899999995</v>
      </c>
      <c r="D41" s="29">
        <f t="shared" si="25"/>
        <v>0.28390276184970836</v>
      </c>
      <c r="E41" s="76">
        <f>+E39-E40</f>
        <v>4866.01901</v>
      </c>
      <c r="F41" s="76">
        <f t="shared" ref="F41:J41" si="29">+F39-F40</f>
        <v>4752.1590000000006</v>
      </c>
      <c r="G41" s="76">
        <f t="shared" si="29"/>
        <v>4339.4339999999993</v>
      </c>
      <c r="H41" s="76">
        <f t="shared" si="29"/>
        <v>4215.0439999999999</v>
      </c>
      <c r="I41" s="76">
        <f t="shared" si="29"/>
        <v>3856.09</v>
      </c>
      <c r="J41" s="76">
        <f t="shared" si="29"/>
        <v>3322.9900000000007</v>
      </c>
      <c r="K41" s="20"/>
    </row>
    <row r="42" spans="1:13">
      <c r="A42" s="37" t="s">
        <v>59</v>
      </c>
      <c r="B42" s="100">
        <v>858.7</v>
      </c>
      <c r="C42" s="100">
        <v>1143</v>
      </c>
      <c r="D42" s="26">
        <f t="shared" si="25"/>
        <v>33.10818679399091</v>
      </c>
      <c r="E42" s="76">
        <f>+E23*E32</f>
        <v>1168.9259999999999</v>
      </c>
      <c r="F42" s="76">
        <f>+F23*F32+1</f>
        <v>1228.3723000000002</v>
      </c>
      <c r="G42" s="76">
        <f t="shared" ref="G42:J42" si="30">+G23*G32</f>
        <v>2032.8879999999999</v>
      </c>
      <c r="H42" s="76">
        <f t="shared" si="30"/>
        <v>2420.2739999999999</v>
      </c>
      <c r="I42" s="76">
        <f t="shared" si="30"/>
        <v>2807.66</v>
      </c>
      <c r="J42" s="76">
        <f t="shared" si="30"/>
        <v>3202.154</v>
      </c>
      <c r="K42" s="41"/>
      <c r="L42" s="4"/>
      <c r="M42" s="4"/>
    </row>
    <row r="43" spans="1:13">
      <c r="A43" s="102" t="s">
        <v>60</v>
      </c>
      <c r="B43" s="100">
        <v>853.11199999999997</v>
      </c>
      <c r="C43" s="100">
        <v>1143.3039999999999</v>
      </c>
      <c r="D43" s="26">
        <f t="shared" si="25"/>
        <v>34.015697821622467</v>
      </c>
      <c r="E43" s="76">
        <f>+E24*E32</f>
        <v>1162.3589999999999</v>
      </c>
      <c r="F43" s="76">
        <f t="shared" ref="F43:J43" si="31">+F24*F32</f>
        <v>1214.895</v>
      </c>
      <c r="G43" s="76">
        <f t="shared" si="31"/>
        <v>1990.24</v>
      </c>
      <c r="H43" s="76">
        <f t="shared" si="31"/>
        <v>2224.8040000000001</v>
      </c>
      <c r="I43" s="76">
        <f t="shared" si="31"/>
        <v>2349.194</v>
      </c>
      <c r="J43" s="76">
        <f t="shared" si="31"/>
        <v>2402.5039999999999</v>
      </c>
    </row>
    <row r="44" spans="1:13">
      <c r="A44" s="102" t="s">
        <v>61</v>
      </c>
      <c r="B44" s="27">
        <v>5.5880000000000791</v>
      </c>
      <c r="C44" s="27">
        <v>-0.30399999999985994</v>
      </c>
      <c r="D44" s="27">
        <f t="shared" si="25"/>
        <v>-105.44022906227373</v>
      </c>
      <c r="E44" s="76">
        <f>+E42-E43</f>
        <v>6.5670000000000073</v>
      </c>
      <c r="F44" s="76">
        <f t="shared" ref="F44:J44" si="32">+F42-F43</f>
        <v>13.477300000000241</v>
      </c>
      <c r="G44" s="76">
        <f t="shared" si="32"/>
        <v>42.647999999999911</v>
      </c>
      <c r="H44" s="76">
        <f t="shared" si="32"/>
        <v>195.4699999999998</v>
      </c>
      <c r="I44" s="76">
        <f t="shared" si="32"/>
        <v>458.46599999999989</v>
      </c>
      <c r="J44" s="76">
        <f t="shared" si="32"/>
        <v>799.65000000000009</v>
      </c>
    </row>
    <row r="45" spans="1:13">
      <c r="A45" s="103" t="s">
        <v>62</v>
      </c>
      <c r="B45" s="27">
        <v>3009.9118399999998</v>
      </c>
      <c r="C45" s="27">
        <v>3661.5611099999996</v>
      </c>
      <c r="D45" s="98">
        <f t="shared" si="25"/>
        <v>21.650111519545369</v>
      </c>
      <c r="E45" s="76">
        <f>+E40+E43</f>
        <v>4183.5349900000001</v>
      </c>
      <c r="F45" s="76">
        <f t="shared" ref="F45:J45" si="33">+F40+F43</f>
        <v>4776.5339999999997</v>
      </c>
      <c r="G45" s="76">
        <f t="shared" si="33"/>
        <v>6507.3739999999998</v>
      </c>
      <c r="H45" s="76">
        <f t="shared" si="33"/>
        <v>7552.25</v>
      </c>
      <c r="I45" s="76">
        <f t="shared" si="33"/>
        <v>8632.6659999999993</v>
      </c>
      <c r="J45" s="76">
        <f t="shared" si="33"/>
        <v>9816.1479999999992</v>
      </c>
    </row>
    <row r="46" spans="1:13">
      <c r="A46" s="103" t="s">
        <v>63</v>
      </c>
      <c r="B46" s="27">
        <v>15814.78816</v>
      </c>
      <c r="C46" s="27">
        <v>16566.438890000001</v>
      </c>
      <c r="D46" s="98">
        <f t="shared" si="25"/>
        <v>4.7528346405621491</v>
      </c>
      <c r="E46" s="76">
        <f>+E38+E41+E44</f>
        <v>17538.207010000002</v>
      </c>
      <c r="F46" s="76">
        <f t="shared" ref="F46:J46" si="34">+F38+F41+F44</f>
        <v>18345.742699999999</v>
      </c>
      <c r="G46" s="76">
        <f t="shared" si="34"/>
        <v>16142.267999999998</v>
      </c>
      <c r="H46" s="76">
        <f t="shared" si="34"/>
        <v>17194.252</v>
      </c>
      <c r="I46" s="76">
        <f t="shared" si="34"/>
        <v>17819.756000000001</v>
      </c>
      <c r="J46" s="76">
        <f t="shared" si="34"/>
        <v>18381.288</v>
      </c>
    </row>
    <row r="47" spans="1:13">
      <c r="A47" s="103" t="s">
        <v>64</v>
      </c>
      <c r="B47" s="27">
        <v>18824.7</v>
      </c>
      <c r="C47" s="27">
        <v>20228</v>
      </c>
      <c r="D47" s="98">
        <f t="shared" si="25"/>
        <v>7.4545676690730751</v>
      </c>
      <c r="E47" s="76">
        <f t="shared" ref="E47:J47" si="35">+E45+E46</f>
        <v>21721.742000000002</v>
      </c>
      <c r="F47" s="76">
        <f t="shared" si="35"/>
        <v>23122.276699999999</v>
      </c>
      <c r="G47" s="76">
        <f t="shared" si="35"/>
        <v>22649.642</v>
      </c>
      <c r="H47" s="76">
        <f t="shared" si="35"/>
        <v>24746.502</v>
      </c>
      <c r="I47" s="76">
        <f t="shared" si="35"/>
        <v>26452.421999999999</v>
      </c>
      <c r="J47" s="76">
        <f t="shared" si="35"/>
        <v>28197.436000000002</v>
      </c>
    </row>
    <row r="48" spans="1:13">
      <c r="A48" s="97"/>
      <c r="B48" s="113" t="s">
        <v>10</v>
      </c>
      <c r="C48" s="113" t="s">
        <v>10</v>
      </c>
      <c r="D48" s="112"/>
      <c r="E48" s="51">
        <f>+E45+E46</f>
        <v>21721.742000000002</v>
      </c>
      <c r="F48" s="51">
        <f t="shared" ref="F48:J48" si="36">+F45+F46</f>
        <v>23122.276699999999</v>
      </c>
      <c r="G48" s="51">
        <f t="shared" si="36"/>
        <v>22649.642</v>
      </c>
      <c r="H48" s="51">
        <f t="shared" si="36"/>
        <v>24746.502</v>
      </c>
      <c r="I48" s="51">
        <f t="shared" si="36"/>
        <v>26452.421999999999</v>
      </c>
      <c r="J48" s="51">
        <f t="shared" si="36"/>
        <v>28197.436000000002</v>
      </c>
    </row>
    <row r="49" spans="1:10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spans="1:10">
      <c r="E50" s="99"/>
    </row>
  </sheetData>
  <mergeCells count="2">
    <mergeCell ref="K19:K20"/>
    <mergeCell ref="K7:K8"/>
  </mergeCells>
  <pageMargins left="0.7" right="0.7" top="0.75" bottom="0.75" header="0.3" footer="0.3"/>
  <pageSetup paperSize="9" scale="85" orientation="landscape" r:id="rId1"/>
  <colBreaks count="1" manualBreakCount="1">
    <brk id="1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1"/>
  <sheetViews>
    <sheetView tabSelected="1" view="pageBreakPreview" topLeftCell="A37" zoomScaleNormal="75" zoomScaleSheetLayoutView="100" workbookViewId="0">
      <selection activeCell="D38" sqref="D38"/>
    </sheetView>
  </sheetViews>
  <sheetFormatPr baseColWidth="10" defaultColWidth="13.77734375" defaultRowHeight="18.75"/>
  <cols>
    <col min="1" max="1" width="33.21875" style="1" customWidth="1"/>
    <col min="2" max="2" width="12.21875" style="1" customWidth="1"/>
    <col min="3" max="3" width="11.109375" style="1" customWidth="1"/>
    <col min="4" max="4" width="9.109375" style="1" customWidth="1"/>
    <col min="5" max="5" width="8.109375" style="1" customWidth="1"/>
    <col min="6" max="6" width="13.21875" style="1" customWidth="1"/>
    <col min="7" max="7" width="12.109375" style="1" customWidth="1"/>
    <col min="8" max="8" width="11.44140625" style="1" customWidth="1"/>
    <col min="9" max="9" width="10.77734375" style="1" customWidth="1"/>
    <col min="10" max="10" width="14" style="1" customWidth="1"/>
    <col min="11" max="11" width="8.33203125" style="1" customWidth="1"/>
    <col min="12" max="12" width="6.44140625" style="1" customWidth="1"/>
    <col min="13" max="13" width="6.77734375" style="1" customWidth="1"/>
    <col min="14" max="14" width="5.6640625" style="1" customWidth="1"/>
    <col min="15" max="15" width="5.88671875" style="1" customWidth="1"/>
    <col min="16" max="16" width="8" style="1" customWidth="1"/>
    <col min="17" max="16384" width="13.77734375" style="1"/>
  </cols>
  <sheetData>
    <row r="1" spans="1:15">
      <c r="A1" s="10" t="s">
        <v>33</v>
      </c>
      <c r="B1" s="10"/>
      <c r="L1" s="67"/>
      <c r="M1" s="67"/>
    </row>
    <row r="2" spans="1:15">
      <c r="A2" s="11"/>
      <c r="B2" s="12"/>
      <c r="C2" s="12"/>
      <c r="D2" s="12"/>
      <c r="E2" s="12"/>
      <c r="F2" s="12"/>
      <c r="G2" s="12"/>
      <c r="H2" s="12"/>
      <c r="I2" s="12"/>
      <c r="L2" s="68"/>
      <c r="M2" s="68"/>
    </row>
    <row r="3" spans="1:15" ht="19.5" thickBot="1">
      <c r="A3" s="38"/>
      <c r="B3" s="38"/>
      <c r="C3" s="42"/>
      <c r="D3" s="42"/>
      <c r="E3" s="42"/>
      <c r="F3" s="42"/>
      <c r="G3" s="42"/>
      <c r="H3" s="42"/>
      <c r="I3" s="42"/>
      <c r="J3" s="42"/>
      <c r="L3" s="68"/>
      <c r="M3" s="68"/>
    </row>
    <row r="4" spans="1:15">
      <c r="A4" s="84"/>
      <c r="B4" s="114" t="s">
        <v>9</v>
      </c>
      <c r="C4" s="114" t="s">
        <v>8</v>
      </c>
      <c r="D4" s="75"/>
      <c r="E4" s="114" t="s">
        <v>7</v>
      </c>
      <c r="F4" s="129" t="s">
        <v>37</v>
      </c>
      <c r="G4" s="130"/>
      <c r="H4" s="130"/>
      <c r="I4" s="131"/>
      <c r="J4" s="84"/>
      <c r="L4" s="69"/>
      <c r="M4" s="69"/>
    </row>
    <row r="5" spans="1:15">
      <c r="A5" s="84" t="s">
        <v>4</v>
      </c>
      <c r="B5" s="115">
        <v>2010</v>
      </c>
      <c r="C5" s="115">
        <v>2011</v>
      </c>
      <c r="D5" s="23" t="s">
        <v>0</v>
      </c>
      <c r="E5" s="116">
        <v>2012</v>
      </c>
      <c r="F5" s="117">
        <v>2013</v>
      </c>
      <c r="G5" s="117">
        <v>2014</v>
      </c>
      <c r="H5" s="117">
        <v>2015</v>
      </c>
      <c r="I5" s="118">
        <v>2016</v>
      </c>
      <c r="J5" s="118">
        <v>2017</v>
      </c>
      <c r="K5" s="38"/>
    </row>
    <row r="6" spans="1:15">
      <c r="A6" s="63" t="s">
        <v>29</v>
      </c>
      <c r="B6" s="63"/>
      <c r="C6" s="63"/>
      <c r="D6" s="63"/>
      <c r="E6" s="63"/>
      <c r="F6" s="63"/>
      <c r="G6" s="63"/>
      <c r="H6" s="63"/>
      <c r="I6" s="63"/>
      <c r="J6" s="63"/>
      <c r="K6" s="38"/>
    </row>
    <row r="7" spans="1:15">
      <c r="A7" s="37" t="s">
        <v>34</v>
      </c>
      <c r="B7" s="78">
        <v>480611</v>
      </c>
      <c r="C7" s="79">
        <v>517388</v>
      </c>
      <c r="D7" s="44">
        <f>+(C7-B7)/B7*100</f>
        <v>7.6521344704969296</v>
      </c>
      <c r="E7" s="80">
        <v>545888</v>
      </c>
      <c r="F7" s="81">
        <v>574888</v>
      </c>
      <c r="G7" s="119">
        <v>594983</v>
      </c>
      <c r="H7" s="83">
        <f>+(627707-594983)+G7</f>
        <v>627707</v>
      </c>
      <c r="I7" s="82">
        <f>+(662231-627707)+H7</f>
        <v>662231</v>
      </c>
      <c r="J7" s="95">
        <v>698654</v>
      </c>
      <c r="K7" s="38"/>
      <c r="L7" s="15"/>
      <c r="M7" s="16"/>
      <c r="N7" s="17"/>
      <c r="O7" s="16"/>
    </row>
    <row r="8" spans="1:15">
      <c r="A8" s="37" t="s">
        <v>41</v>
      </c>
      <c r="B8" s="78">
        <v>799</v>
      </c>
      <c r="C8" s="79">
        <v>852</v>
      </c>
      <c r="D8" s="44">
        <f t="shared" ref="D8:D16" si="0">+(C8-B8)/B8*100</f>
        <v>6.6332916145181482</v>
      </c>
      <c r="E8" s="80">
        <v>887</v>
      </c>
      <c r="F8" s="81">
        <v>943</v>
      </c>
      <c r="G8" s="95">
        <v>972</v>
      </c>
      <c r="H8" s="83">
        <f>+(1028-972)+G8</f>
        <v>1028</v>
      </c>
      <c r="I8" s="82">
        <f>+(1088-1028)+H8</f>
        <v>1088</v>
      </c>
      <c r="J8" s="82">
        <f>+(1151-1088)+I8</f>
        <v>1151</v>
      </c>
      <c r="K8" s="84"/>
    </row>
    <row r="9" spans="1:15">
      <c r="A9" s="120" t="s">
        <v>42</v>
      </c>
      <c r="B9" s="78">
        <v>0</v>
      </c>
      <c r="C9" s="78">
        <v>0</v>
      </c>
      <c r="D9" s="44"/>
      <c r="E9" s="78">
        <v>0</v>
      </c>
      <c r="F9" s="78">
        <v>0</v>
      </c>
      <c r="G9" s="78">
        <v>0</v>
      </c>
      <c r="H9" s="78">
        <v>0</v>
      </c>
      <c r="I9" s="78">
        <v>0</v>
      </c>
      <c r="J9" s="78">
        <v>0</v>
      </c>
      <c r="K9" s="38"/>
    </row>
    <row r="10" spans="1:15">
      <c r="A10" s="120" t="s">
        <v>38</v>
      </c>
      <c r="B10" s="85">
        <f>+B8-B9</f>
        <v>799</v>
      </c>
      <c r="C10" s="85">
        <f t="shared" ref="C10" si="1">+C8-C9</f>
        <v>852</v>
      </c>
      <c r="D10" s="45">
        <f>+(C10-B10)/B10*100</f>
        <v>6.6332916145181482</v>
      </c>
      <c r="E10" s="85">
        <f>+E8-E9</f>
        <v>887</v>
      </c>
      <c r="F10" s="85">
        <f>+F8-F9</f>
        <v>943</v>
      </c>
      <c r="G10" s="85">
        <f>+G8-G9</f>
        <v>972</v>
      </c>
      <c r="H10" s="85">
        <f t="shared" ref="H10:J10" si="2">+H8-H9</f>
        <v>1028</v>
      </c>
      <c r="I10" s="85">
        <f t="shared" ref="I10" si="3">+I8-I9</f>
        <v>1088</v>
      </c>
      <c r="J10" s="85">
        <f t="shared" si="2"/>
        <v>1151</v>
      </c>
      <c r="K10" s="46"/>
    </row>
    <row r="11" spans="1:15">
      <c r="A11" s="37" t="s">
        <v>43</v>
      </c>
      <c r="B11" s="78">
        <v>33</v>
      </c>
      <c r="C11" s="79">
        <v>34</v>
      </c>
      <c r="D11" s="44">
        <f t="shared" si="0"/>
        <v>3.0303030303030303</v>
      </c>
      <c r="E11" s="80">
        <v>36</v>
      </c>
      <c r="F11" s="81">
        <v>39</v>
      </c>
      <c r="G11" s="82">
        <f>+(40-39)+F11</f>
        <v>40</v>
      </c>
      <c r="H11" s="83">
        <f>+(42-40)+G11</f>
        <v>42</v>
      </c>
      <c r="I11" s="82">
        <f>+(43-42)+H11</f>
        <v>43</v>
      </c>
      <c r="J11" s="82">
        <f>+(44-43)+I11</f>
        <v>44</v>
      </c>
      <c r="K11" s="38"/>
    </row>
    <row r="12" spans="1:15">
      <c r="A12" s="120" t="s">
        <v>44</v>
      </c>
      <c r="B12" s="78">
        <v>2</v>
      </c>
      <c r="C12" s="78">
        <v>2</v>
      </c>
      <c r="D12" s="44">
        <f t="shared" si="0"/>
        <v>0</v>
      </c>
      <c r="E12" s="78">
        <v>2</v>
      </c>
      <c r="F12" s="78">
        <v>2</v>
      </c>
      <c r="G12" s="78">
        <v>2</v>
      </c>
      <c r="H12" s="78">
        <v>3</v>
      </c>
      <c r="I12" s="78">
        <v>3</v>
      </c>
      <c r="J12" s="78">
        <v>3</v>
      </c>
      <c r="K12" s="38"/>
    </row>
    <row r="13" spans="1:15">
      <c r="A13" s="120" t="s">
        <v>39</v>
      </c>
      <c r="B13" s="85">
        <f>+B11-B12</f>
        <v>31</v>
      </c>
      <c r="C13" s="85">
        <f>+C11-C12</f>
        <v>32</v>
      </c>
      <c r="D13" s="45">
        <f>+(C13-B13)/B13*100</f>
        <v>3.225806451612903</v>
      </c>
      <c r="E13" s="85">
        <f>+E11-E12</f>
        <v>34</v>
      </c>
      <c r="F13" s="85">
        <f>+F11-F12</f>
        <v>37</v>
      </c>
      <c r="G13" s="85">
        <f>+G11-G12</f>
        <v>38</v>
      </c>
      <c r="H13" s="85">
        <f t="shared" ref="H13:J13" si="4">+H11-H12</f>
        <v>39</v>
      </c>
      <c r="I13" s="85">
        <f t="shared" ref="I13" si="5">+I11-I12</f>
        <v>40</v>
      </c>
      <c r="J13" s="85">
        <f t="shared" si="4"/>
        <v>41</v>
      </c>
      <c r="K13" s="46"/>
    </row>
    <row r="14" spans="1:15">
      <c r="A14" s="37" t="s">
        <v>19</v>
      </c>
      <c r="B14" s="85">
        <f>+B9+B12</f>
        <v>2</v>
      </c>
      <c r="C14" s="85">
        <f>+C9+C12</f>
        <v>2</v>
      </c>
      <c r="D14" s="45">
        <f t="shared" si="0"/>
        <v>0</v>
      </c>
      <c r="E14" s="85">
        <f>+E9+E12</f>
        <v>2</v>
      </c>
      <c r="F14" s="85">
        <f>+F9+F12</f>
        <v>2</v>
      </c>
      <c r="G14" s="85">
        <f>+G9+G12</f>
        <v>2</v>
      </c>
      <c r="H14" s="85">
        <f t="shared" ref="H14:J14" si="6">+H9+H12</f>
        <v>3</v>
      </c>
      <c r="I14" s="85">
        <f t="shared" ref="I14" si="7">+I9+I12</f>
        <v>3</v>
      </c>
      <c r="J14" s="85">
        <f t="shared" si="6"/>
        <v>3</v>
      </c>
      <c r="K14" s="84"/>
    </row>
    <row r="15" spans="1:15">
      <c r="A15" s="37" t="s">
        <v>20</v>
      </c>
      <c r="B15" s="85">
        <f>+B7+B10+B13</f>
        <v>481441</v>
      </c>
      <c r="C15" s="85">
        <f>+C7+C10+C13</f>
        <v>518272</v>
      </c>
      <c r="D15" s="45">
        <f>+(C15-B15)/B15*100</f>
        <v>7.65015858641038</v>
      </c>
      <c r="E15" s="85">
        <f>+E7+E10+E13</f>
        <v>546809</v>
      </c>
      <c r="F15" s="85">
        <f>+F7+F10+F13</f>
        <v>575868</v>
      </c>
      <c r="G15" s="85">
        <f>+G7+G10+G13</f>
        <v>595993</v>
      </c>
      <c r="H15" s="85">
        <f t="shared" ref="H15:J15" si="8">+H7+H10+H13</f>
        <v>628774</v>
      </c>
      <c r="I15" s="85">
        <f t="shared" ref="I15" si="9">+I7+I10+I13</f>
        <v>663359</v>
      </c>
      <c r="J15" s="85">
        <f t="shared" si="8"/>
        <v>699846</v>
      </c>
      <c r="K15" s="84"/>
    </row>
    <row r="16" spans="1:15">
      <c r="A16" s="37" t="s">
        <v>1</v>
      </c>
      <c r="B16" s="85">
        <f>+B14+B15</f>
        <v>481443</v>
      </c>
      <c r="C16" s="85">
        <f>+C14+C15</f>
        <v>518274</v>
      </c>
      <c r="D16" s="45">
        <f t="shared" si="0"/>
        <v>7.6501268062885943</v>
      </c>
      <c r="E16" s="85">
        <f>+E14+E15</f>
        <v>546811</v>
      </c>
      <c r="F16" s="85">
        <f>+F14+F15</f>
        <v>575870</v>
      </c>
      <c r="G16" s="85">
        <f>+G14+G15</f>
        <v>595995</v>
      </c>
      <c r="H16" s="85">
        <f t="shared" ref="H16:J16" si="10">+H14+H15</f>
        <v>628777</v>
      </c>
      <c r="I16" s="85">
        <f t="shared" ref="I16" si="11">+I14+I15</f>
        <v>663362</v>
      </c>
      <c r="J16" s="85">
        <f t="shared" si="10"/>
        <v>699849</v>
      </c>
      <c r="K16" s="84"/>
    </row>
    <row r="17" spans="1:16">
      <c r="A17" s="47"/>
      <c r="B17" s="32" t="s">
        <v>10</v>
      </c>
      <c r="C17" s="32" t="s">
        <v>10</v>
      </c>
      <c r="D17" s="33"/>
      <c r="E17" s="32" t="s">
        <v>10</v>
      </c>
      <c r="F17" s="32" t="s">
        <v>10</v>
      </c>
      <c r="G17" s="48">
        <f>+G7+G8+G11</f>
        <v>595995</v>
      </c>
      <c r="H17" s="48">
        <f t="shared" ref="H17:J17" si="12">+H7+H8+H11</f>
        <v>628777</v>
      </c>
      <c r="I17" s="48">
        <f t="shared" ref="I17" si="13">+I7+I8+I11</f>
        <v>663362</v>
      </c>
      <c r="J17" s="48">
        <f t="shared" si="12"/>
        <v>699849</v>
      </c>
      <c r="K17" s="49" t="s">
        <v>36</v>
      </c>
    </row>
    <row r="18" spans="1:16">
      <c r="A18" s="64" t="s">
        <v>28</v>
      </c>
      <c r="B18" s="65"/>
      <c r="C18" s="65"/>
      <c r="D18" s="65"/>
      <c r="E18" s="65"/>
      <c r="F18" s="65"/>
      <c r="G18" s="65"/>
      <c r="H18" s="65"/>
      <c r="I18" s="66"/>
      <c r="J18" s="66"/>
      <c r="K18" s="38"/>
    </row>
    <row r="19" spans="1:16">
      <c r="A19" s="37" t="s">
        <v>45</v>
      </c>
      <c r="B19" s="78">
        <v>5555.8</v>
      </c>
      <c r="C19" s="79">
        <v>6216.5</v>
      </c>
      <c r="D19" s="50">
        <f t="shared" ref="D19:D28" si="14">+(C19-B19)/B19*100</f>
        <v>11.892076748623056</v>
      </c>
      <c r="E19" s="81">
        <v>7085.5</v>
      </c>
      <c r="F19" s="81">
        <v>7195</v>
      </c>
      <c r="G19" s="95">
        <v>7915</v>
      </c>
      <c r="H19" s="83">
        <f>+(8540-7915)+G19</f>
        <v>8540</v>
      </c>
      <c r="I19" s="82">
        <f>+(9214-8540)+H19</f>
        <v>9214</v>
      </c>
      <c r="J19" s="82">
        <f>+(9942-9214)+I19</f>
        <v>9942</v>
      </c>
      <c r="K19" s="38"/>
      <c r="L19" s="67"/>
      <c r="M19" s="67"/>
      <c r="N19" s="17"/>
      <c r="O19" s="16"/>
    </row>
    <row r="20" spans="1:16">
      <c r="A20" s="37" t="s">
        <v>46</v>
      </c>
      <c r="B20" s="78">
        <v>1546.2</v>
      </c>
      <c r="C20" s="79">
        <v>1549.4</v>
      </c>
      <c r="D20" s="50">
        <f t="shared" si="14"/>
        <v>0.20695899624887112</v>
      </c>
      <c r="E20" s="81">
        <v>1726.1</v>
      </c>
      <c r="F20" s="81">
        <v>1802.6</v>
      </c>
      <c r="G20" s="95">
        <v>2165</v>
      </c>
      <c r="H20" s="83">
        <f>+(2308-2165)+G20</f>
        <v>2308</v>
      </c>
      <c r="I20" s="82">
        <f>+(2460-2308)+H20</f>
        <v>2460</v>
      </c>
      <c r="J20" s="82">
        <f>+(2622-2460)+I20</f>
        <v>2622</v>
      </c>
      <c r="K20" s="84"/>
      <c r="L20" s="67"/>
      <c r="M20" s="67"/>
    </row>
    <row r="21" spans="1:16">
      <c r="A21" s="120" t="s">
        <v>47</v>
      </c>
      <c r="B21" s="121">
        <v>0</v>
      </c>
      <c r="C21" s="121">
        <v>0</v>
      </c>
      <c r="D21" s="50"/>
      <c r="E21" s="85">
        <v>0</v>
      </c>
      <c r="F21" s="85">
        <v>0</v>
      </c>
      <c r="G21" s="85">
        <v>0</v>
      </c>
      <c r="H21" s="85">
        <v>0</v>
      </c>
      <c r="I21" s="85">
        <v>0</v>
      </c>
      <c r="J21" s="85">
        <v>0</v>
      </c>
      <c r="K21" s="38"/>
      <c r="L21" s="67"/>
      <c r="M21" s="67"/>
    </row>
    <row r="22" spans="1:16">
      <c r="A22" s="120" t="s">
        <v>48</v>
      </c>
      <c r="B22" s="85">
        <f>+B20-B21</f>
        <v>1546.2</v>
      </c>
      <c r="C22" s="85">
        <f>+C20-C21</f>
        <v>1549.4</v>
      </c>
      <c r="D22" s="50">
        <f t="shared" si="14"/>
        <v>0.20695899624887112</v>
      </c>
      <c r="E22" s="122">
        <f t="shared" ref="E22:J22" si="15">+E20-E21</f>
        <v>1726.1</v>
      </c>
      <c r="F22" s="122">
        <f t="shared" si="15"/>
        <v>1802.6</v>
      </c>
      <c r="G22" s="122">
        <f t="shared" si="15"/>
        <v>2165</v>
      </c>
      <c r="H22" s="122">
        <f t="shared" si="15"/>
        <v>2308</v>
      </c>
      <c r="I22" s="122">
        <f t="shared" si="15"/>
        <v>2460</v>
      </c>
      <c r="J22" s="122">
        <f t="shared" si="15"/>
        <v>2622</v>
      </c>
      <c r="K22" s="46"/>
    </row>
    <row r="23" spans="1:16">
      <c r="A23" s="37" t="s">
        <v>49</v>
      </c>
      <c r="B23" s="78">
        <v>1409.6</v>
      </c>
      <c r="C23" s="79">
        <v>1486.4</v>
      </c>
      <c r="D23" s="50">
        <f t="shared" si="14"/>
        <v>5.4483541430193094</v>
      </c>
      <c r="E23" s="81">
        <v>1518.9</v>
      </c>
      <c r="F23" s="81">
        <v>1587.6</v>
      </c>
      <c r="G23" s="95">
        <v>1902</v>
      </c>
      <c r="H23" s="83">
        <f>+(2058-1902)+G23</f>
        <v>2058</v>
      </c>
      <c r="I23" s="82">
        <f>+(2227-2058)+H23</f>
        <v>2227</v>
      </c>
      <c r="J23" s="82">
        <f>+(2410-2227)+I23</f>
        <v>2410</v>
      </c>
      <c r="K23" s="84"/>
      <c r="L23" s="14"/>
    </row>
    <row r="24" spans="1:16">
      <c r="A24" s="120" t="s">
        <v>50</v>
      </c>
      <c r="B24" s="85">
        <v>485</v>
      </c>
      <c r="C24" s="122">
        <v>501</v>
      </c>
      <c r="D24" s="50">
        <f t="shared" si="14"/>
        <v>3.2989690721649487</v>
      </c>
      <c r="E24" s="122">
        <v>527</v>
      </c>
      <c r="F24" s="122">
        <v>544</v>
      </c>
      <c r="G24" s="122">
        <v>571</v>
      </c>
      <c r="H24" s="122">
        <v>740</v>
      </c>
      <c r="I24" s="122">
        <v>770</v>
      </c>
      <c r="J24" s="122">
        <v>780</v>
      </c>
      <c r="K24" s="38"/>
    </row>
    <row r="25" spans="1:16">
      <c r="A25" s="120" t="s">
        <v>51</v>
      </c>
      <c r="B25" s="85">
        <f>+B23-B24</f>
        <v>924.59999999999991</v>
      </c>
      <c r="C25" s="122">
        <f>+C23-C24</f>
        <v>985.40000000000009</v>
      </c>
      <c r="D25" s="50">
        <f t="shared" si="14"/>
        <v>6.5758165693272979</v>
      </c>
      <c r="E25" s="122">
        <f>+E23-E24</f>
        <v>991.90000000000009</v>
      </c>
      <c r="F25" s="122">
        <f>+F23-F24</f>
        <v>1043.5999999999999</v>
      </c>
      <c r="G25" s="122">
        <f t="shared" ref="G25:J25" si="16">+G23-G24</f>
        <v>1331</v>
      </c>
      <c r="H25" s="122">
        <f t="shared" si="16"/>
        <v>1318</v>
      </c>
      <c r="I25" s="122">
        <f t="shared" ref="I25" si="17">+I23-I24</f>
        <v>1457</v>
      </c>
      <c r="J25" s="122">
        <f t="shared" si="16"/>
        <v>1630</v>
      </c>
      <c r="K25" s="46"/>
    </row>
    <row r="26" spans="1:16">
      <c r="A26" s="37" t="s">
        <v>30</v>
      </c>
      <c r="B26" s="85">
        <f>+B21+B24</f>
        <v>485</v>
      </c>
      <c r="C26" s="85">
        <f>+C21+C24</f>
        <v>501</v>
      </c>
      <c r="D26" s="50">
        <f t="shared" si="14"/>
        <v>3.2989690721649487</v>
      </c>
      <c r="E26" s="85">
        <f t="shared" ref="E26:J26" si="18">+E21+E24</f>
        <v>527</v>
      </c>
      <c r="F26" s="85">
        <f t="shared" si="18"/>
        <v>544</v>
      </c>
      <c r="G26" s="85">
        <f t="shared" si="18"/>
        <v>571</v>
      </c>
      <c r="H26" s="85">
        <f t="shared" si="18"/>
        <v>740</v>
      </c>
      <c r="I26" s="85">
        <f t="shared" ref="I26" si="19">+I21+I24</f>
        <v>770</v>
      </c>
      <c r="J26" s="85">
        <f t="shared" si="18"/>
        <v>780</v>
      </c>
      <c r="K26" s="84"/>
      <c r="L26" s="11"/>
    </row>
    <row r="27" spans="1:16">
      <c r="A27" s="37" t="s">
        <v>31</v>
      </c>
      <c r="B27" s="85">
        <f>+B19+B22+B25</f>
        <v>8026.6</v>
      </c>
      <c r="C27" s="85">
        <f>+C19+C22+C25</f>
        <v>8751.2999999999993</v>
      </c>
      <c r="D27" s="50">
        <f t="shared" si="14"/>
        <v>9.0287294744972826</v>
      </c>
      <c r="E27" s="85">
        <f t="shared" ref="E27:J27" si="20">+E19+E22+E25</f>
        <v>9803.5</v>
      </c>
      <c r="F27" s="85">
        <f t="shared" si="20"/>
        <v>10041.200000000001</v>
      </c>
      <c r="G27" s="85">
        <f t="shared" si="20"/>
        <v>11411</v>
      </c>
      <c r="H27" s="85">
        <f t="shared" si="20"/>
        <v>12166</v>
      </c>
      <c r="I27" s="85">
        <f t="shared" ref="I27" si="21">+I19+I22+I25</f>
        <v>13131</v>
      </c>
      <c r="J27" s="85">
        <f t="shared" si="20"/>
        <v>14194</v>
      </c>
      <c r="K27" s="84"/>
      <c r="L27" s="11"/>
    </row>
    <row r="28" spans="1:16">
      <c r="A28" s="37" t="s">
        <v>32</v>
      </c>
      <c r="B28" s="85">
        <f>+B26+B27</f>
        <v>8511.6</v>
      </c>
      <c r="C28" s="85">
        <f>+C26+C27</f>
        <v>9252.2999999999993</v>
      </c>
      <c r="D28" s="50">
        <f t="shared" si="14"/>
        <v>8.7022416466939099</v>
      </c>
      <c r="E28" s="85">
        <f t="shared" ref="E28:J28" si="22">+E26+E27</f>
        <v>10330.5</v>
      </c>
      <c r="F28" s="85">
        <f t="shared" si="22"/>
        <v>10585.2</v>
      </c>
      <c r="G28" s="85">
        <f t="shared" si="22"/>
        <v>11982</v>
      </c>
      <c r="H28" s="85">
        <f t="shared" si="22"/>
        <v>12906</v>
      </c>
      <c r="I28" s="85">
        <f t="shared" ref="I28" si="23">+I26+I27</f>
        <v>13901</v>
      </c>
      <c r="J28" s="85">
        <f t="shared" si="22"/>
        <v>14974</v>
      </c>
      <c r="K28" s="84"/>
      <c r="L28" s="11"/>
    </row>
    <row r="29" spans="1:16">
      <c r="A29" s="37"/>
      <c r="B29" s="32" t="s">
        <v>10</v>
      </c>
      <c r="C29" s="32" t="s">
        <v>10</v>
      </c>
      <c r="D29" s="123"/>
      <c r="E29" s="32" t="s">
        <v>10</v>
      </c>
      <c r="F29" s="32" t="s">
        <v>10</v>
      </c>
      <c r="G29" s="105">
        <f>+G19+G20+G23</f>
        <v>11982</v>
      </c>
      <c r="H29" s="105">
        <f t="shared" ref="H29:J29" si="24">+H19+H20+H23</f>
        <v>12906</v>
      </c>
      <c r="I29" s="105">
        <f t="shared" ref="I29" si="25">+I19+I20+I23</f>
        <v>13901</v>
      </c>
      <c r="J29" s="105">
        <f t="shared" si="24"/>
        <v>14974</v>
      </c>
      <c r="K29" s="49" t="s">
        <v>36</v>
      </c>
    </row>
    <row r="30" spans="1:16">
      <c r="A30" s="37" t="s">
        <v>5</v>
      </c>
      <c r="B30" s="86">
        <v>0.31714604557399473</v>
      </c>
      <c r="C30" s="86">
        <v>0.31770288747687603</v>
      </c>
      <c r="D30" s="86"/>
      <c r="E30" s="87">
        <v>0.32</v>
      </c>
      <c r="F30" s="87">
        <v>0.32</v>
      </c>
      <c r="G30" s="124">
        <v>0.29799999999999999</v>
      </c>
      <c r="H30" s="124">
        <v>0.29799999999999999</v>
      </c>
      <c r="I30" s="124">
        <v>0.29799999999999999</v>
      </c>
      <c r="J30" s="124">
        <v>0.29799999999999999</v>
      </c>
      <c r="K30" s="38"/>
    </row>
    <row r="31" spans="1:16">
      <c r="A31" s="37" t="s">
        <v>6</v>
      </c>
      <c r="B31" s="86">
        <v>0.34406933126374334</v>
      </c>
      <c r="C31" s="86">
        <v>0.35110365302697816</v>
      </c>
      <c r="D31" s="86"/>
      <c r="E31" s="87">
        <v>0.33</v>
      </c>
      <c r="F31" s="87">
        <v>0.33</v>
      </c>
      <c r="G31" s="124">
        <v>0.29799999999999999</v>
      </c>
      <c r="H31" s="124">
        <v>0.29799999999999999</v>
      </c>
      <c r="I31" s="124">
        <v>0.29799999999999999</v>
      </c>
      <c r="J31" s="124">
        <v>0.29799999999999999</v>
      </c>
      <c r="K31" s="38"/>
      <c r="L31" s="88"/>
      <c r="M31" s="89"/>
      <c r="N31" s="90"/>
      <c r="O31" s="88"/>
      <c r="P31" s="89"/>
    </row>
    <row r="32" spans="1:16">
      <c r="A32" s="37" t="s">
        <v>40</v>
      </c>
      <c r="B32" s="86">
        <v>0.22133938706015893</v>
      </c>
      <c r="C32" s="86">
        <v>0.219994617868676</v>
      </c>
      <c r="D32" s="86"/>
      <c r="E32" s="87">
        <v>0.16400000000000001</v>
      </c>
      <c r="F32" s="87">
        <v>0.16400000000000001</v>
      </c>
      <c r="G32" s="125">
        <v>0.29799999999999999</v>
      </c>
      <c r="H32" s="125">
        <v>0.29799999999999999</v>
      </c>
      <c r="I32" s="125">
        <v>0.29799999999999999</v>
      </c>
      <c r="J32" s="125">
        <v>0.29799999999999999</v>
      </c>
      <c r="K32" s="38"/>
      <c r="L32" s="88"/>
      <c r="M32" s="89"/>
      <c r="N32" s="90"/>
      <c r="O32" s="88"/>
      <c r="P32" s="89"/>
    </row>
    <row r="33" spans="1:16">
      <c r="A33" s="75"/>
      <c r="B33" s="91"/>
      <c r="C33" s="91"/>
      <c r="D33" s="91"/>
      <c r="E33" s="92"/>
      <c r="F33" s="92"/>
      <c r="G33" s="93"/>
      <c r="H33" s="93"/>
      <c r="I33" s="93"/>
      <c r="J33" s="93"/>
      <c r="K33" s="38"/>
      <c r="L33" s="88"/>
      <c r="M33" s="89"/>
      <c r="N33" s="90"/>
      <c r="O33" s="88"/>
      <c r="P33" s="89"/>
    </row>
    <row r="34" spans="1:16">
      <c r="A34" s="109"/>
      <c r="B34" s="110">
        <v>0.30617040274448987</v>
      </c>
      <c r="C34" s="110">
        <v>0.30759919155237081</v>
      </c>
      <c r="D34" s="103"/>
      <c r="E34" s="110">
        <v>0.29873409805914525</v>
      </c>
      <c r="F34" s="110">
        <v>0.29830559649321692</v>
      </c>
      <c r="G34" s="110">
        <v>0.29799999999999993</v>
      </c>
      <c r="H34" s="110">
        <v>0.29799999999999999</v>
      </c>
      <c r="I34" s="110">
        <v>0.29799999999999993</v>
      </c>
      <c r="J34" s="110">
        <v>0.29799999999999999</v>
      </c>
      <c r="K34" s="38"/>
      <c r="L34" s="88"/>
      <c r="M34" s="89"/>
      <c r="N34" s="90"/>
      <c r="O34" s="88"/>
      <c r="P34" s="89"/>
    </row>
    <row r="35" spans="1:16">
      <c r="A35" s="40" t="s">
        <v>54</v>
      </c>
      <c r="B35" s="96">
        <v>0.30599999999999999</v>
      </c>
      <c r="C35" s="96">
        <v>0.308</v>
      </c>
      <c r="D35" s="96"/>
      <c r="E35" s="96">
        <v>0.29899999999999999</v>
      </c>
      <c r="F35" s="96">
        <v>0.29799999999999999</v>
      </c>
      <c r="G35" s="96">
        <v>0.29799999999999999</v>
      </c>
      <c r="H35" s="96">
        <v>0.29799999999999999</v>
      </c>
      <c r="I35" s="96">
        <v>0.29799999999999999</v>
      </c>
      <c r="J35" s="96">
        <v>0.29799999999999999</v>
      </c>
      <c r="K35" s="38"/>
      <c r="L35" s="88"/>
      <c r="M35" s="89"/>
      <c r="N35" s="90"/>
      <c r="O35" s="88"/>
      <c r="P35" s="89"/>
    </row>
    <row r="36" spans="1:16">
      <c r="A36" s="97"/>
      <c r="B36" s="27">
        <f>+B16*B35</f>
        <v>147321.55799999999</v>
      </c>
      <c r="C36" s="27">
        <f>+C16*C35</f>
        <v>159628.39199999999</v>
      </c>
      <c r="D36" s="96"/>
      <c r="E36" s="27">
        <f>+E35*E28</f>
        <v>3088.8195000000001</v>
      </c>
      <c r="F36" s="27">
        <f t="shared" ref="F36:J36" si="26">+F35*F28</f>
        <v>3154.3896</v>
      </c>
      <c r="G36" s="27">
        <f t="shared" si="26"/>
        <v>3570.636</v>
      </c>
      <c r="H36" s="27">
        <f t="shared" si="26"/>
        <v>3845.9879999999998</v>
      </c>
      <c r="I36" s="27">
        <f t="shared" si="26"/>
        <v>4142.4979999999996</v>
      </c>
      <c r="J36" s="27">
        <f t="shared" si="26"/>
        <v>4462.2519999999995</v>
      </c>
      <c r="K36" s="38"/>
      <c r="L36" s="88"/>
      <c r="M36" s="89"/>
      <c r="N36" s="90"/>
      <c r="O36" s="88"/>
      <c r="P36" s="89"/>
    </row>
    <row r="37" spans="1:16">
      <c r="A37" s="97"/>
      <c r="B37" s="51"/>
      <c r="C37" s="51"/>
      <c r="D37" s="52"/>
      <c r="E37" s="51"/>
      <c r="F37" s="51"/>
      <c r="G37" s="51"/>
      <c r="H37" s="51"/>
      <c r="I37" s="51"/>
      <c r="J37" s="51"/>
      <c r="K37" s="43"/>
      <c r="L37" s="88"/>
      <c r="M37" s="89"/>
      <c r="N37" s="90"/>
      <c r="O37" s="88"/>
      <c r="P37" s="89"/>
    </row>
    <row r="38" spans="1:16">
      <c r="A38" s="75"/>
      <c r="B38" s="75"/>
      <c r="C38" s="75"/>
      <c r="D38" s="23"/>
      <c r="E38" s="75"/>
      <c r="F38" s="75"/>
      <c r="G38" s="75"/>
      <c r="H38" s="75"/>
      <c r="I38" s="75"/>
      <c r="J38" s="75"/>
      <c r="K38" s="13"/>
    </row>
    <row r="39" spans="1:16">
      <c r="A39" s="97"/>
      <c r="B39" s="111"/>
      <c r="C39" s="111"/>
      <c r="D39" s="112"/>
      <c r="E39" s="51"/>
      <c r="F39" s="51"/>
      <c r="G39" s="51"/>
      <c r="H39" s="51"/>
      <c r="I39" s="51"/>
      <c r="J39" s="51"/>
    </row>
    <row r="40" spans="1:16">
      <c r="A40" s="37" t="s">
        <v>55</v>
      </c>
      <c r="B40" s="78">
        <v>1762</v>
      </c>
      <c r="C40" s="78">
        <v>1975</v>
      </c>
      <c r="D40" s="26">
        <f t="shared" ref="D40:D49" si="27">+(C40-B40)/B40*100</f>
        <v>12.088535754824063</v>
      </c>
      <c r="E40" s="76">
        <f>+E30*E19+1</f>
        <v>2268.36</v>
      </c>
      <c r="F40" s="76">
        <f>+F19*F30</f>
        <v>2302.4</v>
      </c>
      <c r="G40" s="76">
        <f t="shared" ref="G40:J40" si="28">+G19*G30</f>
        <v>2358.67</v>
      </c>
      <c r="H40" s="76">
        <f t="shared" si="28"/>
        <v>2544.92</v>
      </c>
      <c r="I40" s="76">
        <f t="shared" si="28"/>
        <v>2745.7719999999999</v>
      </c>
      <c r="J40" s="76">
        <f t="shared" si="28"/>
        <v>2962.7159999999999</v>
      </c>
    </row>
    <row r="41" spans="1:16">
      <c r="A41" s="37" t="s">
        <v>56</v>
      </c>
      <c r="B41" s="78">
        <v>532</v>
      </c>
      <c r="C41" s="78">
        <v>544</v>
      </c>
      <c r="D41" s="26">
        <f t="shared" si="27"/>
        <v>2.2556390977443606</v>
      </c>
      <c r="E41" s="76">
        <f>+E31*E20</f>
        <v>569.61299999999994</v>
      </c>
      <c r="F41" s="76">
        <f>+F20*F31</f>
        <v>594.85799999999995</v>
      </c>
      <c r="G41" s="76">
        <f t="shared" ref="G41:J41" si="29">+G20*G31</f>
        <v>645.16999999999996</v>
      </c>
      <c r="H41" s="76">
        <f t="shared" si="29"/>
        <v>687.78399999999999</v>
      </c>
      <c r="I41" s="76">
        <f t="shared" si="29"/>
        <v>733.07999999999993</v>
      </c>
      <c r="J41" s="76">
        <f t="shared" si="29"/>
        <v>781.35599999999999</v>
      </c>
    </row>
    <row r="42" spans="1:16">
      <c r="A42" s="102" t="s">
        <v>57</v>
      </c>
      <c r="B42" s="85">
        <v>0</v>
      </c>
      <c r="C42" s="85">
        <v>0</v>
      </c>
      <c r="D42" s="26" t="e">
        <f t="shared" si="27"/>
        <v>#DIV/0!</v>
      </c>
      <c r="E42" s="76">
        <f>+E23*E32</f>
        <v>249.09960000000004</v>
      </c>
      <c r="F42" s="76">
        <f>+F23*F32+1</f>
        <v>261.3664</v>
      </c>
      <c r="G42" s="76">
        <f>+G23*G32</f>
        <v>566.79599999999994</v>
      </c>
      <c r="H42" s="76">
        <f t="shared" ref="H42:J42" si="30">+H23*H32</f>
        <v>613.28399999999999</v>
      </c>
      <c r="I42" s="76">
        <f t="shared" si="30"/>
        <v>663.64599999999996</v>
      </c>
      <c r="J42" s="76">
        <f t="shared" si="30"/>
        <v>718.18</v>
      </c>
    </row>
    <row r="43" spans="1:16">
      <c r="A43" s="102" t="s">
        <v>58</v>
      </c>
      <c r="B43" s="85">
        <v>532</v>
      </c>
      <c r="C43" s="85">
        <v>544</v>
      </c>
      <c r="D43" s="29">
        <f t="shared" si="27"/>
        <v>2.2556390977443606</v>
      </c>
      <c r="E43" s="76">
        <f>+E41-E42</f>
        <v>320.51339999999993</v>
      </c>
      <c r="F43" s="76">
        <f>+F41-F42</f>
        <v>333.49159999999995</v>
      </c>
      <c r="G43" s="76">
        <f>G41-G42</f>
        <v>78.374000000000024</v>
      </c>
      <c r="H43" s="76">
        <f t="shared" ref="H43:J43" si="31">H41-H42</f>
        <v>74.5</v>
      </c>
      <c r="I43" s="76">
        <f t="shared" si="31"/>
        <v>69.433999999999969</v>
      </c>
      <c r="J43" s="76">
        <f t="shared" si="31"/>
        <v>63.176000000000045</v>
      </c>
    </row>
    <row r="44" spans="1:16">
      <c r="A44" s="37" t="s">
        <v>59</v>
      </c>
      <c r="B44" s="78">
        <v>312</v>
      </c>
      <c r="C44" s="78">
        <v>327</v>
      </c>
      <c r="D44" s="26">
        <f t="shared" si="27"/>
        <v>4.8076923076923084</v>
      </c>
      <c r="E44" s="76">
        <f>+E23*E32</f>
        <v>249.09960000000004</v>
      </c>
      <c r="F44" s="76">
        <f>+F23*F32+1</f>
        <v>261.3664</v>
      </c>
      <c r="G44" s="76">
        <f t="shared" ref="G44:J44" si="32">+G23*G32</f>
        <v>566.79599999999994</v>
      </c>
      <c r="H44" s="76">
        <f t="shared" si="32"/>
        <v>613.28399999999999</v>
      </c>
      <c r="I44" s="76">
        <f t="shared" si="32"/>
        <v>663.64599999999996</v>
      </c>
      <c r="J44" s="76">
        <f t="shared" si="32"/>
        <v>718.18</v>
      </c>
    </row>
    <row r="45" spans="1:16">
      <c r="A45" s="102" t="s">
        <v>60</v>
      </c>
      <c r="B45" s="85">
        <v>107.34960272417709</v>
      </c>
      <c r="C45" s="85">
        <v>110.21730355220667</v>
      </c>
      <c r="D45" s="26">
        <f t="shared" si="27"/>
        <v>2.6713660370013881</v>
      </c>
      <c r="E45" s="76">
        <f>+E24*E32</f>
        <v>86.427999999999997</v>
      </c>
      <c r="F45" s="76">
        <f t="shared" ref="F45:J45" si="33">+F24*F32</f>
        <v>89.216000000000008</v>
      </c>
      <c r="G45" s="76">
        <f t="shared" si="33"/>
        <v>170.15799999999999</v>
      </c>
      <c r="H45" s="76">
        <f t="shared" si="33"/>
        <v>220.51999999999998</v>
      </c>
      <c r="I45" s="76">
        <f t="shared" si="33"/>
        <v>229.45999999999998</v>
      </c>
      <c r="J45" s="76">
        <f t="shared" si="33"/>
        <v>232.44</v>
      </c>
    </row>
    <row r="46" spans="1:16">
      <c r="A46" s="102" t="s">
        <v>61</v>
      </c>
      <c r="B46" s="85">
        <v>204.65039727582291</v>
      </c>
      <c r="C46" s="85">
        <v>216.78269644779334</v>
      </c>
      <c r="D46" s="27">
        <f t="shared" si="27"/>
        <v>5.9283047252621781</v>
      </c>
      <c r="E46" s="76">
        <f t="shared" ref="E46:J46" si="34">+E44-E45</f>
        <v>162.67160000000004</v>
      </c>
      <c r="F46" s="76">
        <f t="shared" si="34"/>
        <v>172.15039999999999</v>
      </c>
      <c r="G46" s="76">
        <f t="shared" si="34"/>
        <v>396.63799999999992</v>
      </c>
      <c r="H46" s="76">
        <f t="shared" si="34"/>
        <v>392.76400000000001</v>
      </c>
      <c r="I46" s="76">
        <f t="shared" si="34"/>
        <v>434.18599999999998</v>
      </c>
      <c r="J46" s="76">
        <f t="shared" si="34"/>
        <v>485.73999999999995</v>
      </c>
    </row>
    <row r="47" spans="1:16">
      <c r="A47" s="103" t="s">
        <v>62</v>
      </c>
      <c r="B47" s="85">
        <v>107.34960272417709</v>
      </c>
      <c r="C47" s="85">
        <v>110.21730355220667</v>
      </c>
      <c r="D47" s="98">
        <f t="shared" si="27"/>
        <v>2.6713660370013881</v>
      </c>
      <c r="E47" s="27">
        <f>+E42+E45</f>
        <v>335.52760000000001</v>
      </c>
      <c r="F47" s="27">
        <f t="shared" ref="F47:J47" si="35">+F42+F45</f>
        <v>350.58240000000001</v>
      </c>
      <c r="G47" s="27">
        <f t="shared" si="35"/>
        <v>736.95399999999995</v>
      </c>
      <c r="H47" s="27">
        <f t="shared" si="35"/>
        <v>833.80399999999997</v>
      </c>
      <c r="I47" s="27">
        <f t="shared" si="35"/>
        <v>893.10599999999999</v>
      </c>
      <c r="J47" s="27">
        <f t="shared" si="35"/>
        <v>950.61999999999989</v>
      </c>
    </row>
    <row r="48" spans="1:16">
      <c r="A48" s="103" t="s">
        <v>63</v>
      </c>
      <c r="B48" s="85">
        <v>2498.6503972758228</v>
      </c>
      <c r="C48" s="85">
        <v>2735.7826964477936</v>
      </c>
      <c r="D48" s="98">
        <f t="shared" si="27"/>
        <v>9.4904152830066391</v>
      </c>
      <c r="E48" s="27">
        <f>+E40+E43+E46</f>
        <v>2751.5450000000001</v>
      </c>
      <c r="F48" s="27">
        <f t="shared" ref="F48:J48" si="36">+F40+F43+F46</f>
        <v>2808.0419999999999</v>
      </c>
      <c r="G48" s="27">
        <f t="shared" si="36"/>
        <v>2833.6819999999998</v>
      </c>
      <c r="H48" s="27">
        <f t="shared" si="36"/>
        <v>3012.1840000000002</v>
      </c>
      <c r="I48" s="27">
        <f t="shared" si="36"/>
        <v>3249.3920000000003</v>
      </c>
      <c r="J48" s="27">
        <f t="shared" si="36"/>
        <v>3511.6319999999996</v>
      </c>
    </row>
    <row r="49" spans="1:10">
      <c r="A49" s="103" t="s">
        <v>64</v>
      </c>
      <c r="B49" s="126">
        <v>2606</v>
      </c>
      <c r="C49" s="126">
        <v>2846.0000000000005</v>
      </c>
      <c r="D49" s="98">
        <f t="shared" si="27"/>
        <v>9.2095165003837476</v>
      </c>
      <c r="E49" s="27">
        <f>+E47+E48</f>
        <v>3087.0726</v>
      </c>
      <c r="F49" s="27">
        <f>+F47+F48-1</f>
        <v>3157.6243999999997</v>
      </c>
      <c r="G49" s="27">
        <f t="shared" ref="G49:J49" si="37">+G47+G48</f>
        <v>3570.6359999999995</v>
      </c>
      <c r="H49" s="27">
        <f t="shared" si="37"/>
        <v>3845.9880000000003</v>
      </c>
      <c r="I49" s="27">
        <f t="shared" si="37"/>
        <v>4142.4980000000005</v>
      </c>
      <c r="J49" s="27">
        <f t="shared" si="37"/>
        <v>4462.2519999999995</v>
      </c>
    </row>
    <row r="50" spans="1:10">
      <c r="A50" s="97"/>
      <c r="B50" s="113" t="s">
        <v>10</v>
      </c>
      <c r="C50" s="113" t="s">
        <v>10</v>
      </c>
      <c r="D50" s="112"/>
      <c r="E50" s="51">
        <f>+E47+E48-1</f>
        <v>3086.0726</v>
      </c>
      <c r="F50" s="51">
        <f>+F47+F48-1</f>
        <v>3157.6243999999997</v>
      </c>
      <c r="G50" s="51">
        <f t="shared" ref="G50:J50" si="38">+G47+G48</f>
        <v>3570.6359999999995</v>
      </c>
      <c r="H50" s="51">
        <f t="shared" si="38"/>
        <v>3845.9880000000003</v>
      </c>
      <c r="I50" s="51">
        <f t="shared" si="38"/>
        <v>4142.4980000000005</v>
      </c>
      <c r="J50" s="51">
        <f t="shared" si="38"/>
        <v>4462.2519999999995</v>
      </c>
    </row>
    <row r="51" spans="1:10">
      <c r="A51" s="11"/>
      <c r="B51" s="11"/>
      <c r="C51" s="11"/>
      <c r="D51" s="11"/>
      <c r="E51" s="11" t="s">
        <v>10</v>
      </c>
      <c r="F51" s="11" t="s">
        <v>10</v>
      </c>
      <c r="G51" s="11" t="s">
        <v>10</v>
      </c>
      <c r="H51" s="11" t="s">
        <v>10</v>
      </c>
      <c r="I51" s="11" t="s">
        <v>10</v>
      </c>
      <c r="J51" s="11" t="s">
        <v>10</v>
      </c>
    </row>
  </sheetData>
  <mergeCells count="1">
    <mergeCell ref="F4:I4"/>
  </mergeCells>
  <pageMargins left="0.7" right="0.7" top="0.75" bottom="0.75" header="0.3" footer="0.3"/>
  <pageSetup paperSize="9" scale="6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Eligible+non Eligible ELEC</vt:lpstr>
      <vt:lpstr>Eligible+non Eligible GAZ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bellounes</cp:lastModifiedBy>
  <cp:lastPrinted>2012-11-14T11:31:24Z</cp:lastPrinted>
  <dcterms:created xsi:type="dcterms:W3CDTF">2012-05-29T09:10:07Z</dcterms:created>
  <dcterms:modified xsi:type="dcterms:W3CDTF">2012-11-20T12:46:06Z</dcterms:modified>
</cp:coreProperties>
</file>