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895" windowHeight="8025" activeTab="1"/>
  </bookViews>
  <sheets>
    <sheet name="Eligible+non Eligible ELEC" sheetId="1" r:id="rId1"/>
    <sheet name="Eligible+non Eligible GAZ" sheetId="4" r:id="rId2"/>
  </sheets>
  <calcPr calcId="124519"/>
</workbook>
</file>

<file path=xl/calcChain.xml><?xml version="1.0" encoding="utf-8"?>
<calcChain xmlns="http://schemas.openxmlformats.org/spreadsheetml/2006/main">
  <c r="G22" i="1"/>
  <c r="H22" s="1"/>
  <c r="M36" l="1"/>
  <c r="J25" l="1"/>
  <c r="I25"/>
  <c r="G23" i="4"/>
  <c r="H23" s="1"/>
  <c r="I23" s="1"/>
  <c r="G20"/>
  <c r="H20" s="1"/>
  <c r="I20" s="1"/>
  <c r="G11"/>
  <c r="H7"/>
  <c r="I7" s="1"/>
  <c r="J7" s="1"/>
  <c r="G7"/>
  <c r="H8"/>
  <c r="I8" s="1"/>
  <c r="G8"/>
  <c r="I26"/>
  <c r="I14"/>
  <c r="I22" i="1"/>
  <c r="J22" s="1"/>
  <c r="J23" i="4" l="1"/>
  <c r="J20"/>
  <c r="J8"/>
  <c r="I10"/>
  <c r="I22"/>
  <c r="I25"/>
  <c r="G18" i="1" l="1"/>
  <c r="J9"/>
  <c r="J14" s="1"/>
  <c r="J12"/>
  <c r="J13"/>
  <c r="J16"/>
  <c r="J24"/>
  <c r="J15" l="1"/>
  <c r="D7" i="4" l="1"/>
  <c r="G19" l="1"/>
  <c r="H11"/>
  <c r="G16" i="1"/>
  <c r="D7"/>
  <c r="D8"/>
  <c r="D10"/>
  <c r="D11"/>
  <c r="D18"/>
  <c r="D19"/>
  <c r="D20"/>
  <c r="D22"/>
  <c r="D23"/>
  <c r="D6"/>
  <c r="G19"/>
  <c r="B9"/>
  <c r="C32" i="4"/>
  <c r="C31"/>
  <c r="C30"/>
  <c r="B32"/>
  <c r="B31"/>
  <c r="B30"/>
  <c r="I7" i="1"/>
  <c r="I16" s="1"/>
  <c r="H7"/>
  <c r="J26" i="4"/>
  <c r="H26"/>
  <c r="G26"/>
  <c r="F26"/>
  <c r="E26"/>
  <c r="C26"/>
  <c r="B26"/>
  <c r="F25"/>
  <c r="E25"/>
  <c r="C25"/>
  <c r="B25"/>
  <c r="D24"/>
  <c r="D23"/>
  <c r="F22"/>
  <c r="E22"/>
  <c r="C22"/>
  <c r="B22"/>
  <c r="B27" s="1"/>
  <c r="G22"/>
  <c r="D20"/>
  <c r="D19"/>
  <c r="J14"/>
  <c r="H14"/>
  <c r="G14"/>
  <c r="F14"/>
  <c r="E14"/>
  <c r="C14"/>
  <c r="B14"/>
  <c r="G13"/>
  <c r="F13"/>
  <c r="E13"/>
  <c r="C13"/>
  <c r="B13"/>
  <c r="D12"/>
  <c r="D11"/>
  <c r="G10"/>
  <c r="F10"/>
  <c r="E10"/>
  <c r="C10"/>
  <c r="B10"/>
  <c r="D8"/>
  <c r="I11" l="1"/>
  <c r="D13"/>
  <c r="D10"/>
  <c r="E27"/>
  <c r="G17"/>
  <c r="H10"/>
  <c r="H13"/>
  <c r="H19"/>
  <c r="I19" s="1"/>
  <c r="G29"/>
  <c r="G28" i="1"/>
  <c r="H19"/>
  <c r="H16"/>
  <c r="H18"/>
  <c r="C15" i="4"/>
  <c r="G15"/>
  <c r="F15"/>
  <c r="E15"/>
  <c r="D26"/>
  <c r="D25"/>
  <c r="C27"/>
  <c r="D27" s="1"/>
  <c r="B15"/>
  <c r="B28"/>
  <c r="E28"/>
  <c r="D22"/>
  <c r="G25"/>
  <c r="D14"/>
  <c r="F27"/>
  <c r="J19" l="1"/>
  <c r="I27"/>
  <c r="I28" s="1"/>
  <c r="I29"/>
  <c r="I18" i="1"/>
  <c r="J18" s="1"/>
  <c r="J11" i="4"/>
  <c r="I13"/>
  <c r="I15" s="1"/>
  <c r="I16" s="1"/>
  <c r="I17"/>
  <c r="D15"/>
  <c r="I19" i="1"/>
  <c r="G27" i="4"/>
  <c r="E16"/>
  <c r="C16"/>
  <c r="J13"/>
  <c r="F16"/>
  <c r="G16"/>
  <c r="J10"/>
  <c r="H15"/>
  <c r="H29"/>
  <c r="H17"/>
  <c r="H28" i="1"/>
  <c r="B16" i="4"/>
  <c r="C28"/>
  <c r="H25"/>
  <c r="F28"/>
  <c r="G28"/>
  <c r="H22"/>
  <c r="E31" i="1"/>
  <c r="G9"/>
  <c r="H13"/>
  <c r="I13"/>
  <c r="H12"/>
  <c r="I12"/>
  <c r="H9"/>
  <c r="I9"/>
  <c r="G25"/>
  <c r="H25"/>
  <c r="F21"/>
  <c r="E21"/>
  <c r="B21"/>
  <c r="C21"/>
  <c r="F24"/>
  <c r="G13"/>
  <c r="G12"/>
  <c r="F25"/>
  <c r="F13"/>
  <c r="F12"/>
  <c r="F9"/>
  <c r="E24"/>
  <c r="E25"/>
  <c r="E13"/>
  <c r="E12"/>
  <c r="E9"/>
  <c r="C25"/>
  <c r="B25"/>
  <c r="C13"/>
  <c r="C12"/>
  <c r="C9"/>
  <c r="B13"/>
  <c r="B12"/>
  <c r="C24"/>
  <c r="B24"/>
  <c r="J19" l="1"/>
  <c r="J28" s="1"/>
  <c r="E26"/>
  <c r="H14"/>
  <c r="I14"/>
  <c r="D28" i="4"/>
  <c r="D16"/>
  <c r="H16"/>
  <c r="J29"/>
  <c r="J17"/>
  <c r="J15"/>
  <c r="D24" i="1"/>
  <c r="D13"/>
  <c r="D25"/>
  <c r="F26"/>
  <c r="F14"/>
  <c r="C14"/>
  <c r="D9"/>
  <c r="D12"/>
  <c r="G14"/>
  <c r="D21"/>
  <c r="I28"/>
  <c r="B26"/>
  <c r="J25" i="4"/>
  <c r="J22"/>
  <c r="H27"/>
  <c r="E14" i="1"/>
  <c r="G15"/>
  <c r="I15"/>
  <c r="C26"/>
  <c r="G24"/>
  <c r="H15"/>
  <c r="B14"/>
  <c r="F27"/>
  <c r="G21"/>
  <c r="E27"/>
  <c r="J21" l="1"/>
  <c r="J26" s="1"/>
  <c r="J27" s="1"/>
  <c r="B15"/>
  <c r="E15"/>
  <c r="B27"/>
  <c r="F15"/>
  <c r="J27" i="4"/>
  <c r="J16"/>
  <c r="G26" i="1"/>
  <c r="D26"/>
  <c r="C15"/>
  <c r="D14"/>
  <c r="J28" i="4"/>
  <c r="H28"/>
  <c r="H21" i="1"/>
  <c r="H24"/>
  <c r="C27"/>
  <c r="D27" l="1"/>
  <c r="D15"/>
  <c r="G27"/>
  <c r="H26"/>
  <c r="I24"/>
  <c r="I21"/>
  <c r="H27" l="1"/>
  <c r="I26"/>
  <c r="I27" l="1"/>
</calcChain>
</file>

<file path=xl/comments1.xml><?xml version="1.0" encoding="utf-8"?>
<comments xmlns="http://schemas.openxmlformats.org/spreadsheetml/2006/main">
  <authors>
    <author>bellounes</author>
  </authors>
  <commentList>
    <comment ref="B38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 CA Eligible HT dcm eronné (835)
prix de vte DCM Eronné (2,24) </t>
        </r>
      </text>
    </comment>
  </commentList>
</comments>
</file>

<file path=xl/sharedStrings.xml><?xml version="1.0" encoding="utf-8"?>
<sst xmlns="http://schemas.openxmlformats.org/spreadsheetml/2006/main" count="92" uniqueCount="58">
  <si>
    <t>TE%</t>
  </si>
  <si>
    <t>Total clients</t>
  </si>
  <si>
    <t>Prix vte BT</t>
  </si>
  <si>
    <t>Prix vte MT</t>
  </si>
  <si>
    <t>LIBELE</t>
  </si>
  <si>
    <t>Prix vte BP</t>
  </si>
  <si>
    <t>Prix vte MP</t>
  </si>
  <si>
    <t xml:space="preserve">Budget 2012 </t>
  </si>
  <si>
    <t xml:space="preserve">Bilan 2011 </t>
  </si>
  <si>
    <t xml:space="preserve">Bilan 2010 </t>
  </si>
  <si>
    <t>ok</t>
  </si>
  <si>
    <t>Vtes Elec MT Eligible</t>
  </si>
  <si>
    <t>Prix vte HT</t>
  </si>
  <si>
    <t>Nbre clients MT Eligible</t>
  </si>
  <si>
    <t>Nbre clients HT Eligible</t>
  </si>
  <si>
    <t xml:space="preserve">  Nbre client MT Non Eligible</t>
  </si>
  <si>
    <t xml:space="preserve">  Nbre client HT Non Eligible</t>
  </si>
  <si>
    <t>Nbre clients MT Dont :</t>
  </si>
  <si>
    <t>Nbre clients HT Dont :</t>
  </si>
  <si>
    <t>Total clients  Eligible</t>
  </si>
  <si>
    <t>Total clients  Non Eligible</t>
  </si>
  <si>
    <t>Nbre clients BT (Non Eligible)</t>
  </si>
  <si>
    <t>Vtes Elec BT (Non Eligible)</t>
  </si>
  <si>
    <t>Vtes Elec MT  Dont :</t>
  </si>
  <si>
    <t>Vtes Elec MT Non Eligible</t>
  </si>
  <si>
    <t>Vtes Elec HT  Dont :</t>
  </si>
  <si>
    <t>Vtes Elec HT Eligible</t>
  </si>
  <si>
    <t>Vtes Elec HT Non Eligible</t>
  </si>
  <si>
    <t>VENTES ELEC</t>
  </si>
  <si>
    <t>NOMBRE CLIENTS ELEC</t>
  </si>
  <si>
    <t>Vtes Elec  Eligible</t>
  </si>
  <si>
    <t>Vtes Elec  Non Eligible</t>
  </si>
  <si>
    <t>Total ventes</t>
  </si>
  <si>
    <t>PARAMETRES AVANT TRANSFERT SDA</t>
  </si>
  <si>
    <t>Nbre clients BP (Non Eligible)</t>
  </si>
  <si>
    <t>Source: Plan de développement 2012-2022</t>
  </si>
  <si>
    <t>contrôle calcul</t>
  </si>
  <si>
    <t>Source: Plan de développement 201é-2022</t>
  </si>
  <si>
    <t xml:space="preserve">  Nbre client MP Non Eligible</t>
  </si>
  <si>
    <t xml:space="preserve">  Nbre client HP Non Eligible</t>
  </si>
  <si>
    <t>Prix vte HP</t>
  </si>
  <si>
    <t>Nbre clients MP Dont :</t>
  </si>
  <si>
    <t>Nbre clients MP Eligible</t>
  </si>
  <si>
    <t>Nbre clients HP Dont :</t>
  </si>
  <si>
    <t>Nbre clients HP Eligible</t>
  </si>
  <si>
    <t>Vtes Elec BP (Non Eligible)</t>
  </si>
  <si>
    <t>Vtes Elec MP  Dont :</t>
  </si>
  <si>
    <t>Vtes Elec MP Eligible</t>
  </si>
  <si>
    <t>Vtes Elec MP Non Eligible</t>
  </si>
  <si>
    <t>Vtes Elec HP  Dont :</t>
  </si>
  <si>
    <t>Vtes Elec HP Eligible</t>
  </si>
  <si>
    <t>Vtes Elec HP Non Eligible</t>
  </si>
  <si>
    <t xml:space="preserve">rajoût delta chaque année (2014 à 2017) idem plan stratégique </t>
  </si>
  <si>
    <t xml:space="preserve">Plan stratégique + variation 2013 </t>
  </si>
  <si>
    <t xml:space="preserve">ACHAT MP/BP </t>
  </si>
  <si>
    <t>PERTE</t>
  </si>
  <si>
    <t>TAUX PERTE</t>
  </si>
  <si>
    <t xml:space="preserve">ACHAT MT/BT </t>
  </si>
</sst>
</file>

<file path=xl/styles.xml><?xml version="1.0" encoding="utf-8"?>
<styleSheet xmlns="http://schemas.openxmlformats.org/spreadsheetml/2006/main">
  <numFmts count="10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\ _€_-;\-* #,##0\ _€_-;_-* &quot;-&quot;??\ _€_-;_-@_-"/>
    <numFmt numFmtId="166" formatCode="0.000"/>
    <numFmt numFmtId="167" formatCode="0.0"/>
    <numFmt numFmtId="168" formatCode="#,##0.0"/>
    <numFmt numFmtId="169" formatCode="_-* #,##0.000\ _€_-;\-* #,##0.000\ _€_-;_-* &quot;-&quot;??\ _€_-;_-@_-"/>
    <numFmt numFmtId="170" formatCode="_-* #,##0.000\ _€_-;\-* #,##0.000\ _€_-;_-* &quot;-&quot;???\ _€_-;_-@_-"/>
    <numFmt numFmtId="171" formatCode="#,##0.000"/>
    <numFmt numFmtId="172" formatCode="_-* #,##0\ _€_-;\-* #,##0\ _€_-;_-* &quot;-&quot;???\ _€_-;_-@_-"/>
  </numFmts>
  <fonts count="30">
    <font>
      <sz val="12"/>
      <color theme="1"/>
      <name val="Candara"/>
      <family val="2"/>
    </font>
    <font>
      <sz val="12"/>
      <color theme="1"/>
      <name val="Candar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sz val="14"/>
      <color theme="0"/>
      <name val="Candara"/>
      <family val="2"/>
    </font>
    <font>
      <b/>
      <sz val="10"/>
      <color rgb="FFFFFF00"/>
      <name val="Candara"/>
      <family val="2"/>
    </font>
    <font>
      <b/>
      <sz val="10"/>
      <color rgb="FFFF0000"/>
      <name val="Candara"/>
      <family val="2"/>
    </font>
    <font>
      <b/>
      <sz val="10"/>
      <color theme="1"/>
      <name val="Candara"/>
      <family val="2"/>
    </font>
    <font>
      <sz val="12"/>
      <color rgb="FFFF0000"/>
      <name val="Candara"/>
      <family val="2"/>
    </font>
    <font>
      <b/>
      <sz val="12"/>
      <color theme="1"/>
      <name val="Candara"/>
      <family val="2"/>
    </font>
    <font>
      <sz val="12"/>
      <name val="Candara"/>
      <family val="2"/>
    </font>
    <font>
      <b/>
      <sz val="12"/>
      <color rgb="FFFF0000"/>
      <name val="Candara"/>
      <family val="2"/>
    </font>
    <font>
      <b/>
      <sz val="12"/>
      <color rgb="FF00B0F0"/>
      <name val="Candara"/>
      <family val="2"/>
    </font>
    <font>
      <b/>
      <sz val="12"/>
      <name val="Candara"/>
      <family val="2"/>
    </font>
    <font>
      <sz val="12"/>
      <color theme="0"/>
      <name val="Candara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2"/>
      <color theme="9" tint="-0.249977111117893"/>
      <name val="Candar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ndara"/>
      <family val="2"/>
    </font>
    <font>
      <sz val="10"/>
      <color rgb="FFFF0000"/>
      <name val="Candara"/>
      <family val="2"/>
    </font>
    <font>
      <sz val="10"/>
      <name val="Candara"/>
      <family val="2"/>
    </font>
    <font>
      <sz val="10"/>
      <color rgb="FF00B0F0"/>
      <name val="Candara"/>
      <family val="2"/>
    </font>
    <font>
      <b/>
      <sz val="10"/>
      <color theme="5" tint="-0.249977111117893"/>
      <name val="Candara"/>
      <family val="2"/>
    </font>
    <font>
      <b/>
      <sz val="10"/>
      <color rgb="FF00B0F0"/>
      <name val="Candara"/>
      <family val="2"/>
    </font>
    <font>
      <b/>
      <sz val="10"/>
      <color rgb="FF7030A0"/>
      <name val="Candara"/>
      <family val="2"/>
    </font>
    <font>
      <b/>
      <sz val="10"/>
      <name val="Candar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2">
    <xf numFmtId="0" fontId="0" fillId="0" borderId="0" xfId="0"/>
    <xf numFmtId="0" fontId="4" fillId="0" borderId="0" xfId="0" applyFont="1"/>
    <xf numFmtId="0" fontId="5" fillId="0" borderId="0" xfId="0" applyFont="1"/>
    <xf numFmtId="0" fontId="6" fillId="4" borderId="0" xfId="0" applyFont="1" applyFill="1" applyBorder="1"/>
    <xf numFmtId="3" fontId="5" fillId="0" borderId="0" xfId="0" applyNumberFormat="1" applyFont="1"/>
    <xf numFmtId="0" fontId="4" fillId="8" borderId="0" xfId="0" applyFont="1" applyFill="1"/>
    <xf numFmtId="0" fontId="4" fillId="4" borderId="0" xfId="0" applyFont="1" applyFill="1"/>
    <xf numFmtId="3" fontId="4" fillId="4" borderId="0" xfId="0" applyNumberFormat="1" applyFont="1" applyFill="1"/>
    <xf numFmtId="0" fontId="4" fillId="0" borderId="0" xfId="0" applyFont="1" applyBorder="1"/>
    <xf numFmtId="170" fontId="9" fillId="0" borderId="0" xfId="0" applyNumberFormat="1" applyFont="1"/>
    <xf numFmtId="165" fontId="7" fillId="4" borderId="0" xfId="1" applyNumberFormat="1" applyFont="1" applyFill="1" applyBorder="1"/>
    <xf numFmtId="3" fontId="8" fillId="4" borderId="0" xfId="0" applyNumberFormat="1" applyFont="1" applyFill="1" applyBorder="1"/>
    <xf numFmtId="165" fontId="8" fillId="4" borderId="0" xfId="1" applyNumberFormat="1" applyFont="1" applyFill="1" applyBorder="1"/>
    <xf numFmtId="0" fontId="0" fillId="0" borderId="0" xfId="0" applyFont="1"/>
    <xf numFmtId="0" fontId="0" fillId="4" borderId="0" xfId="0" applyFont="1" applyFill="1" applyBorder="1"/>
    <xf numFmtId="0" fontId="11" fillId="3" borderId="0" xfId="0" applyFont="1" applyFill="1"/>
    <xf numFmtId="0" fontId="11" fillId="3" borderId="6" xfId="0" applyFont="1" applyFill="1" applyBorder="1"/>
    <xf numFmtId="0" fontId="11" fillId="3" borderId="4" xfId="0" applyFont="1" applyFill="1" applyBorder="1"/>
    <xf numFmtId="0" fontId="11" fillId="5" borderId="11" xfId="0" applyFont="1" applyFill="1" applyBorder="1"/>
    <xf numFmtId="0" fontId="11" fillId="5" borderId="13" xfId="0" applyFont="1" applyFill="1" applyBorder="1"/>
    <xf numFmtId="0" fontId="11" fillId="0" borderId="1" xfId="0" applyFont="1" applyBorder="1"/>
    <xf numFmtId="3" fontId="12" fillId="4" borderId="1" xfId="0" applyNumberFormat="1" applyFont="1" applyFill="1" applyBorder="1"/>
    <xf numFmtId="0" fontId="0" fillId="0" borderId="0" xfId="0" applyFont="1" applyFill="1"/>
    <xf numFmtId="3" fontId="13" fillId="4" borderId="9" xfId="0" applyNumberFormat="1" applyFont="1" applyFill="1" applyBorder="1" applyAlignment="1">
      <alignment horizontal="center"/>
    </xf>
    <xf numFmtId="167" fontId="13" fillId="4" borderId="9" xfId="0" applyNumberFormat="1" applyFont="1" applyFill="1" applyBorder="1"/>
    <xf numFmtId="0" fontId="11" fillId="4" borderId="1" xfId="0" applyFont="1" applyFill="1" applyBorder="1"/>
    <xf numFmtId="165" fontId="14" fillId="0" borderId="1" xfId="0" applyNumberFormat="1" applyFont="1" applyBorder="1"/>
    <xf numFmtId="0" fontId="11" fillId="0" borderId="0" xfId="0" applyFont="1"/>
    <xf numFmtId="0" fontId="16" fillId="4" borderId="0" xfId="0" applyFont="1" applyFill="1" applyBorder="1"/>
    <xf numFmtId="3" fontId="11" fillId="0" borderId="0" xfId="0" applyNumberFormat="1" applyFont="1"/>
    <xf numFmtId="0" fontId="13" fillId="0" borderId="5" xfId="0" applyFont="1" applyBorder="1"/>
    <xf numFmtId="0" fontId="11" fillId="0" borderId="0" xfId="0" applyFont="1" applyBorder="1"/>
    <xf numFmtId="0" fontId="11" fillId="3" borderId="0" xfId="0" applyFont="1" applyFill="1" applyBorder="1" applyAlignment="1">
      <alignment horizontal="right"/>
    </xf>
    <xf numFmtId="164" fontId="11" fillId="4" borderId="1" xfId="1" applyNumberFormat="1" applyFont="1" applyFill="1" applyBorder="1"/>
    <xf numFmtId="164" fontId="15" fillId="4" borderId="1" xfId="1" applyNumberFormat="1" applyFont="1" applyFill="1" applyBorder="1"/>
    <xf numFmtId="0" fontId="11" fillId="0" borderId="0" xfId="0" applyFont="1" applyFill="1"/>
    <xf numFmtId="0" fontId="11" fillId="4" borderId="8" xfId="0" applyFont="1" applyFill="1" applyBorder="1"/>
    <xf numFmtId="165" fontId="14" fillId="4" borderId="9" xfId="1" applyNumberFormat="1" applyFont="1" applyFill="1" applyBorder="1"/>
    <xf numFmtId="0" fontId="13" fillId="0" borderId="0" xfId="0" applyFont="1"/>
    <xf numFmtId="167" fontId="15" fillId="4" borderId="1" xfId="0" applyNumberFormat="1" applyFont="1" applyFill="1" applyBorder="1"/>
    <xf numFmtId="0" fontId="13" fillId="0" borderId="1" xfId="0" applyFont="1" applyBorder="1"/>
    <xf numFmtId="0" fontId="11" fillId="4" borderId="12" xfId="0" applyFont="1" applyFill="1" applyBorder="1" applyAlignment="1"/>
    <xf numFmtId="0" fontId="11" fillId="4" borderId="8" xfId="0" applyFont="1" applyFill="1" applyBorder="1" applyAlignment="1"/>
    <xf numFmtId="0" fontId="11" fillId="4" borderId="9" xfId="0" applyFont="1" applyFill="1" applyBorder="1" applyAlignment="1"/>
    <xf numFmtId="0" fontId="11" fillId="4" borderId="10" xfId="0" applyFont="1" applyFill="1" applyBorder="1" applyAlignment="1"/>
    <xf numFmtId="3" fontId="17" fillId="0" borderId="0" xfId="0" applyNumberFormat="1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3" fontId="18" fillId="0" borderId="0" xfId="0" applyNumberFormat="1" applyFont="1" applyBorder="1" applyAlignment="1">
      <alignment horizontal="center" wrapText="1"/>
    </xf>
    <xf numFmtId="172" fontId="0" fillId="0" borderId="0" xfId="0" applyNumberFormat="1" applyFont="1" applyFill="1"/>
    <xf numFmtId="0" fontId="10" fillId="4" borderId="0" xfId="0" applyFont="1" applyFill="1" applyBorder="1"/>
    <xf numFmtId="0" fontId="11" fillId="4" borderId="0" xfId="0" applyFont="1" applyFill="1" applyBorder="1"/>
    <xf numFmtId="172" fontId="0" fillId="4" borderId="0" xfId="0" applyNumberFormat="1" applyFont="1" applyFill="1" applyBorder="1"/>
    <xf numFmtId="3" fontId="10" fillId="4" borderId="1" xfId="0" applyNumberFormat="1" applyFont="1" applyFill="1" applyBorder="1"/>
    <xf numFmtId="3" fontId="0" fillId="4" borderId="1" xfId="0" applyNumberFormat="1" applyFill="1" applyBorder="1"/>
    <xf numFmtId="0" fontId="11" fillId="10" borderId="1" xfId="0" applyFont="1" applyFill="1" applyBorder="1"/>
    <xf numFmtId="3" fontId="11" fillId="10" borderId="1" xfId="0" applyNumberFormat="1" applyFont="1" applyFill="1" applyBorder="1"/>
    <xf numFmtId="165" fontId="11" fillId="10" borderId="1" xfId="1" applyNumberFormat="1" applyFont="1" applyFill="1" applyBorder="1"/>
    <xf numFmtId="164" fontId="11" fillId="10" borderId="1" xfId="1" applyNumberFormat="1" applyFont="1" applyFill="1" applyBorder="1"/>
    <xf numFmtId="3" fontId="13" fillId="10" borderId="1" xfId="0" applyNumberFormat="1" applyFont="1" applyFill="1" applyBorder="1"/>
    <xf numFmtId="165" fontId="13" fillId="10" borderId="1" xfId="1" applyNumberFormat="1" applyFont="1" applyFill="1" applyBorder="1"/>
    <xf numFmtId="3" fontId="19" fillId="10" borderId="1" xfId="0" applyNumberFormat="1" applyFont="1" applyFill="1" applyBorder="1"/>
    <xf numFmtId="165" fontId="19" fillId="10" borderId="1" xfId="1" applyNumberFormat="1" applyFont="1" applyFill="1" applyBorder="1"/>
    <xf numFmtId="49" fontId="11" fillId="10" borderId="1" xfId="0" applyNumberFormat="1" applyFont="1" applyFill="1" applyBorder="1" applyAlignment="1"/>
    <xf numFmtId="3" fontId="15" fillId="10" borderId="1" xfId="0" applyNumberFormat="1" applyFont="1" applyFill="1" applyBorder="1"/>
    <xf numFmtId="164" fontId="15" fillId="10" borderId="1" xfId="1" applyNumberFormat="1" applyFont="1" applyFill="1" applyBorder="1"/>
    <xf numFmtId="3" fontId="11" fillId="4" borderId="1" xfId="0" applyNumberFormat="1" applyFont="1" applyFill="1" applyBorder="1"/>
    <xf numFmtId="165" fontId="11" fillId="4" borderId="1" xfId="1" applyNumberFormat="1" applyFont="1" applyFill="1" applyBorder="1"/>
    <xf numFmtId="3" fontId="13" fillId="4" borderId="1" xfId="0" applyNumberFormat="1" applyFont="1" applyFill="1" applyBorder="1"/>
    <xf numFmtId="165" fontId="13" fillId="4" borderId="1" xfId="1" applyNumberFormat="1" applyFont="1" applyFill="1" applyBorder="1"/>
    <xf numFmtId="3" fontId="19" fillId="4" borderId="1" xfId="0" applyNumberFormat="1" applyFont="1" applyFill="1" applyBorder="1"/>
    <xf numFmtId="165" fontId="19" fillId="4" borderId="1" xfId="1" applyNumberFormat="1" applyFont="1" applyFill="1" applyBorder="1"/>
    <xf numFmtId="0" fontId="11" fillId="4" borderId="0" xfId="0" applyFont="1" applyFill="1"/>
    <xf numFmtId="3" fontId="15" fillId="4" borderId="1" xfId="0" applyNumberFormat="1" applyFont="1" applyFill="1" applyBorder="1"/>
    <xf numFmtId="167" fontId="15" fillId="10" borderId="1" xfId="0" applyNumberFormat="1" applyFont="1" applyFill="1" applyBorder="1"/>
    <xf numFmtId="1" fontId="15" fillId="10" borderId="1" xfId="0" applyNumberFormat="1" applyFont="1" applyFill="1" applyBorder="1"/>
    <xf numFmtId="165" fontId="15" fillId="10" borderId="1" xfId="1" applyNumberFormat="1" applyFont="1" applyFill="1" applyBorder="1"/>
    <xf numFmtId="171" fontId="13" fillId="10" borderId="1" xfId="0" applyNumberFormat="1" applyFont="1" applyFill="1" applyBorder="1"/>
    <xf numFmtId="166" fontId="11" fillId="4" borderId="1" xfId="0" applyNumberFormat="1" applyFont="1" applyFill="1" applyBorder="1"/>
    <xf numFmtId="169" fontId="13" fillId="4" borderId="1" xfId="0" applyNumberFormat="1" applyFont="1" applyFill="1" applyBorder="1"/>
    <xf numFmtId="0" fontId="20" fillId="0" borderId="0" xfId="0" applyFont="1" applyBorder="1"/>
    <xf numFmtId="1" fontId="21" fillId="0" borderId="0" xfId="0" applyNumberFormat="1" applyFont="1" applyBorder="1"/>
    <xf numFmtId="0" fontId="21" fillId="0" borderId="0" xfId="0" applyFont="1" applyBorder="1"/>
    <xf numFmtId="171" fontId="13" fillId="10" borderId="11" xfId="0" applyNumberFormat="1" applyFont="1" applyFill="1" applyBorder="1"/>
    <xf numFmtId="166" fontId="11" fillId="4" borderId="0" xfId="0" applyNumberFormat="1" applyFont="1" applyFill="1" applyBorder="1"/>
    <xf numFmtId="169" fontId="13" fillId="4" borderId="0" xfId="0" applyNumberFormat="1" applyFont="1" applyFill="1" applyBorder="1"/>
    <xf numFmtId="171" fontId="13" fillId="4" borderId="0" xfId="0" applyNumberFormat="1" applyFont="1" applyFill="1" applyBorder="1"/>
    <xf numFmtId="3" fontId="11" fillId="0" borderId="0" xfId="0" applyNumberFormat="1" applyFont="1" applyBorder="1"/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9" fillId="8" borderId="0" xfId="0" applyFont="1" applyFill="1"/>
    <xf numFmtId="0" fontId="22" fillId="8" borderId="0" xfId="0" applyFont="1" applyFill="1"/>
    <xf numFmtId="0" fontId="22" fillId="0" borderId="0" xfId="0" applyFont="1"/>
    <xf numFmtId="167" fontId="22" fillId="0" borderId="0" xfId="0" applyNumberFormat="1" applyFont="1"/>
    <xf numFmtId="0" fontId="22" fillId="0" borderId="0" xfId="0" applyFont="1" applyBorder="1"/>
    <xf numFmtId="0" fontId="23" fillId="0" borderId="5" xfId="0" applyFont="1" applyBorder="1"/>
    <xf numFmtId="0" fontId="22" fillId="4" borderId="0" xfId="0" applyFont="1" applyFill="1" applyBorder="1"/>
    <xf numFmtId="0" fontId="23" fillId="0" borderId="2" xfId="0" applyFont="1" applyBorder="1"/>
    <xf numFmtId="0" fontId="23" fillId="0" borderId="8" xfId="0" applyFont="1" applyBorder="1" applyAlignment="1"/>
    <xf numFmtId="0" fontId="23" fillId="0" borderId="9" xfId="0" applyFont="1" applyBorder="1" applyAlignment="1"/>
    <xf numFmtId="0" fontId="22" fillId="0" borderId="10" xfId="0" applyFont="1" applyBorder="1"/>
    <xf numFmtId="0" fontId="9" fillId="3" borderId="0" xfId="0" applyFont="1" applyFill="1"/>
    <xf numFmtId="0" fontId="9" fillId="3" borderId="6" xfId="0" applyFont="1" applyFill="1" applyBorder="1"/>
    <xf numFmtId="0" fontId="9" fillId="4" borderId="0" xfId="0" applyFont="1" applyFill="1" applyBorder="1" applyAlignment="1">
      <alignment horizontal="right"/>
    </xf>
    <xf numFmtId="0" fontId="9" fillId="3" borderId="4" xfId="0" applyFont="1" applyFill="1" applyBorder="1"/>
    <xf numFmtId="0" fontId="9" fillId="5" borderId="14" xfId="0" applyFont="1" applyFill="1" applyBorder="1"/>
    <xf numFmtId="0" fontId="9" fillId="5" borderId="15" xfId="0" applyFont="1" applyFill="1" applyBorder="1"/>
    <xf numFmtId="0" fontId="9" fillId="4" borderId="12" xfId="0" applyFont="1" applyFill="1" applyBorder="1" applyAlignment="1">
      <alignment horizontal="center"/>
    </xf>
    <xf numFmtId="0" fontId="9" fillId="6" borderId="1" xfId="0" applyFont="1" applyFill="1" applyBorder="1"/>
    <xf numFmtId="3" fontId="22" fillId="9" borderId="1" xfId="0" applyNumberFormat="1" applyFont="1" applyFill="1" applyBorder="1"/>
    <xf numFmtId="165" fontId="22" fillId="9" borderId="1" xfId="1" applyNumberFormat="1" applyFont="1" applyFill="1" applyBorder="1"/>
    <xf numFmtId="167" fontId="22" fillId="4" borderId="1" xfId="0" applyNumberFormat="1" applyFont="1" applyFill="1" applyBorder="1"/>
    <xf numFmtId="165" fontId="23" fillId="10" borderId="1" xfId="1" applyNumberFormat="1" applyFont="1" applyFill="1" applyBorder="1"/>
    <xf numFmtId="0" fontId="9" fillId="0" borderId="1" xfId="0" applyFont="1" applyBorder="1"/>
    <xf numFmtId="165" fontId="23" fillId="4" borderId="1" xfId="1" applyNumberFormat="1" applyFont="1" applyFill="1" applyBorder="1"/>
    <xf numFmtId="49" fontId="22" fillId="7" borderId="1" xfId="0" applyNumberFormat="1" applyFont="1" applyFill="1" applyBorder="1" applyAlignment="1"/>
    <xf numFmtId="165" fontId="22" fillId="10" borderId="1" xfId="1" applyNumberFormat="1" applyFont="1" applyFill="1" applyBorder="1"/>
    <xf numFmtId="49" fontId="22" fillId="6" borderId="1" xfId="0" applyNumberFormat="1" applyFont="1" applyFill="1" applyBorder="1" applyAlignment="1"/>
    <xf numFmtId="3" fontId="24" fillId="9" borderId="1" xfId="0" applyNumberFormat="1" applyFont="1" applyFill="1" applyBorder="1"/>
    <xf numFmtId="3" fontId="24" fillId="4" borderId="1" xfId="0" applyNumberFormat="1" applyFont="1" applyFill="1" applyBorder="1"/>
    <xf numFmtId="3" fontId="24" fillId="10" borderId="1" xfId="0" applyNumberFormat="1" applyFont="1" applyFill="1" applyBorder="1"/>
    <xf numFmtId="165" fontId="24" fillId="9" borderId="1" xfId="1" applyNumberFormat="1" applyFont="1" applyFill="1" applyBorder="1"/>
    <xf numFmtId="167" fontId="24" fillId="4" borderId="1" xfId="0" applyNumberFormat="1" applyFont="1" applyFill="1" applyBorder="1"/>
    <xf numFmtId="165" fontId="24" fillId="10" borderId="1" xfId="1" applyNumberFormat="1" applyFont="1" applyFill="1" applyBorder="1"/>
    <xf numFmtId="0" fontId="22" fillId="2" borderId="1" xfId="0" applyFont="1" applyFill="1" applyBorder="1"/>
    <xf numFmtId="3" fontId="24" fillId="2" borderId="1" xfId="0" applyNumberFormat="1" applyFont="1" applyFill="1" applyBorder="1"/>
    <xf numFmtId="165" fontId="24" fillId="4" borderId="1" xfId="1" applyNumberFormat="1" applyFont="1" applyFill="1" applyBorder="1"/>
    <xf numFmtId="0" fontId="22" fillId="4" borderId="8" xfId="0" applyFont="1" applyFill="1" applyBorder="1"/>
    <xf numFmtId="3" fontId="23" fillId="4" borderId="9" xfId="0" applyNumberFormat="1" applyFont="1" applyFill="1" applyBorder="1" applyAlignment="1">
      <alignment horizontal="center"/>
    </xf>
    <xf numFmtId="3" fontId="8" fillId="4" borderId="9" xfId="0" applyNumberFormat="1" applyFont="1" applyFill="1" applyBorder="1" applyAlignment="1">
      <alignment horizontal="center"/>
    </xf>
    <xf numFmtId="167" fontId="8" fillId="4" borderId="9" xfId="0" applyNumberFormat="1" applyFont="1" applyFill="1" applyBorder="1"/>
    <xf numFmtId="165" fontId="25" fillId="4" borderId="9" xfId="1" applyNumberFormat="1" applyFont="1" applyFill="1" applyBorder="1"/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169" fontId="9" fillId="4" borderId="9" xfId="0" applyNumberFormat="1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165" fontId="26" fillId="10" borderId="1" xfId="1" applyNumberFormat="1" applyFont="1" applyFill="1" applyBorder="1"/>
    <xf numFmtId="165" fontId="26" fillId="4" borderId="1" xfId="1" applyNumberFormat="1" applyFont="1" applyFill="1" applyBorder="1"/>
    <xf numFmtId="1" fontId="22" fillId="9" borderId="1" xfId="0" applyNumberFormat="1" applyFont="1" applyFill="1" applyBorder="1"/>
    <xf numFmtId="0" fontId="22" fillId="0" borderId="1" xfId="0" applyFont="1" applyBorder="1"/>
    <xf numFmtId="0" fontId="9" fillId="4" borderId="1" xfId="0" applyFont="1" applyFill="1" applyBorder="1"/>
    <xf numFmtId="165" fontId="27" fillId="0" borderId="1" xfId="0" applyNumberFormat="1" applyFont="1" applyBorder="1"/>
    <xf numFmtId="166" fontId="22" fillId="9" borderId="1" xfId="0" applyNumberFormat="1" applyFont="1" applyFill="1" applyBorder="1"/>
    <xf numFmtId="166" fontId="22" fillId="4" borderId="1" xfId="0" applyNumberFormat="1" applyFont="1" applyFill="1" applyBorder="1"/>
    <xf numFmtId="169" fontId="23" fillId="9" borderId="1" xfId="0" applyNumberFormat="1" applyFont="1" applyFill="1" applyBorder="1"/>
    <xf numFmtId="169" fontId="23" fillId="10" borderId="1" xfId="0" applyNumberFormat="1" applyFont="1" applyFill="1" applyBorder="1"/>
    <xf numFmtId="0" fontId="22" fillId="0" borderId="11" xfId="0" applyFont="1" applyBorder="1"/>
    <xf numFmtId="166" fontId="22" fillId="9" borderId="11" xfId="0" applyNumberFormat="1" applyFont="1" applyFill="1" applyBorder="1"/>
    <xf numFmtId="166" fontId="22" fillId="4" borderId="11" xfId="0" applyNumberFormat="1" applyFont="1" applyFill="1" applyBorder="1"/>
    <xf numFmtId="169" fontId="23" fillId="9" borderId="11" xfId="0" applyNumberFormat="1" applyFont="1" applyFill="1" applyBorder="1"/>
    <xf numFmtId="169" fontId="23" fillId="10" borderId="11" xfId="0" applyNumberFormat="1" applyFont="1" applyFill="1" applyBorder="1"/>
    <xf numFmtId="0" fontId="23" fillId="4" borderId="0" xfId="0" applyFont="1" applyFill="1" applyBorder="1"/>
    <xf numFmtId="169" fontId="23" fillId="4" borderId="0" xfId="0" applyNumberFormat="1" applyFont="1" applyFill="1" applyBorder="1"/>
    <xf numFmtId="0" fontId="9" fillId="4" borderId="0" xfId="0" applyFont="1" applyFill="1" applyBorder="1"/>
    <xf numFmtId="3" fontId="22" fillId="4" borderId="0" xfId="0" applyNumberFormat="1" applyFont="1" applyFill="1" applyBorder="1"/>
    <xf numFmtId="167" fontId="22" fillId="4" borderId="0" xfId="0" applyNumberFormat="1" applyFont="1" applyFill="1" applyBorder="1"/>
    <xf numFmtId="3" fontId="23" fillId="4" borderId="0" xfId="0" applyNumberFormat="1" applyFont="1" applyFill="1" applyBorder="1"/>
    <xf numFmtId="3" fontId="23" fillId="4" borderId="1" xfId="0" applyNumberFormat="1" applyFont="1" applyFill="1" applyBorder="1"/>
    <xf numFmtId="49" fontId="22" fillId="4" borderId="0" xfId="0" applyNumberFormat="1" applyFont="1" applyFill="1" applyBorder="1" applyAlignment="1"/>
    <xf numFmtId="3" fontId="22" fillId="4" borderId="1" xfId="0" applyNumberFormat="1" applyFont="1" applyFill="1" applyBorder="1"/>
    <xf numFmtId="3" fontId="24" fillId="4" borderId="0" xfId="0" applyNumberFormat="1" applyFont="1" applyFill="1" applyBorder="1"/>
    <xf numFmtId="167" fontId="24" fillId="4" borderId="0" xfId="0" applyNumberFormat="1" applyFont="1" applyFill="1" applyBorder="1"/>
    <xf numFmtId="3" fontId="9" fillId="4" borderId="0" xfId="0" applyNumberFormat="1" applyFont="1" applyFill="1" applyBorder="1"/>
    <xf numFmtId="168" fontId="24" fillId="4" borderId="0" xfId="0" applyNumberFormat="1" applyFont="1" applyFill="1" applyBorder="1"/>
    <xf numFmtId="0" fontId="8" fillId="4" borderId="0" xfId="0" applyFont="1" applyFill="1" applyBorder="1" applyAlignment="1">
      <alignment horizontal="center"/>
    </xf>
    <xf numFmtId="0" fontId="28" fillId="4" borderId="0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/>
    </xf>
    <xf numFmtId="3" fontId="27" fillId="4" borderId="0" xfId="0" applyNumberFormat="1" applyFont="1" applyFill="1" applyBorder="1"/>
    <xf numFmtId="0" fontId="29" fillId="4" borderId="0" xfId="0" applyFont="1" applyFill="1" applyBorder="1"/>
    <xf numFmtId="171" fontId="24" fillId="4" borderId="0" xfId="0" applyNumberFormat="1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F7FE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6"/>
  <sheetViews>
    <sheetView view="pageBreakPreview" topLeftCell="B27" zoomScale="140" zoomScaleSheetLayoutView="140" workbookViewId="0">
      <selection sqref="A1:J38"/>
    </sheetView>
  </sheetViews>
  <sheetFormatPr baseColWidth="10" defaultColWidth="12.21875" defaultRowHeight="18.75"/>
  <cols>
    <col min="1" max="1" width="20.6640625" style="94" customWidth="1"/>
    <col min="2" max="2" width="7.109375" style="94" customWidth="1"/>
    <col min="3" max="3" width="8.21875" style="94" customWidth="1"/>
    <col min="4" max="4" width="4.33203125" style="94" customWidth="1"/>
    <col min="5" max="5" width="8.33203125" style="94" customWidth="1"/>
    <col min="6" max="6" width="8" style="94" customWidth="1"/>
    <col min="7" max="8" width="8.109375" style="94" customWidth="1"/>
    <col min="9" max="9" width="8.88671875" style="94" customWidth="1"/>
    <col min="10" max="10" width="8.6640625" style="94" customWidth="1"/>
    <col min="11" max="11" width="10.77734375" style="2" customWidth="1"/>
    <col min="12" max="16384" width="12.21875" style="2"/>
  </cols>
  <sheetData>
    <row r="1" spans="1:11" ht="20.100000000000001" customHeight="1">
      <c r="A1" s="92" t="s">
        <v>33</v>
      </c>
      <c r="B1" s="92"/>
      <c r="C1" s="93"/>
      <c r="F1" s="95"/>
      <c r="H1" s="95"/>
    </row>
    <row r="2" spans="1:11" ht="20.100000000000001" customHeight="1" thickBot="1">
      <c r="D2" s="96"/>
    </row>
    <row r="3" spans="1:11" ht="20.100000000000001" customHeight="1">
      <c r="B3" s="97" t="s">
        <v>9</v>
      </c>
      <c r="C3" s="97" t="s">
        <v>8</v>
      </c>
      <c r="D3" s="98"/>
      <c r="E3" s="99" t="s">
        <v>7</v>
      </c>
      <c r="F3" s="100" t="s">
        <v>35</v>
      </c>
      <c r="G3" s="101"/>
      <c r="H3" s="101"/>
      <c r="I3" s="101"/>
      <c r="J3" s="102"/>
    </row>
    <row r="4" spans="1:11" ht="20.100000000000001" customHeight="1">
      <c r="A4" s="103" t="s">
        <v>4</v>
      </c>
      <c r="B4" s="104">
        <v>2010</v>
      </c>
      <c r="C4" s="104">
        <v>2011</v>
      </c>
      <c r="D4" s="105" t="s">
        <v>0</v>
      </c>
      <c r="E4" s="106">
        <v>2012</v>
      </c>
      <c r="F4" s="107">
        <v>2013</v>
      </c>
      <c r="G4" s="107">
        <v>2014</v>
      </c>
      <c r="H4" s="107">
        <v>2015</v>
      </c>
      <c r="I4" s="108">
        <v>2016</v>
      </c>
      <c r="J4" s="108">
        <v>2017</v>
      </c>
      <c r="K4" s="13"/>
    </row>
    <row r="5" spans="1:11" ht="20.100000000000001" customHeight="1">
      <c r="A5" s="109" t="s">
        <v>29</v>
      </c>
      <c r="B5" s="109"/>
      <c r="C5" s="109"/>
      <c r="D5" s="109"/>
      <c r="E5" s="109"/>
      <c r="F5" s="109"/>
      <c r="G5" s="109"/>
      <c r="H5" s="109"/>
      <c r="I5" s="109"/>
      <c r="J5" s="109"/>
      <c r="K5" s="13"/>
    </row>
    <row r="6" spans="1:11" ht="20.100000000000001" customHeight="1">
      <c r="A6" s="110" t="s">
        <v>21</v>
      </c>
      <c r="B6" s="111">
        <v>959553</v>
      </c>
      <c r="C6" s="112">
        <v>1012356</v>
      </c>
      <c r="D6" s="113">
        <f>+(C6-B6)/B6*100</f>
        <v>5.5028747760676069</v>
      </c>
      <c r="E6" s="114">
        <v>1053856</v>
      </c>
      <c r="F6" s="114">
        <v>1100355</v>
      </c>
      <c r="G6" s="114">
        <v>1079134</v>
      </c>
      <c r="H6" s="114">
        <v>1121407</v>
      </c>
      <c r="I6" s="114">
        <v>1161961</v>
      </c>
      <c r="J6" s="114">
        <v>1202242</v>
      </c>
      <c r="K6" s="87" t="s">
        <v>53</v>
      </c>
    </row>
    <row r="7" spans="1:11" ht="20.100000000000001" customHeight="1">
      <c r="A7" s="115" t="s">
        <v>17</v>
      </c>
      <c r="B7" s="111">
        <v>5555</v>
      </c>
      <c r="C7" s="112">
        <v>5698</v>
      </c>
      <c r="D7" s="113">
        <f t="shared" ref="D7:D27" si="0">+(C7-B7)/B7*100</f>
        <v>2.5742574257425743</v>
      </c>
      <c r="E7" s="116">
        <v>5849</v>
      </c>
      <c r="F7" s="116">
        <v>6011</v>
      </c>
      <c r="G7" s="116">
        <v>6009</v>
      </c>
      <c r="H7" s="116">
        <f>6152+1</f>
        <v>6153</v>
      </c>
      <c r="I7" s="116">
        <f>6298+1</f>
        <v>6299</v>
      </c>
      <c r="J7" s="116">
        <v>6444</v>
      </c>
      <c r="K7" s="88"/>
    </row>
    <row r="8" spans="1:11" ht="20.100000000000001" customHeight="1">
      <c r="A8" s="117" t="s">
        <v>13</v>
      </c>
      <c r="B8" s="111">
        <v>86</v>
      </c>
      <c r="C8" s="112">
        <v>97</v>
      </c>
      <c r="D8" s="113">
        <f t="shared" si="0"/>
        <v>12.790697674418606</v>
      </c>
      <c r="E8" s="118">
        <v>105</v>
      </c>
      <c r="F8" s="118">
        <v>119</v>
      </c>
      <c r="G8" s="118">
        <v>128</v>
      </c>
      <c r="H8" s="118">
        <v>141</v>
      </c>
      <c r="I8" s="118">
        <v>152</v>
      </c>
      <c r="J8" s="118">
        <v>152</v>
      </c>
      <c r="K8" s="13"/>
    </row>
    <row r="9" spans="1:11" ht="20.100000000000001" customHeight="1">
      <c r="A9" s="119" t="s">
        <v>15</v>
      </c>
      <c r="B9" s="120">
        <f>+B7-B8</f>
        <v>5469</v>
      </c>
      <c r="C9" s="120">
        <f t="shared" ref="C9" si="1">+C7-C8</f>
        <v>5601</v>
      </c>
      <c r="D9" s="121">
        <f t="shared" si="0"/>
        <v>2.4136039495337358</v>
      </c>
      <c r="E9" s="122">
        <f>+E7-E8</f>
        <v>5744</v>
      </c>
      <c r="F9" s="122">
        <f>+F7-F8</f>
        <v>5892</v>
      </c>
      <c r="G9" s="122">
        <f>+G7-G8</f>
        <v>5881</v>
      </c>
      <c r="H9" s="122">
        <f t="shared" ref="H9:I9" si="2">+H7-H8</f>
        <v>6012</v>
      </c>
      <c r="I9" s="122">
        <f t="shared" si="2"/>
        <v>6147</v>
      </c>
      <c r="J9" s="122">
        <f t="shared" ref="J9" si="3">+J7-J8</f>
        <v>6292</v>
      </c>
      <c r="K9" s="22"/>
    </row>
    <row r="10" spans="1:11" ht="20.100000000000001" customHeight="1">
      <c r="A10" s="115" t="s">
        <v>18</v>
      </c>
      <c r="B10" s="111">
        <v>10</v>
      </c>
      <c r="C10" s="112">
        <v>11</v>
      </c>
      <c r="D10" s="113">
        <f t="shared" si="0"/>
        <v>10</v>
      </c>
      <c r="E10" s="116">
        <v>12</v>
      </c>
      <c r="F10" s="116">
        <v>15</v>
      </c>
      <c r="G10" s="116">
        <v>15</v>
      </c>
      <c r="H10" s="116">
        <v>15</v>
      </c>
      <c r="I10" s="116">
        <v>17</v>
      </c>
      <c r="J10" s="116">
        <v>17</v>
      </c>
      <c r="K10" s="13"/>
    </row>
    <row r="11" spans="1:11" ht="20.100000000000001" customHeight="1">
      <c r="A11" s="117" t="s">
        <v>14</v>
      </c>
      <c r="B11" s="120">
        <v>9</v>
      </c>
      <c r="C11" s="123">
        <v>11</v>
      </c>
      <c r="D11" s="124">
        <f t="shared" si="0"/>
        <v>22.222222222222221</v>
      </c>
      <c r="E11" s="125">
        <v>11</v>
      </c>
      <c r="F11" s="125">
        <v>13</v>
      </c>
      <c r="G11" s="125">
        <v>13</v>
      </c>
      <c r="H11" s="125">
        <v>14</v>
      </c>
      <c r="I11" s="125">
        <v>16</v>
      </c>
      <c r="J11" s="125">
        <v>16</v>
      </c>
      <c r="K11" s="13"/>
    </row>
    <row r="12" spans="1:11" ht="20.100000000000001" customHeight="1">
      <c r="A12" s="119" t="s">
        <v>16</v>
      </c>
      <c r="B12" s="120">
        <f>+B10-B11</f>
        <v>1</v>
      </c>
      <c r="C12" s="120">
        <f>+C10-C11</f>
        <v>0</v>
      </c>
      <c r="D12" s="124">
        <f t="shared" si="0"/>
        <v>-100</v>
      </c>
      <c r="E12" s="125">
        <f>+E10-E11</f>
        <v>1</v>
      </c>
      <c r="F12" s="125">
        <f>+F10-F11</f>
        <v>2</v>
      </c>
      <c r="G12" s="125">
        <f>+G10-G11</f>
        <v>2</v>
      </c>
      <c r="H12" s="125">
        <f t="shared" ref="H12:I12" si="4">+H10-H11</f>
        <v>1</v>
      </c>
      <c r="I12" s="125">
        <f t="shared" si="4"/>
        <v>1</v>
      </c>
      <c r="J12" s="125">
        <f t="shared" ref="J12" si="5">+J10-J11</f>
        <v>1</v>
      </c>
      <c r="K12" s="22"/>
    </row>
    <row r="13" spans="1:11" ht="20.100000000000001" customHeight="1">
      <c r="A13" s="126" t="s">
        <v>19</v>
      </c>
      <c r="B13" s="127">
        <f>+B8+B11</f>
        <v>95</v>
      </c>
      <c r="C13" s="127">
        <f>+C8+C11</f>
        <v>108</v>
      </c>
      <c r="D13" s="124">
        <f t="shared" si="0"/>
        <v>13.684210526315791</v>
      </c>
      <c r="E13" s="128">
        <f>+E8+E11</f>
        <v>116</v>
      </c>
      <c r="F13" s="128">
        <f>+F8+F11</f>
        <v>132</v>
      </c>
      <c r="G13" s="128">
        <f>+G8+G11</f>
        <v>141</v>
      </c>
      <c r="H13" s="128">
        <f t="shared" ref="H13:I13" si="6">+H8+H11</f>
        <v>155</v>
      </c>
      <c r="I13" s="128">
        <f t="shared" si="6"/>
        <v>168</v>
      </c>
      <c r="J13" s="128">
        <f t="shared" ref="J13" si="7">+J8+J11</f>
        <v>168</v>
      </c>
      <c r="K13" s="13"/>
    </row>
    <row r="14" spans="1:11" ht="20.100000000000001" customHeight="1">
      <c r="A14" s="126" t="s">
        <v>20</v>
      </c>
      <c r="B14" s="127">
        <f>+B6+B9+B12</f>
        <v>965023</v>
      </c>
      <c r="C14" s="127">
        <f>+C6+C9+C12</f>
        <v>1017957</v>
      </c>
      <c r="D14" s="124">
        <f t="shared" si="0"/>
        <v>5.4852578643203325</v>
      </c>
      <c r="E14" s="128">
        <f>+E6+E9+E12</f>
        <v>1059601</v>
      </c>
      <c r="F14" s="128">
        <f>+F6+F9+F12</f>
        <v>1106249</v>
      </c>
      <c r="G14" s="128">
        <f>+G6+G9+G12</f>
        <v>1085017</v>
      </c>
      <c r="H14" s="128">
        <f t="shared" ref="H14:I14" si="8">+H6+H9+H12</f>
        <v>1127420</v>
      </c>
      <c r="I14" s="128">
        <f t="shared" si="8"/>
        <v>1168109</v>
      </c>
      <c r="J14" s="128">
        <f t="shared" ref="J14" si="9">+J6+J9+J12</f>
        <v>1208535</v>
      </c>
      <c r="K14" s="13"/>
    </row>
    <row r="15" spans="1:11" ht="20.100000000000001" customHeight="1">
      <c r="A15" s="126" t="s">
        <v>1</v>
      </c>
      <c r="B15" s="127">
        <f>+B13+B14</f>
        <v>965118</v>
      </c>
      <c r="C15" s="127">
        <f>+C13+C14</f>
        <v>1018065</v>
      </c>
      <c r="D15" s="124">
        <f t="shared" si="0"/>
        <v>5.4860649164143664</v>
      </c>
      <c r="E15" s="128">
        <f>+E13+E14</f>
        <v>1059717</v>
      </c>
      <c r="F15" s="128">
        <f>+F13+F14</f>
        <v>1106381</v>
      </c>
      <c r="G15" s="128">
        <f>+G13+G14</f>
        <v>1085158</v>
      </c>
      <c r="H15" s="128">
        <f t="shared" ref="H15:I15" si="10">+H13+H14</f>
        <v>1127575</v>
      </c>
      <c r="I15" s="128">
        <f t="shared" si="10"/>
        <v>1168277</v>
      </c>
      <c r="J15" s="128">
        <f t="shared" ref="J15" si="11">+J13+J14</f>
        <v>1208703</v>
      </c>
      <c r="K15" s="13"/>
    </row>
    <row r="16" spans="1:11" ht="20.100000000000001" customHeight="1">
      <c r="A16" s="129"/>
      <c r="B16" s="130" t="s">
        <v>10</v>
      </c>
      <c r="C16" s="131" t="s">
        <v>10</v>
      </c>
      <c r="D16" s="132"/>
      <c r="E16" s="131" t="s">
        <v>10</v>
      </c>
      <c r="F16" s="131" t="s">
        <v>10</v>
      </c>
      <c r="G16" s="133">
        <f>+G6+G7+G10</f>
        <v>1085158</v>
      </c>
      <c r="H16" s="133">
        <f t="shared" ref="H16:I16" si="12">+H6+H7+H10</f>
        <v>1127575</v>
      </c>
      <c r="I16" s="133">
        <f t="shared" si="12"/>
        <v>1168277</v>
      </c>
      <c r="J16" s="133">
        <f t="shared" ref="J16" si="13">+J6+J7+J10</f>
        <v>1208703</v>
      </c>
      <c r="K16" s="13" t="s">
        <v>36</v>
      </c>
    </row>
    <row r="17" spans="1:11" ht="20.100000000000001" customHeight="1">
      <c r="A17" s="134" t="s">
        <v>28</v>
      </c>
      <c r="B17" s="135"/>
      <c r="C17" s="135"/>
      <c r="D17" s="135"/>
      <c r="E17" s="135"/>
      <c r="F17" s="136"/>
      <c r="G17" s="135"/>
      <c r="H17" s="135"/>
      <c r="I17" s="137"/>
      <c r="J17" s="137"/>
      <c r="K17" s="13"/>
    </row>
    <row r="18" spans="1:11" ht="20.100000000000001" customHeight="1">
      <c r="A18" s="110" t="s">
        <v>22</v>
      </c>
      <c r="B18" s="111">
        <v>2786.6</v>
      </c>
      <c r="C18" s="112">
        <v>2954.8</v>
      </c>
      <c r="D18" s="124">
        <f t="shared" si="0"/>
        <v>6.036029570085419</v>
      </c>
      <c r="E18" s="114">
        <v>3199.5</v>
      </c>
      <c r="F18" s="114">
        <v>3430.8</v>
      </c>
      <c r="G18" s="138">
        <f>+(3309-3040)+F18</f>
        <v>3699.8</v>
      </c>
      <c r="H18" s="138">
        <f>+(3597-3309)+G18</f>
        <v>3987.8</v>
      </c>
      <c r="I18" s="138">
        <f>+(3800-3597)+H18</f>
        <v>4190.8</v>
      </c>
      <c r="J18" s="138">
        <f>+(4012-3800)+I18</f>
        <v>4402.8</v>
      </c>
      <c r="K18" s="87" t="s">
        <v>52</v>
      </c>
    </row>
    <row r="19" spans="1:11" ht="20.100000000000001" customHeight="1">
      <c r="A19" s="115" t="s">
        <v>23</v>
      </c>
      <c r="B19" s="111">
        <v>2109.1999999999998</v>
      </c>
      <c r="C19" s="112">
        <v>2246.3000000000002</v>
      </c>
      <c r="D19" s="124">
        <f t="shared" si="0"/>
        <v>6.5000948226816027</v>
      </c>
      <c r="E19" s="116">
        <v>2385</v>
      </c>
      <c r="F19" s="116">
        <v>2514</v>
      </c>
      <c r="G19" s="139">
        <f>+(2492-2310)+F19</f>
        <v>2696</v>
      </c>
      <c r="H19" s="139">
        <f>+(2685-2492)+G19</f>
        <v>2889</v>
      </c>
      <c r="I19" s="139">
        <f>+(2853-2685)+H19</f>
        <v>3057</v>
      </c>
      <c r="J19" s="139">
        <f>+(3021-2853)+I19</f>
        <v>3225</v>
      </c>
      <c r="K19" s="88"/>
    </row>
    <row r="20" spans="1:11" ht="20.100000000000001" customHeight="1">
      <c r="A20" s="117" t="s">
        <v>11</v>
      </c>
      <c r="B20" s="140">
        <v>656.76</v>
      </c>
      <c r="C20" s="140">
        <v>774.61</v>
      </c>
      <c r="D20" s="124">
        <f t="shared" si="0"/>
        <v>17.944150070040809</v>
      </c>
      <c r="E20" s="118">
        <v>913.57</v>
      </c>
      <c r="F20" s="118">
        <v>1077</v>
      </c>
      <c r="G20" s="118">
        <v>1271</v>
      </c>
      <c r="H20" s="118">
        <v>1499</v>
      </c>
      <c r="I20" s="118">
        <v>1768</v>
      </c>
      <c r="J20" s="118">
        <v>2086</v>
      </c>
      <c r="K20" s="13"/>
    </row>
    <row r="21" spans="1:11" ht="20.100000000000001" customHeight="1">
      <c r="A21" s="119" t="s">
        <v>24</v>
      </c>
      <c r="B21" s="120">
        <f>+B19-B20</f>
        <v>1452.4399999999998</v>
      </c>
      <c r="C21" s="120">
        <f>+C19-C20</f>
        <v>1471.69</v>
      </c>
      <c r="D21" s="124">
        <f t="shared" si="0"/>
        <v>1.3253559527416092</v>
      </c>
      <c r="E21" s="125">
        <f t="shared" ref="E21:I21" si="14">+E19-E20</f>
        <v>1471.4299999999998</v>
      </c>
      <c r="F21" s="125">
        <f t="shared" si="14"/>
        <v>1437</v>
      </c>
      <c r="G21" s="125">
        <f t="shared" si="14"/>
        <v>1425</v>
      </c>
      <c r="H21" s="125">
        <f t="shared" si="14"/>
        <v>1390</v>
      </c>
      <c r="I21" s="125">
        <f t="shared" si="14"/>
        <v>1289</v>
      </c>
      <c r="J21" s="125">
        <f>+J19-J20</f>
        <v>1139</v>
      </c>
      <c r="K21" s="22"/>
    </row>
    <row r="22" spans="1:11" ht="20.100000000000001" customHeight="1">
      <c r="A22" s="115" t="s">
        <v>25</v>
      </c>
      <c r="B22" s="111">
        <v>373.9</v>
      </c>
      <c r="C22" s="112">
        <v>482.1</v>
      </c>
      <c r="D22" s="124">
        <f t="shared" si="0"/>
        <v>28.938218775073565</v>
      </c>
      <c r="E22" s="116">
        <v>534</v>
      </c>
      <c r="F22" s="116">
        <v>560.70000000000005</v>
      </c>
      <c r="G22" s="139">
        <f>(572-465)+F22</f>
        <v>667.7</v>
      </c>
      <c r="H22" s="139">
        <f>(681-572)+G22</f>
        <v>776.7</v>
      </c>
      <c r="I22" s="139">
        <f>(790-681)+H22</f>
        <v>885.7</v>
      </c>
      <c r="J22" s="139">
        <f>(901-790)+I22</f>
        <v>996.7</v>
      </c>
      <c r="K22" s="13"/>
    </row>
    <row r="23" spans="1:11" ht="20.100000000000001" customHeight="1">
      <c r="A23" s="117" t="s">
        <v>26</v>
      </c>
      <c r="B23" s="111">
        <v>372</v>
      </c>
      <c r="C23" s="112">
        <v>482</v>
      </c>
      <c r="D23" s="113">
        <f t="shared" si="0"/>
        <v>29.56989247311828</v>
      </c>
      <c r="E23" s="118">
        <v>531</v>
      </c>
      <c r="F23" s="118">
        <v>555</v>
      </c>
      <c r="G23" s="118">
        <v>592</v>
      </c>
      <c r="H23" s="118">
        <v>626</v>
      </c>
      <c r="I23" s="118">
        <v>661</v>
      </c>
      <c r="J23" s="118">
        <v>676</v>
      </c>
      <c r="K23" s="13"/>
    </row>
    <row r="24" spans="1:11" ht="20.100000000000001" customHeight="1">
      <c r="A24" s="119" t="s">
        <v>27</v>
      </c>
      <c r="B24" s="120">
        <f>+B22-B23</f>
        <v>1.8999999999999773</v>
      </c>
      <c r="C24" s="123">
        <f>+C22-C23</f>
        <v>0.10000000000002274</v>
      </c>
      <c r="D24" s="124">
        <f t="shared" si="0"/>
        <v>-94.7368421052619</v>
      </c>
      <c r="E24" s="125">
        <f>+E22-E23</f>
        <v>3</v>
      </c>
      <c r="F24" s="125">
        <f>+F22-F23</f>
        <v>5.7000000000000455</v>
      </c>
      <c r="G24" s="125">
        <f t="shared" ref="G24:I24" si="15">+G22-G23</f>
        <v>75.700000000000045</v>
      </c>
      <c r="H24" s="125">
        <f t="shared" si="15"/>
        <v>150.70000000000005</v>
      </c>
      <c r="I24" s="125">
        <f t="shared" si="15"/>
        <v>224.70000000000005</v>
      </c>
      <c r="J24" s="125">
        <f t="shared" ref="J24" si="16">+J22-J23</f>
        <v>320.70000000000005</v>
      </c>
      <c r="K24" s="22"/>
    </row>
    <row r="25" spans="1:11" ht="20.100000000000001" customHeight="1">
      <c r="A25" s="126" t="s">
        <v>30</v>
      </c>
      <c r="B25" s="127">
        <f>+B20+B23</f>
        <v>1028.76</v>
      </c>
      <c r="C25" s="127">
        <f>+C20+C23</f>
        <v>1256.6100000000001</v>
      </c>
      <c r="D25" s="124">
        <f t="shared" si="0"/>
        <v>22.148022862475226</v>
      </c>
      <c r="E25" s="127">
        <f t="shared" ref="E25:H25" si="17">+E20+E23</f>
        <v>1444.5700000000002</v>
      </c>
      <c r="F25" s="127">
        <f t="shared" si="17"/>
        <v>1632</v>
      </c>
      <c r="G25" s="127">
        <f t="shared" si="17"/>
        <v>1863</v>
      </c>
      <c r="H25" s="127">
        <f t="shared" si="17"/>
        <v>2125</v>
      </c>
      <c r="I25" s="127">
        <f>+I20+I23</f>
        <v>2429</v>
      </c>
      <c r="J25" s="127">
        <f>+J20+J23</f>
        <v>2762</v>
      </c>
      <c r="K25" s="13"/>
    </row>
    <row r="26" spans="1:11" ht="20.100000000000001" customHeight="1">
      <c r="A26" s="126" t="s">
        <v>31</v>
      </c>
      <c r="B26" s="127">
        <f>+B18+B21+B24</f>
        <v>4240.9399999999996</v>
      </c>
      <c r="C26" s="127">
        <f>+C18+C21+C24</f>
        <v>4426.59</v>
      </c>
      <c r="D26" s="124">
        <f t="shared" si="0"/>
        <v>4.3775672374520873</v>
      </c>
      <c r="E26" s="127">
        <f t="shared" ref="E26:I26" si="18">+E18+E21+E24</f>
        <v>4673.93</v>
      </c>
      <c r="F26" s="127">
        <f t="shared" si="18"/>
        <v>4873.5</v>
      </c>
      <c r="G26" s="127">
        <f t="shared" si="18"/>
        <v>5200.5</v>
      </c>
      <c r="H26" s="127">
        <f t="shared" si="18"/>
        <v>5528.5</v>
      </c>
      <c r="I26" s="127">
        <f t="shared" si="18"/>
        <v>5704.5</v>
      </c>
      <c r="J26" s="127">
        <f t="shared" ref="J26" si="19">+J18+J21+J24</f>
        <v>5862.5</v>
      </c>
      <c r="K26" s="13"/>
    </row>
    <row r="27" spans="1:11" ht="20.100000000000001" customHeight="1">
      <c r="A27" s="126" t="s">
        <v>32</v>
      </c>
      <c r="B27" s="127">
        <f>+B25+B26</f>
        <v>5269.7</v>
      </c>
      <c r="C27" s="127">
        <f>+C25+C26</f>
        <v>5683.2000000000007</v>
      </c>
      <c r="D27" s="124">
        <f t="shared" si="0"/>
        <v>7.8467464941078413</v>
      </c>
      <c r="E27" s="127">
        <f t="shared" ref="E27:I27" si="20">+E25+E26</f>
        <v>6118.5</v>
      </c>
      <c r="F27" s="127">
        <f t="shared" si="20"/>
        <v>6505.5</v>
      </c>
      <c r="G27" s="127">
        <f t="shared" si="20"/>
        <v>7063.5</v>
      </c>
      <c r="H27" s="127">
        <f t="shared" si="20"/>
        <v>7653.5</v>
      </c>
      <c r="I27" s="127">
        <f t="shared" si="20"/>
        <v>8133.5</v>
      </c>
      <c r="J27" s="127">
        <f t="shared" ref="J27" si="21">+J25+J26</f>
        <v>8624.5</v>
      </c>
      <c r="K27" s="13"/>
    </row>
    <row r="28" spans="1:11" ht="20.100000000000001" customHeight="1">
      <c r="A28" s="141"/>
      <c r="B28" s="131" t="s">
        <v>10</v>
      </c>
      <c r="C28" s="131" t="s">
        <v>10</v>
      </c>
      <c r="D28" s="142"/>
      <c r="E28" s="131" t="s">
        <v>10</v>
      </c>
      <c r="F28" s="131" t="s">
        <v>10</v>
      </c>
      <c r="G28" s="143">
        <f>+G18+G19+G22</f>
        <v>7063.5</v>
      </c>
      <c r="H28" s="143">
        <f t="shared" ref="H28:I28" si="22">+H18+H19+H22</f>
        <v>7653.5</v>
      </c>
      <c r="I28" s="143">
        <f t="shared" si="22"/>
        <v>8133.5</v>
      </c>
      <c r="J28" s="143">
        <f t="shared" ref="J28" si="23">+J18+J19+J22</f>
        <v>8624.5</v>
      </c>
      <c r="K28" s="27" t="s">
        <v>36</v>
      </c>
    </row>
    <row r="29" spans="1:11" ht="20.100000000000001" customHeight="1">
      <c r="A29" s="141" t="s">
        <v>2</v>
      </c>
      <c r="B29" s="144">
        <v>3.9620000000000002</v>
      </c>
      <c r="C29" s="144">
        <v>3.988</v>
      </c>
      <c r="D29" s="145"/>
      <c r="E29" s="146">
        <v>3.9580000000000002</v>
      </c>
      <c r="F29" s="146">
        <v>3.9580000000000002</v>
      </c>
      <c r="G29" s="147">
        <v>3.5539999999999998</v>
      </c>
      <c r="H29" s="147">
        <v>3.5539999999999998</v>
      </c>
      <c r="I29" s="147">
        <v>3.5539999999999998</v>
      </c>
      <c r="J29" s="147">
        <v>3.5539999999999998</v>
      </c>
      <c r="K29" s="13"/>
    </row>
    <row r="30" spans="1:11" ht="20.100000000000001" customHeight="1">
      <c r="A30" s="141" t="s">
        <v>3</v>
      </c>
      <c r="B30" s="144">
        <v>3.2839999999999998</v>
      </c>
      <c r="C30" s="144">
        <v>3.2509999999999999</v>
      </c>
      <c r="D30" s="145"/>
      <c r="E30" s="146">
        <v>3.3069999999999999</v>
      </c>
      <c r="F30" s="146">
        <v>3.3069999999999999</v>
      </c>
      <c r="G30" s="147">
        <v>3.5539999999999998</v>
      </c>
      <c r="H30" s="147">
        <v>3.5539999999999998</v>
      </c>
      <c r="I30" s="147">
        <v>3.5539999999999998</v>
      </c>
      <c r="J30" s="147">
        <v>3.5539999999999998</v>
      </c>
      <c r="K30" s="13"/>
    </row>
    <row r="31" spans="1:11" ht="20.100000000000001" customHeight="1">
      <c r="A31" s="148" t="s">
        <v>12</v>
      </c>
      <c r="B31" s="149">
        <v>2.2959999999999998</v>
      </c>
      <c r="C31" s="149">
        <v>2.3719999999999999</v>
      </c>
      <c r="D31" s="150"/>
      <c r="E31" s="151">
        <f>+E37/E22</f>
        <v>0</v>
      </c>
      <c r="F31" s="151">
        <v>2.1890000000000001</v>
      </c>
      <c r="G31" s="152">
        <v>3.5539999999999998</v>
      </c>
      <c r="H31" s="152">
        <v>3.5539999999999998</v>
      </c>
      <c r="I31" s="152">
        <v>3.5539999999999998</v>
      </c>
      <c r="J31" s="152">
        <v>3.5539999999999998</v>
      </c>
      <c r="K31" s="13"/>
    </row>
    <row r="32" spans="1:11" ht="20.100000000000001" customHeight="1">
      <c r="A32" s="98"/>
      <c r="B32" s="98"/>
      <c r="C32" s="98"/>
      <c r="D32" s="98"/>
      <c r="E32" s="153"/>
      <c r="F32" s="154"/>
      <c r="G32" s="154"/>
      <c r="H32" s="154"/>
      <c r="I32" s="154"/>
      <c r="J32" s="154"/>
      <c r="K32" s="14"/>
    </row>
    <row r="33" spans="1:13" ht="20.100000000000001" customHeight="1">
      <c r="A33" s="155"/>
      <c r="B33" s="156"/>
      <c r="C33" s="156"/>
      <c r="D33" s="157"/>
      <c r="E33" s="158"/>
      <c r="F33" s="153"/>
      <c r="G33" s="153">
        <v>2014</v>
      </c>
      <c r="H33" s="153">
        <v>2015</v>
      </c>
      <c r="I33" s="153">
        <v>2016</v>
      </c>
      <c r="J33" s="153">
        <v>2017</v>
      </c>
      <c r="K33" s="14"/>
    </row>
    <row r="34" spans="1:13" ht="20.100000000000001" customHeight="1">
      <c r="A34" s="155"/>
      <c r="B34" s="156"/>
      <c r="C34" s="156"/>
      <c r="D34" s="157"/>
      <c r="E34" s="158"/>
      <c r="F34" s="159" t="s">
        <v>57</v>
      </c>
      <c r="G34" s="121"/>
      <c r="H34" s="121"/>
      <c r="I34" s="121"/>
      <c r="J34" s="121"/>
      <c r="K34" s="14"/>
    </row>
    <row r="35" spans="1:13" ht="20.100000000000001" customHeight="1">
      <c r="A35" s="160"/>
      <c r="B35" s="156"/>
      <c r="C35" s="156"/>
      <c r="D35" s="157"/>
      <c r="E35" s="156"/>
      <c r="F35" s="161" t="s">
        <v>55</v>
      </c>
      <c r="G35" s="121"/>
      <c r="H35" s="121"/>
      <c r="I35" s="121"/>
      <c r="J35" s="121"/>
      <c r="K35" s="14"/>
    </row>
    <row r="36" spans="1:13" ht="20.100000000000001" customHeight="1">
      <c r="A36" s="160"/>
      <c r="B36" s="162"/>
      <c r="C36" s="162"/>
      <c r="D36" s="163"/>
      <c r="E36" s="162"/>
      <c r="F36" s="161" t="s">
        <v>56</v>
      </c>
      <c r="G36" s="121"/>
      <c r="H36" s="121"/>
      <c r="I36" s="121"/>
      <c r="J36" s="121"/>
      <c r="K36" s="51"/>
      <c r="L36" s="48"/>
      <c r="M36" s="48">
        <f t="shared" ref="L36:M36" si="24">+H22*H31</f>
        <v>2760.3917999999999</v>
      </c>
    </row>
    <row r="37" spans="1:13">
      <c r="A37" s="155"/>
      <c r="B37" s="156"/>
      <c r="C37" s="156"/>
      <c r="D37" s="157"/>
      <c r="E37" s="158"/>
      <c r="F37" s="162"/>
      <c r="G37" s="162"/>
      <c r="H37" s="162"/>
      <c r="I37" s="162"/>
      <c r="J37" s="162"/>
      <c r="K37" s="14"/>
    </row>
    <row r="38" spans="1:13">
      <c r="A38" s="160"/>
      <c r="B38" s="156"/>
      <c r="C38" s="156"/>
      <c r="D38" s="157"/>
      <c r="E38" s="164"/>
      <c r="F38" s="158"/>
      <c r="G38" s="162"/>
      <c r="H38" s="162"/>
      <c r="I38" s="162"/>
      <c r="J38" s="162"/>
      <c r="K38" s="14"/>
      <c r="L38" s="4"/>
    </row>
    <row r="39" spans="1:13">
      <c r="A39" s="160"/>
      <c r="B39" s="162"/>
      <c r="C39" s="162"/>
      <c r="D39" s="162"/>
      <c r="E39" s="162"/>
      <c r="F39" s="156"/>
      <c r="G39" s="156"/>
      <c r="H39" s="156"/>
      <c r="I39" s="156"/>
      <c r="J39" s="156"/>
      <c r="K39" s="14"/>
    </row>
    <row r="40" spans="1:13">
      <c r="A40" s="98"/>
      <c r="B40" s="162"/>
      <c r="C40" s="162"/>
      <c r="D40" s="165"/>
      <c r="E40" s="162"/>
      <c r="F40" s="162"/>
      <c r="G40" s="162"/>
      <c r="H40" s="162"/>
      <c r="I40" s="162"/>
      <c r="J40" s="162"/>
      <c r="K40" s="14"/>
    </row>
    <row r="41" spans="1:13">
      <c r="A41" s="98"/>
      <c r="B41" s="162"/>
      <c r="C41" s="162"/>
      <c r="D41" s="165"/>
      <c r="E41" s="162"/>
      <c r="F41" s="162"/>
      <c r="G41" s="162"/>
      <c r="H41" s="162"/>
      <c r="I41" s="162"/>
      <c r="J41" s="162"/>
      <c r="K41" s="14"/>
    </row>
    <row r="42" spans="1:13">
      <c r="A42" s="98"/>
      <c r="B42" s="162"/>
      <c r="C42" s="162"/>
      <c r="D42" s="165"/>
      <c r="E42" s="162"/>
      <c r="F42" s="162"/>
      <c r="G42" s="162"/>
      <c r="H42" s="162"/>
      <c r="I42" s="162"/>
      <c r="J42" s="162"/>
      <c r="K42" s="14"/>
    </row>
    <row r="43" spans="1:13">
      <c r="A43" s="98"/>
      <c r="B43" s="166"/>
      <c r="C43" s="166"/>
      <c r="D43" s="155"/>
      <c r="E43" s="167"/>
      <c r="F43" s="162"/>
      <c r="G43" s="162"/>
      <c r="H43" s="162"/>
      <c r="I43" s="162"/>
      <c r="J43" s="162"/>
      <c r="K43" s="50"/>
    </row>
    <row r="44" spans="1:13">
      <c r="A44" s="98"/>
      <c r="B44" s="168"/>
      <c r="C44" s="168"/>
      <c r="D44" s="98"/>
      <c r="E44" s="168"/>
      <c r="F44" s="166"/>
      <c r="G44" s="169"/>
      <c r="H44" s="169"/>
      <c r="I44" s="169"/>
      <c r="J44" s="169"/>
      <c r="K44" s="14"/>
    </row>
    <row r="45" spans="1:13">
      <c r="A45" s="170"/>
      <c r="B45" s="171"/>
      <c r="C45" s="171"/>
      <c r="D45" s="171"/>
      <c r="E45" s="171"/>
      <c r="F45" s="168"/>
      <c r="G45" s="168"/>
      <c r="H45" s="168"/>
      <c r="I45" s="168"/>
      <c r="J45" s="168"/>
      <c r="K45" s="28"/>
      <c r="L45" s="3"/>
      <c r="M45" s="3"/>
    </row>
    <row r="46" spans="1:13">
      <c r="F46" s="171"/>
      <c r="G46" s="171"/>
      <c r="H46" s="171"/>
      <c r="I46" s="171"/>
      <c r="J46" s="171"/>
    </row>
  </sheetData>
  <mergeCells count="2">
    <mergeCell ref="K18:K19"/>
    <mergeCell ref="K6:K7"/>
  </mergeCells>
  <pageMargins left="0.7" right="0.7" top="0.75" bottom="0.75" header="0.3" footer="0.3"/>
  <pageSetup paperSize="9" scale="65" orientation="landscape" r:id="rId1"/>
  <colBreaks count="1" manualBreakCount="1">
    <brk id="10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1"/>
  <sheetViews>
    <sheetView tabSelected="1" view="pageBreakPreview" topLeftCell="A25" zoomScaleNormal="75" zoomScaleSheetLayoutView="100" workbookViewId="0">
      <selection activeCell="A4" sqref="A4"/>
    </sheetView>
  </sheetViews>
  <sheetFormatPr baseColWidth="10" defaultColWidth="13.77734375" defaultRowHeight="18.75"/>
  <cols>
    <col min="1" max="1" width="33.88671875" style="1" customWidth="1"/>
    <col min="2" max="2" width="6.5546875" style="1" customWidth="1"/>
    <col min="3" max="3" width="11.109375" style="1" customWidth="1"/>
    <col min="4" max="4" width="9.109375" style="1" customWidth="1"/>
    <col min="5" max="5" width="26.33203125" style="1" customWidth="1"/>
    <col min="6" max="6" width="13.21875" style="1" customWidth="1"/>
    <col min="7" max="7" width="12.109375" style="1" customWidth="1"/>
    <col min="8" max="8" width="11.44140625" style="1" customWidth="1"/>
    <col min="9" max="9" width="10.77734375" style="1" customWidth="1"/>
    <col min="10" max="10" width="14" style="1" customWidth="1"/>
    <col min="11" max="11" width="8.33203125" style="1" customWidth="1"/>
    <col min="12" max="12" width="6.44140625" style="1" customWidth="1"/>
    <col min="13" max="13" width="6.77734375" style="1" customWidth="1"/>
    <col min="14" max="14" width="5.6640625" style="1" customWidth="1"/>
    <col min="15" max="15" width="5.88671875" style="1" customWidth="1"/>
    <col min="16" max="16" width="8" style="1" customWidth="1"/>
    <col min="17" max="16384" width="13.77734375" style="1"/>
  </cols>
  <sheetData>
    <row r="1" spans="1:15">
      <c r="A1" s="5" t="s">
        <v>33</v>
      </c>
      <c r="B1" s="5"/>
      <c r="L1" s="45"/>
      <c r="M1" s="45"/>
    </row>
    <row r="2" spans="1:15">
      <c r="A2" s="6"/>
      <c r="B2" s="7"/>
      <c r="C2" s="7"/>
      <c r="D2" s="7"/>
      <c r="E2" s="7"/>
      <c r="F2" s="7"/>
      <c r="G2" s="7"/>
      <c r="H2" s="7"/>
      <c r="I2" s="7"/>
      <c r="L2" s="46"/>
      <c r="M2" s="46"/>
    </row>
    <row r="3" spans="1:15" ht="19.5" thickBot="1">
      <c r="A3" s="27"/>
      <c r="B3" s="27"/>
      <c r="C3" s="29"/>
      <c r="D3" s="29"/>
      <c r="E3" s="29"/>
      <c r="F3" s="29"/>
      <c r="G3" s="29"/>
      <c r="H3" s="29"/>
      <c r="I3" s="29"/>
      <c r="J3" s="29"/>
      <c r="L3" s="46"/>
      <c r="M3" s="46"/>
    </row>
    <row r="4" spans="1:15">
      <c r="A4" s="27"/>
      <c r="B4" s="30" t="s">
        <v>9</v>
      </c>
      <c r="C4" s="30" t="s">
        <v>8</v>
      </c>
      <c r="D4" s="31"/>
      <c r="E4" s="30" t="s">
        <v>7</v>
      </c>
      <c r="F4" s="89" t="s">
        <v>37</v>
      </c>
      <c r="G4" s="90"/>
      <c r="H4" s="90"/>
      <c r="I4" s="91"/>
      <c r="J4" s="27"/>
      <c r="L4" s="47"/>
      <c r="M4" s="47"/>
    </row>
    <row r="5" spans="1:15">
      <c r="A5" s="15" t="s">
        <v>4</v>
      </c>
      <c r="B5" s="16">
        <v>2010</v>
      </c>
      <c r="C5" s="16">
        <v>2011</v>
      </c>
      <c r="D5" s="32" t="s">
        <v>0</v>
      </c>
      <c r="E5" s="17">
        <v>2012</v>
      </c>
      <c r="F5" s="18">
        <v>2013</v>
      </c>
      <c r="G5" s="18">
        <v>2014</v>
      </c>
      <c r="H5" s="18">
        <v>2015</v>
      </c>
      <c r="I5" s="19">
        <v>2016</v>
      </c>
      <c r="J5" s="19">
        <v>2017</v>
      </c>
      <c r="K5" s="27"/>
    </row>
    <row r="6" spans="1:15">
      <c r="A6" s="41" t="s">
        <v>29</v>
      </c>
      <c r="B6" s="41"/>
      <c r="C6" s="41"/>
      <c r="D6" s="41"/>
      <c r="E6" s="41"/>
      <c r="F6" s="41"/>
      <c r="G6" s="41"/>
      <c r="H6" s="41"/>
      <c r="I6" s="41"/>
      <c r="J6" s="41"/>
      <c r="K6" s="27"/>
    </row>
    <row r="7" spans="1:15">
      <c r="A7" s="54" t="s">
        <v>34</v>
      </c>
      <c r="B7" s="55">
        <v>480611</v>
      </c>
      <c r="C7" s="56">
        <v>517388</v>
      </c>
      <c r="D7" s="57">
        <f>+(C7-B7)/B7*100</f>
        <v>7.6521344704969296</v>
      </c>
      <c r="E7" s="58">
        <v>545888</v>
      </c>
      <c r="F7" s="59">
        <v>574888</v>
      </c>
      <c r="G7" s="60">
        <f>+(594983-563965)+F7</f>
        <v>605906</v>
      </c>
      <c r="H7" s="61">
        <f>+(627707-594983)+G7</f>
        <v>638630</v>
      </c>
      <c r="I7" s="60">
        <f>+(662231-627707)+H7</f>
        <v>673154</v>
      </c>
      <c r="J7" s="60">
        <f>+(698654-62231)+I7</f>
        <v>1309577</v>
      </c>
      <c r="K7" s="27"/>
      <c r="L7" s="10"/>
      <c r="M7" s="11"/>
      <c r="N7" s="12"/>
      <c r="O7" s="11"/>
    </row>
    <row r="8" spans="1:15">
      <c r="A8" s="20" t="s">
        <v>41</v>
      </c>
      <c r="B8" s="65">
        <v>799</v>
      </c>
      <c r="C8" s="66">
        <v>852</v>
      </c>
      <c r="D8" s="33">
        <f t="shared" ref="D8:D16" si="0">+(C8-B8)/B8*100</f>
        <v>6.6332916145181482</v>
      </c>
      <c r="E8" s="67">
        <v>887</v>
      </c>
      <c r="F8" s="68">
        <v>943</v>
      </c>
      <c r="G8" s="69">
        <f>+(972-918)+F8</f>
        <v>997</v>
      </c>
      <c r="H8" s="70">
        <f>+(1028-972)+G8</f>
        <v>1053</v>
      </c>
      <c r="I8" s="69">
        <f>+(1088-1028)+H8</f>
        <v>1113</v>
      </c>
      <c r="J8" s="69">
        <f>+(1151-1088)+I8</f>
        <v>1176</v>
      </c>
      <c r="K8" s="71"/>
    </row>
    <row r="9" spans="1:15">
      <c r="A9" s="62" t="s">
        <v>42</v>
      </c>
      <c r="B9" s="55">
        <v>0</v>
      </c>
      <c r="C9" s="55">
        <v>0</v>
      </c>
      <c r="D9" s="57"/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27"/>
    </row>
    <row r="10" spans="1:15">
      <c r="A10" s="62" t="s">
        <v>38</v>
      </c>
      <c r="B10" s="63">
        <f>+B8-B9</f>
        <v>799</v>
      </c>
      <c r="C10" s="63">
        <f t="shared" ref="C10" si="1">+C8-C9</f>
        <v>852</v>
      </c>
      <c r="D10" s="64">
        <f>+(C10-B10)/B10*100</f>
        <v>6.6332916145181482</v>
      </c>
      <c r="E10" s="63">
        <f>+E8-E9</f>
        <v>887</v>
      </c>
      <c r="F10" s="63">
        <f>+F8-F9</f>
        <v>943</v>
      </c>
      <c r="G10" s="63">
        <f>+G8-G9</f>
        <v>997</v>
      </c>
      <c r="H10" s="63">
        <f t="shared" ref="H10:J10" si="2">+H8-H9</f>
        <v>1053</v>
      </c>
      <c r="I10" s="63">
        <f t="shared" ref="I10" si="3">+I8-I9</f>
        <v>1113</v>
      </c>
      <c r="J10" s="63">
        <f t="shared" si="2"/>
        <v>1176</v>
      </c>
      <c r="K10" s="35"/>
    </row>
    <row r="11" spans="1:15">
      <c r="A11" s="25" t="s">
        <v>43</v>
      </c>
      <c r="B11" s="65">
        <v>33</v>
      </c>
      <c r="C11" s="66">
        <v>34</v>
      </c>
      <c r="D11" s="33">
        <f t="shared" si="0"/>
        <v>3.0303030303030303</v>
      </c>
      <c r="E11" s="67">
        <v>36</v>
      </c>
      <c r="F11" s="68">
        <v>39</v>
      </c>
      <c r="G11" s="69">
        <f>+(40-39)+F11</f>
        <v>40</v>
      </c>
      <c r="H11" s="70">
        <f>+(42-40)+G11</f>
        <v>42</v>
      </c>
      <c r="I11" s="69">
        <f>+(43-42)+H11</f>
        <v>43</v>
      </c>
      <c r="J11" s="69">
        <f>+(44-43)+I11</f>
        <v>44</v>
      </c>
      <c r="K11" s="27"/>
    </row>
    <row r="12" spans="1:15">
      <c r="A12" s="62" t="s">
        <v>44</v>
      </c>
      <c r="B12" s="55">
        <v>2</v>
      </c>
      <c r="C12" s="55">
        <v>2</v>
      </c>
      <c r="D12" s="57">
        <f t="shared" si="0"/>
        <v>0</v>
      </c>
      <c r="E12" s="55">
        <v>2</v>
      </c>
      <c r="F12" s="55">
        <v>2</v>
      </c>
      <c r="G12" s="55">
        <v>2</v>
      </c>
      <c r="H12" s="55">
        <v>3</v>
      </c>
      <c r="I12" s="55">
        <v>3</v>
      </c>
      <c r="J12" s="55">
        <v>3</v>
      </c>
      <c r="K12" s="27"/>
    </row>
    <row r="13" spans="1:15">
      <c r="A13" s="62" t="s">
        <v>39</v>
      </c>
      <c r="B13" s="63">
        <f>+B11-B12</f>
        <v>31</v>
      </c>
      <c r="C13" s="63">
        <f>+C11-C12</f>
        <v>32</v>
      </c>
      <c r="D13" s="64">
        <f>+(C13-B13)/B13*100</f>
        <v>3.225806451612903</v>
      </c>
      <c r="E13" s="63">
        <f>+E11-E12</f>
        <v>34</v>
      </c>
      <c r="F13" s="63">
        <f>+F11-F12</f>
        <v>37</v>
      </c>
      <c r="G13" s="63">
        <f>+G11-G12</f>
        <v>38</v>
      </c>
      <c r="H13" s="63">
        <f t="shared" ref="H13:J13" si="4">+H11-H12</f>
        <v>39</v>
      </c>
      <c r="I13" s="63">
        <f t="shared" ref="I13" si="5">+I11-I12</f>
        <v>40</v>
      </c>
      <c r="J13" s="63">
        <f t="shared" si="4"/>
        <v>41</v>
      </c>
      <c r="K13" s="35"/>
    </row>
    <row r="14" spans="1:15">
      <c r="A14" s="25" t="s">
        <v>19</v>
      </c>
      <c r="B14" s="72">
        <f>+B9+B12</f>
        <v>2</v>
      </c>
      <c r="C14" s="72">
        <f>+C9+C12</f>
        <v>2</v>
      </c>
      <c r="D14" s="34">
        <f t="shared" si="0"/>
        <v>0</v>
      </c>
      <c r="E14" s="72">
        <f>+E9+E12</f>
        <v>2</v>
      </c>
      <c r="F14" s="72">
        <f>+F9+F12</f>
        <v>2</v>
      </c>
      <c r="G14" s="72">
        <f>+G9+G12</f>
        <v>2</v>
      </c>
      <c r="H14" s="72">
        <f t="shared" ref="H14:J14" si="6">+H9+H12</f>
        <v>3</v>
      </c>
      <c r="I14" s="72">
        <f t="shared" ref="I14" si="7">+I9+I12</f>
        <v>3</v>
      </c>
      <c r="J14" s="72">
        <f t="shared" si="6"/>
        <v>3</v>
      </c>
      <c r="K14" s="71"/>
    </row>
    <row r="15" spans="1:15">
      <c r="A15" s="25" t="s">
        <v>20</v>
      </c>
      <c r="B15" s="72">
        <f>+B7+B10+B13</f>
        <v>481441</v>
      </c>
      <c r="C15" s="72">
        <f>+C7+C10+C13</f>
        <v>518272</v>
      </c>
      <c r="D15" s="34">
        <f>+(C15-B15)/B15*100</f>
        <v>7.65015858641038</v>
      </c>
      <c r="E15" s="72">
        <f>+E7+E10+E13</f>
        <v>546809</v>
      </c>
      <c r="F15" s="72">
        <f>+F7+F10+F13</f>
        <v>575868</v>
      </c>
      <c r="G15" s="72">
        <f>+G7+G10+G13</f>
        <v>606941</v>
      </c>
      <c r="H15" s="72">
        <f t="shared" ref="H15:J15" si="8">+H7+H10+H13</f>
        <v>639722</v>
      </c>
      <c r="I15" s="72">
        <f t="shared" ref="I15" si="9">+I7+I10+I13</f>
        <v>674307</v>
      </c>
      <c r="J15" s="72">
        <f t="shared" si="8"/>
        <v>1310794</v>
      </c>
      <c r="K15" s="71"/>
    </row>
    <row r="16" spans="1:15">
      <c r="A16" s="25" t="s">
        <v>1</v>
      </c>
      <c r="B16" s="72">
        <f>+B14+B15</f>
        <v>481443</v>
      </c>
      <c r="C16" s="72">
        <f>+C14+C15</f>
        <v>518274</v>
      </c>
      <c r="D16" s="34">
        <f t="shared" si="0"/>
        <v>7.6501268062885943</v>
      </c>
      <c r="E16" s="72">
        <f>+E14+E15</f>
        <v>546811</v>
      </c>
      <c r="F16" s="72">
        <f>+F14+F15</f>
        <v>575870</v>
      </c>
      <c r="G16" s="72">
        <f>+G14+G15</f>
        <v>606943</v>
      </c>
      <c r="H16" s="72">
        <f t="shared" ref="H16:J16" si="10">+H14+H15</f>
        <v>639725</v>
      </c>
      <c r="I16" s="72">
        <f t="shared" ref="I16" si="11">+I14+I15</f>
        <v>674310</v>
      </c>
      <c r="J16" s="72">
        <f t="shared" si="10"/>
        <v>1310797</v>
      </c>
      <c r="K16" s="71"/>
    </row>
    <row r="17" spans="1:16">
      <c r="A17" s="36"/>
      <c r="B17" s="23" t="s">
        <v>10</v>
      </c>
      <c r="C17" s="23" t="s">
        <v>10</v>
      </c>
      <c r="D17" s="24"/>
      <c r="E17" s="23" t="s">
        <v>10</v>
      </c>
      <c r="F17" s="23" t="s">
        <v>10</v>
      </c>
      <c r="G17" s="37">
        <f>+G7+G8+G11</f>
        <v>606943</v>
      </c>
      <c r="H17" s="37">
        <f t="shared" ref="H17:J17" si="12">+H7+H8+H11</f>
        <v>639725</v>
      </c>
      <c r="I17" s="37">
        <f t="shared" ref="I17" si="13">+I7+I8+I11</f>
        <v>674310</v>
      </c>
      <c r="J17" s="37">
        <f t="shared" si="12"/>
        <v>1310797</v>
      </c>
      <c r="K17" s="38" t="s">
        <v>36</v>
      </c>
    </row>
    <row r="18" spans="1:16">
      <c r="A18" s="42" t="s">
        <v>28</v>
      </c>
      <c r="B18" s="43"/>
      <c r="C18" s="43"/>
      <c r="D18" s="43"/>
      <c r="E18" s="43"/>
      <c r="F18" s="43"/>
      <c r="G18" s="43"/>
      <c r="H18" s="43"/>
      <c r="I18" s="44"/>
      <c r="J18" s="44"/>
      <c r="K18" s="27"/>
    </row>
    <row r="19" spans="1:16">
      <c r="A19" s="54" t="s">
        <v>45</v>
      </c>
      <c r="B19" s="55">
        <v>5555.8</v>
      </c>
      <c r="C19" s="56">
        <v>6216.5</v>
      </c>
      <c r="D19" s="73">
        <f t="shared" ref="D19:D28" si="14">+(C19-B19)/B19*100</f>
        <v>11.892076748623056</v>
      </c>
      <c r="E19" s="59">
        <v>7085.5</v>
      </c>
      <c r="F19" s="59">
        <v>7195</v>
      </c>
      <c r="G19" s="60">
        <f>+(7915-7335)+F19</f>
        <v>7775</v>
      </c>
      <c r="H19" s="61">
        <f>+(8540-7915)+G19</f>
        <v>8400</v>
      </c>
      <c r="I19" s="60">
        <f>+(9214-8540)+H19</f>
        <v>9074</v>
      </c>
      <c r="J19" s="60">
        <f>+(9942-9214)+I19</f>
        <v>9802</v>
      </c>
      <c r="K19" s="27"/>
      <c r="L19" s="45"/>
      <c r="M19" s="45"/>
      <c r="N19" s="12"/>
      <c r="O19" s="11"/>
    </row>
    <row r="20" spans="1:16">
      <c r="A20" s="20" t="s">
        <v>46</v>
      </c>
      <c r="B20" s="65">
        <v>1546.2</v>
      </c>
      <c r="C20" s="66">
        <v>1549.4</v>
      </c>
      <c r="D20" s="39">
        <f t="shared" si="14"/>
        <v>0.20695899624887112</v>
      </c>
      <c r="E20" s="68">
        <v>1726.1</v>
      </c>
      <c r="F20" s="68">
        <v>1802.6</v>
      </c>
      <c r="G20" s="69">
        <f>+(2165-2031)+F20</f>
        <v>1936.6</v>
      </c>
      <c r="H20" s="70">
        <f>+(2308-2165)+G20</f>
        <v>2079.6</v>
      </c>
      <c r="I20" s="69">
        <f>+(2460-2308)+H20</f>
        <v>2231.6</v>
      </c>
      <c r="J20" s="69">
        <f>+(2622-2460)+I20</f>
        <v>2393.6</v>
      </c>
      <c r="K20" s="71"/>
      <c r="L20" s="45"/>
      <c r="M20" s="45"/>
    </row>
    <row r="21" spans="1:16">
      <c r="A21" s="62" t="s">
        <v>47</v>
      </c>
      <c r="B21" s="74">
        <v>0</v>
      </c>
      <c r="C21" s="74">
        <v>0</v>
      </c>
      <c r="D21" s="73"/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0</v>
      </c>
      <c r="K21" s="27"/>
      <c r="L21" s="45"/>
      <c r="M21" s="45"/>
    </row>
    <row r="22" spans="1:16">
      <c r="A22" s="62" t="s">
        <v>48</v>
      </c>
      <c r="B22" s="63">
        <f>+B20-B21</f>
        <v>1546.2</v>
      </c>
      <c r="C22" s="63">
        <f>+C20-C21</f>
        <v>1549.4</v>
      </c>
      <c r="D22" s="73">
        <f t="shared" si="14"/>
        <v>0.20695899624887112</v>
      </c>
      <c r="E22" s="75">
        <f t="shared" ref="E22:J22" si="15">+E20-E21</f>
        <v>1726.1</v>
      </c>
      <c r="F22" s="75">
        <f t="shared" si="15"/>
        <v>1802.6</v>
      </c>
      <c r="G22" s="75">
        <f t="shared" si="15"/>
        <v>1936.6</v>
      </c>
      <c r="H22" s="75">
        <f t="shared" si="15"/>
        <v>2079.6</v>
      </c>
      <c r="I22" s="75">
        <f t="shared" si="15"/>
        <v>2231.6</v>
      </c>
      <c r="J22" s="75">
        <f t="shared" si="15"/>
        <v>2393.6</v>
      </c>
      <c r="K22" s="35"/>
    </row>
    <row r="23" spans="1:16">
      <c r="A23" s="20" t="s">
        <v>49</v>
      </c>
      <c r="B23" s="65">
        <v>1409.6</v>
      </c>
      <c r="C23" s="66">
        <v>1486.4</v>
      </c>
      <c r="D23" s="39">
        <f t="shared" si="14"/>
        <v>5.4483541430193094</v>
      </c>
      <c r="E23" s="68">
        <v>1518.9</v>
      </c>
      <c r="F23" s="68">
        <v>1587.6</v>
      </c>
      <c r="G23" s="69">
        <f>+(1902-1758)+F23</f>
        <v>1731.6</v>
      </c>
      <c r="H23" s="70">
        <f>+(2058-1902)+G23</f>
        <v>1887.6</v>
      </c>
      <c r="I23" s="69">
        <f>+(2227-2058)+H23</f>
        <v>2056.6</v>
      </c>
      <c r="J23" s="69">
        <f>+(2410-2227)+I23</f>
        <v>2239.6</v>
      </c>
      <c r="K23" s="71"/>
      <c r="L23" s="9"/>
    </row>
    <row r="24" spans="1:16">
      <c r="A24" s="62" t="s">
        <v>50</v>
      </c>
      <c r="B24" s="63">
        <v>485</v>
      </c>
      <c r="C24" s="75">
        <v>501</v>
      </c>
      <c r="D24" s="73">
        <f t="shared" si="14"/>
        <v>3.2989690721649487</v>
      </c>
      <c r="E24" s="75">
        <v>527</v>
      </c>
      <c r="F24" s="75">
        <v>544</v>
      </c>
      <c r="G24" s="75">
        <v>571</v>
      </c>
      <c r="H24" s="75">
        <v>740</v>
      </c>
      <c r="I24" s="75">
        <v>770</v>
      </c>
      <c r="J24" s="75">
        <v>780</v>
      </c>
      <c r="K24" s="27"/>
    </row>
    <row r="25" spans="1:16">
      <c r="A25" s="62" t="s">
        <v>51</v>
      </c>
      <c r="B25" s="63">
        <f>+B23-B24</f>
        <v>924.59999999999991</v>
      </c>
      <c r="C25" s="75">
        <f>+C23-C24</f>
        <v>985.40000000000009</v>
      </c>
      <c r="D25" s="73">
        <f t="shared" si="14"/>
        <v>6.5758165693272979</v>
      </c>
      <c r="E25" s="75">
        <f>+E23-E24</f>
        <v>991.90000000000009</v>
      </c>
      <c r="F25" s="75">
        <f>+F23-F24</f>
        <v>1043.5999999999999</v>
      </c>
      <c r="G25" s="75">
        <f t="shared" ref="G25:J25" si="16">+G23-G24</f>
        <v>1160.5999999999999</v>
      </c>
      <c r="H25" s="75">
        <f t="shared" si="16"/>
        <v>1147.5999999999999</v>
      </c>
      <c r="I25" s="75">
        <f t="shared" ref="I25" si="17">+I23-I24</f>
        <v>1286.5999999999999</v>
      </c>
      <c r="J25" s="75">
        <f t="shared" si="16"/>
        <v>1459.6</v>
      </c>
      <c r="K25" s="35"/>
    </row>
    <row r="26" spans="1:16">
      <c r="A26" s="25" t="s">
        <v>30</v>
      </c>
      <c r="B26" s="72">
        <f>+B21+B24</f>
        <v>485</v>
      </c>
      <c r="C26" s="72">
        <f>+C21+C24</f>
        <v>501</v>
      </c>
      <c r="D26" s="39">
        <f t="shared" si="14"/>
        <v>3.2989690721649487</v>
      </c>
      <c r="E26" s="72">
        <f t="shared" ref="E26:J26" si="18">+E21+E24</f>
        <v>527</v>
      </c>
      <c r="F26" s="72">
        <f t="shared" si="18"/>
        <v>544</v>
      </c>
      <c r="G26" s="72">
        <f t="shared" si="18"/>
        <v>571</v>
      </c>
      <c r="H26" s="72">
        <f t="shared" si="18"/>
        <v>740</v>
      </c>
      <c r="I26" s="72">
        <f t="shared" ref="I26" si="19">+I21+I24</f>
        <v>770</v>
      </c>
      <c r="J26" s="72">
        <f t="shared" si="18"/>
        <v>780</v>
      </c>
      <c r="K26" s="71"/>
      <c r="L26" s="6"/>
    </row>
    <row r="27" spans="1:16">
      <c r="A27" s="25" t="s">
        <v>31</v>
      </c>
      <c r="B27" s="72">
        <f>+B19+B22+B25</f>
        <v>8026.6</v>
      </c>
      <c r="C27" s="72">
        <f>+C19+C22+C25</f>
        <v>8751.2999999999993</v>
      </c>
      <c r="D27" s="39">
        <f t="shared" si="14"/>
        <v>9.0287294744972826</v>
      </c>
      <c r="E27" s="72">
        <f t="shared" ref="E27:J27" si="20">+E19+E22+E25</f>
        <v>9803.5</v>
      </c>
      <c r="F27" s="72">
        <f t="shared" si="20"/>
        <v>10041.200000000001</v>
      </c>
      <c r="G27" s="72">
        <f t="shared" si="20"/>
        <v>10872.2</v>
      </c>
      <c r="H27" s="72">
        <f t="shared" si="20"/>
        <v>11627.2</v>
      </c>
      <c r="I27" s="72">
        <f t="shared" ref="I27" si="21">+I19+I22+I25</f>
        <v>12592.2</v>
      </c>
      <c r="J27" s="72">
        <f t="shared" si="20"/>
        <v>13655.2</v>
      </c>
      <c r="K27" s="71"/>
      <c r="L27" s="6"/>
    </row>
    <row r="28" spans="1:16">
      <c r="A28" s="25" t="s">
        <v>32</v>
      </c>
      <c r="B28" s="72">
        <f>+B26+B27</f>
        <v>8511.6</v>
      </c>
      <c r="C28" s="72">
        <f>+C26+C27</f>
        <v>9252.2999999999993</v>
      </c>
      <c r="D28" s="39">
        <f t="shared" si="14"/>
        <v>8.7022416466939099</v>
      </c>
      <c r="E28" s="72">
        <f t="shared" ref="E28:J28" si="22">+E26+E27</f>
        <v>10330.5</v>
      </c>
      <c r="F28" s="72">
        <f t="shared" si="22"/>
        <v>10585.2</v>
      </c>
      <c r="G28" s="72">
        <f t="shared" si="22"/>
        <v>11443.2</v>
      </c>
      <c r="H28" s="72">
        <f t="shared" si="22"/>
        <v>12367.2</v>
      </c>
      <c r="I28" s="72">
        <f t="shared" ref="I28" si="23">+I26+I27</f>
        <v>13362.2</v>
      </c>
      <c r="J28" s="72">
        <f t="shared" si="22"/>
        <v>14435.2</v>
      </c>
      <c r="K28" s="71"/>
      <c r="L28" s="6"/>
    </row>
    <row r="29" spans="1:16">
      <c r="A29" s="20"/>
      <c r="B29" s="23" t="s">
        <v>10</v>
      </c>
      <c r="C29" s="23" t="s">
        <v>10</v>
      </c>
      <c r="D29" s="40"/>
      <c r="E29" s="23" t="s">
        <v>10</v>
      </c>
      <c r="F29" s="23" t="s">
        <v>10</v>
      </c>
      <c r="G29" s="26">
        <f>+G19+G20+G23</f>
        <v>11443.2</v>
      </c>
      <c r="H29" s="26">
        <f t="shared" ref="H29:J29" si="24">+H19+H20+H23</f>
        <v>12367.2</v>
      </c>
      <c r="I29" s="26">
        <f t="shared" ref="I29" si="25">+I19+I20+I23</f>
        <v>13362.2</v>
      </c>
      <c r="J29" s="26">
        <f t="shared" si="24"/>
        <v>14435.2</v>
      </c>
      <c r="K29" s="38" t="s">
        <v>36</v>
      </c>
    </row>
    <row r="30" spans="1:16">
      <c r="A30" s="20" t="s">
        <v>5</v>
      </c>
      <c r="B30" s="77" t="e">
        <f>+#REF!/B19</f>
        <v>#REF!</v>
      </c>
      <c r="C30" s="77" t="e">
        <f>+#REF!/C19</f>
        <v>#REF!</v>
      </c>
      <c r="D30" s="77"/>
      <c r="E30" s="78">
        <v>0.32</v>
      </c>
      <c r="F30" s="78">
        <v>0.32</v>
      </c>
      <c r="G30" s="76">
        <v>0.29799999999999999</v>
      </c>
      <c r="H30" s="76">
        <v>0.29799999999999999</v>
      </c>
      <c r="I30" s="76">
        <v>0.29799999999999999</v>
      </c>
      <c r="J30" s="76">
        <v>0.29799999999999999</v>
      </c>
      <c r="K30" s="27"/>
    </row>
    <row r="31" spans="1:16">
      <c r="A31" s="20" t="s">
        <v>6</v>
      </c>
      <c r="B31" s="77" t="e">
        <f>+#REF!/B20</f>
        <v>#REF!</v>
      </c>
      <c r="C31" s="77" t="e">
        <f>+#REF!/C20</f>
        <v>#REF!</v>
      </c>
      <c r="D31" s="77"/>
      <c r="E31" s="78">
        <v>0.33</v>
      </c>
      <c r="F31" s="78">
        <v>0.33</v>
      </c>
      <c r="G31" s="76">
        <v>0.29799999999999999</v>
      </c>
      <c r="H31" s="76">
        <v>0.29799999999999999</v>
      </c>
      <c r="I31" s="76">
        <v>0.29799999999999999</v>
      </c>
      <c r="J31" s="76">
        <v>0.29799999999999999</v>
      </c>
      <c r="K31" s="27"/>
      <c r="L31" s="79"/>
      <c r="M31" s="80"/>
      <c r="N31" s="81"/>
      <c r="O31" s="79"/>
      <c r="P31" s="80"/>
    </row>
    <row r="32" spans="1:16">
      <c r="A32" s="20" t="s">
        <v>40</v>
      </c>
      <c r="B32" s="77" t="e">
        <f>+#REF!/B23</f>
        <v>#REF!</v>
      </c>
      <c r="C32" s="77" t="e">
        <f>+#REF!/C23</f>
        <v>#REF!</v>
      </c>
      <c r="D32" s="77"/>
      <c r="E32" s="78">
        <v>0.16400000000000001</v>
      </c>
      <c r="F32" s="78">
        <v>0.16400000000000001</v>
      </c>
      <c r="G32" s="82">
        <v>0.29799999999999999</v>
      </c>
      <c r="H32" s="82">
        <v>0.29799999999999999</v>
      </c>
      <c r="I32" s="82">
        <v>0.29799999999999999</v>
      </c>
      <c r="J32" s="82">
        <v>0.29799999999999999</v>
      </c>
      <c r="K32" s="27"/>
      <c r="L32" s="79"/>
      <c r="M32" s="80"/>
      <c r="N32" s="81"/>
      <c r="O32" s="79"/>
      <c r="P32" s="80"/>
    </row>
    <row r="33" spans="1:16">
      <c r="A33" s="31"/>
      <c r="B33" s="83"/>
      <c r="C33" s="83"/>
      <c r="D33" s="83"/>
      <c r="E33" s="84"/>
      <c r="F33" s="84"/>
      <c r="G33" s="85"/>
      <c r="H33" s="85"/>
      <c r="I33" s="85"/>
      <c r="J33" s="85"/>
      <c r="K33" s="27"/>
      <c r="L33" s="79"/>
      <c r="M33" s="80"/>
      <c r="N33" s="81"/>
      <c r="O33" s="79"/>
      <c r="P33" s="80"/>
    </row>
    <row r="34" spans="1:16">
      <c r="A34" s="31"/>
      <c r="B34" s="83"/>
      <c r="C34" s="83"/>
      <c r="D34" s="83"/>
      <c r="E34" s="84"/>
      <c r="F34" s="84"/>
      <c r="G34" s="85"/>
      <c r="H34" s="85"/>
      <c r="I34" s="85"/>
      <c r="J34" s="85"/>
      <c r="K34" s="27"/>
      <c r="L34" s="79"/>
      <c r="M34" s="80"/>
      <c r="N34" s="81"/>
      <c r="O34" s="79"/>
      <c r="P34" s="80"/>
    </row>
    <row r="35" spans="1:16">
      <c r="A35" s="31"/>
      <c r="B35" s="83"/>
      <c r="C35" s="83"/>
      <c r="D35" s="83"/>
      <c r="E35" s="8"/>
      <c r="F35" s="49"/>
      <c r="G35" s="49">
        <v>2014</v>
      </c>
      <c r="H35" s="49">
        <v>2015</v>
      </c>
      <c r="I35" s="49">
        <v>2016</v>
      </c>
      <c r="J35" s="49">
        <v>2017</v>
      </c>
      <c r="K35" s="27"/>
      <c r="L35" s="79"/>
      <c r="M35" s="80"/>
      <c r="N35" s="81"/>
      <c r="O35" s="79"/>
      <c r="P35" s="80"/>
    </row>
    <row r="36" spans="1:16">
      <c r="A36" s="31"/>
      <c r="B36" s="83"/>
      <c r="C36" s="83"/>
      <c r="D36" s="83"/>
      <c r="E36" s="8"/>
      <c r="F36" s="52" t="s">
        <v>54</v>
      </c>
      <c r="G36" s="21"/>
      <c r="H36" s="21"/>
      <c r="I36" s="21"/>
      <c r="J36" s="21"/>
      <c r="K36" s="27"/>
      <c r="L36" s="79"/>
      <c r="M36" s="80"/>
      <c r="N36" s="81"/>
      <c r="O36" s="79"/>
      <c r="P36" s="80"/>
    </row>
    <row r="37" spans="1:16">
      <c r="A37" s="31"/>
      <c r="B37" s="83"/>
      <c r="C37" s="83"/>
      <c r="D37" s="83"/>
      <c r="E37" s="8"/>
      <c r="F37" s="53" t="s">
        <v>55</v>
      </c>
      <c r="G37" s="21"/>
      <c r="H37" s="21"/>
      <c r="I37" s="21"/>
      <c r="J37" s="21"/>
      <c r="K37" s="27"/>
      <c r="L37" s="79"/>
      <c r="M37" s="80"/>
      <c r="N37" s="81"/>
      <c r="O37" s="79"/>
      <c r="P37" s="80"/>
    </row>
    <row r="38" spans="1:16">
      <c r="A38" s="31"/>
      <c r="B38" s="83"/>
      <c r="C38" s="83"/>
      <c r="D38" s="83"/>
      <c r="E38" s="8"/>
      <c r="F38" s="53" t="s">
        <v>56</v>
      </c>
      <c r="G38" s="21"/>
      <c r="H38" s="21"/>
      <c r="I38" s="21"/>
      <c r="J38" s="21"/>
      <c r="K38" s="27"/>
      <c r="L38" s="79"/>
      <c r="M38" s="80"/>
      <c r="N38" s="81"/>
      <c r="O38" s="79"/>
      <c r="P38" s="80"/>
    </row>
    <row r="39" spans="1:16">
      <c r="A39" s="31"/>
      <c r="B39" s="83"/>
      <c r="C39" s="83"/>
      <c r="D39" s="83"/>
      <c r="E39" s="84"/>
      <c r="F39" s="84"/>
      <c r="G39" s="85"/>
      <c r="H39" s="85"/>
      <c r="I39" s="85"/>
      <c r="J39" s="85"/>
      <c r="K39" s="27"/>
      <c r="L39" s="79"/>
      <c r="M39" s="80"/>
      <c r="N39" s="81"/>
      <c r="O39" s="79"/>
      <c r="P39" s="80"/>
    </row>
    <row r="40" spans="1:16">
      <c r="A40" s="31"/>
      <c r="B40" s="83"/>
      <c r="C40" s="83"/>
      <c r="D40" s="83"/>
      <c r="E40" s="84"/>
      <c r="F40" s="84"/>
      <c r="G40" s="85"/>
      <c r="H40" s="85"/>
      <c r="I40" s="85"/>
      <c r="J40" s="85"/>
      <c r="K40" s="27"/>
      <c r="L40" s="79"/>
      <c r="M40" s="80"/>
      <c r="N40" s="81"/>
      <c r="O40" s="79"/>
      <c r="P40" s="80"/>
    </row>
    <row r="41" spans="1:16">
      <c r="A41" s="31"/>
      <c r="B41" s="86"/>
      <c r="C41" s="86"/>
      <c r="D41" s="86"/>
      <c r="E41" s="86"/>
      <c r="F41" s="86"/>
      <c r="G41" s="86"/>
      <c r="H41" s="86"/>
      <c r="I41" s="86"/>
      <c r="J41" s="86"/>
      <c r="K41" s="27"/>
      <c r="L41" s="79"/>
      <c r="M41" s="80"/>
      <c r="N41" s="81"/>
      <c r="O41" s="79"/>
      <c r="P41" s="80"/>
    </row>
  </sheetData>
  <mergeCells count="1">
    <mergeCell ref="F4:I4"/>
  </mergeCells>
  <pageMargins left="0.7" right="0.7" top="0.75" bottom="0.75" header="0.3" footer="0.3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Eligible+non Eligible ELEC</vt:lpstr>
      <vt:lpstr>Eligible+non Eligible GAZ</vt:lpstr>
    </vt:vector>
  </TitlesOfParts>
  <Company>XPSP2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bellounes</cp:lastModifiedBy>
  <cp:lastPrinted>2012-11-20T10:08:02Z</cp:lastPrinted>
  <dcterms:created xsi:type="dcterms:W3CDTF">2012-05-29T09:10:07Z</dcterms:created>
  <dcterms:modified xsi:type="dcterms:W3CDTF">2012-11-20T10:09:35Z</dcterms:modified>
</cp:coreProperties>
</file>