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 activeTab="1"/>
  </bookViews>
  <sheets>
    <sheet name="Eligible+non Eligible ELEC" sheetId="1" r:id="rId1"/>
    <sheet name="Eligible+non Eligible GAZ" sheetId="4" r:id="rId2"/>
  </sheets>
  <calcPr calcId="124519"/>
</workbook>
</file>

<file path=xl/calcChain.xml><?xml version="1.0" encoding="utf-8"?>
<calcChain xmlns="http://schemas.openxmlformats.org/spreadsheetml/2006/main">
  <c r="G44" i="4"/>
  <c r="H44"/>
  <c r="I44"/>
  <c r="J44"/>
  <c r="G39"/>
  <c r="H39"/>
  <c r="I39"/>
  <c r="J39"/>
  <c r="F39"/>
  <c r="E39"/>
  <c r="E38"/>
  <c r="E37"/>
  <c r="G52" i="1" l="1"/>
  <c r="G53" s="1"/>
  <c r="H53" i="4"/>
  <c r="I53"/>
  <c r="J53"/>
  <c r="G53"/>
  <c r="H52"/>
  <c r="I52"/>
  <c r="J52"/>
  <c r="G52"/>
  <c r="F42" i="1" l="1"/>
  <c r="G42"/>
  <c r="H42"/>
  <c r="I42"/>
  <c r="J42"/>
  <c r="E42"/>
  <c r="F41"/>
  <c r="F43" s="1"/>
  <c r="G41"/>
  <c r="G43" s="1"/>
  <c r="E41"/>
  <c r="E43" s="1"/>
  <c r="F39"/>
  <c r="F44" s="1"/>
  <c r="G39"/>
  <c r="G44" s="1"/>
  <c r="H39"/>
  <c r="H44" s="1"/>
  <c r="I39"/>
  <c r="I44" s="1"/>
  <c r="J39"/>
  <c r="J44" s="1"/>
  <c r="E39"/>
  <c r="E44" s="1"/>
  <c r="E38"/>
  <c r="E40" s="1"/>
  <c r="G38"/>
  <c r="G40" s="1"/>
  <c r="F37"/>
  <c r="G37"/>
  <c r="G45" s="1"/>
  <c r="E37"/>
  <c r="F38"/>
  <c r="F40" s="1"/>
  <c r="F42" i="4"/>
  <c r="G42"/>
  <c r="H42"/>
  <c r="I42"/>
  <c r="J42"/>
  <c r="F41"/>
  <c r="F43" s="1"/>
  <c r="G41"/>
  <c r="G43" s="1"/>
  <c r="G37"/>
  <c r="G38"/>
  <c r="F44"/>
  <c r="F37"/>
  <c r="F38"/>
  <c r="E42"/>
  <c r="E41"/>
  <c r="E40"/>
  <c r="D46" i="1"/>
  <c r="D45"/>
  <c r="D44"/>
  <c r="D43"/>
  <c r="D42"/>
  <c r="D41"/>
  <c r="D40"/>
  <c r="D39"/>
  <c r="D38"/>
  <c r="D37"/>
  <c r="D46" i="4"/>
  <c r="D45"/>
  <c r="D44"/>
  <c r="D43"/>
  <c r="D42"/>
  <c r="D41"/>
  <c r="D40"/>
  <c r="G40"/>
  <c r="G45" s="1"/>
  <c r="F40"/>
  <c r="D38"/>
  <c r="D37"/>
  <c r="E45" i="1" l="1"/>
  <c r="F45"/>
  <c r="G46"/>
  <c r="F46"/>
  <c r="E43" i="4"/>
  <c r="E45" s="1"/>
  <c r="F45"/>
  <c r="F46" s="1"/>
  <c r="E44"/>
  <c r="F47"/>
  <c r="G46"/>
  <c r="E47" i="1"/>
  <c r="E46"/>
  <c r="G47"/>
  <c r="G47" i="4"/>
  <c r="E46" l="1"/>
  <c r="E47"/>
  <c r="F47" i="1"/>
  <c r="H22" l="1"/>
  <c r="H41" s="1"/>
  <c r="H43" s="1"/>
  <c r="J25" l="1"/>
  <c r="I25"/>
  <c r="H22" i="4"/>
  <c r="H19"/>
  <c r="G10"/>
  <c r="H6"/>
  <c r="I6" s="1"/>
  <c r="H7"/>
  <c r="I7" s="1"/>
  <c r="I25"/>
  <c r="I13"/>
  <c r="I22" i="1"/>
  <c r="J22" l="1"/>
  <c r="J41" s="1"/>
  <c r="J43" s="1"/>
  <c r="I41"/>
  <c r="I43" s="1"/>
  <c r="I22" i="4"/>
  <c r="H41"/>
  <c r="H43" s="1"/>
  <c r="I19"/>
  <c r="I38" s="1"/>
  <c r="H38"/>
  <c r="H40" s="1"/>
  <c r="J22"/>
  <c r="J19"/>
  <c r="J38" s="1"/>
  <c r="J7"/>
  <c r="I9"/>
  <c r="I21"/>
  <c r="I24"/>
  <c r="I41" l="1"/>
  <c r="I43" s="1"/>
  <c r="J41"/>
  <c r="J43" s="1"/>
  <c r="J9" i="1"/>
  <c r="J12"/>
  <c r="J13"/>
  <c r="J16"/>
  <c r="J24"/>
  <c r="I40" i="4" l="1"/>
  <c r="J40"/>
  <c r="J14" i="1"/>
  <c r="J15" s="1"/>
  <c r="D6" i="4" l="1"/>
  <c r="H10" l="1"/>
  <c r="G16" i="1"/>
  <c r="D7"/>
  <c r="D8"/>
  <c r="D10"/>
  <c r="D11"/>
  <c r="D18"/>
  <c r="D19"/>
  <c r="D20"/>
  <c r="D22"/>
  <c r="D23"/>
  <c r="D6"/>
  <c r="B9"/>
  <c r="I7"/>
  <c r="I16" s="1"/>
  <c r="H7"/>
  <c r="J25" i="4"/>
  <c r="H25"/>
  <c r="G25"/>
  <c r="F25"/>
  <c r="E25"/>
  <c r="C25"/>
  <c r="B25"/>
  <c r="F24"/>
  <c r="E24"/>
  <c r="C24"/>
  <c r="B24"/>
  <c r="D23"/>
  <c r="D22"/>
  <c r="F21"/>
  <c r="E21"/>
  <c r="C21"/>
  <c r="B21"/>
  <c r="B26" s="1"/>
  <c r="G21"/>
  <c r="D19"/>
  <c r="D18"/>
  <c r="J13"/>
  <c r="H13"/>
  <c r="G13"/>
  <c r="F13"/>
  <c r="E13"/>
  <c r="C13"/>
  <c r="B13"/>
  <c r="G12"/>
  <c r="F12"/>
  <c r="E12"/>
  <c r="C12"/>
  <c r="B12"/>
  <c r="D11"/>
  <c r="D10"/>
  <c r="G9"/>
  <c r="F9"/>
  <c r="E9"/>
  <c r="C9"/>
  <c r="B9"/>
  <c r="D7"/>
  <c r="I10" l="1"/>
  <c r="D12"/>
  <c r="D9"/>
  <c r="E26"/>
  <c r="G16"/>
  <c r="H9"/>
  <c r="H12"/>
  <c r="H18"/>
  <c r="G28"/>
  <c r="G28" i="1"/>
  <c r="H19"/>
  <c r="H38" s="1"/>
  <c r="H40" s="1"/>
  <c r="H16"/>
  <c r="H18"/>
  <c r="C14" i="4"/>
  <c r="G14"/>
  <c r="F14"/>
  <c r="E14"/>
  <c r="D25"/>
  <c r="D24"/>
  <c r="C26"/>
  <c r="D26" s="1"/>
  <c r="B14"/>
  <c r="B27"/>
  <c r="E27"/>
  <c r="E35" s="1"/>
  <c r="D21"/>
  <c r="G24"/>
  <c r="D13"/>
  <c r="F26"/>
  <c r="H37" i="1" l="1"/>
  <c r="H45" s="1"/>
  <c r="H52"/>
  <c r="H53" s="1"/>
  <c r="H46"/>
  <c r="H47"/>
  <c r="I18" i="4"/>
  <c r="I37" s="1"/>
  <c r="I45" s="1"/>
  <c r="H37"/>
  <c r="H45" s="1"/>
  <c r="J18"/>
  <c r="J37" s="1"/>
  <c r="J45" s="1"/>
  <c r="I28"/>
  <c r="I18" i="1"/>
  <c r="J10" i="4"/>
  <c r="I12"/>
  <c r="I14" s="1"/>
  <c r="I15" s="1"/>
  <c r="I16"/>
  <c r="D14"/>
  <c r="I19" i="1"/>
  <c r="I38" s="1"/>
  <c r="I40" s="1"/>
  <c r="G26" i="4"/>
  <c r="E15"/>
  <c r="C15"/>
  <c r="C35" s="1"/>
  <c r="J12"/>
  <c r="F15"/>
  <c r="G15"/>
  <c r="J9"/>
  <c r="H14"/>
  <c r="H28"/>
  <c r="H16"/>
  <c r="H28" i="1"/>
  <c r="B15" i="4"/>
  <c r="B35" s="1"/>
  <c r="C27"/>
  <c r="H24"/>
  <c r="F27"/>
  <c r="F35" s="1"/>
  <c r="G27"/>
  <c r="G35" s="1"/>
  <c r="H21"/>
  <c r="G9" i="1"/>
  <c r="H13"/>
  <c r="I13"/>
  <c r="H12"/>
  <c r="I12"/>
  <c r="H9"/>
  <c r="I9"/>
  <c r="G25"/>
  <c r="H25"/>
  <c r="F21"/>
  <c r="E21"/>
  <c r="E36" s="1"/>
  <c r="B21"/>
  <c r="C21"/>
  <c r="F24"/>
  <c r="G13"/>
  <c r="G12"/>
  <c r="F25"/>
  <c r="F13"/>
  <c r="F12"/>
  <c r="F9"/>
  <c r="E24"/>
  <c r="E25"/>
  <c r="E13"/>
  <c r="E12"/>
  <c r="E9"/>
  <c r="C25"/>
  <c r="B25"/>
  <c r="C13"/>
  <c r="C12"/>
  <c r="C9"/>
  <c r="B13"/>
  <c r="B12"/>
  <c r="C24"/>
  <c r="B24"/>
  <c r="I52" l="1"/>
  <c r="I53" s="1"/>
  <c r="J18"/>
  <c r="I37"/>
  <c r="I45" s="1"/>
  <c r="I26" i="4"/>
  <c r="I27" s="1"/>
  <c r="I35" s="1"/>
  <c r="J47"/>
  <c r="J46"/>
  <c r="I46"/>
  <c r="I47"/>
  <c r="H47"/>
  <c r="H46"/>
  <c r="J19" i="1"/>
  <c r="E26"/>
  <c r="H14"/>
  <c r="I14"/>
  <c r="D27" i="4"/>
  <c r="D15"/>
  <c r="H15"/>
  <c r="J28"/>
  <c r="J16"/>
  <c r="J14"/>
  <c r="D24" i="1"/>
  <c r="D13"/>
  <c r="D25"/>
  <c r="F26"/>
  <c r="F14"/>
  <c r="C14"/>
  <c r="D9"/>
  <c r="D12"/>
  <c r="G14"/>
  <c r="G15" s="1"/>
  <c r="D21"/>
  <c r="I28"/>
  <c r="B26"/>
  <c r="J24" i="4"/>
  <c r="J21"/>
  <c r="H26"/>
  <c r="E14" i="1"/>
  <c r="I15"/>
  <c r="C26"/>
  <c r="G24"/>
  <c r="H15"/>
  <c r="B14"/>
  <c r="F27"/>
  <c r="F35" s="1"/>
  <c r="G21"/>
  <c r="E27"/>
  <c r="E35" s="1"/>
  <c r="J37" l="1"/>
  <c r="J52"/>
  <c r="J53" s="1"/>
  <c r="J28"/>
  <c r="J38"/>
  <c r="J40" s="1"/>
  <c r="J45" s="1"/>
  <c r="I46"/>
  <c r="I47"/>
  <c r="J21"/>
  <c r="J26" s="1"/>
  <c r="J27" s="1"/>
  <c r="J35" s="1"/>
  <c r="B15"/>
  <c r="E15"/>
  <c r="B27"/>
  <c r="B35" s="1"/>
  <c r="F15"/>
  <c r="J26" i="4"/>
  <c r="J15"/>
  <c r="G26" i="1"/>
  <c r="D26"/>
  <c r="C15"/>
  <c r="D14"/>
  <c r="J27" i="4"/>
  <c r="J35" s="1"/>
  <c r="H27"/>
  <c r="H35" s="1"/>
  <c r="H21" i="1"/>
  <c r="H24"/>
  <c r="C27"/>
  <c r="C35" s="1"/>
  <c r="J46" l="1"/>
  <c r="J47"/>
  <c r="D27"/>
  <c r="D15"/>
  <c r="G27"/>
  <c r="G35" s="1"/>
  <c r="H26"/>
  <c r="I24"/>
  <c r="I21"/>
  <c r="H27" l="1"/>
  <c r="H35" s="1"/>
  <c r="I26"/>
  <c r="I27" l="1"/>
  <c r="I35" s="1"/>
</calcChain>
</file>

<file path=xl/comments1.xml><?xml version="1.0" encoding="utf-8"?>
<comments xmlns="http://schemas.openxmlformats.org/spreadsheetml/2006/main">
  <authors>
    <author>bellounes</author>
  </authors>
  <commentList>
    <comment ref="B42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 CA Eligible HT dcm eronné (835)
prix de vte DCM Eronné (2,24) </t>
        </r>
      </text>
    </comment>
  </commentList>
</comments>
</file>

<file path=xl/sharedStrings.xml><?xml version="1.0" encoding="utf-8"?>
<sst xmlns="http://schemas.openxmlformats.org/spreadsheetml/2006/main" count="124" uniqueCount="69">
  <si>
    <t>TE%</t>
  </si>
  <si>
    <t>Total clients</t>
  </si>
  <si>
    <t>Prix vte BT</t>
  </si>
  <si>
    <t>Prix vte MT</t>
  </si>
  <si>
    <t>LIBELE</t>
  </si>
  <si>
    <t>Prix vte BP</t>
  </si>
  <si>
    <t>Prix vte MP</t>
  </si>
  <si>
    <t xml:space="preserve">Budget 2012 </t>
  </si>
  <si>
    <t xml:space="preserve">Bilan 2011 </t>
  </si>
  <si>
    <t xml:space="preserve">Bilan 2010 </t>
  </si>
  <si>
    <t>ok</t>
  </si>
  <si>
    <t>Vtes Elec MT Eligible</t>
  </si>
  <si>
    <t>Prix vte HT</t>
  </si>
  <si>
    <t>Nbre clients MT Eligible</t>
  </si>
  <si>
    <t>Nbre clients HT Eligible</t>
  </si>
  <si>
    <t xml:space="preserve">  Nbre client MT Non Eligible</t>
  </si>
  <si>
    <t xml:space="preserve">  Nbre client HT Non Eligible</t>
  </si>
  <si>
    <t>Nbre clients MT Dont :</t>
  </si>
  <si>
    <t>Nbre clients HT Dont :</t>
  </si>
  <si>
    <t>Total clients  Eligible</t>
  </si>
  <si>
    <t>Total clients  Non Eligible</t>
  </si>
  <si>
    <t>Nbre clients BT (Non Eligible)</t>
  </si>
  <si>
    <t>Vtes Elec BT (Non Eligible)</t>
  </si>
  <si>
    <t>Vtes Elec MT  Dont :</t>
  </si>
  <si>
    <t>Vtes Elec MT Non Eligible</t>
  </si>
  <si>
    <t>Vtes Elec HT  Dont :</t>
  </si>
  <si>
    <t>Vtes Elec HT Eligible</t>
  </si>
  <si>
    <t>Vtes Elec HT Non Eligible</t>
  </si>
  <si>
    <t>VENTES ELEC</t>
  </si>
  <si>
    <t>NOMBRE CLIENTS ELEC</t>
  </si>
  <si>
    <t>Vtes Elec  Eligible</t>
  </si>
  <si>
    <t>Vtes Elec  Non Eligible</t>
  </si>
  <si>
    <t>Total ventes</t>
  </si>
  <si>
    <t>PARAMETRES AVANT TRANSFERT SDA</t>
  </si>
  <si>
    <t>Nbre clients BP (Non Eligible)</t>
  </si>
  <si>
    <t>Source: Plan de développement 2012-2022</t>
  </si>
  <si>
    <t>contrôle calcul</t>
  </si>
  <si>
    <t>Source: Plan de développement 201é-2022</t>
  </si>
  <si>
    <t xml:space="preserve">  Nbre client MP Non Eligible</t>
  </si>
  <si>
    <t xml:space="preserve">  Nbre client HP Non Eligible</t>
  </si>
  <si>
    <t>Prix vte HP</t>
  </si>
  <si>
    <t>Nbre clients MP Dont :</t>
  </si>
  <si>
    <t>Nbre clients MP Eligible</t>
  </si>
  <si>
    <t>Nbre clients HP Dont :</t>
  </si>
  <si>
    <t>Nbre clients HP Eligible</t>
  </si>
  <si>
    <t>Vtes Elec BP (Non Eligible)</t>
  </si>
  <si>
    <t>Vtes Elec MP  Dont :</t>
  </si>
  <si>
    <t>Vtes Elec MP Eligible</t>
  </si>
  <si>
    <t>Vtes Elec MP Non Eligible</t>
  </si>
  <si>
    <t>Vtes Elec HP  Dont :</t>
  </si>
  <si>
    <t>Vtes Elec HP Eligible</t>
  </si>
  <si>
    <t>Vtes Elec HP Non Eligible</t>
  </si>
  <si>
    <t xml:space="preserve">rajoût delta chaque année (2014 à 2017) idem plan stratégique </t>
  </si>
  <si>
    <t xml:space="preserve">Plan stratégique + variation 2013 </t>
  </si>
  <si>
    <t>Calcul prix vte moyen</t>
  </si>
  <si>
    <t>Chiffres d'affaires Elec BT (Non Eligible)</t>
  </si>
  <si>
    <t>Chiffres d'affaires  Elec MT  Dont :</t>
  </si>
  <si>
    <t>CA Elec MT Eligible</t>
  </si>
  <si>
    <t>CA Elec c MT Non Eligible</t>
  </si>
  <si>
    <t>Chiffres d'affaires  Elec  HT  Dont :</t>
  </si>
  <si>
    <t>CA Elec HT Eligible</t>
  </si>
  <si>
    <t>CA Elec  HT Non Eligible</t>
  </si>
  <si>
    <t>CA Elec  Eligible</t>
  </si>
  <si>
    <t>CA Elec  Non Eligible</t>
  </si>
  <si>
    <t>Total CA</t>
  </si>
  <si>
    <t xml:space="preserve">ACHAT MT/BT </t>
  </si>
  <si>
    <t>PERTE</t>
  </si>
  <si>
    <t>TAUX PERTE</t>
  </si>
  <si>
    <t xml:space="preserve">ACHAT MP/BP </t>
  </si>
</sst>
</file>

<file path=xl/styles.xml><?xml version="1.0" encoding="utf-8"?>
<styleSheet xmlns="http://schemas.openxmlformats.org/spreadsheetml/2006/main">
  <numFmts count="9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#,##0.0"/>
    <numFmt numFmtId="169" formatCode="_-* #,##0.000\ _€_-;\-* #,##0.000\ _€_-;_-* &quot;-&quot;??\ _€_-;_-@_-"/>
    <numFmt numFmtId="170" formatCode="_-* #,##0.000\ _€_-;\-* #,##0.000\ _€_-;_-* &quot;-&quot;???\ _€_-;_-@_-"/>
    <numFmt numFmtId="171" formatCode="#,##0.000"/>
  </numFmts>
  <fonts count="31">
    <font>
      <sz val="12"/>
      <color theme="1"/>
      <name val="Candara"/>
      <family val="2"/>
    </font>
    <font>
      <sz val="12"/>
      <color theme="1"/>
      <name val="Candar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sz val="14"/>
      <color theme="0"/>
      <name val="Candara"/>
      <family val="2"/>
    </font>
    <font>
      <b/>
      <sz val="16"/>
      <color theme="1"/>
      <name val="Candara"/>
      <family val="2"/>
    </font>
    <font>
      <b/>
      <sz val="10"/>
      <color rgb="FFFFFF00"/>
      <name val="Candara"/>
      <family val="2"/>
    </font>
    <font>
      <b/>
      <sz val="10"/>
      <color rgb="FFFF0000"/>
      <name val="Candara"/>
      <family val="2"/>
    </font>
    <font>
      <b/>
      <sz val="10"/>
      <color theme="1"/>
      <name val="Candara"/>
      <family val="2"/>
    </font>
    <font>
      <sz val="12"/>
      <color rgb="FFFF0000"/>
      <name val="Candara"/>
      <family val="2"/>
    </font>
    <font>
      <b/>
      <sz val="12"/>
      <color theme="1"/>
      <name val="Candara"/>
      <family val="2"/>
    </font>
    <font>
      <sz val="12"/>
      <name val="Candara"/>
      <family val="2"/>
    </font>
    <font>
      <b/>
      <sz val="12"/>
      <color rgb="FFFF0000"/>
      <name val="Candara"/>
      <family val="2"/>
    </font>
    <font>
      <sz val="12"/>
      <color rgb="FF00B0F0"/>
      <name val="Candara"/>
      <family val="2"/>
    </font>
    <font>
      <b/>
      <sz val="12"/>
      <color rgb="FF00B0F0"/>
      <name val="Candara"/>
      <family val="2"/>
    </font>
    <font>
      <b/>
      <sz val="12"/>
      <name val="Candara"/>
      <family val="2"/>
    </font>
    <font>
      <sz val="12"/>
      <color theme="0"/>
      <name val="Candara"/>
      <family val="2"/>
    </font>
    <font>
      <b/>
      <sz val="12"/>
      <color theme="5" tint="-0.249977111117893"/>
      <name val="Candara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2"/>
      <color theme="9" tint="-0.249977111117893"/>
      <name val="Candar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 tint="0.39997558519241921"/>
      <name val="Candara"/>
      <family val="2"/>
    </font>
    <font>
      <sz val="12"/>
      <color theme="3" tint="-0.249977111117893"/>
      <name val="Candara"/>
      <family val="2"/>
    </font>
    <font>
      <b/>
      <sz val="12"/>
      <color theme="3" tint="-0.249977111117893"/>
      <name val="Candara"/>
      <family val="2"/>
    </font>
    <font>
      <b/>
      <sz val="12"/>
      <color theme="0"/>
      <name val="Candara"/>
      <family val="2"/>
    </font>
    <font>
      <b/>
      <sz val="14"/>
      <name val="Candara"/>
      <family val="2"/>
    </font>
    <font>
      <sz val="14"/>
      <color rgb="FFFF0000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/>
    <xf numFmtId="0" fontId="5" fillId="0" borderId="0" xfId="0" applyFont="1"/>
    <xf numFmtId="0" fontId="6" fillId="3" borderId="0" xfId="0" applyFont="1" applyFill="1" applyBorder="1"/>
    <xf numFmtId="3" fontId="5" fillId="0" borderId="0" xfId="0" applyNumberFormat="1" applyFont="1"/>
    <xf numFmtId="0" fontId="7" fillId="5" borderId="0" xfId="0" applyFont="1" applyFill="1"/>
    <xf numFmtId="0" fontId="5" fillId="5" borderId="0" xfId="0" applyFont="1" applyFill="1"/>
    <xf numFmtId="0" fontId="7" fillId="3" borderId="0" xfId="0" applyFont="1" applyFill="1"/>
    <xf numFmtId="0" fontId="5" fillId="3" borderId="0" xfId="0" applyFont="1" applyFill="1"/>
    <xf numFmtId="0" fontId="4" fillId="5" borderId="0" xfId="0" applyFont="1" applyFill="1"/>
    <xf numFmtId="0" fontId="4" fillId="3" borderId="0" xfId="0" applyFont="1" applyFill="1"/>
    <xf numFmtId="3" fontId="4" fillId="3" borderId="0" xfId="0" applyNumberFormat="1" applyFont="1" applyFill="1"/>
    <xf numFmtId="170" fontId="10" fillId="0" borderId="0" xfId="0" applyNumberFormat="1" applyFont="1"/>
    <xf numFmtId="165" fontId="8" fillId="3" borderId="0" xfId="1" applyNumberFormat="1" applyFont="1" applyFill="1" applyBorder="1"/>
    <xf numFmtId="3" fontId="9" fillId="3" borderId="0" xfId="0" applyNumberFormat="1" applyFont="1" applyFill="1" applyBorder="1"/>
    <xf numFmtId="165" fontId="9" fillId="3" borderId="0" xfId="1" applyNumberFormat="1" applyFont="1" applyFill="1" applyBorder="1"/>
    <xf numFmtId="0" fontId="0" fillId="0" borderId="0" xfId="0" applyFont="1"/>
    <xf numFmtId="0" fontId="11" fillId="0" borderId="5" xfId="0" applyFont="1" applyBorder="1"/>
    <xf numFmtId="0" fontId="0" fillId="3" borderId="0" xfId="0" applyFont="1" applyFill="1" applyBorder="1"/>
    <xf numFmtId="0" fontId="12" fillId="2" borderId="0" xfId="0" applyFont="1" applyFill="1"/>
    <xf numFmtId="0" fontId="12" fillId="2" borderId="6" xfId="0" applyFont="1" applyFill="1" applyBorder="1"/>
    <xf numFmtId="0" fontId="12" fillId="3" borderId="0" xfId="0" applyFont="1" applyFill="1" applyBorder="1" applyAlignment="1">
      <alignment horizontal="right"/>
    </xf>
    <xf numFmtId="0" fontId="12" fillId="2" borderId="4" xfId="0" applyFont="1" applyFill="1" applyBorder="1"/>
    <xf numFmtId="0" fontId="12" fillId="3" borderId="12" xfId="0" applyFont="1" applyFill="1" applyBorder="1" applyAlignment="1">
      <alignment horizontal="center"/>
    </xf>
    <xf numFmtId="167" fontId="0" fillId="3" borderId="1" xfId="0" applyNumberFormat="1" applyFont="1" applyFill="1" applyBorder="1"/>
    <xf numFmtId="3" fontId="13" fillId="3" borderId="1" xfId="0" applyNumberFormat="1" applyFont="1" applyFill="1" applyBorder="1"/>
    <xf numFmtId="0" fontId="0" fillId="0" borderId="0" xfId="0" applyFont="1" applyFill="1"/>
    <xf numFmtId="167" fontId="13" fillId="3" borderId="1" xfId="0" applyNumberFormat="1" applyFont="1" applyFill="1" applyBorder="1"/>
    <xf numFmtId="0" fontId="0" fillId="3" borderId="8" xfId="0" applyFont="1" applyFill="1" applyBorder="1"/>
    <xf numFmtId="3" fontId="11" fillId="3" borderId="9" xfId="0" applyNumberFormat="1" applyFont="1" applyFill="1" applyBorder="1" applyAlignment="1">
      <alignment horizontal="center"/>
    </xf>
    <xf numFmtId="3" fontId="14" fillId="3" borderId="9" xfId="0" applyNumberFormat="1" applyFont="1" applyFill="1" applyBorder="1" applyAlignment="1">
      <alignment horizontal="center"/>
    </xf>
    <xf numFmtId="167" fontId="14" fillId="3" borderId="9" xfId="0" applyNumberFormat="1" applyFont="1" applyFill="1" applyBorder="1"/>
    <xf numFmtId="165" fontId="15" fillId="3" borderId="9" xfId="1" applyNumberFormat="1" applyFont="1" applyFill="1" applyBorder="1"/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" xfId="0" applyFont="1" applyFill="1" applyBorder="1"/>
    <xf numFmtId="0" fontId="12" fillId="0" borderId="0" xfId="0" applyFont="1"/>
    <xf numFmtId="166" fontId="0" fillId="3" borderId="1" xfId="0" applyNumberFormat="1" applyFont="1" applyFill="1" applyBorder="1"/>
    <xf numFmtId="0" fontId="17" fillId="3" borderId="0" xfId="0" applyFont="1" applyFill="1" applyBorder="1"/>
    <xf numFmtId="0" fontId="18" fillId="3" borderId="0" xfId="0" applyFont="1" applyFill="1" applyBorder="1"/>
    <xf numFmtId="0" fontId="12" fillId="0" borderId="0" xfId="0" applyFont="1" applyBorder="1"/>
    <xf numFmtId="164" fontId="12" fillId="3" borderId="1" xfId="1" applyNumberFormat="1" applyFont="1" applyFill="1" applyBorder="1"/>
    <xf numFmtId="164" fontId="17" fillId="3" borderId="1" xfId="1" applyNumberFormat="1" applyFont="1" applyFill="1" applyBorder="1"/>
    <xf numFmtId="0" fontId="12" fillId="0" borderId="0" xfId="0" applyFont="1" applyFill="1"/>
    <xf numFmtId="0" fontId="12" fillId="3" borderId="8" xfId="0" applyFont="1" applyFill="1" applyBorder="1"/>
    <xf numFmtId="165" fontId="16" fillId="3" borderId="9" xfId="1" applyNumberFormat="1" applyFont="1" applyFill="1" applyBorder="1"/>
    <xf numFmtId="0" fontId="14" fillId="0" borderId="0" xfId="0" applyFont="1"/>
    <xf numFmtId="167" fontId="17" fillId="3" borderId="1" xfId="0" applyNumberFormat="1" applyFont="1" applyFill="1" applyBorder="1"/>
    <xf numFmtId="3" fontId="13" fillId="3" borderId="0" xfId="0" applyNumberFormat="1" applyFont="1" applyFill="1" applyBorder="1"/>
    <xf numFmtId="171" fontId="13" fillId="3" borderId="0" xfId="0" applyNumberFormat="1" applyFont="1" applyFill="1" applyBorder="1"/>
    <xf numFmtId="167" fontId="5" fillId="0" borderId="0" xfId="0" applyNumberFormat="1" applyFont="1"/>
    <xf numFmtId="0" fontId="12" fillId="3" borderId="12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169" fontId="12" fillId="3" borderId="9" xfId="0" applyNumberFormat="1" applyFont="1" applyFill="1" applyBorder="1" applyAlignment="1">
      <alignment horizontal="center"/>
    </xf>
    <xf numFmtId="0" fontId="11" fillId="0" borderId="2" xfId="0" applyFont="1" applyBorder="1"/>
    <xf numFmtId="0" fontId="12" fillId="4" borderId="14" xfId="0" applyFont="1" applyFill="1" applyBorder="1"/>
    <xf numFmtId="0" fontId="12" fillId="4" borderId="15" xfId="0" applyFont="1" applyFill="1" applyBorder="1"/>
    <xf numFmtId="0" fontId="11" fillId="0" borderId="8" xfId="0" applyFont="1" applyBorder="1" applyAlignment="1"/>
    <xf numFmtId="0" fontId="11" fillId="0" borderId="9" xfId="0" applyFont="1" applyBorder="1" applyAlignment="1"/>
    <xf numFmtId="0" fontId="0" fillId="0" borderId="10" xfId="0" applyFont="1" applyBorder="1"/>
    <xf numFmtId="0" fontId="12" fillId="3" borderId="12" xfId="0" applyFont="1" applyFill="1" applyBorder="1" applyAlignment="1"/>
    <xf numFmtId="0" fontId="12" fillId="3" borderId="8" xfId="0" applyFont="1" applyFill="1" applyBorder="1" applyAlignment="1"/>
    <xf numFmtId="0" fontId="12" fillId="3" borderId="9" xfId="0" applyFont="1" applyFill="1" applyBorder="1" applyAlignment="1"/>
    <xf numFmtId="0" fontId="12" fillId="3" borderId="10" xfId="0" applyFont="1" applyFill="1" applyBorder="1" applyAlignment="1"/>
    <xf numFmtId="3" fontId="20" fillId="0" borderId="0" xfId="0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3" fontId="21" fillId="0" borderId="0" xfId="0" applyNumberFormat="1" applyFont="1" applyBorder="1" applyAlignment="1">
      <alignment horizontal="center" wrapText="1"/>
    </xf>
    <xf numFmtId="165" fontId="11" fillId="3" borderId="1" xfId="1" applyNumberFormat="1" applyFont="1" applyFill="1" applyBorder="1"/>
    <xf numFmtId="165" fontId="13" fillId="3" borderId="1" xfId="1" applyNumberFormat="1" applyFont="1" applyFill="1" applyBorder="1"/>
    <xf numFmtId="165" fontId="19" fillId="3" borderId="1" xfId="1" applyNumberFormat="1" applyFont="1" applyFill="1" applyBorder="1"/>
    <xf numFmtId="166" fontId="0" fillId="3" borderId="11" xfId="0" applyNumberFormat="1" applyFont="1" applyFill="1" applyBorder="1"/>
    <xf numFmtId="0" fontId="11" fillId="3" borderId="0" xfId="0" applyFont="1" applyFill="1" applyBorder="1"/>
    <xf numFmtId="0" fontId="12" fillId="3" borderId="0" xfId="0" applyFont="1" applyFill="1" applyBorder="1"/>
    <xf numFmtId="3" fontId="11" fillId="3" borderId="1" xfId="0" applyNumberFormat="1" applyFont="1" applyFill="1" applyBorder="1"/>
    <xf numFmtId="169" fontId="11" fillId="3" borderId="0" xfId="0" applyNumberFormat="1" applyFont="1" applyFill="1" applyBorder="1"/>
    <xf numFmtId="3" fontId="12" fillId="3" borderId="1" xfId="0" applyNumberFormat="1" applyFont="1" applyFill="1" applyBorder="1"/>
    <xf numFmtId="165" fontId="12" fillId="3" borderId="1" xfId="1" applyNumberFormat="1" applyFont="1" applyFill="1" applyBorder="1"/>
    <xf numFmtId="3" fontId="14" fillId="3" borderId="1" xfId="0" applyNumberFormat="1" applyFont="1" applyFill="1" applyBorder="1"/>
    <xf numFmtId="165" fontId="14" fillId="3" borderId="1" xfId="1" applyNumberFormat="1" applyFont="1" applyFill="1" applyBorder="1"/>
    <xf numFmtId="3" fontId="22" fillId="3" borderId="1" xfId="0" applyNumberFormat="1" applyFont="1" applyFill="1" applyBorder="1"/>
    <xf numFmtId="165" fontId="22" fillId="3" borderId="1" xfId="1" applyNumberFormat="1" applyFont="1" applyFill="1" applyBorder="1"/>
    <xf numFmtId="0" fontId="12" fillId="3" borderId="0" xfId="0" applyFont="1" applyFill="1"/>
    <xf numFmtId="3" fontId="17" fillId="3" borderId="1" xfId="0" applyNumberFormat="1" applyFont="1" applyFill="1" applyBorder="1"/>
    <xf numFmtId="166" fontId="12" fillId="3" borderId="1" xfId="0" applyNumberFormat="1" applyFont="1" applyFill="1" applyBorder="1"/>
    <xf numFmtId="0" fontId="23" fillId="0" borderId="0" xfId="0" applyFont="1" applyBorder="1"/>
    <xf numFmtId="1" fontId="24" fillId="0" borderId="0" xfId="0" applyNumberFormat="1" applyFont="1" applyBorder="1"/>
    <xf numFmtId="0" fontId="24" fillId="0" borderId="0" xfId="0" applyFont="1" applyBorder="1"/>
    <xf numFmtId="166" fontId="12" fillId="3" borderId="0" xfId="0" applyNumberFormat="1" applyFont="1" applyFill="1" applyBorder="1"/>
    <xf numFmtId="169" fontId="14" fillId="3" borderId="0" xfId="0" applyNumberFormat="1" applyFont="1" applyFill="1" applyBorder="1"/>
    <xf numFmtId="171" fontId="14" fillId="3" borderId="0" xfId="0" applyNumberFormat="1" applyFont="1" applyFill="1" applyBorder="1"/>
    <xf numFmtId="165" fontId="25" fillId="3" borderId="1" xfId="1" applyNumberFormat="1" applyFont="1" applyFill="1" applyBorder="1"/>
    <xf numFmtId="3" fontId="27" fillId="3" borderId="1" xfId="0" applyNumberFormat="1" applyFont="1" applyFill="1" applyBorder="1"/>
    <xf numFmtId="171" fontId="13" fillId="3" borderId="1" xfId="0" applyNumberFormat="1" applyFont="1" applyFill="1" applyBorder="1"/>
    <xf numFmtId="0" fontId="28" fillId="3" borderId="0" xfId="0" applyFont="1" applyFill="1" applyBorder="1"/>
    <xf numFmtId="168" fontId="13" fillId="3" borderId="1" xfId="0" applyNumberFormat="1" applyFont="1" applyFill="1" applyBorder="1"/>
    <xf numFmtId="170" fontId="5" fillId="0" borderId="0" xfId="0" applyNumberFormat="1" applyFont="1"/>
    <xf numFmtId="3" fontId="0" fillId="3" borderId="1" xfId="0" applyNumberFormat="1" applyFont="1" applyFill="1" applyBorder="1"/>
    <xf numFmtId="165" fontId="0" fillId="3" borderId="1" xfId="1" applyNumberFormat="1" applyFont="1" applyFill="1" applyBorder="1"/>
    <xf numFmtId="49" fontId="0" fillId="3" borderId="1" xfId="0" applyNumberFormat="1" applyFont="1" applyFill="1" applyBorder="1" applyAlignment="1"/>
    <xf numFmtId="0" fontId="0" fillId="3" borderId="1" xfId="0" applyFont="1" applyFill="1" applyBorder="1"/>
    <xf numFmtId="1" fontId="0" fillId="3" borderId="1" xfId="0" applyNumberFormat="1" applyFont="1" applyFill="1" applyBorder="1"/>
    <xf numFmtId="165" fontId="16" fillId="3" borderId="1" xfId="0" applyNumberFormat="1" applyFont="1" applyFill="1" applyBorder="1"/>
    <xf numFmtId="169" fontId="11" fillId="3" borderId="1" xfId="0" applyNumberFormat="1" applyFont="1" applyFill="1" applyBorder="1"/>
    <xf numFmtId="0" fontId="0" fillId="3" borderId="11" xfId="0" applyFont="1" applyFill="1" applyBorder="1"/>
    <xf numFmtId="169" fontId="11" fillId="3" borderId="11" xfId="0" applyNumberFormat="1" applyFont="1" applyFill="1" applyBorder="1"/>
    <xf numFmtId="0" fontId="0" fillId="3" borderId="0" xfId="0" applyFont="1" applyFill="1"/>
    <xf numFmtId="0" fontId="11" fillId="3" borderId="1" xfId="0" applyFont="1" applyFill="1" applyBorder="1" applyAlignment="1">
      <alignment horizontal="center"/>
    </xf>
    <xf numFmtId="3" fontId="18" fillId="3" borderId="0" xfId="0" applyNumberFormat="1" applyFont="1" applyFill="1" applyBorder="1"/>
    <xf numFmtId="167" fontId="18" fillId="3" borderId="0" xfId="0" applyNumberFormat="1" applyFont="1" applyFill="1" applyBorder="1"/>
    <xf numFmtId="0" fontId="14" fillId="3" borderId="0" xfId="0" applyFont="1" applyFill="1" applyAlignment="1">
      <alignment horizontal="center"/>
    </xf>
    <xf numFmtId="0" fontId="14" fillId="3" borderId="5" xfId="0" applyFont="1" applyFill="1" applyBorder="1"/>
    <xf numFmtId="0" fontId="12" fillId="3" borderId="6" xfId="0" applyFont="1" applyFill="1" applyBorder="1"/>
    <xf numFmtId="0" fontId="12" fillId="3" borderId="4" xfId="0" applyFont="1" applyFill="1" applyBorder="1"/>
    <xf numFmtId="0" fontId="12" fillId="3" borderId="11" xfId="0" applyFont="1" applyFill="1" applyBorder="1"/>
    <xf numFmtId="0" fontId="12" fillId="3" borderId="13" xfId="0" applyFont="1" applyFill="1" applyBorder="1"/>
    <xf numFmtId="3" fontId="26" fillId="3" borderId="1" xfId="0" applyNumberFormat="1" applyFont="1" applyFill="1" applyBorder="1"/>
    <xf numFmtId="49" fontId="12" fillId="3" borderId="1" xfId="0" applyNumberFormat="1" applyFont="1" applyFill="1" applyBorder="1" applyAlignment="1"/>
    <xf numFmtId="1" fontId="17" fillId="3" borderId="1" xfId="0" applyNumberFormat="1" applyFont="1" applyFill="1" applyBorder="1"/>
    <xf numFmtId="165" fontId="17" fillId="3" borderId="1" xfId="1" applyNumberFormat="1" applyFont="1" applyFill="1" applyBorder="1"/>
    <xf numFmtId="0" fontId="14" fillId="3" borderId="1" xfId="0" applyFont="1" applyFill="1" applyBorder="1"/>
    <xf numFmtId="3" fontId="29" fillId="3" borderId="1" xfId="0" applyNumberFormat="1" applyFont="1" applyFill="1" applyBorder="1"/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5" fillId="0" borderId="1" xfId="0" applyFont="1" applyBorder="1"/>
    <xf numFmtId="0" fontId="30" fillId="0" borderId="1" xfId="0" applyFont="1" applyBorder="1"/>
    <xf numFmtId="10" fontId="5" fillId="0" borderId="1" xfId="2" applyNumberFormat="1" applyFont="1" applyBorder="1"/>
    <xf numFmtId="3" fontId="5" fillId="0" borderId="1" xfId="0" applyNumberFormat="1" applyFont="1" applyBorder="1"/>
    <xf numFmtId="9" fontId="5" fillId="0" borderId="1" xfId="2" applyNumberFormat="1" applyFont="1" applyBorder="1"/>
    <xf numFmtId="165" fontId="5" fillId="0" borderId="1" xfId="0" applyNumberFormat="1" applyFont="1" applyBorder="1"/>
    <xf numFmtId="0" fontId="12" fillId="6" borderId="0" xfId="0" applyFont="1" applyFill="1"/>
    <xf numFmtId="3" fontId="13" fillId="7" borderId="1" xfId="0" applyNumberFormat="1" applyFont="1" applyFill="1" applyBorder="1"/>
    <xf numFmtId="3" fontId="11" fillId="7" borderId="1" xfId="0" applyNumberFormat="1" applyFont="1" applyFill="1" applyBorder="1"/>
    <xf numFmtId="3" fontId="17" fillId="7" borderId="1" xfId="0" applyNumberFormat="1" applyFont="1" applyFill="1" applyBorder="1"/>
    <xf numFmtId="3" fontId="13" fillId="2" borderId="1" xfId="0" applyNumberFormat="1" applyFont="1" applyFill="1" applyBorder="1"/>
    <xf numFmtId="3" fontId="11" fillId="2" borderId="1" xfId="0" applyNumberFormat="1" applyFont="1" applyFill="1" applyBorder="1"/>
    <xf numFmtId="3" fontId="17" fillId="2" borderId="1" xfId="0" applyNumberFormat="1" applyFont="1" applyFill="1" applyBorder="1"/>
    <xf numFmtId="169" fontId="12" fillId="3" borderId="1" xfId="0" applyNumberFormat="1" applyFont="1" applyFill="1" applyBorder="1"/>
    <xf numFmtId="171" fontId="12" fillId="3" borderId="1" xfId="0" applyNumberFormat="1" applyFont="1" applyFill="1" applyBorder="1"/>
    <xf numFmtId="171" fontId="12" fillId="3" borderId="11" xfId="0" applyNumberFormat="1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colors>
    <mruColors>
      <color rgb="FFF7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opLeftCell="B34" zoomScaleSheetLayoutView="140" workbookViewId="0">
      <selection activeCell="F49" sqref="F49"/>
    </sheetView>
  </sheetViews>
  <sheetFormatPr baseColWidth="10" defaultColWidth="12.21875" defaultRowHeight="18.75"/>
  <cols>
    <col min="1" max="1" width="31.6640625" style="2" customWidth="1"/>
    <col min="2" max="2" width="7.5546875" style="2" customWidth="1"/>
    <col min="3" max="3" width="10.6640625" style="2" customWidth="1"/>
    <col min="4" max="4" width="6.88671875" style="2" customWidth="1"/>
    <col min="5" max="5" width="10.21875" style="2" customWidth="1"/>
    <col min="6" max="6" width="14.5546875" style="2" customWidth="1"/>
    <col min="7" max="7" width="11.44140625" style="2" customWidth="1"/>
    <col min="8" max="10" width="12.21875" style="2"/>
    <col min="11" max="11" width="10.77734375" style="2" customWidth="1"/>
    <col min="12" max="16384" width="12.21875" style="2"/>
  </cols>
  <sheetData>
    <row r="1" spans="1:11" ht="21">
      <c r="A1" s="5" t="s">
        <v>33</v>
      </c>
      <c r="B1" s="5"/>
      <c r="C1" s="6"/>
      <c r="F1" s="50"/>
      <c r="H1" s="50"/>
    </row>
    <row r="2" spans="1:11" ht="21.75" thickBot="1">
      <c r="A2" s="7"/>
      <c r="B2" s="7"/>
      <c r="C2" s="8"/>
      <c r="F2" s="50"/>
      <c r="H2" s="50"/>
    </row>
    <row r="3" spans="1:11">
      <c r="A3" s="16"/>
      <c r="B3" s="17" t="s">
        <v>9</v>
      </c>
      <c r="C3" s="17" t="s">
        <v>8</v>
      </c>
      <c r="D3" s="18"/>
      <c r="E3" s="54" t="s">
        <v>7</v>
      </c>
      <c r="F3" s="57" t="s">
        <v>35</v>
      </c>
      <c r="G3" s="58"/>
      <c r="H3" s="58"/>
      <c r="I3" s="58"/>
      <c r="J3" s="59"/>
    </row>
    <row r="4" spans="1:11">
      <c r="A4" s="19" t="s">
        <v>4</v>
      </c>
      <c r="B4" s="20">
        <v>2010</v>
      </c>
      <c r="C4" s="20">
        <v>2011</v>
      </c>
      <c r="D4" s="21" t="s">
        <v>0</v>
      </c>
      <c r="E4" s="22">
        <v>2012</v>
      </c>
      <c r="F4" s="55">
        <v>2013</v>
      </c>
      <c r="G4" s="55">
        <v>2014</v>
      </c>
      <c r="H4" s="55">
        <v>2015</v>
      </c>
      <c r="I4" s="56">
        <v>2016</v>
      </c>
      <c r="J4" s="56">
        <v>2017</v>
      </c>
      <c r="K4" s="16"/>
    </row>
    <row r="5" spans="1:11">
      <c r="A5" s="23" t="s">
        <v>29</v>
      </c>
      <c r="B5" s="23"/>
      <c r="C5" s="23"/>
      <c r="D5" s="23"/>
      <c r="E5" s="23"/>
      <c r="F5" s="23"/>
      <c r="G5" s="23"/>
      <c r="H5" s="23"/>
      <c r="I5" s="23"/>
      <c r="J5" s="51"/>
      <c r="K5" s="16"/>
    </row>
    <row r="6" spans="1:11">
      <c r="A6" s="35" t="s">
        <v>21</v>
      </c>
      <c r="B6" s="96">
        <v>959553</v>
      </c>
      <c r="C6" s="97">
        <v>1012356</v>
      </c>
      <c r="D6" s="24">
        <f>+(C6-B6)/B6*100</f>
        <v>5.5028747760676069</v>
      </c>
      <c r="E6" s="67">
        <v>1053856</v>
      </c>
      <c r="F6" s="67">
        <v>1100355</v>
      </c>
      <c r="G6" s="67">
        <v>1079134</v>
      </c>
      <c r="H6" s="67">
        <v>1121407</v>
      </c>
      <c r="I6" s="67">
        <v>1161961</v>
      </c>
      <c r="J6" s="67">
        <v>1202242</v>
      </c>
      <c r="K6" s="121" t="s">
        <v>53</v>
      </c>
    </row>
    <row r="7" spans="1:11">
      <c r="A7" s="35" t="s">
        <v>17</v>
      </c>
      <c r="B7" s="96">
        <v>5555</v>
      </c>
      <c r="C7" s="97">
        <v>5698</v>
      </c>
      <c r="D7" s="24">
        <f t="shared" ref="D7:D27" si="0">+(C7-B7)/B7*100</f>
        <v>2.5742574257425743</v>
      </c>
      <c r="E7" s="67">
        <v>5849</v>
      </c>
      <c r="F7" s="67">
        <v>6011</v>
      </c>
      <c r="G7" s="90">
        <v>6008</v>
      </c>
      <c r="H7" s="67">
        <f>6152+1</f>
        <v>6153</v>
      </c>
      <c r="I7" s="67">
        <f>6298+1</f>
        <v>6299</v>
      </c>
      <c r="J7" s="67">
        <v>6444</v>
      </c>
      <c r="K7" s="122"/>
    </row>
    <row r="8" spans="1:11">
      <c r="A8" s="98" t="s">
        <v>13</v>
      </c>
      <c r="B8" s="96">
        <v>86</v>
      </c>
      <c r="C8" s="97">
        <v>97</v>
      </c>
      <c r="D8" s="24">
        <f t="shared" si="0"/>
        <v>12.790697674418606</v>
      </c>
      <c r="E8" s="97">
        <v>105</v>
      </c>
      <c r="F8" s="97">
        <v>119</v>
      </c>
      <c r="G8" s="97">
        <v>128</v>
      </c>
      <c r="H8" s="97">
        <v>141</v>
      </c>
      <c r="I8" s="97">
        <v>152</v>
      </c>
      <c r="J8" s="97">
        <v>152</v>
      </c>
      <c r="K8" s="16"/>
    </row>
    <row r="9" spans="1:11">
      <c r="A9" s="98" t="s">
        <v>15</v>
      </c>
      <c r="B9" s="25">
        <f>+B7-B8</f>
        <v>5469</v>
      </c>
      <c r="C9" s="25">
        <f t="shared" ref="C9" si="1">+C7-C8</f>
        <v>5601</v>
      </c>
      <c r="D9" s="25">
        <f t="shared" si="0"/>
        <v>2.4136039495337358</v>
      </c>
      <c r="E9" s="25">
        <f>+E7-E8</f>
        <v>5744</v>
      </c>
      <c r="F9" s="25">
        <f>+F7-F8</f>
        <v>5892</v>
      </c>
      <c r="G9" s="25">
        <f>+G7-G8</f>
        <v>5880</v>
      </c>
      <c r="H9" s="25">
        <f t="shared" ref="H9:I9" si="2">+H7-H8</f>
        <v>6012</v>
      </c>
      <c r="I9" s="25">
        <f t="shared" si="2"/>
        <v>6147</v>
      </c>
      <c r="J9" s="25">
        <f t="shared" ref="J9" si="3">+J7-J8</f>
        <v>6292</v>
      </c>
      <c r="K9" s="26"/>
    </row>
    <row r="10" spans="1:11">
      <c r="A10" s="35" t="s">
        <v>18</v>
      </c>
      <c r="B10" s="96">
        <v>10</v>
      </c>
      <c r="C10" s="97">
        <v>11</v>
      </c>
      <c r="D10" s="24">
        <f t="shared" si="0"/>
        <v>10</v>
      </c>
      <c r="E10" s="67">
        <v>12</v>
      </c>
      <c r="F10" s="67">
        <v>15</v>
      </c>
      <c r="G10" s="67">
        <v>15</v>
      </c>
      <c r="H10" s="67">
        <v>15</v>
      </c>
      <c r="I10" s="90">
        <v>16</v>
      </c>
      <c r="J10" s="90">
        <v>16</v>
      </c>
      <c r="K10" s="16"/>
    </row>
    <row r="11" spans="1:11">
      <c r="A11" s="98" t="s">
        <v>14</v>
      </c>
      <c r="B11" s="25">
        <v>9</v>
      </c>
      <c r="C11" s="68">
        <v>11</v>
      </c>
      <c r="D11" s="27">
        <f t="shared" si="0"/>
        <v>22.222222222222221</v>
      </c>
      <c r="E11" s="68">
        <v>11</v>
      </c>
      <c r="F11" s="68">
        <v>13</v>
      </c>
      <c r="G11" s="68">
        <v>13</v>
      </c>
      <c r="H11" s="68">
        <v>14</v>
      </c>
      <c r="I11" s="68">
        <v>16</v>
      </c>
      <c r="J11" s="68">
        <v>16</v>
      </c>
      <c r="K11" s="16"/>
    </row>
    <row r="12" spans="1:11">
      <c r="A12" s="98" t="s">
        <v>16</v>
      </c>
      <c r="B12" s="25">
        <f>+B10-B11</f>
        <v>1</v>
      </c>
      <c r="C12" s="25">
        <f>+C10-C11</f>
        <v>0</v>
      </c>
      <c r="D12" s="27">
        <f t="shared" si="0"/>
        <v>-100</v>
      </c>
      <c r="E12" s="68">
        <f>+E10-E11</f>
        <v>1</v>
      </c>
      <c r="F12" s="68">
        <f>+F10-F11</f>
        <v>2</v>
      </c>
      <c r="G12" s="68">
        <f>+G10-G11</f>
        <v>2</v>
      </c>
      <c r="H12" s="68">
        <f t="shared" ref="H12:I12" si="4">+H10-H11</f>
        <v>1</v>
      </c>
      <c r="I12" s="68">
        <f t="shared" si="4"/>
        <v>0</v>
      </c>
      <c r="J12" s="68">
        <f t="shared" ref="J12" si="5">+J10-J11</f>
        <v>0</v>
      </c>
      <c r="K12" s="26"/>
    </row>
    <row r="13" spans="1:11">
      <c r="A13" s="99" t="s">
        <v>19</v>
      </c>
      <c r="B13" s="25">
        <f>+B8+B11</f>
        <v>95</v>
      </c>
      <c r="C13" s="25">
        <f>+C8+C11</f>
        <v>108</v>
      </c>
      <c r="D13" s="27">
        <f t="shared" si="0"/>
        <v>13.684210526315791</v>
      </c>
      <c r="E13" s="68">
        <f>+E8+E11</f>
        <v>116</v>
      </c>
      <c r="F13" s="68">
        <f>+F8+F11</f>
        <v>132</v>
      </c>
      <c r="G13" s="68">
        <f>+G8+G11</f>
        <v>141</v>
      </c>
      <c r="H13" s="68">
        <f t="shared" ref="H13:I13" si="6">+H8+H11</f>
        <v>155</v>
      </c>
      <c r="I13" s="68">
        <f t="shared" si="6"/>
        <v>168</v>
      </c>
      <c r="J13" s="68">
        <f t="shared" ref="J13" si="7">+J8+J11</f>
        <v>168</v>
      </c>
      <c r="K13" s="16"/>
    </row>
    <row r="14" spans="1:11">
      <c r="A14" s="99" t="s">
        <v>20</v>
      </c>
      <c r="B14" s="25">
        <f>+B6+B9+B12</f>
        <v>965023</v>
      </c>
      <c r="C14" s="25">
        <f>+C6+C9+C12</f>
        <v>1017957</v>
      </c>
      <c r="D14" s="27">
        <f t="shared" si="0"/>
        <v>5.4852578643203325</v>
      </c>
      <c r="E14" s="68">
        <f>+E6+E9+E12</f>
        <v>1059601</v>
      </c>
      <c r="F14" s="68">
        <f>+F6+F9+F12</f>
        <v>1106249</v>
      </c>
      <c r="G14" s="68">
        <f>+G6+G9+G12</f>
        <v>1085016</v>
      </c>
      <c r="H14" s="68">
        <f t="shared" ref="H14:I14" si="8">+H6+H9+H12</f>
        <v>1127420</v>
      </c>
      <c r="I14" s="68">
        <f t="shared" si="8"/>
        <v>1168108</v>
      </c>
      <c r="J14" s="68">
        <f t="shared" ref="J14" si="9">+J6+J9+J12</f>
        <v>1208534</v>
      </c>
      <c r="K14" s="16"/>
    </row>
    <row r="15" spans="1:11">
      <c r="A15" s="99" t="s">
        <v>1</v>
      </c>
      <c r="B15" s="25">
        <f>+B13+B14</f>
        <v>965118</v>
      </c>
      <c r="C15" s="25">
        <f>+C13+C14</f>
        <v>1018065</v>
      </c>
      <c r="D15" s="27">
        <f t="shared" si="0"/>
        <v>5.4860649164143664</v>
      </c>
      <c r="E15" s="68">
        <f>+E13+E14</f>
        <v>1059717</v>
      </c>
      <c r="F15" s="68">
        <f>+F13+F14</f>
        <v>1106381</v>
      </c>
      <c r="G15" s="68">
        <f>+G13+G14</f>
        <v>1085157</v>
      </c>
      <c r="H15" s="68">
        <f t="shared" ref="H15:I15" si="10">+H13+H14</f>
        <v>1127575</v>
      </c>
      <c r="I15" s="68">
        <f t="shared" si="10"/>
        <v>1168276</v>
      </c>
      <c r="J15" s="68">
        <f t="shared" ref="J15" si="11">+J13+J14</f>
        <v>1208702</v>
      </c>
      <c r="K15" s="16"/>
    </row>
    <row r="16" spans="1:11">
      <c r="A16" s="28"/>
      <c r="B16" s="29" t="s">
        <v>10</v>
      </c>
      <c r="C16" s="30" t="s">
        <v>10</v>
      </c>
      <c r="D16" s="31"/>
      <c r="E16" s="30" t="s">
        <v>10</v>
      </c>
      <c r="F16" s="30" t="s">
        <v>10</v>
      </c>
      <c r="G16" s="32">
        <f>+G6+G7+G10</f>
        <v>1085157</v>
      </c>
      <c r="H16" s="32">
        <f t="shared" ref="H16:I16" si="12">+H6+H7+H10</f>
        <v>1127575</v>
      </c>
      <c r="I16" s="32">
        <f t="shared" si="12"/>
        <v>1168276</v>
      </c>
      <c r="J16" s="32">
        <f t="shared" ref="J16" si="13">+J6+J7+J10</f>
        <v>1208702</v>
      </c>
      <c r="K16" s="16" t="s">
        <v>36</v>
      </c>
    </row>
    <row r="17" spans="1:11">
      <c r="A17" s="33" t="s">
        <v>28</v>
      </c>
      <c r="B17" s="34"/>
      <c r="C17" s="34"/>
      <c r="D17" s="34"/>
      <c r="E17" s="34"/>
      <c r="F17" s="53"/>
      <c r="G17" s="34"/>
      <c r="H17" s="34"/>
      <c r="I17" s="52"/>
      <c r="J17" s="52"/>
      <c r="K17" s="16"/>
    </row>
    <row r="18" spans="1:11">
      <c r="A18" s="35" t="s">
        <v>22</v>
      </c>
      <c r="B18" s="96">
        <v>2786.6</v>
      </c>
      <c r="C18" s="97">
        <v>2954.8</v>
      </c>
      <c r="D18" s="27">
        <f t="shared" si="0"/>
        <v>6.036029570085419</v>
      </c>
      <c r="E18" s="67">
        <v>3199.5</v>
      </c>
      <c r="F18" s="67">
        <v>3430.8</v>
      </c>
      <c r="G18" s="69">
        <v>3309</v>
      </c>
      <c r="H18" s="69">
        <f>+(3597-3309)+G18</f>
        <v>3597</v>
      </c>
      <c r="I18" s="69">
        <f>+(3800-3597)+H18</f>
        <v>3800</v>
      </c>
      <c r="J18" s="69">
        <f>+(4012-3800)+I18</f>
        <v>4012</v>
      </c>
      <c r="K18" s="121" t="s">
        <v>52</v>
      </c>
    </row>
    <row r="19" spans="1:11">
      <c r="A19" s="35" t="s">
        <v>23</v>
      </c>
      <c r="B19" s="96">
        <v>2109.1999999999998</v>
      </c>
      <c r="C19" s="97">
        <v>2246.3000000000002</v>
      </c>
      <c r="D19" s="27">
        <f t="shared" si="0"/>
        <v>6.5000948226816027</v>
      </c>
      <c r="E19" s="67">
        <v>2385</v>
      </c>
      <c r="F19" s="67">
        <v>2514</v>
      </c>
      <c r="G19" s="69">
        <v>2492</v>
      </c>
      <c r="H19" s="69">
        <f>+(2685-2492)+G19</f>
        <v>2685</v>
      </c>
      <c r="I19" s="69">
        <f>+(2853-2685)+H19</f>
        <v>2853</v>
      </c>
      <c r="J19" s="69">
        <f>+(3021-2853)+I19</f>
        <v>3021</v>
      </c>
      <c r="K19" s="122"/>
    </row>
    <row r="20" spans="1:11">
      <c r="A20" s="98" t="s">
        <v>11</v>
      </c>
      <c r="B20" s="100">
        <v>656.76</v>
      </c>
      <c r="C20" s="100">
        <v>774.61</v>
      </c>
      <c r="D20" s="27">
        <f t="shared" si="0"/>
        <v>17.944150070040809</v>
      </c>
      <c r="E20" s="97">
        <v>913.57</v>
      </c>
      <c r="F20" s="97">
        <v>1077</v>
      </c>
      <c r="G20" s="97">
        <v>1271</v>
      </c>
      <c r="H20" s="97">
        <v>1499</v>
      </c>
      <c r="I20" s="97">
        <v>1768</v>
      </c>
      <c r="J20" s="97">
        <v>2086</v>
      </c>
      <c r="K20" s="16"/>
    </row>
    <row r="21" spans="1:11">
      <c r="A21" s="98" t="s">
        <v>24</v>
      </c>
      <c r="B21" s="25">
        <f>+B19-B20</f>
        <v>1452.4399999999998</v>
      </c>
      <c r="C21" s="25">
        <f>+C19-C20</f>
        <v>1471.69</v>
      </c>
      <c r="D21" s="27">
        <f t="shared" si="0"/>
        <v>1.3253559527416092</v>
      </c>
      <c r="E21" s="68">
        <f t="shared" ref="E21:I21" si="14">+E19-E20</f>
        <v>1471.4299999999998</v>
      </c>
      <c r="F21" s="68">
        <f t="shared" si="14"/>
        <v>1437</v>
      </c>
      <c r="G21" s="68">
        <f t="shared" si="14"/>
        <v>1221</v>
      </c>
      <c r="H21" s="68">
        <f t="shared" si="14"/>
        <v>1186</v>
      </c>
      <c r="I21" s="68">
        <f t="shared" si="14"/>
        <v>1085</v>
      </c>
      <c r="J21" s="68">
        <f>+J19-J20</f>
        <v>935</v>
      </c>
      <c r="K21" s="26"/>
    </row>
    <row r="22" spans="1:11">
      <c r="A22" s="35" t="s">
        <v>25</v>
      </c>
      <c r="B22" s="96">
        <v>373.9</v>
      </c>
      <c r="C22" s="97">
        <v>482.1</v>
      </c>
      <c r="D22" s="27">
        <f t="shared" si="0"/>
        <v>28.938218775073565</v>
      </c>
      <c r="E22" s="67">
        <v>534</v>
      </c>
      <c r="F22" s="67">
        <v>560.70000000000005</v>
      </c>
      <c r="G22" s="69">
        <v>572</v>
      </c>
      <c r="H22" s="69">
        <f>(681-572)+G22</f>
        <v>681</v>
      </c>
      <c r="I22" s="69">
        <f>(790-681)+H22</f>
        <v>790</v>
      </c>
      <c r="J22" s="69">
        <f>(901-790)+I22</f>
        <v>901</v>
      </c>
      <c r="K22" s="16"/>
    </row>
    <row r="23" spans="1:11">
      <c r="A23" s="98" t="s">
        <v>26</v>
      </c>
      <c r="B23" s="96">
        <v>372</v>
      </c>
      <c r="C23" s="97">
        <v>482</v>
      </c>
      <c r="D23" s="24">
        <f t="shared" si="0"/>
        <v>29.56989247311828</v>
      </c>
      <c r="E23" s="97">
        <v>531</v>
      </c>
      <c r="F23" s="97">
        <v>555</v>
      </c>
      <c r="G23" s="97">
        <v>560</v>
      </c>
      <c r="H23" s="97">
        <v>626</v>
      </c>
      <c r="I23" s="97">
        <v>661</v>
      </c>
      <c r="J23" s="97">
        <v>676</v>
      </c>
      <c r="K23" s="16"/>
    </row>
    <row r="24" spans="1:11">
      <c r="A24" s="98" t="s">
        <v>27</v>
      </c>
      <c r="B24" s="25">
        <f>+B22-B23</f>
        <v>1.8999999999999773</v>
      </c>
      <c r="C24" s="68">
        <f>+C22-C23</f>
        <v>0.10000000000002274</v>
      </c>
      <c r="D24" s="27">
        <f t="shared" si="0"/>
        <v>-94.7368421052619</v>
      </c>
      <c r="E24" s="68">
        <f>+E22-E23</f>
        <v>3</v>
      </c>
      <c r="F24" s="68">
        <f>+F22-F23</f>
        <v>5.7000000000000455</v>
      </c>
      <c r="G24" s="68">
        <f t="shared" ref="G24:I24" si="15">+G22-G23</f>
        <v>12</v>
      </c>
      <c r="H24" s="68">
        <f t="shared" si="15"/>
        <v>55</v>
      </c>
      <c r="I24" s="68">
        <f t="shared" si="15"/>
        <v>129</v>
      </c>
      <c r="J24" s="68">
        <f t="shared" ref="J24" si="16">+J22-J23</f>
        <v>225</v>
      </c>
      <c r="K24" s="26"/>
    </row>
    <row r="25" spans="1:11">
      <c r="A25" s="99" t="s">
        <v>30</v>
      </c>
      <c r="B25" s="25">
        <f>+B20+B23</f>
        <v>1028.76</v>
      </c>
      <c r="C25" s="25">
        <f>+C20+C23</f>
        <v>1256.6100000000001</v>
      </c>
      <c r="D25" s="27">
        <f t="shared" si="0"/>
        <v>22.148022862475226</v>
      </c>
      <c r="E25" s="25">
        <f t="shared" ref="E25:H25" si="17">+E20+E23</f>
        <v>1444.5700000000002</v>
      </c>
      <c r="F25" s="136">
        <f t="shared" si="17"/>
        <v>1632</v>
      </c>
      <c r="G25" s="136">
        <f t="shared" si="17"/>
        <v>1831</v>
      </c>
      <c r="H25" s="136">
        <f t="shared" si="17"/>
        <v>2125</v>
      </c>
      <c r="I25" s="136">
        <f>+I20+I23</f>
        <v>2429</v>
      </c>
      <c r="J25" s="136">
        <f>+J20+J23</f>
        <v>2762</v>
      </c>
      <c r="K25" s="16"/>
    </row>
    <row r="26" spans="1:11">
      <c r="A26" s="99" t="s">
        <v>31</v>
      </c>
      <c r="B26" s="25">
        <f>+B18+B21+B24</f>
        <v>4240.9399999999996</v>
      </c>
      <c r="C26" s="25">
        <f>+C18+C21+C24</f>
        <v>4426.59</v>
      </c>
      <c r="D26" s="27">
        <f t="shared" si="0"/>
        <v>4.3775672374520873</v>
      </c>
      <c r="E26" s="25">
        <f t="shared" ref="E26:I26" si="18">+E18+E21+E24</f>
        <v>4673.93</v>
      </c>
      <c r="F26" s="133">
        <f t="shared" si="18"/>
        <v>4873.5</v>
      </c>
      <c r="G26" s="133">
        <f t="shared" si="18"/>
        <v>4542</v>
      </c>
      <c r="H26" s="133">
        <f t="shared" si="18"/>
        <v>4838</v>
      </c>
      <c r="I26" s="133">
        <f t="shared" si="18"/>
        <v>5014</v>
      </c>
      <c r="J26" s="133">
        <f t="shared" ref="J26" si="19">+J18+J21+J24</f>
        <v>5172</v>
      </c>
      <c r="K26" s="16"/>
    </row>
    <row r="27" spans="1:11">
      <c r="A27" s="99" t="s">
        <v>32</v>
      </c>
      <c r="B27" s="25">
        <f>+B25+B26</f>
        <v>5269.7</v>
      </c>
      <c r="C27" s="25">
        <f>+C25+C26</f>
        <v>5683.2000000000007</v>
      </c>
      <c r="D27" s="27">
        <f t="shared" si="0"/>
        <v>7.8467464941078413</v>
      </c>
      <c r="E27" s="25">
        <f t="shared" ref="E27:I27" si="20">+E25+E26</f>
        <v>6118.5</v>
      </c>
      <c r="F27" s="25">
        <f t="shared" si="20"/>
        <v>6505.5</v>
      </c>
      <c r="G27" s="25">
        <f t="shared" si="20"/>
        <v>6373</v>
      </c>
      <c r="H27" s="25">
        <f t="shared" si="20"/>
        <v>6963</v>
      </c>
      <c r="I27" s="25">
        <f t="shared" si="20"/>
        <v>7443</v>
      </c>
      <c r="J27" s="25">
        <f t="shared" ref="J27" si="21">+J25+J26</f>
        <v>7934</v>
      </c>
      <c r="K27" s="16"/>
    </row>
    <row r="28" spans="1:11">
      <c r="A28" s="99"/>
      <c r="B28" s="30" t="s">
        <v>10</v>
      </c>
      <c r="C28" s="30" t="s">
        <v>10</v>
      </c>
      <c r="D28" s="35"/>
      <c r="E28" s="30" t="s">
        <v>10</v>
      </c>
      <c r="F28" s="30" t="s">
        <v>10</v>
      </c>
      <c r="G28" s="101">
        <f>+G18+G19+G22</f>
        <v>6373</v>
      </c>
      <c r="H28" s="101">
        <f t="shared" ref="H28:I28" si="22">+H18+H19+H22</f>
        <v>6963</v>
      </c>
      <c r="I28" s="101">
        <f t="shared" si="22"/>
        <v>7443</v>
      </c>
      <c r="J28" s="101">
        <f t="shared" ref="J28" si="23">+J18+J19+J22</f>
        <v>7934</v>
      </c>
      <c r="K28" s="36" t="s">
        <v>36</v>
      </c>
    </row>
    <row r="29" spans="1:11">
      <c r="A29" s="99" t="s">
        <v>2</v>
      </c>
      <c r="B29" s="37">
        <v>3.9620000000000002</v>
      </c>
      <c r="C29" s="37">
        <v>3.988</v>
      </c>
      <c r="D29" s="37"/>
      <c r="E29" s="102">
        <v>3.9580000000000002</v>
      </c>
      <c r="F29" s="102">
        <v>3.9580000000000002</v>
      </c>
      <c r="G29" s="102">
        <v>3.5539999999999998</v>
      </c>
      <c r="H29" s="102">
        <v>3.5539999999999998</v>
      </c>
      <c r="I29" s="102">
        <v>3.5539999999999998</v>
      </c>
      <c r="J29" s="102">
        <v>3.5539999999999998</v>
      </c>
      <c r="K29" s="16"/>
    </row>
    <row r="30" spans="1:11">
      <c r="A30" s="99" t="s">
        <v>3</v>
      </c>
      <c r="B30" s="37">
        <v>3.2839999999999998</v>
      </c>
      <c r="C30" s="37">
        <v>3.2509999999999999</v>
      </c>
      <c r="D30" s="37"/>
      <c r="E30" s="102">
        <v>3.3069999999999999</v>
      </c>
      <c r="F30" s="102">
        <v>3.3069999999999999</v>
      </c>
      <c r="G30" s="102">
        <v>3.5539999999999998</v>
      </c>
      <c r="H30" s="102">
        <v>3.5539999999999998</v>
      </c>
      <c r="I30" s="102">
        <v>3.5539999999999998</v>
      </c>
      <c r="J30" s="102">
        <v>3.5539999999999998</v>
      </c>
      <c r="K30" s="16"/>
    </row>
    <row r="31" spans="1:11">
      <c r="A31" s="103" t="s">
        <v>12</v>
      </c>
      <c r="B31" s="70">
        <v>2.2959999999999998</v>
      </c>
      <c r="C31" s="70">
        <v>2.3719999999999999</v>
      </c>
      <c r="D31" s="70"/>
      <c r="E31" s="104">
        <v>2.1890000000000001</v>
      </c>
      <c r="F31" s="104">
        <v>2.1890000000000001</v>
      </c>
      <c r="G31" s="104">
        <v>3.5539999999999998</v>
      </c>
      <c r="H31" s="104">
        <v>3.5539999999999998</v>
      </c>
      <c r="I31" s="104">
        <v>3.5539999999999998</v>
      </c>
      <c r="J31" s="104">
        <v>3.5539999999999998</v>
      </c>
      <c r="K31" s="16"/>
    </row>
    <row r="32" spans="1:11">
      <c r="A32" s="18"/>
      <c r="B32" s="18"/>
      <c r="C32" s="18"/>
      <c r="D32" s="18"/>
      <c r="E32" s="71"/>
      <c r="F32" s="74"/>
      <c r="G32" s="74"/>
      <c r="H32" s="74"/>
      <c r="I32" s="74"/>
      <c r="J32" s="74"/>
      <c r="K32" s="18"/>
    </row>
    <row r="33" spans="1:13">
      <c r="A33" s="105"/>
      <c r="B33" s="106">
        <v>3.5722526899064464</v>
      </c>
      <c r="C33" s="106">
        <v>3.559262387387387</v>
      </c>
      <c r="D33" s="99"/>
      <c r="E33" s="106">
        <v>3.5502165563455095</v>
      </c>
      <c r="F33" s="106">
        <v>3.5542233494735225</v>
      </c>
      <c r="G33" s="106">
        <v>3.5539999999999994</v>
      </c>
      <c r="H33" s="106">
        <v>3.5540000000000003</v>
      </c>
      <c r="I33" s="106">
        <v>3.5539999999999994</v>
      </c>
      <c r="J33" s="106">
        <v>3.5539999999999998</v>
      </c>
      <c r="K33" s="18"/>
    </row>
    <row r="34" spans="1:13">
      <c r="A34" s="38" t="s">
        <v>54</v>
      </c>
      <c r="B34" s="92">
        <v>3.5720000000000001</v>
      </c>
      <c r="C34" s="92">
        <v>3.5590000000000002</v>
      </c>
      <c r="D34" s="92"/>
      <c r="E34" s="92">
        <v>3.55</v>
      </c>
      <c r="F34" s="92">
        <v>3.5539999999999998</v>
      </c>
      <c r="G34" s="92">
        <v>3.5539999999999998</v>
      </c>
      <c r="H34" s="92">
        <v>3.5539999999999998</v>
      </c>
      <c r="I34" s="92">
        <v>3.5539999999999998</v>
      </c>
      <c r="J34" s="92">
        <v>3.5539999999999998</v>
      </c>
      <c r="K34" s="18"/>
      <c r="L34" s="4"/>
    </row>
    <row r="35" spans="1:13">
      <c r="A35" s="93"/>
      <c r="B35" s="25">
        <f>+B27*B34</f>
        <v>18823.368399999999</v>
      </c>
      <c r="C35" s="25">
        <f>+C27*C34</f>
        <v>20226.508800000003</v>
      </c>
      <c r="D35" s="92"/>
      <c r="E35" s="25">
        <f>+E27*E34</f>
        <v>21720.674999999999</v>
      </c>
      <c r="F35" s="25">
        <f t="shared" ref="F35:J35" si="24">+F27*F34</f>
        <v>23120.546999999999</v>
      </c>
      <c r="G35" s="25">
        <f t="shared" si="24"/>
        <v>22649.642</v>
      </c>
      <c r="H35" s="25">
        <f t="shared" si="24"/>
        <v>24746.502</v>
      </c>
      <c r="I35" s="25">
        <f t="shared" si="24"/>
        <v>26452.421999999999</v>
      </c>
      <c r="J35" s="25">
        <f t="shared" si="24"/>
        <v>28197.435999999998</v>
      </c>
      <c r="K35" s="18"/>
    </row>
    <row r="36" spans="1:13">
      <c r="A36" s="93"/>
      <c r="B36" s="107"/>
      <c r="C36" s="107"/>
      <c r="D36" s="108"/>
      <c r="E36" s="48">
        <f>+E21*E30</f>
        <v>4866.0190099999991</v>
      </c>
      <c r="F36" s="48"/>
      <c r="G36" s="48"/>
      <c r="H36" s="48"/>
      <c r="I36" s="48"/>
      <c r="J36" s="48"/>
      <c r="K36" s="18"/>
    </row>
    <row r="37" spans="1:13">
      <c r="A37" s="35" t="s">
        <v>55</v>
      </c>
      <c r="B37" s="96">
        <v>11039</v>
      </c>
      <c r="C37" s="96">
        <v>11783</v>
      </c>
      <c r="D37" s="24">
        <f t="shared" ref="D37:D46" si="25">+(C37-B37)/B37*100</f>
        <v>6.7397409185614636</v>
      </c>
      <c r="E37" s="73">
        <f>+E18*E29+2</f>
        <v>12665.621000000001</v>
      </c>
      <c r="F37" s="73">
        <f>+F18*F29+1</f>
        <v>13580.106400000001</v>
      </c>
      <c r="G37" s="73">
        <f t="shared" ref="G37:I37" si="26">+G18*G29</f>
        <v>11760.186</v>
      </c>
      <c r="H37" s="73">
        <f t="shared" si="26"/>
        <v>12783.737999999999</v>
      </c>
      <c r="I37" s="73">
        <f t="shared" si="26"/>
        <v>13505.199999999999</v>
      </c>
      <c r="J37" s="73">
        <f>+J18*J29</f>
        <v>14258.647999999999</v>
      </c>
      <c r="K37" s="18"/>
    </row>
    <row r="38" spans="1:13">
      <c r="A38" s="35" t="s">
        <v>56</v>
      </c>
      <c r="B38" s="96">
        <v>6927</v>
      </c>
      <c r="C38" s="96">
        <v>7302</v>
      </c>
      <c r="D38" s="24">
        <f t="shared" si="25"/>
        <v>5.4135989605889989</v>
      </c>
      <c r="E38" s="73">
        <f>+E19*E30</f>
        <v>7887.1949999999997</v>
      </c>
      <c r="F38" s="73">
        <f>+F19*F30</f>
        <v>8313.7980000000007</v>
      </c>
      <c r="G38" s="73">
        <f>+G19*G30</f>
        <v>8856.5679999999993</v>
      </c>
      <c r="H38" s="73">
        <f t="shared" ref="H38:J38" si="27">+H19*H30</f>
        <v>9542.49</v>
      </c>
      <c r="I38" s="73">
        <f t="shared" si="27"/>
        <v>10139.562</v>
      </c>
      <c r="J38" s="73">
        <f t="shared" si="27"/>
        <v>10736.634</v>
      </c>
      <c r="K38" s="18"/>
    </row>
    <row r="39" spans="1:13">
      <c r="A39" s="98" t="s">
        <v>57</v>
      </c>
      <c r="B39" s="96">
        <v>2156.7998399999997</v>
      </c>
      <c r="C39" s="96">
        <v>2518.25711</v>
      </c>
      <c r="D39" s="24">
        <f t="shared" si="25"/>
        <v>16.758962203928967</v>
      </c>
      <c r="E39" s="73">
        <f>+E20*E30</f>
        <v>3021.1759900000002</v>
      </c>
      <c r="F39" s="73">
        <f t="shared" ref="F39:J39" si="28">+F20*F30</f>
        <v>3561.6390000000001</v>
      </c>
      <c r="G39" s="73">
        <f t="shared" si="28"/>
        <v>4517.134</v>
      </c>
      <c r="H39" s="73">
        <f t="shared" si="28"/>
        <v>5327.4459999999999</v>
      </c>
      <c r="I39" s="73">
        <f t="shared" si="28"/>
        <v>6283.4719999999998</v>
      </c>
      <c r="J39" s="73">
        <f t="shared" si="28"/>
        <v>7413.6439999999993</v>
      </c>
      <c r="K39" s="72"/>
    </row>
    <row r="40" spans="1:13">
      <c r="A40" s="98" t="s">
        <v>58</v>
      </c>
      <c r="B40" s="25">
        <v>4770.2001600000003</v>
      </c>
      <c r="C40" s="25">
        <v>4783.7428899999995</v>
      </c>
      <c r="D40" s="27">
        <f t="shared" si="25"/>
        <v>0.28390276184970836</v>
      </c>
      <c r="E40" s="73">
        <f>+E38-E39</f>
        <v>4866.01901</v>
      </c>
      <c r="F40" s="73">
        <f t="shared" ref="F40:J40" si="29">+F38-F39</f>
        <v>4752.1590000000006</v>
      </c>
      <c r="G40" s="73">
        <f t="shared" si="29"/>
        <v>4339.4339999999993</v>
      </c>
      <c r="H40" s="73">
        <f t="shared" si="29"/>
        <v>4215.0439999999999</v>
      </c>
      <c r="I40" s="73">
        <f t="shared" si="29"/>
        <v>3856.09</v>
      </c>
      <c r="J40" s="73">
        <f t="shared" si="29"/>
        <v>3322.9900000000007</v>
      </c>
      <c r="K40" s="18"/>
    </row>
    <row r="41" spans="1:13">
      <c r="A41" s="35" t="s">
        <v>59</v>
      </c>
      <c r="B41" s="96">
        <v>858.7</v>
      </c>
      <c r="C41" s="96">
        <v>1143</v>
      </c>
      <c r="D41" s="24">
        <f t="shared" si="25"/>
        <v>33.10818679399091</v>
      </c>
      <c r="E41" s="73">
        <f>+E22*E31</f>
        <v>1168.9259999999999</v>
      </c>
      <c r="F41" s="73">
        <f>+F22*F31+1</f>
        <v>1228.3723000000002</v>
      </c>
      <c r="G41" s="73">
        <f t="shared" ref="G41:J41" si="30">+G22*G31</f>
        <v>2032.8879999999999</v>
      </c>
      <c r="H41" s="73">
        <f t="shared" si="30"/>
        <v>2420.2739999999999</v>
      </c>
      <c r="I41" s="73">
        <f t="shared" si="30"/>
        <v>2807.66</v>
      </c>
      <c r="J41" s="73">
        <f t="shared" si="30"/>
        <v>3202.154</v>
      </c>
      <c r="K41" s="39"/>
      <c r="L41" s="3"/>
      <c r="M41" s="3"/>
    </row>
    <row r="42" spans="1:13">
      <c r="A42" s="98" t="s">
        <v>60</v>
      </c>
      <c r="B42" s="96">
        <v>853.11199999999997</v>
      </c>
      <c r="C42" s="96">
        <v>1143.3039999999999</v>
      </c>
      <c r="D42" s="24">
        <f t="shared" si="25"/>
        <v>34.015697821622467</v>
      </c>
      <c r="E42" s="73">
        <f>+E23*E31</f>
        <v>1162.3589999999999</v>
      </c>
      <c r="F42" s="73">
        <f t="shared" ref="F42:J42" si="31">+F23*F31</f>
        <v>1214.895</v>
      </c>
      <c r="G42" s="73">
        <f t="shared" si="31"/>
        <v>1990.24</v>
      </c>
      <c r="H42" s="73">
        <f t="shared" si="31"/>
        <v>2224.8040000000001</v>
      </c>
      <c r="I42" s="73">
        <f t="shared" si="31"/>
        <v>2349.194</v>
      </c>
      <c r="J42" s="73">
        <f t="shared" si="31"/>
        <v>2402.5039999999999</v>
      </c>
    </row>
    <row r="43" spans="1:13">
      <c r="A43" s="98" t="s">
        <v>61</v>
      </c>
      <c r="B43" s="25">
        <v>5.5880000000000791</v>
      </c>
      <c r="C43" s="25">
        <v>-0.30399999999985994</v>
      </c>
      <c r="D43" s="25">
        <f t="shared" si="25"/>
        <v>-105.44022906227373</v>
      </c>
      <c r="E43" s="73">
        <f>+E41-E42</f>
        <v>6.5670000000000073</v>
      </c>
      <c r="F43" s="73">
        <f t="shared" ref="F43:J43" si="32">+F41-F42</f>
        <v>13.477300000000241</v>
      </c>
      <c r="G43" s="73">
        <f t="shared" si="32"/>
        <v>42.647999999999911</v>
      </c>
      <c r="H43" s="73">
        <f t="shared" si="32"/>
        <v>195.4699999999998</v>
      </c>
      <c r="I43" s="73">
        <f t="shared" si="32"/>
        <v>458.46599999999989</v>
      </c>
      <c r="J43" s="73">
        <f t="shared" si="32"/>
        <v>799.65000000000009</v>
      </c>
    </row>
    <row r="44" spans="1:13">
      <c r="A44" s="99" t="s">
        <v>62</v>
      </c>
      <c r="B44" s="25">
        <v>3009.9118399999998</v>
      </c>
      <c r="C44" s="25">
        <v>3661.5611099999996</v>
      </c>
      <c r="D44" s="94">
        <f t="shared" si="25"/>
        <v>21.650111519545369</v>
      </c>
      <c r="E44" s="73">
        <f>+E39+E42</f>
        <v>4183.5349900000001</v>
      </c>
      <c r="F44" s="137">
        <f t="shared" ref="F44:J44" si="33">+F39+F42</f>
        <v>4776.5339999999997</v>
      </c>
      <c r="G44" s="137">
        <f t="shared" si="33"/>
        <v>6507.3739999999998</v>
      </c>
      <c r="H44" s="137">
        <f t="shared" si="33"/>
        <v>7552.25</v>
      </c>
      <c r="I44" s="137">
        <f t="shared" si="33"/>
        <v>8632.6659999999993</v>
      </c>
      <c r="J44" s="137">
        <f t="shared" si="33"/>
        <v>9816.1479999999992</v>
      </c>
    </row>
    <row r="45" spans="1:13">
      <c r="A45" s="99" t="s">
        <v>63</v>
      </c>
      <c r="B45" s="25">
        <v>15814.78816</v>
      </c>
      <c r="C45" s="25">
        <v>16566.438890000001</v>
      </c>
      <c r="D45" s="94">
        <f t="shared" si="25"/>
        <v>4.7528346405621491</v>
      </c>
      <c r="E45" s="73">
        <f>+E37+E40+E43</f>
        <v>17538.207010000002</v>
      </c>
      <c r="F45" s="134">
        <f t="shared" ref="F45:J45" si="34">+F37+F40+F43</f>
        <v>18345.742699999999</v>
      </c>
      <c r="G45" s="134">
        <f t="shared" si="34"/>
        <v>16142.267999999998</v>
      </c>
      <c r="H45" s="134">
        <f t="shared" si="34"/>
        <v>17194.252</v>
      </c>
      <c r="I45" s="134">
        <f t="shared" si="34"/>
        <v>17819.756000000001</v>
      </c>
      <c r="J45" s="134">
        <f t="shared" si="34"/>
        <v>18381.288</v>
      </c>
    </row>
    <row r="46" spans="1:13">
      <c r="A46" s="99" t="s">
        <v>64</v>
      </c>
      <c r="B46" s="25">
        <v>18824.7</v>
      </c>
      <c r="C46" s="25">
        <v>20228</v>
      </c>
      <c r="D46" s="94">
        <f t="shared" si="25"/>
        <v>7.4545676690730751</v>
      </c>
      <c r="E46" s="73">
        <f t="shared" ref="E46:J46" si="35">+E44+E45</f>
        <v>21721.742000000002</v>
      </c>
      <c r="F46" s="73">
        <f t="shared" si="35"/>
        <v>23122.276699999999</v>
      </c>
      <c r="G46" s="73">
        <f t="shared" si="35"/>
        <v>22649.642</v>
      </c>
      <c r="H46" s="73">
        <f t="shared" si="35"/>
        <v>24746.502</v>
      </c>
      <c r="I46" s="73">
        <f t="shared" si="35"/>
        <v>26452.421999999999</v>
      </c>
      <c r="J46" s="73">
        <f t="shared" si="35"/>
        <v>28197.436000000002</v>
      </c>
    </row>
    <row r="47" spans="1:13">
      <c r="A47" s="93"/>
      <c r="B47" s="109" t="s">
        <v>10</v>
      </c>
      <c r="C47" s="109" t="s">
        <v>10</v>
      </c>
      <c r="D47" s="108"/>
      <c r="E47" s="48">
        <f>+E44+E45</f>
        <v>21721.742000000002</v>
      </c>
      <c r="F47" s="48">
        <f t="shared" ref="F47:J47" si="36">+F44+F45</f>
        <v>23122.276699999999</v>
      </c>
      <c r="G47" s="48">
        <f t="shared" si="36"/>
        <v>22649.642</v>
      </c>
      <c r="H47" s="48">
        <f t="shared" si="36"/>
        <v>24746.502</v>
      </c>
      <c r="I47" s="48">
        <f t="shared" si="36"/>
        <v>26452.421999999999</v>
      </c>
      <c r="J47" s="48">
        <f t="shared" si="36"/>
        <v>28197.436000000002</v>
      </c>
    </row>
    <row r="48" spans="1:13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5:10">
      <c r="E49" s="95"/>
    </row>
    <row r="50" spans="5:10">
      <c r="F50" s="126"/>
      <c r="G50" s="127">
        <v>2014</v>
      </c>
      <c r="H50" s="127">
        <v>2015</v>
      </c>
      <c r="I50" s="127">
        <v>2016</v>
      </c>
      <c r="J50" s="127">
        <v>2017</v>
      </c>
    </row>
    <row r="51" spans="5:10">
      <c r="F51" s="126" t="s">
        <v>65</v>
      </c>
      <c r="G51" s="126">
        <v>7075</v>
      </c>
      <c r="H51" s="126">
        <v>7478</v>
      </c>
      <c r="I51" s="126">
        <v>7897</v>
      </c>
      <c r="J51" s="126">
        <v>8323</v>
      </c>
    </row>
    <row r="52" spans="5:10">
      <c r="F52" s="126" t="s">
        <v>66</v>
      </c>
      <c r="G52" s="131">
        <f>+G51-(G18+G19)</f>
        <v>1274</v>
      </c>
      <c r="H52" s="131">
        <f t="shared" ref="H52:J52" si="37">+H51-(H18+H19)</f>
        <v>1196</v>
      </c>
      <c r="I52" s="131">
        <f t="shared" si="37"/>
        <v>1244</v>
      </c>
      <c r="J52" s="131">
        <f t="shared" si="37"/>
        <v>1290</v>
      </c>
    </row>
    <row r="53" spans="5:10">
      <c r="F53" s="126" t="s">
        <v>67</v>
      </c>
      <c r="G53" s="128">
        <f>+G52/G51</f>
        <v>0.18007067137809188</v>
      </c>
      <c r="H53" s="128">
        <f t="shared" ref="H53:J53" si="38">+H52/H51</f>
        <v>0.15993581171436214</v>
      </c>
      <c r="I53" s="128">
        <f t="shared" si="38"/>
        <v>0.15752817525642648</v>
      </c>
      <c r="J53" s="128">
        <f t="shared" si="38"/>
        <v>0.15499219031599182</v>
      </c>
    </row>
  </sheetData>
  <mergeCells count="2">
    <mergeCell ref="K18:K19"/>
    <mergeCell ref="K6:K7"/>
  </mergeCells>
  <pageMargins left="0.7" right="0.7" top="0.75" bottom="0.75" header="0.3" footer="0.3"/>
  <pageSetup paperSize="9" scale="55" orientation="landscape" r:id="rId1"/>
  <colBreaks count="1" manualBreakCount="1">
    <brk id="1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8"/>
  <sheetViews>
    <sheetView tabSelected="1" view="pageBreakPreview" topLeftCell="A40" zoomScaleNormal="75" zoomScaleSheetLayoutView="100" workbookViewId="0">
      <selection activeCell="C56" sqref="C56"/>
    </sheetView>
  </sheetViews>
  <sheetFormatPr baseColWidth="10" defaultColWidth="13.77734375" defaultRowHeight="18.75"/>
  <cols>
    <col min="1" max="1" width="33.21875" style="1" customWidth="1"/>
    <col min="2" max="2" width="12.21875" style="1" customWidth="1"/>
    <col min="3" max="3" width="11.109375" style="1" customWidth="1"/>
    <col min="4" max="4" width="9.109375" style="1" customWidth="1"/>
    <col min="5" max="5" width="8.109375" style="1" customWidth="1"/>
    <col min="6" max="6" width="13.21875" style="1" customWidth="1"/>
    <col min="7" max="7" width="12.109375" style="1" customWidth="1"/>
    <col min="8" max="8" width="11.44140625" style="1" customWidth="1"/>
    <col min="9" max="9" width="10.77734375" style="1" customWidth="1"/>
    <col min="10" max="10" width="14" style="1" customWidth="1"/>
    <col min="11" max="11" width="8.33203125" style="1" customWidth="1"/>
    <col min="12" max="12" width="6.44140625" style="1" customWidth="1"/>
    <col min="13" max="13" width="6.77734375" style="1" customWidth="1"/>
    <col min="14" max="14" width="5.6640625" style="1" customWidth="1"/>
    <col min="15" max="15" width="5.88671875" style="1" customWidth="1"/>
    <col min="16" max="16" width="8" style="1" customWidth="1"/>
    <col min="17" max="16384" width="13.77734375" style="1"/>
  </cols>
  <sheetData>
    <row r="1" spans="1:15">
      <c r="A1" s="9" t="s">
        <v>33</v>
      </c>
      <c r="B1" s="9"/>
      <c r="L1" s="64"/>
      <c r="M1" s="64"/>
    </row>
    <row r="2" spans="1:15" ht="19.5" thickBot="1">
      <c r="A2" s="10"/>
      <c r="B2" s="11"/>
      <c r="C2" s="11"/>
      <c r="D2" s="11"/>
      <c r="E2" s="11"/>
      <c r="F2" s="11"/>
      <c r="G2" s="11"/>
      <c r="H2" s="11"/>
      <c r="I2" s="11"/>
      <c r="L2" s="65"/>
      <c r="M2" s="65"/>
    </row>
    <row r="3" spans="1:15">
      <c r="A3" s="81"/>
      <c r="B3" s="110" t="s">
        <v>9</v>
      </c>
      <c r="C3" s="110" t="s">
        <v>8</v>
      </c>
      <c r="D3" s="72"/>
      <c r="E3" s="110" t="s">
        <v>7</v>
      </c>
      <c r="F3" s="123" t="s">
        <v>37</v>
      </c>
      <c r="G3" s="124"/>
      <c r="H3" s="124"/>
      <c r="I3" s="125"/>
      <c r="J3" s="81"/>
      <c r="L3" s="66"/>
      <c r="M3" s="66"/>
    </row>
    <row r="4" spans="1:15">
      <c r="A4" s="81" t="s">
        <v>4</v>
      </c>
      <c r="B4" s="111">
        <v>2010</v>
      </c>
      <c r="C4" s="111">
        <v>2011</v>
      </c>
      <c r="D4" s="21" t="s">
        <v>0</v>
      </c>
      <c r="E4" s="112">
        <v>2012</v>
      </c>
      <c r="F4" s="113">
        <v>2013</v>
      </c>
      <c r="G4" s="113">
        <v>2014</v>
      </c>
      <c r="H4" s="113">
        <v>2015</v>
      </c>
      <c r="I4" s="114">
        <v>2016</v>
      </c>
      <c r="J4" s="114">
        <v>2017</v>
      </c>
      <c r="K4" s="36"/>
    </row>
    <row r="5" spans="1:15">
      <c r="A5" s="60" t="s">
        <v>29</v>
      </c>
      <c r="B5" s="60"/>
      <c r="C5" s="60"/>
      <c r="D5" s="60"/>
      <c r="E5" s="60"/>
      <c r="F5" s="60"/>
      <c r="G5" s="60"/>
      <c r="H5" s="60"/>
      <c r="I5" s="60"/>
      <c r="J5" s="60"/>
      <c r="K5" s="36"/>
    </row>
    <row r="6" spans="1:15">
      <c r="A6" s="35" t="s">
        <v>34</v>
      </c>
      <c r="B6" s="75">
        <v>480611</v>
      </c>
      <c r="C6" s="76">
        <v>517388</v>
      </c>
      <c r="D6" s="41">
        <f>+(C6-B6)/B6*100</f>
        <v>7.6521344704969296</v>
      </c>
      <c r="E6" s="77">
        <v>545888</v>
      </c>
      <c r="F6" s="78">
        <v>574888</v>
      </c>
      <c r="G6" s="115">
        <v>594983</v>
      </c>
      <c r="H6" s="80">
        <f>+(627707-594983)+G6</f>
        <v>627707</v>
      </c>
      <c r="I6" s="79">
        <f>+(662231-627707)+H6</f>
        <v>662231</v>
      </c>
      <c r="J6" s="91">
        <v>698654</v>
      </c>
      <c r="K6" s="36"/>
      <c r="L6" s="13"/>
      <c r="M6" s="14"/>
      <c r="N6" s="15"/>
      <c r="O6" s="14"/>
    </row>
    <row r="7" spans="1:15">
      <c r="A7" s="35" t="s">
        <v>41</v>
      </c>
      <c r="B7" s="75">
        <v>799</v>
      </c>
      <c r="C7" s="76">
        <v>852</v>
      </c>
      <c r="D7" s="41">
        <f t="shared" ref="D7:D15" si="0">+(C7-B7)/B7*100</f>
        <v>6.6332916145181482</v>
      </c>
      <c r="E7" s="77">
        <v>887</v>
      </c>
      <c r="F7" s="78">
        <v>943</v>
      </c>
      <c r="G7" s="91">
        <v>972</v>
      </c>
      <c r="H7" s="80">
        <f>+(1028-972)+G7</f>
        <v>1028</v>
      </c>
      <c r="I7" s="79">
        <f>+(1088-1028)+H7</f>
        <v>1088</v>
      </c>
      <c r="J7" s="79">
        <f>+(1151-1088)+I7</f>
        <v>1151</v>
      </c>
      <c r="K7" s="81"/>
    </row>
    <row r="8" spans="1:15">
      <c r="A8" s="116" t="s">
        <v>42</v>
      </c>
      <c r="B8" s="75">
        <v>0</v>
      </c>
      <c r="C8" s="75">
        <v>0</v>
      </c>
      <c r="D8" s="41"/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36"/>
    </row>
    <row r="9" spans="1:15">
      <c r="A9" s="116" t="s">
        <v>38</v>
      </c>
      <c r="B9" s="82">
        <f>+B7-B8</f>
        <v>799</v>
      </c>
      <c r="C9" s="82">
        <f t="shared" ref="C9" si="1">+C7-C8</f>
        <v>852</v>
      </c>
      <c r="D9" s="42">
        <f>+(C9-B9)/B9*100</f>
        <v>6.6332916145181482</v>
      </c>
      <c r="E9" s="82">
        <f>+E7-E8</f>
        <v>887</v>
      </c>
      <c r="F9" s="82">
        <f>+F7-F8</f>
        <v>943</v>
      </c>
      <c r="G9" s="82">
        <f>+G7-G8</f>
        <v>972</v>
      </c>
      <c r="H9" s="82">
        <f t="shared" ref="H9:J9" si="2">+H7-H8</f>
        <v>1028</v>
      </c>
      <c r="I9" s="82">
        <f t="shared" ref="I9" si="3">+I7-I8</f>
        <v>1088</v>
      </c>
      <c r="J9" s="82">
        <f t="shared" si="2"/>
        <v>1151</v>
      </c>
      <c r="K9" s="43"/>
    </row>
    <row r="10" spans="1:15">
      <c r="A10" s="35" t="s">
        <v>43</v>
      </c>
      <c r="B10" s="75">
        <v>33</v>
      </c>
      <c r="C10" s="76">
        <v>34</v>
      </c>
      <c r="D10" s="41">
        <f t="shared" si="0"/>
        <v>3.0303030303030303</v>
      </c>
      <c r="E10" s="77">
        <v>36</v>
      </c>
      <c r="F10" s="78">
        <v>39</v>
      </c>
      <c r="G10" s="79">
        <f>+(40-39)+F10</f>
        <v>40</v>
      </c>
      <c r="H10" s="80">
        <f>+(42-40)+G10</f>
        <v>42</v>
      </c>
      <c r="I10" s="79">
        <f>+(43-42)+H10</f>
        <v>43</v>
      </c>
      <c r="J10" s="79">
        <f>+(44-43)+I10</f>
        <v>44</v>
      </c>
      <c r="K10" s="36"/>
    </row>
    <row r="11" spans="1:15">
      <c r="A11" s="116" t="s">
        <v>44</v>
      </c>
      <c r="B11" s="75">
        <v>2</v>
      </c>
      <c r="C11" s="75">
        <v>2</v>
      </c>
      <c r="D11" s="41">
        <f t="shared" si="0"/>
        <v>0</v>
      </c>
      <c r="E11" s="75">
        <v>2</v>
      </c>
      <c r="F11" s="75">
        <v>2</v>
      </c>
      <c r="G11" s="75">
        <v>2</v>
      </c>
      <c r="H11" s="75">
        <v>3</v>
      </c>
      <c r="I11" s="75">
        <v>3</v>
      </c>
      <c r="J11" s="75">
        <v>3</v>
      </c>
      <c r="K11" s="36"/>
    </row>
    <row r="12" spans="1:15">
      <c r="A12" s="116" t="s">
        <v>39</v>
      </c>
      <c r="B12" s="82">
        <f>+B10-B11</f>
        <v>31</v>
      </c>
      <c r="C12" s="82">
        <f>+C10-C11</f>
        <v>32</v>
      </c>
      <c r="D12" s="42">
        <f>+(C12-B12)/B12*100</f>
        <v>3.225806451612903</v>
      </c>
      <c r="E12" s="82">
        <f>+E10-E11</f>
        <v>34</v>
      </c>
      <c r="F12" s="82">
        <f>+F10-F11</f>
        <v>37</v>
      </c>
      <c r="G12" s="82">
        <f>+G10-G11</f>
        <v>38</v>
      </c>
      <c r="H12" s="82">
        <f t="shared" ref="H12:J12" si="4">+H10-H11</f>
        <v>39</v>
      </c>
      <c r="I12" s="82">
        <f t="shared" ref="I12" si="5">+I10-I11</f>
        <v>40</v>
      </c>
      <c r="J12" s="82">
        <f t="shared" si="4"/>
        <v>41</v>
      </c>
      <c r="K12" s="43"/>
    </row>
    <row r="13" spans="1:15">
      <c r="A13" s="35" t="s">
        <v>19</v>
      </c>
      <c r="B13" s="82">
        <f>+B8+B11</f>
        <v>2</v>
      </c>
      <c r="C13" s="82">
        <f>+C8+C11</f>
        <v>2</v>
      </c>
      <c r="D13" s="42">
        <f t="shared" si="0"/>
        <v>0</v>
      </c>
      <c r="E13" s="82">
        <f>+E8+E11</f>
        <v>2</v>
      </c>
      <c r="F13" s="82">
        <f>+F8+F11</f>
        <v>2</v>
      </c>
      <c r="G13" s="82">
        <f>+G8+G11</f>
        <v>2</v>
      </c>
      <c r="H13" s="82">
        <f t="shared" ref="H13:J13" si="6">+H8+H11</f>
        <v>3</v>
      </c>
      <c r="I13" s="82">
        <f t="shared" ref="I13" si="7">+I8+I11</f>
        <v>3</v>
      </c>
      <c r="J13" s="82">
        <f t="shared" si="6"/>
        <v>3</v>
      </c>
      <c r="K13" s="81"/>
    </row>
    <row r="14" spans="1:15">
      <c r="A14" s="35" t="s">
        <v>20</v>
      </c>
      <c r="B14" s="82">
        <f>+B6+B9+B12</f>
        <v>481441</v>
      </c>
      <c r="C14" s="82">
        <f>+C6+C9+C12</f>
        <v>518272</v>
      </c>
      <c r="D14" s="42">
        <f>+(C14-B14)/B14*100</f>
        <v>7.65015858641038</v>
      </c>
      <c r="E14" s="82">
        <f>+E6+E9+E12</f>
        <v>546809</v>
      </c>
      <c r="F14" s="82">
        <f>+F6+F9+F12</f>
        <v>575868</v>
      </c>
      <c r="G14" s="82">
        <f>+G6+G9+G12</f>
        <v>595993</v>
      </c>
      <c r="H14" s="82">
        <f t="shared" ref="H14:J14" si="8">+H6+H9+H12</f>
        <v>628774</v>
      </c>
      <c r="I14" s="82">
        <f t="shared" ref="I14" si="9">+I6+I9+I12</f>
        <v>663359</v>
      </c>
      <c r="J14" s="82">
        <f t="shared" si="8"/>
        <v>699846</v>
      </c>
      <c r="K14" s="81"/>
    </row>
    <row r="15" spans="1:15">
      <c r="A15" s="35" t="s">
        <v>1</v>
      </c>
      <c r="B15" s="82">
        <f>+B13+B14</f>
        <v>481443</v>
      </c>
      <c r="C15" s="82">
        <f>+C13+C14</f>
        <v>518274</v>
      </c>
      <c r="D15" s="42">
        <f t="shared" si="0"/>
        <v>7.6501268062885943</v>
      </c>
      <c r="E15" s="82">
        <f>+E13+E14</f>
        <v>546811</v>
      </c>
      <c r="F15" s="82">
        <f>+F13+F14</f>
        <v>575870</v>
      </c>
      <c r="G15" s="82">
        <f>+G13+G14</f>
        <v>595995</v>
      </c>
      <c r="H15" s="82">
        <f t="shared" ref="H15:J15" si="10">+H13+H14</f>
        <v>628777</v>
      </c>
      <c r="I15" s="82">
        <f t="shared" ref="I15" si="11">+I13+I14</f>
        <v>663362</v>
      </c>
      <c r="J15" s="82">
        <f t="shared" si="10"/>
        <v>699849</v>
      </c>
      <c r="K15" s="81"/>
    </row>
    <row r="16" spans="1:15">
      <c r="A16" s="44"/>
      <c r="B16" s="30" t="s">
        <v>10</v>
      </c>
      <c r="C16" s="30" t="s">
        <v>10</v>
      </c>
      <c r="D16" s="31"/>
      <c r="E16" s="30" t="s">
        <v>10</v>
      </c>
      <c r="F16" s="30" t="s">
        <v>10</v>
      </c>
      <c r="G16" s="45">
        <f>+G6+G7+G10</f>
        <v>595995</v>
      </c>
      <c r="H16" s="45">
        <f t="shared" ref="H16:J16" si="12">+H6+H7+H10</f>
        <v>628777</v>
      </c>
      <c r="I16" s="45">
        <f t="shared" ref="I16" si="13">+I6+I7+I10</f>
        <v>663362</v>
      </c>
      <c r="J16" s="45">
        <f t="shared" si="12"/>
        <v>699849</v>
      </c>
      <c r="K16" s="46" t="s">
        <v>36</v>
      </c>
    </row>
    <row r="17" spans="1:16">
      <c r="A17" s="61" t="s">
        <v>28</v>
      </c>
      <c r="B17" s="62"/>
      <c r="C17" s="62"/>
      <c r="D17" s="62"/>
      <c r="E17" s="62"/>
      <c r="F17" s="62"/>
      <c r="G17" s="62"/>
      <c r="H17" s="62"/>
      <c r="I17" s="63"/>
      <c r="J17" s="63"/>
      <c r="K17" s="36"/>
    </row>
    <row r="18" spans="1:16">
      <c r="A18" s="35" t="s">
        <v>45</v>
      </c>
      <c r="B18" s="75">
        <v>5555.8</v>
      </c>
      <c r="C18" s="76">
        <v>6216.5</v>
      </c>
      <c r="D18" s="47">
        <f t="shared" ref="D18:D27" si="14">+(C18-B18)/B18*100</f>
        <v>11.892076748623056</v>
      </c>
      <c r="E18" s="78">
        <v>7085.5</v>
      </c>
      <c r="F18" s="78">
        <v>7195</v>
      </c>
      <c r="G18" s="91">
        <v>7915</v>
      </c>
      <c r="H18" s="76">
        <f>+(8540-7915)+G18</f>
        <v>8540</v>
      </c>
      <c r="I18" s="75">
        <f>+(9214-8540)+H18</f>
        <v>9214</v>
      </c>
      <c r="J18" s="75">
        <f>+(9942-9214)+I18</f>
        <v>9942</v>
      </c>
      <c r="K18" s="36"/>
      <c r="L18" s="64"/>
      <c r="M18" s="64"/>
      <c r="N18" s="15"/>
      <c r="O18" s="14"/>
    </row>
    <row r="19" spans="1:16">
      <c r="A19" s="35" t="s">
        <v>46</v>
      </c>
      <c r="B19" s="75">
        <v>1546.2</v>
      </c>
      <c r="C19" s="76">
        <v>1549.4</v>
      </c>
      <c r="D19" s="47">
        <f t="shared" si="14"/>
        <v>0.20695899624887112</v>
      </c>
      <c r="E19" s="78">
        <v>1726.1</v>
      </c>
      <c r="F19" s="78">
        <v>1802.6</v>
      </c>
      <c r="G19" s="91">
        <v>2165</v>
      </c>
      <c r="H19" s="76">
        <f>+(2308-2165)+G19</f>
        <v>2308</v>
      </c>
      <c r="I19" s="75">
        <f>+(2460-2308)+H19</f>
        <v>2460</v>
      </c>
      <c r="J19" s="75">
        <f>+(2622-2460)+I19</f>
        <v>2622</v>
      </c>
      <c r="K19" s="81"/>
      <c r="L19" s="64"/>
      <c r="M19" s="64"/>
    </row>
    <row r="20" spans="1:16">
      <c r="A20" s="116" t="s">
        <v>47</v>
      </c>
      <c r="B20" s="117">
        <v>0</v>
      </c>
      <c r="C20" s="117">
        <v>0</v>
      </c>
      <c r="D20" s="47"/>
      <c r="E20" s="82">
        <v>0</v>
      </c>
      <c r="F20" s="82">
        <v>0</v>
      </c>
      <c r="G20" s="82">
        <v>0</v>
      </c>
      <c r="H20" s="75">
        <v>0</v>
      </c>
      <c r="I20" s="75">
        <v>0</v>
      </c>
      <c r="J20" s="75">
        <v>0</v>
      </c>
      <c r="K20" s="36"/>
      <c r="L20" s="64"/>
      <c r="M20" s="64"/>
    </row>
    <row r="21" spans="1:16">
      <c r="A21" s="116" t="s">
        <v>48</v>
      </c>
      <c r="B21" s="82">
        <f>+B19-B20</f>
        <v>1546.2</v>
      </c>
      <c r="C21" s="82">
        <f>+C19-C20</f>
        <v>1549.4</v>
      </c>
      <c r="D21" s="47">
        <f t="shared" si="14"/>
        <v>0.20695899624887112</v>
      </c>
      <c r="E21" s="118">
        <f t="shared" ref="E21:J21" si="15">+E19-E20</f>
        <v>1726.1</v>
      </c>
      <c r="F21" s="118">
        <f t="shared" si="15"/>
        <v>1802.6</v>
      </c>
      <c r="G21" s="118">
        <f t="shared" si="15"/>
        <v>2165</v>
      </c>
      <c r="H21" s="76">
        <f t="shared" si="15"/>
        <v>2308</v>
      </c>
      <c r="I21" s="76">
        <f t="shared" si="15"/>
        <v>2460</v>
      </c>
      <c r="J21" s="76">
        <f t="shared" si="15"/>
        <v>2622</v>
      </c>
      <c r="K21" s="43"/>
    </row>
    <row r="22" spans="1:16">
      <c r="A22" s="35" t="s">
        <v>49</v>
      </c>
      <c r="B22" s="75">
        <v>1409.6</v>
      </c>
      <c r="C22" s="76">
        <v>1486.4</v>
      </c>
      <c r="D22" s="47">
        <f t="shared" si="14"/>
        <v>5.4483541430193094</v>
      </c>
      <c r="E22" s="78">
        <v>1518.9</v>
      </c>
      <c r="F22" s="78">
        <v>1587.6</v>
      </c>
      <c r="G22" s="91">
        <v>1902</v>
      </c>
      <c r="H22" s="76">
        <f>+(2058-1902)+G22</f>
        <v>2058</v>
      </c>
      <c r="I22" s="75">
        <f>+(2227-2058)+H22</f>
        <v>2227</v>
      </c>
      <c r="J22" s="75">
        <f>+(2410-2227)+I22</f>
        <v>2410</v>
      </c>
      <c r="K22" s="81"/>
      <c r="L22" s="12"/>
    </row>
    <row r="23" spans="1:16">
      <c r="A23" s="116" t="s">
        <v>50</v>
      </c>
      <c r="B23" s="82">
        <v>485</v>
      </c>
      <c r="C23" s="118">
        <v>501</v>
      </c>
      <c r="D23" s="47">
        <f t="shared" si="14"/>
        <v>3.2989690721649487</v>
      </c>
      <c r="E23" s="118">
        <v>527</v>
      </c>
      <c r="F23" s="118">
        <v>544</v>
      </c>
      <c r="G23" s="118">
        <v>571</v>
      </c>
      <c r="H23" s="118">
        <v>740</v>
      </c>
      <c r="I23" s="118">
        <v>770</v>
      </c>
      <c r="J23" s="118">
        <v>780</v>
      </c>
      <c r="K23" s="36"/>
    </row>
    <row r="24" spans="1:16">
      <c r="A24" s="116" t="s">
        <v>51</v>
      </c>
      <c r="B24" s="82">
        <f>+B22-B23</f>
        <v>924.59999999999991</v>
      </c>
      <c r="C24" s="118">
        <f>+C22-C23</f>
        <v>985.40000000000009</v>
      </c>
      <c r="D24" s="47">
        <f t="shared" si="14"/>
        <v>6.5758165693272979</v>
      </c>
      <c r="E24" s="118">
        <f>+E22-E23</f>
        <v>991.90000000000009</v>
      </c>
      <c r="F24" s="118">
        <f>+F22-F23</f>
        <v>1043.5999999999999</v>
      </c>
      <c r="G24" s="118">
        <f t="shared" ref="G24:J24" si="16">+G22-G23</f>
        <v>1331</v>
      </c>
      <c r="H24" s="118">
        <f t="shared" si="16"/>
        <v>1318</v>
      </c>
      <c r="I24" s="118">
        <f t="shared" ref="I24" si="17">+I22-I23</f>
        <v>1457</v>
      </c>
      <c r="J24" s="118">
        <f t="shared" si="16"/>
        <v>1630</v>
      </c>
      <c r="K24" s="43"/>
    </row>
    <row r="25" spans="1:16">
      <c r="A25" s="35" t="s">
        <v>30</v>
      </c>
      <c r="B25" s="82">
        <f>+B20+B23</f>
        <v>485</v>
      </c>
      <c r="C25" s="82">
        <f>+C20+C23</f>
        <v>501</v>
      </c>
      <c r="D25" s="47">
        <f t="shared" si="14"/>
        <v>3.2989690721649487</v>
      </c>
      <c r="E25" s="82">
        <f t="shared" ref="E25:J25" si="18">+E20+E23</f>
        <v>527</v>
      </c>
      <c r="F25" s="138">
        <f t="shared" si="18"/>
        <v>544</v>
      </c>
      <c r="G25" s="138">
        <f t="shared" si="18"/>
        <v>571</v>
      </c>
      <c r="H25" s="138">
        <f t="shared" si="18"/>
        <v>740</v>
      </c>
      <c r="I25" s="138">
        <f t="shared" ref="I25" si="19">+I20+I23</f>
        <v>770</v>
      </c>
      <c r="J25" s="138">
        <f t="shared" si="18"/>
        <v>780</v>
      </c>
      <c r="K25" s="132"/>
      <c r="L25" s="10"/>
    </row>
    <row r="26" spans="1:16">
      <c r="A26" s="35" t="s">
        <v>31</v>
      </c>
      <c r="B26" s="82">
        <f>+B18+B21+B24</f>
        <v>8026.6</v>
      </c>
      <c r="C26" s="82">
        <f>+C18+C21+C24</f>
        <v>8751.2999999999993</v>
      </c>
      <c r="D26" s="47">
        <f t="shared" si="14"/>
        <v>9.0287294744972826</v>
      </c>
      <c r="E26" s="82">
        <f t="shared" ref="E26:J26" si="20">+E18+E21+E24</f>
        <v>9803.5</v>
      </c>
      <c r="F26" s="135">
        <f t="shared" si="20"/>
        <v>10041.200000000001</v>
      </c>
      <c r="G26" s="135">
        <f t="shared" si="20"/>
        <v>11411</v>
      </c>
      <c r="H26" s="135">
        <f t="shared" si="20"/>
        <v>12166</v>
      </c>
      <c r="I26" s="135">
        <f t="shared" ref="I26" si="21">+I18+I21+I24</f>
        <v>13131</v>
      </c>
      <c r="J26" s="135">
        <f t="shared" si="20"/>
        <v>14194</v>
      </c>
      <c r="K26" s="81"/>
      <c r="L26" s="10"/>
    </row>
    <row r="27" spans="1:16">
      <c r="A27" s="35" t="s">
        <v>32</v>
      </c>
      <c r="B27" s="82">
        <f>+B25+B26</f>
        <v>8511.6</v>
      </c>
      <c r="C27" s="82">
        <f>+C25+C26</f>
        <v>9252.2999999999993</v>
      </c>
      <c r="D27" s="47">
        <f t="shared" si="14"/>
        <v>8.7022416466939099</v>
      </c>
      <c r="E27" s="82">
        <f t="shared" ref="E27:J27" si="22">+E25+E26</f>
        <v>10330.5</v>
      </c>
      <c r="F27" s="82">
        <f t="shared" si="22"/>
        <v>10585.2</v>
      </c>
      <c r="G27" s="82">
        <f t="shared" si="22"/>
        <v>11982</v>
      </c>
      <c r="H27" s="82">
        <f t="shared" si="22"/>
        <v>12906</v>
      </c>
      <c r="I27" s="82">
        <f t="shared" ref="I27" si="23">+I25+I26</f>
        <v>13901</v>
      </c>
      <c r="J27" s="82">
        <f t="shared" si="22"/>
        <v>14974</v>
      </c>
      <c r="K27" s="81"/>
      <c r="L27" s="10"/>
    </row>
    <row r="28" spans="1:16">
      <c r="A28" s="35"/>
      <c r="B28" s="30" t="s">
        <v>10</v>
      </c>
      <c r="C28" s="30" t="s">
        <v>10</v>
      </c>
      <c r="D28" s="119"/>
      <c r="E28" s="30" t="s">
        <v>10</v>
      </c>
      <c r="F28" s="30" t="s">
        <v>10</v>
      </c>
      <c r="G28" s="101">
        <f>+G18+G19+G22</f>
        <v>11982</v>
      </c>
      <c r="H28" s="101">
        <f t="shared" ref="H28:J28" si="24">+H18+H19+H22</f>
        <v>12906</v>
      </c>
      <c r="I28" s="101">
        <f t="shared" ref="I28" si="25">+I18+I19+I22</f>
        <v>13901</v>
      </c>
      <c r="J28" s="101">
        <f t="shared" si="24"/>
        <v>14974</v>
      </c>
      <c r="K28" s="46" t="s">
        <v>36</v>
      </c>
    </row>
    <row r="29" spans="1:16">
      <c r="A29" s="35" t="s">
        <v>5</v>
      </c>
      <c r="B29" s="83">
        <v>0.31714604557399473</v>
      </c>
      <c r="C29" s="83">
        <v>0.31770288747687603</v>
      </c>
      <c r="D29" s="83"/>
      <c r="E29" s="139">
        <v>0.32</v>
      </c>
      <c r="F29" s="139">
        <v>0.32</v>
      </c>
      <c r="G29" s="140">
        <v>0.29799999999999999</v>
      </c>
      <c r="H29" s="140">
        <v>0.29799999999999999</v>
      </c>
      <c r="I29" s="140">
        <v>0.29799999999999999</v>
      </c>
      <c r="J29" s="140">
        <v>0.29799999999999999</v>
      </c>
      <c r="K29" s="36"/>
    </row>
    <row r="30" spans="1:16">
      <c r="A30" s="35" t="s">
        <v>6</v>
      </c>
      <c r="B30" s="83">
        <v>0.34406933126374334</v>
      </c>
      <c r="C30" s="83">
        <v>0.35110365302697816</v>
      </c>
      <c r="D30" s="83"/>
      <c r="E30" s="139">
        <v>0.33</v>
      </c>
      <c r="F30" s="139">
        <v>0.33</v>
      </c>
      <c r="G30" s="140">
        <v>0.29799999999999999</v>
      </c>
      <c r="H30" s="140">
        <v>0.29799999999999999</v>
      </c>
      <c r="I30" s="140">
        <v>0.29799999999999999</v>
      </c>
      <c r="J30" s="140">
        <v>0.29799999999999999</v>
      </c>
      <c r="K30" s="36"/>
      <c r="L30" s="84"/>
      <c r="M30" s="85"/>
      <c r="N30" s="86"/>
      <c r="O30" s="84"/>
      <c r="P30" s="85"/>
    </row>
    <row r="31" spans="1:16">
      <c r="A31" s="35" t="s">
        <v>40</v>
      </c>
      <c r="B31" s="83">
        <v>0.22133938706015893</v>
      </c>
      <c r="C31" s="83">
        <v>0.219994617868676</v>
      </c>
      <c r="D31" s="83"/>
      <c r="E31" s="139">
        <v>0.16400000000000001</v>
      </c>
      <c r="F31" s="139">
        <v>0.16400000000000001</v>
      </c>
      <c r="G31" s="141">
        <v>0.29799999999999999</v>
      </c>
      <c r="H31" s="141">
        <v>0.29799999999999999</v>
      </c>
      <c r="I31" s="141">
        <v>0.29799999999999999</v>
      </c>
      <c r="J31" s="141">
        <v>0.29799999999999999</v>
      </c>
      <c r="K31" s="36"/>
      <c r="L31" s="84"/>
      <c r="M31" s="85"/>
      <c r="N31" s="86"/>
      <c r="O31" s="84"/>
      <c r="P31" s="85"/>
    </row>
    <row r="32" spans="1:16">
      <c r="A32" s="72"/>
      <c r="B32" s="87"/>
      <c r="C32" s="87"/>
      <c r="D32" s="87"/>
      <c r="E32" s="88"/>
      <c r="F32" s="88"/>
      <c r="G32" s="89"/>
      <c r="H32" s="89"/>
      <c r="I32" s="89"/>
      <c r="J32" s="89"/>
      <c r="K32" s="36"/>
      <c r="L32" s="84"/>
      <c r="M32" s="85"/>
      <c r="N32" s="86"/>
      <c r="O32" s="84"/>
      <c r="P32" s="85"/>
    </row>
    <row r="33" spans="1:16">
      <c r="A33" s="105"/>
      <c r="B33" s="106">
        <v>0.30617040274448987</v>
      </c>
      <c r="C33" s="106">
        <v>0.30759919155237081</v>
      </c>
      <c r="D33" s="99"/>
      <c r="E33" s="106">
        <v>0.29873409805914525</v>
      </c>
      <c r="F33" s="106">
        <v>0.29830559649321692</v>
      </c>
      <c r="G33" s="106">
        <v>0.29799999999999993</v>
      </c>
      <c r="H33" s="106">
        <v>0.29799999999999999</v>
      </c>
      <c r="I33" s="106">
        <v>0.29799999999999993</v>
      </c>
      <c r="J33" s="106">
        <v>0.29799999999999999</v>
      </c>
      <c r="K33" s="36"/>
      <c r="L33" s="84"/>
      <c r="M33" s="85"/>
      <c r="N33" s="86"/>
      <c r="O33" s="84"/>
      <c r="P33" s="85"/>
    </row>
    <row r="34" spans="1:16">
      <c r="A34" s="38" t="s">
        <v>54</v>
      </c>
      <c r="B34" s="92">
        <v>0.30599999999999999</v>
      </c>
      <c r="C34" s="92">
        <v>0.308</v>
      </c>
      <c r="D34" s="92"/>
      <c r="E34" s="92">
        <v>0.29899999999999999</v>
      </c>
      <c r="F34" s="92">
        <v>0.29799999999999999</v>
      </c>
      <c r="G34" s="92">
        <v>0.29799999999999999</v>
      </c>
      <c r="H34" s="92">
        <v>0.29799999999999999</v>
      </c>
      <c r="I34" s="92">
        <v>0.29799999999999999</v>
      </c>
      <c r="J34" s="92">
        <v>0.29799999999999999</v>
      </c>
      <c r="K34" s="36"/>
      <c r="L34" s="84"/>
      <c r="M34" s="85"/>
      <c r="N34" s="86"/>
      <c r="O34" s="84"/>
      <c r="P34" s="85"/>
    </row>
    <row r="35" spans="1:16">
      <c r="A35" s="93"/>
      <c r="B35" s="25">
        <f>+B15*B34</f>
        <v>147321.55799999999</v>
      </c>
      <c r="C35" s="25">
        <f>+C15*C34</f>
        <v>159628.39199999999</v>
      </c>
      <c r="D35" s="92"/>
      <c r="E35" s="25">
        <f>+E34*E27</f>
        <v>3088.8195000000001</v>
      </c>
      <c r="F35" s="25">
        <f t="shared" ref="F35:J35" si="26">+F34*F27</f>
        <v>3154.3896</v>
      </c>
      <c r="G35" s="25">
        <f t="shared" si="26"/>
        <v>3570.636</v>
      </c>
      <c r="H35" s="25">
        <f t="shared" si="26"/>
        <v>3845.9879999999998</v>
      </c>
      <c r="I35" s="25">
        <f t="shared" si="26"/>
        <v>4142.4979999999996</v>
      </c>
      <c r="J35" s="25">
        <f t="shared" si="26"/>
        <v>4462.2519999999995</v>
      </c>
      <c r="K35" s="36"/>
      <c r="L35" s="84"/>
      <c r="M35" s="85"/>
      <c r="N35" s="86"/>
      <c r="O35" s="84"/>
      <c r="P35" s="85"/>
    </row>
    <row r="36" spans="1:16">
      <c r="A36" s="93"/>
      <c r="B36" s="48"/>
      <c r="C36" s="48"/>
      <c r="D36" s="49"/>
      <c r="E36" s="48"/>
      <c r="F36" s="48"/>
      <c r="G36" s="48"/>
      <c r="H36" s="48"/>
      <c r="I36" s="48"/>
      <c r="J36" s="48"/>
      <c r="K36" s="40"/>
      <c r="L36" s="84"/>
      <c r="M36" s="85"/>
      <c r="N36" s="86"/>
      <c r="O36" s="84"/>
      <c r="P36" s="85"/>
    </row>
    <row r="37" spans="1:16">
      <c r="A37" s="35" t="s">
        <v>55</v>
      </c>
      <c r="B37" s="75">
        <v>1762</v>
      </c>
      <c r="C37" s="75">
        <v>1975</v>
      </c>
      <c r="D37" s="24">
        <f t="shared" ref="D37:D46" si="27">+(C37-B37)/B37*100</f>
        <v>12.088535754824063</v>
      </c>
      <c r="E37" s="25">
        <f>+E29*E18+1</f>
        <v>2268.36</v>
      </c>
      <c r="F37" s="25">
        <f>+F18*F29</f>
        <v>2302.4</v>
      </c>
      <c r="G37" s="25">
        <f t="shared" ref="G37:J37" si="28">+G18*G29</f>
        <v>2358.67</v>
      </c>
      <c r="H37" s="25">
        <f t="shared" si="28"/>
        <v>2544.92</v>
      </c>
      <c r="I37" s="25">
        <f t="shared" si="28"/>
        <v>2745.7719999999999</v>
      </c>
      <c r="J37" s="25">
        <f t="shared" si="28"/>
        <v>2962.7159999999999</v>
      </c>
    </row>
    <row r="38" spans="1:16">
      <c r="A38" s="35" t="s">
        <v>56</v>
      </c>
      <c r="B38" s="75">
        <v>532</v>
      </c>
      <c r="C38" s="75">
        <v>544</v>
      </c>
      <c r="D38" s="24">
        <f t="shared" si="27"/>
        <v>2.2556390977443606</v>
      </c>
      <c r="E38" s="25">
        <f>+E30*E19</f>
        <v>569.61299999999994</v>
      </c>
      <c r="F38" s="25">
        <f>+F19*F30</f>
        <v>594.85799999999995</v>
      </c>
      <c r="G38" s="25">
        <f t="shared" ref="G38:J38" si="29">+G19*G30</f>
        <v>645.16999999999996</v>
      </c>
      <c r="H38" s="25">
        <f t="shared" si="29"/>
        <v>687.78399999999999</v>
      </c>
      <c r="I38" s="25">
        <f t="shared" si="29"/>
        <v>733.07999999999993</v>
      </c>
      <c r="J38" s="25">
        <f t="shared" si="29"/>
        <v>781.35599999999999</v>
      </c>
    </row>
    <row r="39" spans="1:16">
      <c r="A39" s="98" t="s">
        <v>57</v>
      </c>
      <c r="B39" s="82">
        <v>0</v>
      </c>
      <c r="C39" s="82">
        <v>0</v>
      </c>
      <c r="D39" s="24"/>
      <c r="E39" s="25">
        <f>+E20*E30</f>
        <v>0</v>
      </c>
      <c r="F39" s="25">
        <f>+F20*F30</f>
        <v>0</v>
      </c>
      <c r="G39" s="25">
        <f t="shared" ref="G39:J39" si="30">+G20*G30</f>
        <v>0</v>
      </c>
      <c r="H39" s="25">
        <f t="shared" si="30"/>
        <v>0</v>
      </c>
      <c r="I39" s="25">
        <f t="shared" si="30"/>
        <v>0</v>
      </c>
      <c r="J39" s="25">
        <f t="shared" si="30"/>
        <v>0</v>
      </c>
    </row>
    <row r="40" spans="1:16">
      <c r="A40" s="98" t="s">
        <v>58</v>
      </c>
      <c r="B40" s="82">
        <v>532</v>
      </c>
      <c r="C40" s="82">
        <v>544</v>
      </c>
      <c r="D40" s="27">
        <f t="shared" si="27"/>
        <v>2.2556390977443606</v>
      </c>
      <c r="E40" s="25">
        <f>+E38-E39</f>
        <v>569.61299999999994</v>
      </c>
      <c r="F40" s="25">
        <f>+F38-F39</f>
        <v>594.85799999999995</v>
      </c>
      <c r="G40" s="25">
        <f>G38-G39</f>
        <v>645.16999999999996</v>
      </c>
      <c r="H40" s="25">
        <f t="shared" ref="H40:J40" si="31">H38-H39</f>
        <v>687.78399999999999</v>
      </c>
      <c r="I40" s="25">
        <f t="shared" si="31"/>
        <v>733.07999999999993</v>
      </c>
      <c r="J40" s="25">
        <f t="shared" si="31"/>
        <v>781.35599999999999</v>
      </c>
    </row>
    <row r="41" spans="1:16">
      <c r="A41" s="35" t="s">
        <v>59</v>
      </c>
      <c r="B41" s="75">
        <v>312</v>
      </c>
      <c r="C41" s="75">
        <v>327</v>
      </c>
      <c r="D41" s="24">
        <f t="shared" si="27"/>
        <v>4.8076923076923084</v>
      </c>
      <c r="E41" s="25">
        <f>+E22*E31</f>
        <v>249.09960000000004</v>
      </c>
      <c r="F41" s="25">
        <f>+F22*F31+1</f>
        <v>261.3664</v>
      </c>
      <c r="G41" s="25">
        <f t="shared" ref="G41:J41" si="32">+G22*G31</f>
        <v>566.79599999999994</v>
      </c>
      <c r="H41" s="25">
        <f t="shared" si="32"/>
        <v>613.28399999999999</v>
      </c>
      <c r="I41" s="25">
        <f t="shared" si="32"/>
        <v>663.64599999999996</v>
      </c>
      <c r="J41" s="25">
        <f t="shared" si="32"/>
        <v>718.18</v>
      </c>
    </row>
    <row r="42" spans="1:16">
      <c r="A42" s="98" t="s">
        <v>60</v>
      </c>
      <c r="B42" s="82">
        <v>107.34960272417709</v>
      </c>
      <c r="C42" s="82">
        <v>110.21730355220667</v>
      </c>
      <c r="D42" s="24">
        <f t="shared" si="27"/>
        <v>2.6713660370013881</v>
      </c>
      <c r="E42" s="25">
        <f>+E23*E31</f>
        <v>86.427999999999997</v>
      </c>
      <c r="F42" s="25">
        <f t="shared" ref="F42:J42" si="33">+F23*F31</f>
        <v>89.216000000000008</v>
      </c>
      <c r="G42" s="25">
        <f t="shared" si="33"/>
        <v>170.15799999999999</v>
      </c>
      <c r="H42" s="25">
        <f t="shared" si="33"/>
        <v>220.51999999999998</v>
      </c>
      <c r="I42" s="25">
        <f t="shared" si="33"/>
        <v>229.45999999999998</v>
      </c>
      <c r="J42" s="25">
        <f t="shared" si="33"/>
        <v>232.44</v>
      </c>
    </row>
    <row r="43" spans="1:16">
      <c r="A43" s="98" t="s">
        <v>61</v>
      </c>
      <c r="B43" s="82">
        <v>204.65039727582291</v>
      </c>
      <c r="C43" s="82">
        <v>216.78269644779334</v>
      </c>
      <c r="D43" s="25">
        <f t="shared" si="27"/>
        <v>5.9283047252621781</v>
      </c>
      <c r="E43" s="25">
        <f t="shared" ref="E43:J43" si="34">+E41-E42</f>
        <v>162.67160000000004</v>
      </c>
      <c r="F43" s="25">
        <f t="shared" si="34"/>
        <v>172.15039999999999</v>
      </c>
      <c r="G43" s="25">
        <f t="shared" si="34"/>
        <v>396.63799999999992</v>
      </c>
      <c r="H43" s="25">
        <f t="shared" si="34"/>
        <v>392.76400000000001</v>
      </c>
      <c r="I43" s="25">
        <f t="shared" si="34"/>
        <v>434.18599999999998</v>
      </c>
      <c r="J43" s="25">
        <f t="shared" si="34"/>
        <v>485.73999999999995</v>
      </c>
    </row>
    <row r="44" spans="1:16">
      <c r="A44" s="99" t="s">
        <v>62</v>
      </c>
      <c r="B44" s="82">
        <v>107.34960272417709</v>
      </c>
      <c r="C44" s="82">
        <v>110.21730355220667</v>
      </c>
      <c r="D44" s="94">
        <f t="shared" si="27"/>
        <v>2.6713660370013881</v>
      </c>
      <c r="E44" s="25">
        <f>+E39+E42</f>
        <v>86.427999999999997</v>
      </c>
      <c r="F44" s="136">
        <f t="shared" ref="F44:J44" si="35">+F39+F42</f>
        <v>89.216000000000008</v>
      </c>
      <c r="G44" s="136">
        <f t="shared" si="35"/>
        <v>170.15799999999999</v>
      </c>
      <c r="H44" s="136">
        <f t="shared" si="35"/>
        <v>220.51999999999998</v>
      </c>
      <c r="I44" s="136">
        <f t="shared" si="35"/>
        <v>229.45999999999998</v>
      </c>
      <c r="J44" s="136">
        <f t="shared" si="35"/>
        <v>232.44</v>
      </c>
    </row>
    <row r="45" spans="1:16">
      <c r="A45" s="99" t="s">
        <v>63</v>
      </c>
      <c r="B45" s="82">
        <v>2498.6503972758228</v>
      </c>
      <c r="C45" s="82">
        <v>2735.7826964477936</v>
      </c>
      <c r="D45" s="94">
        <f t="shared" si="27"/>
        <v>9.4904152830066391</v>
      </c>
      <c r="E45" s="25">
        <f>+E37+E40+E43</f>
        <v>3000.6446000000001</v>
      </c>
      <c r="F45" s="133">
        <f t="shared" ref="F45:J45" si="36">+F37+F40+F43</f>
        <v>3069.4083999999998</v>
      </c>
      <c r="G45" s="133">
        <f>+G37+G40+G43</f>
        <v>3400.4780000000001</v>
      </c>
      <c r="H45" s="133">
        <f t="shared" si="36"/>
        <v>3625.4680000000003</v>
      </c>
      <c r="I45" s="133">
        <f t="shared" si="36"/>
        <v>3913.038</v>
      </c>
      <c r="J45" s="133">
        <f t="shared" si="36"/>
        <v>4229.8119999999999</v>
      </c>
    </row>
    <row r="46" spans="1:16">
      <c r="A46" s="99" t="s">
        <v>64</v>
      </c>
      <c r="B46" s="120">
        <v>2606</v>
      </c>
      <c r="C46" s="120">
        <v>2846.0000000000005</v>
      </c>
      <c r="D46" s="94">
        <f t="shared" si="27"/>
        <v>9.2095165003837476</v>
      </c>
      <c r="E46" s="25">
        <f>+E44+E45</f>
        <v>3087.0726</v>
      </c>
      <c r="F46" s="25">
        <f>+F44+F45-1</f>
        <v>3157.6243999999997</v>
      </c>
      <c r="G46" s="25">
        <f t="shared" ref="G46:J46" si="37">+G44+G45</f>
        <v>3570.636</v>
      </c>
      <c r="H46" s="25">
        <f t="shared" si="37"/>
        <v>3845.9880000000003</v>
      </c>
      <c r="I46" s="25">
        <f t="shared" si="37"/>
        <v>4142.4979999999996</v>
      </c>
      <c r="J46" s="25">
        <f t="shared" si="37"/>
        <v>4462.2519999999995</v>
      </c>
    </row>
    <row r="47" spans="1:16">
      <c r="A47" s="93"/>
      <c r="B47" s="109" t="s">
        <v>10</v>
      </c>
      <c r="C47" s="109" t="s">
        <v>10</v>
      </c>
      <c r="D47" s="108"/>
      <c r="E47" s="48">
        <f>+E44+E45-1</f>
        <v>3086.0726</v>
      </c>
      <c r="F47" s="48">
        <f>+F44+F45-1</f>
        <v>3157.6243999999997</v>
      </c>
      <c r="G47" s="48">
        <f t="shared" ref="G47:J47" si="38">+G44+G45</f>
        <v>3570.636</v>
      </c>
      <c r="H47" s="48">
        <f t="shared" si="38"/>
        <v>3845.9880000000003</v>
      </c>
      <c r="I47" s="48">
        <f t="shared" si="38"/>
        <v>4142.4979999999996</v>
      </c>
      <c r="J47" s="48">
        <f t="shared" si="38"/>
        <v>4462.2519999999995</v>
      </c>
    </row>
    <row r="48" spans="1:16">
      <c r="A48" s="93"/>
      <c r="B48" s="109"/>
      <c r="C48" s="109"/>
      <c r="D48" s="108"/>
      <c r="E48" s="10" t="s">
        <v>10</v>
      </c>
      <c r="F48" s="10" t="s">
        <v>10</v>
      </c>
      <c r="G48" s="10" t="s">
        <v>10</v>
      </c>
      <c r="H48" s="10" t="s">
        <v>10</v>
      </c>
      <c r="I48" s="10" t="s">
        <v>10</v>
      </c>
      <c r="J48" s="10" t="s">
        <v>10</v>
      </c>
    </row>
    <row r="49" spans="1:10">
      <c r="A49" s="93"/>
      <c r="B49" s="109"/>
      <c r="C49" s="109"/>
      <c r="D49" s="108"/>
      <c r="E49" s="10"/>
      <c r="F49" s="10"/>
      <c r="G49" s="10"/>
      <c r="H49" s="10"/>
      <c r="I49" s="10"/>
      <c r="J49" s="10"/>
    </row>
    <row r="50" spans="1:10">
      <c r="A50" s="93"/>
      <c r="B50" s="109"/>
      <c r="C50" s="109"/>
      <c r="D50" s="108"/>
      <c r="E50" s="10"/>
      <c r="F50" s="126"/>
      <c r="G50" s="127">
        <v>2014</v>
      </c>
      <c r="H50" s="127">
        <v>2015</v>
      </c>
      <c r="I50" s="127">
        <v>2016</v>
      </c>
      <c r="J50" s="127">
        <v>2017</v>
      </c>
    </row>
    <row r="51" spans="1:10">
      <c r="A51" s="93"/>
      <c r="B51" s="109"/>
      <c r="C51" s="109"/>
      <c r="D51" s="108"/>
      <c r="E51" s="10"/>
      <c r="F51" s="126" t="s">
        <v>68</v>
      </c>
      <c r="G51" s="126">
        <v>10303</v>
      </c>
      <c r="H51" s="126">
        <v>10973</v>
      </c>
      <c r="I51" s="126">
        <v>11686</v>
      </c>
      <c r="J51" s="126">
        <v>12446</v>
      </c>
    </row>
    <row r="52" spans="1:10">
      <c r="A52" s="93"/>
      <c r="B52" s="109"/>
      <c r="C52" s="109"/>
      <c r="D52" s="108"/>
      <c r="E52" s="10"/>
      <c r="F52" s="126" t="s">
        <v>66</v>
      </c>
      <c r="G52" s="129">
        <f>+G51-(G18+G19)</f>
        <v>223</v>
      </c>
      <c r="H52" s="129">
        <f t="shared" ref="H52:J52" si="39">+H51-(H18+H19)</f>
        <v>125</v>
      </c>
      <c r="I52" s="129">
        <f t="shared" si="39"/>
        <v>12</v>
      </c>
      <c r="J52" s="129">
        <f t="shared" si="39"/>
        <v>-118</v>
      </c>
    </row>
    <row r="53" spans="1:10">
      <c r="A53" s="93"/>
      <c r="B53" s="109"/>
      <c r="C53" s="109"/>
      <c r="D53" s="108"/>
      <c r="E53" s="10"/>
      <c r="F53" s="126" t="s">
        <v>67</v>
      </c>
      <c r="G53" s="130">
        <f>+G52/G51</f>
        <v>2.1644181306415607E-2</v>
      </c>
      <c r="H53" s="130">
        <f t="shared" ref="H53:J53" si="40">+H52/H51</f>
        <v>1.1391597557641483E-2</v>
      </c>
      <c r="I53" s="130">
        <f t="shared" si="40"/>
        <v>1.0268697586856067E-3</v>
      </c>
      <c r="J53" s="130">
        <f t="shared" si="40"/>
        <v>-9.4809577374256795E-3</v>
      </c>
    </row>
    <row r="54" spans="1:10">
      <c r="A54" s="93"/>
      <c r="B54" s="109"/>
      <c r="C54" s="109"/>
      <c r="D54" s="108"/>
      <c r="E54" s="10"/>
      <c r="F54" s="10"/>
      <c r="G54" s="10"/>
      <c r="H54" s="10"/>
      <c r="I54" s="10"/>
      <c r="J54" s="10"/>
    </row>
    <row r="55" spans="1:10">
      <c r="A55" s="93"/>
      <c r="B55" s="109"/>
      <c r="C55" s="109"/>
      <c r="D55" s="108"/>
      <c r="E55" s="10"/>
      <c r="F55" s="10"/>
      <c r="G55" s="10"/>
      <c r="H55" s="10"/>
      <c r="I55" s="10"/>
      <c r="J55" s="10"/>
    </row>
    <row r="56" spans="1:10">
      <c r="A56" s="93"/>
      <c r="B56" s="109"/>
      <c r="C56" s="109"/>
      <c r="D56" s="108"/>
      <c r="E56" s="10"/>
      <c r="F56" s="10"/>
      <c r="G56" s="10"/>
      <c r="H56" s="10"/>
      <c r="I56" s="10"/>
      <c r="J56" s="10"/>
    </row>
    <row r="57" spans="1:10">
      <c r="A57" s="93"/>
      <c r="B57" s="109"/>
      <c r="C57" s="109"/>
      <c r="D57" s="108"/>
      <c r="E57" s="10"/>
      <c r="F57" s="10"/>
      <c r="G57" s="10"/>
      <c r="H57" s="10"/>
      <c r="I57" s="10"/>
      <c r="J57" s="10"/>
    </row>
    <row r="58" spans="1:10">
      <c r="A58" s="10"/>
      <c r="B58" s="10"/>
      <c r="C58" s="10"/>
      <c r="D58" s="10"/>
    </row>
  </sheetData>
  <mergeCells count="1">
    <mergeCell ref="F3:I3"/>
  </mergeCell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Eligible+non Eligible ELEC</vt:lpstr>
      <vt:lpstr>Eligible+non Eligible GAZ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2012-11-20T13:01:19Z</cp:lastPrinted>
  <dcterms:created xsi:type="dcterms:W3CDTF">2012-05-29T09:10:07Z</dcterms:created>
  <dcterms:modified xsi:type="dcterms:W3CDTF">2012-11-20T14:31:45Z</dcterms:modified>
</cp:coreProperties>
</file>