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 activeTab="3"/>
  </bookViews>
  <sheets>
    <sheet name="calcul elec" sheetId="1" r:id="rId1"/>
    <sheet name="calcul gaz" sheetId="4" r:id="rId2"/>
    <sheet name="concession Eelec &amp; Gaz" sheetId="7" r:id="rId3"/>
    <sheet name="Eligible Elec &amp; Gaz" sheetId="8" r:id="rId4"/>
  </sheets>
  <calcPr calcId="144525"/>
</workbook>
</file>

<file path=xl/calcChain.xml><?xml version="1.0" encoding="utf-8"?>
<calcChain xmlns="http://schemas.openxmlformats.org/spreadsheetml/2006/main">
  <c r="C16" i="8"/>
  <c r="D16"/>
  <c r="E16"/>
  <c r="F16"/>
  <c r="G16"/>
  <c r="H16"/>
  <c r="I16"/>
  <c r="B16"/>
  <c r="I11"/>
  <c r="C11"/>
  <c r="D11"/>
  <c r="E11"/>
  <c r="F11"/>
  <c r="G11"/>
  <c r="H11"/>
  <c r="B11"/>
  <c r="C152" i="4"/>
  <c r="E152"/>
  <c r="F152"/>
  <c r="G152"/>
  <c r="H152"/>
  <c r="I152"/>
  <c r="B152"/>
  <c r="C151"/>
  <c r="E151"/>
  <c r="F151"/>
  <c r="G151"/>
  <c r="H151"/>
  <c r="I151"/>
  <c r="B151"/>
  <c r="C150"/>
  <c r="E150"/>
  <c r="F150"/>
  <c r="G150"/>
  <c r="H150"/>
  <c r="I150"/>
  <c r="B150"/>
  <c r="I117"/>
  <c r="H116"/>
  <c r="I115"/>
  <c r="H114"/>
  <c r="I113"/>
  <c r="H113"/>
  <c r="I111"/>
  <c r="H111"/>
  <c r="I110"/>
  <c r="H110"/>
  <c r="C146"/>
  <c r="D146"/>
  <c r="E146"/>
  <c r="F146"/>
  <c r="G146"/>
  <c r="H146"/>
  <c r="I146"/>
  <c r="B146"/>
  <c r="C145"/>
  <c r="D145"/>
  <c r="E145"/>
  <c r="F145"/>
  <c r="G145"/>
  <c r="H145"/>
  <c r="I145"/>
  <c r="B145"/>
  <c r="C144"/>
  <c r="D144"/>
  <c r="E144"/>
  <c r="F144"/>
  <c r="G144"/>
  <c r="H144"/>
  <c r="I144"/>
  <c r="B144"/>
  <c r="C143"/>
  <c r="D143"/>
  <c r="E143"/>
  <c r="F143"/>
  <c r="G143"/>
  <c r="H143"/>
  <c r="I143"/>
  <c r="B143"/>
  <c r="C142"/>
  <c r="D142"/>
  <c r="E142"/>
  <c r="F142"/>
  <c r="G142"/>
  <c r="H142"/>
  <c r="I142"/>
  <c r="B142"/>
  <c r="C141"/>
  <c r="D141"/>
  <c r="E141"/>
  <c r="F141"/>
  <c r="F147" s="1"/>
  <c r="G141"/>
  <c r="H141"/>
  <c r="I141"/>
  <c r="B141"/>
  <c r="C140"/>
  <c r="D140"/>
  <c r="E140"/>
  <c r="F140"/>
  <c r="G140"/>
  <c r="H140"/>
  <c r="I140"/>
  <c r="B140"/>
  <c r="I139"/>
  <c r="C139"/>
  <c r="D139"/>
  <c r="E139"/>
  <c r="F139"/>
  <c r="G139"/>
  <c r="H139"/>
  <c r="B139"/>
  <c r="C138"/>
  <c r="D138"/>
  <c r="E138"/>
  <c r="F138"/>
  <c r="G138"/>
  <c r="H138"/>
  <c r="I138"/>
  <c r="H147"/>
  <c r="B138"/>
  <c r="C137"/>
  <c r="D137"/>
  <c r="E137"/>
  <c r="F137"/>
  <c r="G137"/>
  <c r="H137"/>
  <c r="I137"/>
  <c r="B137"/>
  <c r="C132"/>
  <c r="E132"/>
  <c r="F132"/>
  <c r="G132"/>
  <c r="H132"/>
  <c r="I132"/>
  <c r="B132"/>
  <c r="C131"/>
  <c r="D131"/>
  <c r="E131"/>
  <c r="F131"/>
  <c r="G131"/>
  <c r="H131"/>
  <c r="I131"/>
  <c r="C130"/>
  <c r="D130"/>
  <c r="E130"/>
  <c r="F130"/>
  <c r="G130"/>
  <c r="H130"/>
  <c r="I130"/>
  <c r="C129"/>
  <c r="D129"/>
  <c r="E129"/>
  <c r="F129"/>
  <c r="G129"/>
  <c r="H129"/>
  <c r="I129"/>
  <c r="C128"/>
  <c r="D128"/>
  <c r="E128"/>
  <c r="F128"/>
  <c r="G128"/>
  <c r="H128"/>
  <c r="I128"/>
  <c r="C127"/>
  <c r="D127"/>
  <c r="E127"/>
  <c r="F127"/>
  <c r="G127"/>
  <c r="H127"/>
  <c r="I127"/>
  <c r="C126"/>
  <c r="D126"/>
  <c r="E126"/>
  <c r="F126"/>
  <c r="G126"/>
  <c r="H126"/>
  <c r="I126"/>
  <c r="C125"/>
  <c r="D125"/>
  <c r="E125"/>
  <c r="F125"/>
  <c r="G125"/>
  <c r="H125"/>
  <c r="I125"/>
  <c r="C124"/>
  <c r="D124"/>
  <c r="E124"/>
  <c r="F124"/>
  <c r="G124"/>
  <c r="H124"/>
  <c r="I124"/>
  <c r="C123"/>
  <c r="D123"/>
  <c r="E123"/>
  <c r="F123"/>
  <c r="G123"/>
  <c r="H123"/>
  <c r="I123"/>
  <c r="B124"/>
  <c r="B125"/>
  <c r="B126"/>
  <c r="B127"/>
  <c r="B128"/>
  <c r="B129"/>
  <c r="B130"/>
  <c r="B131"/>
  <c r="B123"/>
  <c r="C122"/>
  <c r="D122"/>
  <c r="E122"/>
  <c r="F122"/>
  <c r="G122"/>
  <c r="H122"/>
  <c r="I122"/>
  <c r="B122"/>
  <c r="C119"/>
  <c r="D119"/>
  <c r="E119"/>
  <c r="F119"/>
  <c r="G119"/>
  <c r="H119"/>
  <c r="I119"/>
  <c r="C118"/>
  <c r="D118"/>
  <c r="E118"/>
  <c r="F118"/>
  <c r="G118"/>
  <c r="H118"/>
  <c r="I118"/>
  <c r="C117"/>
  <c r="D117"/>
  <c r="E117"/>
  <c r="F117"/>
  <c r="G117"/>
  <c r="H117"/>
  <c r="C116"/>
  <c r="D116"/>
  <c r="E116"/>
  <c r="F116"/>
  <c r="G116"/>
  <c r="I116"/>
  <c r="C115"/>
  <c r="D115"/>
  <c r="E115"/>
  <c r="F115"/>
  <c r="G115"/>
  <c r="H115"/>
  <c r="C114"/>
  <c r="D114"/>
  <c r="E114"/>
  <c r="F114"/>
  <c r="G114"/>
  <c r="H120"/>
  <c r="I114"/>
  <c r="F120"/>
  <c r="C113"/>
  <c r="D113"/>
  <c r="E113"/>
  <c r="F113"/>
  <c r="G113"/>
  <c r="C112"/>
  <c r="D112"/>
  <c r="E112"/>
  <c r="F112"/>
  <c r="G112"/>
  <c r="H112"/>
  <c r="I112"/>
  <c r="C111"/>
  <c r="D111"/>
  <c r="E111"/>
  <c r="F111"/>
  <c r="G111"/>
  <c r="B111"/>
  <c r="B112"/>
  <c r="B113"/>
  <c r="B114"/>
  <c r="B115"/>
  <c r="B116"/>
  <c r="B117"/>
  <c r="B118"/>
  <c r="B119"/>
  <c r="C110"/>
  <c r="D110"/>
  <c r="E110"/>
  <c r="F110"/>
  <c r="G110"/>
  <c r="B110"/>
  <c r="B147"/>
  <c r="I147"/>
  <c r="G147"/>
  <c r="E147"/>
  <c r="C147"/>
  <c r="I120"/>
  <c r="G120"/>
  <c r="E120"/>
  <c r="C120"/>
  <c r="B120"/>
  <c r="I91"/>
  <c r="H91"/>
  <c r="H93" s="1"/>
  <c r="G63"/>
  <c r="G65" s="1"/>
  <c r="H63"/>
  <c r="I63"/>
  <c r="I65" s="1"/>
  <c r="G39"/>
  <c r="H39"/>
  <c r="I39"/>
  <c r="G23"/>
  <c r="G38" s="1"/>
  <c r="G90" s="1"/>
  <c r="G20"/>
  <c r="H20" s="1"/>
  <c r="G19"/>
  <c r="G34" s="1"/>
  <c r="G86" s="1"/>
  <c r="G11"/>
  <c r="H11" s="1"/>
  <c r="G8"/>
  <c r="H8" s="1"/>
  <c r="H72" s="1"/>
  <c r="G7"/>
  <c r="G59" s="1"/>
  <c r="B39" i="1"/>
  <c r="B168"/>
  <c r="D168"/>
  <c r="C178"/>
  <c r="E178"/>
  <c r="F178"/>
  <c r="G178"/>
  <c r="H178"/>
  <c r="I178"/>
  <c r="C177"/>
  <c r="E177"/>
  <c r="F177"/>
  <c r="G177"/>
  <c r="H177"/>
  <c r="I177"/>
  <c r="B177"/>
  <c r="C176"/>
  <c r="E176"/>
  <c r="F176"/>
  <c r="G176"/>
  <c r="H176"/>
  <c r="I176"/>
  <c r="B176"/>
  <c r="C173"/>
  <c r="E173"/>
  <c r="F173"/>
  <c r="G173"/>
  <c r="H173"/>
  <c r="I173"/>
  <c r="B173"/>
  <c r="D164"/>
  <c r="D165"/>
  <c r="D166"/>
  <c r="D167"/>
  <c r="D163"/>
  <c r="C172"/>
  <c r="E172"/>
  <c r="F172"/>
  <c r="G172"/>
  <c r="H172"/>
  <c r="I172"/>
  <c r="C171"/>
  <c r="E171"/>
  <c r="F171"/>
  <c r="G171"/>
  <c r="H171"/>
  <c r="I171"/>
  <c r="C170"/>
  <c r="E170"/>
  <c r="F170"/>
  <c r="G170"/>
  <c r="H170"/>
  <c r="I170"/>
  <c r="C169"/>
  <c r="E169"/>
  <c r="F169"/>
  <c r="G169"/>
  <c r="H169"/>
  <c r="I169"/>
  <c r="C168"/>
  <c r="E168"/>
  <c r="F168"/>
  <c r="G168"/>
  <c r="H168"/>
  <c r="I168"/>
  <c r="C167"/>
  <c r="E167"/>
  <c r="F167"/>
  <c r="G167"/>
  <c r="H167"/>
  <c r="I167"/>
  <c r="C166"/>
  <c r="E166"/>
  <c r="F166"/>
  <c r="G166"/>
  <c r="H166"/>
  <c r="I166"/>
  <c r="C165"/>
  <c r="E165"/>
  <c r="F165"/>
  <c r="G165"/>
  <c r="H165"/>
  <c r="I165"/>
  <c r="C164"/>
  <c r="E164"/>
  <c r="F164"/>
  <c r="G164"/>
  <c r="H164"/>
  <c r="I164"/>
  <c r="B164"/>
  <c r="B165"/>
  <c r="B166"/>
  <c r="B167"/>
  <c r="C163"/>
  <c r="E163"/>
  <c r="F163"/>
  <c r="G163"/>
  <c r="H163"/>
  <c r="I163"/>
  <c r="B163"/>
  <c r="D137"/>
  <c r="D138"/>
  <c r="D139"/>
  <c r="D140"/>
  <c r="D141"/>
  <c r="D142"/>
  <c r="D143"/>
  <c r="D144"/>
  <c r="D145"/>
  <c r="D148"/>
  <c r="D149"/>
  <c r="D150"/>
  <c r="D151"/>
  <c r="D152"/>
  <c r="D153"/>
  <c r="D155"/>
  <c r="D156"/>
  <c r="D157"/>
  <c r="D136"/>
  <c r="C158"/>
  <c r="E158"/>
  <c r="F158"/>
  <c r="G158"/>
  <c r="H158"/>
  <c r="I158"/>
  <c r="B158"/>
  <c r="C157"/>
  <c r="E157"/>
  <c r="F157"/>
  <c r="G157"/>
  <c r="H157"/>
  <c r="I157"/>
  <c r="C156"/>
  <c r="E156"/>
  <c r="F156"/>
  <c r="G156"/>
  <c r="H156"/>
  <c r="I156"/>
  <c r="C155"/>
  <c r="E155"/>
  <c r="F155"/>
  <c r="G155"/>
  <c r="H155"/>
  <c r="I155"/>
  <c r="C154"/>
  <c r="E154"/>
  <c r="F154"/>
  <c r="G154"/>
  <c r="H154"/>
  <c r="I154"/>
  <c r="C153"/>
  <c r="E153"/>
  <c r="F153"/>
  <c r="G153"/>
  <c r="H153"/>
  <c r="I153"/>
  <c r="C152"/>
  <c r="E152"/>
  <c r="F152"/>
  <c r="G152"/>
  <c r="H152"/>
  <c r="I152"/>
  <c r="C151"/>
  <c r="E151"/>
  <c r="F151"/>
  <c r="G151"/>
  <c r="H151"/>
  <c r="I151"/>
  <c r="C150"/>
  <c r="E150"/>
  <c r="F150"/>
  <c r="G150"/>
  <c r="H150"/>
  <c r="I150"/>
  <c r="C149"/>
  <c r="E149"/>
  <c r="F149"/>
  <c r="G149"/>
  <c r="H149"/>
  <c r="I149"/>
  <c r="B149"/>
  <c r="B150"/>
  <c r="B151"/>
  <c r="B152"/>
  <c r="B153"/>
  <c r="B154"/>
  <c r="B155"/>
  <c r="B156"/>
  <c r="B157"/>
  <c r="C148"/>
  <c r="E148"/>
  <c r="F148"/>
  <c r="G148"/>
  <c r="H148"/>
  <c r="I148"/>
  <c r="B148"/>
  <c r="C146"/>
  <c r="E146"/>
  <c r="F146"/>
  <c r="G146"/>
  <c r="H146"/>
  <c r="I146"/>
  <c r="B146"/>
  <c r="C145"/>
  <c r="E145"/>
  <c r="F145"/>
  <c r="G145"/>
  <c r="H145"/>
  <c r="I145"/>
  <c r="C144"/>
  <c r="E144"/>
  <c r="F144"/>
  <c r="G144"/>
  <c r="H144"/>
  <c r="I144"/>
  <c r="C143"/>
  <c r="E143"/>
  <c r="F143"/>
  <c r="G143"/>
  <c r="H143"/>
  <c r="I143"/>
  <c r="C142"/>
  <c r="E142"/>
  <c r="F142"/>
  <c r="G142"/>
  <c r="H142"/>
  <c r="I142"/>
  <c r="C141"/>
  <c r="E141"/>
  <c r="F141"/>
  <c r="G141"/>
  <c r="H141"/>
  <c r="I141"/>
  <c r="C140"/>
  <c r="E140"/>
  <c r="F140"/>
  <c r="G140"/>
  <c r="H140"/>
  <c r="I140"/>
  <c r="C139"/>
  <c r="E139"/>
  <c r="F139"/>
  <c r="G139"/>
  <c r="H139"/>
  <c r="I139"/>
  <c r="C138"/>
  <c r="E138"/>
  <c r="F138"/>
  <c r="G138"/>
  <c r="H138"/>
  <c r="I138"/>
  <c r="C137"/>
  <c r="E137"/>
  <c r="F137"/>
  <c r="G137"/>
  <c r="H137"/>
  <c r="I137"/>
  <c r="B137"/>
  <c r="B138"/>
  <c r="B139"/>
  <c r="B140"/>
  <c r="B141"/>
  <c r="B142"/>
  <c r="B143"/>
  <c r="B144"/>
  <c r="B145"/>
  <c r="C136"/>
  <c r="E136"/>
  <c r="F136"/>
  <c r="G136"/>
  <c r="H136"/>
  <c r="I136"/>
  <c r="B136"/>
  <c r="D84"/>
  <c r="E84"/>
  <c r="F84"/>
  <c r="G84"/>
  <c r="H84"/>
  <c r="I84"/>
  <c r="D85"/>
  <c r="E85"/>
  <c r="E87" s="1"/>
  <c r="F85"/>
  <c r="G85"/>
  <c r="G87" s="1"/>
  <c r="I85"/>
  <c r="I87" s="1"/>
  <c r="D86"/>
  <c r="B87"/>
  <c r="B92" s="1"/>
  <c r="B93" s="1"/>
  <c r="C87"/>
  <c r="D87"/>
  <c r="F87"/>
  <c r="D88"/>
  <c r="E88"/>
  <c r="E90" s="1"/>
  <c r="F88"/>
  <c r="F90" s="1"/>
  <c r="D89"/>
  <c r="B90"/>
  <c r="C90"/>
  <c r="G90"/>
  <c r="H90"/>
  <c r="I90"/>
  <c r="B91"/>
  <c r="C91"/>
  <c r="D91" s="1"/>
  <c r="E91"/>
  <c r="F91"/>
  <c r="G91"/>
  <c r="H91"/>
  <c r="I91"/>
  <c r="C92"/>
  <c r="D92" s="1"/>
  <c r="B94"/>
  <c r="C94"/>
  <c r="E94"/>
  <c r="F94"/>
  <c r="C96"/>
  <c r="D96" s="1"/>
  <c r="E96"/>
  <c r="F96"/>
  <c r="G96"/>
  <c r="B36"/>
  <c r="G113"/>
  <c r="H113"/>
  <c r="I113"/>
  <c r="D98"/>
  <c r="D101"/>
  <c r="D103"/>
  <c r="G17"/>
  <c r="D8"/>
  <c r="D9"/>
  <c r="D11"/>
  <c r="D12"/>
  <c r="D19"/>
  <c r="D20"/>
  <c r="D21"/>
  <c r="D23"/>
  <c r="D24"/>
  <c r="D30"/>
  <c r="D31"/>
  <c r="D32"/>
  <c r="D34"/>
  <c r="D35"/>
  <c r="D38"/>
  <c r="D7"/>
  <c r="G23"/>
  <c r="G38" s="1"/>
  <c r="G115" s="1"/>
  <c r="G20"/>
  <c r="G35" s="1"/>
  <c r="G19"/>
  <c r="B10"/>
  <c r="F121"/>
  <c r="E121"/>
  <c r="C121"/>
  <c r="B121"/>
  <c r="F106"/>
  <c r="E106"/>
  <c r="C106"/>
  <c r="B106"/>
  <c r="B103"/>
  <c r="H116"/>
  <c r="H118" s="1"/>
  <c r="I116"/>
  <c r="I118" s="1"/>
  <c r="G116"/>
  <c r="G118" s="1"/>
  <c r="B115"/>
  <c r="H36"/>
  <c r="G36"/>
  <c r="I39"/>
  <c r="H39"/>
  <c r="G39"/>
  <c r="C39"/>
  <c r="B40"/>
  <c r="B169" s="1"/>
  <c r="C32" i="4"/>
  <c r="C39" s="1"/>
  <c r="C31"/>
  <c r="C30"/>
  <c r="B32"/>
  <c r="B39" s="1"/>
  <c r="B31"/>
  <c r="B30"/>
  <c r="F90"/>
  <c r="E90"/>
  <c r="E92" s="1"/>
  <c r="F87"/>
  <c r="E87"/>
  <c r="E89" s="1"/>
  <c r="F86"/>
  <c r="E86"/>
  <c r="F75"/>
  <c r="E75"/>
  <c r="F72"/>
  <c r="E72"/>
  <c r="F71"/>
  <c r="E71"/>
  <c r="F63"/>
  <c r="F65" s="1"/>
  <c r="F60"/>
  <c r="F62" s="1"/>
  <c r="F59"/>
  <c r="E63"/>
  <c r="E65" s="1"/>
  <c r="E60"/>
  <c r="E62" s="1"/>
  <c r="E59"/>
  <c r="F115" i="1"/>
  <c r="C115"/>
  <c r="D115" s="1"/>
  <c r="F97"/>
  <c r="F99" s="1"/>
  <c r="I8"/>
  <c r="I17" s="1"/>
  <c r="H8"/>
  <c r="H85" s="1"/>
  <c r="C90" i="4"/>
  <c r="C92" s="1"/>
  <c r="C87"/>
  <c r="C89" s="1"/>
  <c r="C86"/>
  <c r="C75"/>
  <c r="C77" s="1"/>
  <c r="C72"/>
  <c r="C71"/>
  <c r="B63"/>
  <c r="B65" s="1"/>
  <c r="C63"/>
  <c r="D63" s="1"/>
  <c r="C60"/>
  <c r="C59"/>
  <c r="D59" s="1"/>
  <c r="B90"/>
  <c r="B87"/>
  <c r="B89" s="1"/>
  <c r="B86"/>
  <c r="B75"/>
  <c r="B77" s="1"/>
  <c r="B72"/>
  <c r="B74" s="1"/>
  <c r="B71"/>
  <c r="B60"/>
  <c r="B62" s="1"/>
  <c r="I93"/>
  <c r="G93"/>
  <c r="F93"/>
  <c r="E93"/>
  <c r="C93"/>
  <c r="B93"/>
  <c r="B92"/>
  <c r="F89"/>
  <c r="I78"/>
  <c r="H78"/>
  <c r="G78"/>
  <c r="F78"/>
  <c r="E78"/>
  <c r="C78"/>
  <c r="B78"/>
  <c r="I66"/>
  <c r="H66"/>
  <c r="G66"/>
  <c r="F66"/>
  <c r="E66"/>
  <c r="C66"/>
  <c r="B66"/>
  <c r="C65"/>
  <c r="D65" s="1"/>
  <c r="H65"/>
  <c r="D38"/>
  <c r="I41"/>
  <c r="H41"/>
  <c r="G41"/>
  <c r="D35"/>
  <c r="D34"/>
  <c r="F32"/>
  <c r="F39" s="1"/>
  <c r="E32"/>
  <c r="F31"/>
  <c r="E31"/>
  <c r="F30"/>
  <c r="E30"/>
  <c r="I26"/>
  <c r="H26"/>
  <c r="G26"/>
  <c r="F26"/>
  <c r="E26"/>
  <c r="C26"/>
  <c r="B26"/>
  <c r="F25"/>
  <c r="E25"/>
  <c r="C25"/>
  <c r="B25"/>
  <c r="D24"/>
  <c r="D39" s="1"/>
  <c r="D23"/>
  <c r="F22"/>
  <c r="E22"/>
  <c r="E27" s="1"/>
  <c r="C22"/>
  <c r="B22"/>
  <c r="B27" s="1"/>
  <c r="G22"/>
  <c r="D20"/>
  <c r="D19"/>
  <c r="I14"/>
  <c r="H14"/>
  <c r="G14"/>
  <c r="F14"/>
  <c r="E14"/>
  <c r="C14"/>
  <c r="B14"/>
  <c r="G13"/>
  <c r="F13"/>
  <c r="E13"/>
  <c r="C13"/>
  <c r="B13"/>
  <c r="D12"/>
  <c r="D11"/>
  <c r="G10"/>
  <c r="F10"/>
  <c r="E10"/>
  <c r="C10"/>
  <c r="B10"/>
  <c r="D8"/>
  <c r="D7"/>
  <c r="E115" i="1"/>
  <c r="F112"/>
  <c r="E112"/>
  <c r="C112"/>
  <c r="B112"/>
  <c r="F111"/>
  <c r="E111"/>
  <c r="C111"/>
  <c r="D111" s="1"/>
  <c r="B111"/>
  <c r="B107" s="1"/>
  <c r="I103"/>
  <c r="H103"/>
  <c r="G103"/>
  <c r="F103"/>
  <c r="E103"/>
  <c r="C103"/>
  <c r="F100"/>
  <c r="F102" s="1"/>
  <c r="E100"/>
  <c r="E102" s="1"/>
  <c r="C100"/>
  <c r="C102" s="1"/>
  <c r="D102" s="1"/>
  <c r="B100"/>
  <c r="B102" s="1"/>
  <c r="B99"/>
  <c r="E97"/>
  <c r="E99" s="1"/>
  <c r="C97"/>
  <c r="C99" s="1"/>
  <c r="D99" s="1"/>
  <c r="G75" i="4" l="1"/>
  <c r="D60"/>
  <c r="D86"/>
  <c r="G71"/>
  <c r="C62"/>
  <c r="D62" s="1"/>
  <c r="D71"/>
  <c r="G60"/>
  <c r="G62" s="1"/>
  <c r="G67" s="1"/>
  <c r="G68" s="1"/>
  <c r="H60"/>
  <c r="H62" s="1"/>
  <c r="G72"/>
  <c r="C74"/>
  <c r="D74" s="1"/>
  <c r="G17"/>
  <c r="I8"/>
  <c r="H10"/>
  <c r="B82"/>
  <c r="B84"/>
  <c r="C82"/>
  <c r="C84"/>
  <c r="F82"/>
  <c r="F83"/>
  <c r="F84"/>
  <c r="B83"/>
  <c r="E82"/>
  <c r="E83"/>
  <c r="E84"/>
  <c r="B40"/>
  <c r="B41"/>
  <c r="D82"/>
  <c r="C40"/>
  <c r="C41"/>
  <c r="I11"/>
  <c r="I13" s="1"/>
  <c r="H13"/>
  <c r="H35"/>
  <c r="H87" s="1"/>
  <c r="I20"/>
  <c r="I35" s="1"/>
  <c r="I87" s="1"/>
  <c r="H7"/>
  <c r="H59" s="1"/>
  <c r="H19"/>
  <c r="H71" s="1"/>
  <c r="H23"/>
  <c r="H75" s="1"/>
  <c r="G29"/>
  <c r="G35"/>
  <c r="F40"/>
  <c r="C83"/>
  <c r="E39"/>
  <c r="E40" s="1"/>
  <c r="H87" i="1"/>
  <c r="H92" s="1"/>
  <c r="H94"/>
  <c r="D112"/>
  <c r="D97"/>
  <c r="I92"/>
  <c r="G92"/>
  <c r="E92"/>
  <c r="E93" s="1"/>
  <c r="I94"/>
  <c r="G94"/>
  <c r="D100"/>
  <c r="C93"/>
  <c r="D93" s="1"/>
  <c r="F92"/>
  <c r="F93" s="1"/>
  <c r="E104"/>
  <c r="G100"/>
  <c r="G29"/>
  <c r="C107"/>
  <c r="D107" s="1"/>
  <c r="F107"/>
  <c r="E109"/>
  <c r="E116" s="1"/>
  <c r="F109"/>
  <c r="F116" s="1"/>
  <c r="D39"/>
  <c r="G41"/>
  <c r="E107"/>
  <c r="B109"/>
  <c r="B116" s="1"/>
  <c r="B118" s="1"/>
  <c r="F108"/>
  <c r="F113" s="1"/>
  <c r="F114" s="1"/>
  <c r="B108"/>
  <c r="B113" s="1"/>
  <c r="B114" s="1"/>
  <c r="C109"/>
  <c r="H20"/>
  <c r="I20" s="1"/>
  <c r="H17"/>
  <c r="B104"/>
  <c r="B105" s="1"/>
  <c r="E108"/>
  <c r="E113" s="1"/>
  <c r="E114" s="1"/>
  <c r="E119" s="1"/>
  <c r="C108"/>
  <c r="H19"/>
  <c r="H96" s="1"/>
  <c r="H23"/>
  <c r="G34"/>
  <c r="E117"/>
  <c r="F67" i="4"/>
  <c r="E67"/>
  <c r="E68" s="1"/>
  <c r="C15"/>
  <c r="C16" s="1"/>
  <c r="C67"/>
  <c r="G15"/>
  <c r="G16" s="1"/>
  <c r="C79"/>
  <c r="C80" s="1"/>
  <c r="B67"/>
  <c r="B68" s="1"/>
  <c r="D89"/>
  <c r="B79"/>
  <c r="D77"/>
  <c r="F15"/>
  <c r="F16" s="1"/>
  <c r="E15"/>
  <c r="E16" s="1"/>
  <c r="D13"/>
  <c r="D26"/>
  <c r="D25"/>
  <c r="C27"/>
  <c r="B15"/>
  <c r="D27"/>
  <c r="G77"/>
  <c r="B28"/>
  <c r="E28"/>
  <c r="F68"/>
  <c r="B94"/>
  <c r="B95" s="1"/>
  <c r="E94"/>
  <c r="E95" s="1"/>
  <c r="D92"/>
  <c r="D22"/>
  <c r="G25"/>
  <c r="G27" s="1"/>
  <c r="C37"/>
  <c r="F74"/>
  <c r="D75"/>
  <c r="E77"/>
  <c r="D90"/>
  <c r="F92"/>
  <c r="F94" s="1"/>
  <c r="F95" s="1"/>
  <c r="C94"/>
  <c r="D10"/>
  <c r="D14"/>
  <c r="F27"/>
  <c r="B37"/>
  <c r="B42" s="1"/>
  <c r="D72"/>
  <c r="E74"/>
  <c r="F77"/>
  <c r="D87"/>
  <c r="C104" i="1"/>
  <c r="F104"/>
  <c r="F105" s="1"/>
  <c r="E105"/>
  <c r="H81" i="4" l="1"/>
  <c r="G44"/>
  <c r="G87"/>
  <c r="G96" s="1"/>
  <c r="G81"/>
  <c r="C68"/>
  <c r="D68" s="1"/>
  <c r="D67"/>
  <c r="H69"/>
  <c r="H67"/>
  <c r="H68" s="1"/>
  <c r="I10"/>
  <c r="I72"/>
  <c r="I60"/>
  <c r="I62" s="1"/>
  <c r="D41"/>
  <c r="G69"/>
  <c r="D40"/>
  <c r="H15"/>
  <c r="H16" s="1"/>
  <c r="D15"/>
  <c r="D83"/>
  <c r="H34"/>
  <c r="H86" s="1"/>
  <c r="H96" s="1"/>
  <c r="I19"/>
  <c r="I71" s="1"/>
  <c r="H29"/>
  <c r="B43"/>
  <c r="I23"/>
  <c r="H38"/>
  <c r="H90" s="1"/>
  <c r="I7"/>
  <c r="I59" s="1"/>
  <c r="H17"/>
  <c r="C116" i="1"/>
  <c r="D109"/>
  <c r="F118"/>
  <c r="I93"/>
  <c r="D108"/>
  <c r="C113"/>
  <c r="B117"/>
  <c r="B119" s="1"/>
  <c r="E118"/>
  <c r="G93"/>
  <c r="H93"/>
  <c r="C105"/>
  <c r="D105" s="1"/>
  <c r="D104"/>
  <c r="E120"/>
  <c r="F117"/>
  <c r="F119" s="1"/>
  <c r="F120" s="1"/>
  <c r="B120"/>
  <c r="G111"/>
  <c r="G44"/>
  <c r="I23"/>
  <c r="I100" s="1"/>
  <c r="H100"/>
  <c r="H29"/>
  <c r="I19"/>
  <c r="I96" s="1"/>
  <c r="E79" i="4"/>
  <c r="E80" s="1"/>
  <c r="D79"/>
  <c r="B16"/>
  <c r="D16" s="1"/>
  <c r="D94"/>
  <c r="F79"/>
  <c r="F80" s="1"/>
  <c r="B80"/>
  <c r="C95"/>
  <c r="D95" s="1"/>
  <c r="D80"/>
  <c r="C28"/>
  <c r="D28" s="1"/>
  <c r="F41"/>
  <c r="F37"/>
  <c r="F42" s="1"/>
  <c r="G92"/>
  <c r="G40"/>
  <c r="E41"/>
  <c r="E37"/>
  <c r="E42" s="1"/>
  <c r="H25"/>
  <c r="F28"/>
  <c r="G28"/>
  <c r="H22"/>
  <c r="G74"/>
  <c r="G79" s="1"/>
  <c r="D37"/>
  <c r="C42"/>
  <c r="G89"/>
  <c r="G37"/>
  <c r="G42" s="1"/>
  <c r="G43" s="1"/>
  <c r="E32" i="1"/>
  <c r="G10"/>
  <c r="H14"/>
  <c r="I14"/>
  <c r="H13"/>
  <c r="I13"/>
  <c r="H10"/>
  <c r="H15" s="1"/>
  <c r="I10"/>
  <c r="I15" s="1"/>
  <c r="I36"/>
  <c r="H41"/>
  <c r="G26"/>
  <c r="H26"/>
  <c r="I26"/>
  <c r="F22"/>
  <c r="E22"/>
  <c r="B22"/>
  <c r="C22"/>
  <c r="F25"/>
  <c r="G14"/>
  <c r="G13"/>
  <c r="F32"/>
  <c r="F39" s="1"/>
  <c r="F31"/>
  <c r="F36" s="1"/>
  <c r="F30"/>
  <c r="E31"/>
  <c r="E36" s="1"/>
  <c r="F26"/>
  <c r="F14"/>
  <c r="F13"/>
  <c r="F10"/>
  <c r="E30"/>
  <c r="C36"/>
  <c r="E25"/>
  <c r="E27" s="1"/>
  <c r="E26"/>
  <c r="E14"/>
  <c r="E13"/>
  <c r="E10"/>
  <c r="C40"/>
  <c r="D40" s="1"/>
  <c r="B37"/>
  <c r="C26"/>
  <c r="B26"/>
  <c r="C14"/>
  <c r="C13"/>
  <c r="C10"/>
  <c r="B14"/>
  <c r="B13"/>
  <c r="C25"/>
  <c r="B25"/>
  <c r="I69" i="4" l="1"/>
  <c r="I67"/>
  <c r="I68" s="1"/>
  <c r="I38"/>
  <c r="I90" s="1"/>
  <c r="I75"/>
  <c r="I81" s="1"/>
  <c r="H44"/>
  <c r="I29"/>
  <c r="I34"/>
  <c r="I17"/>
  <c r="I15"/>
  <c r="I16" s="1"/>
  <c r="D113" i="1"/>
  <c r="C114"/>
  <c r="D114" s="1"/>
  <c r="C118"/>
  <c r="C117"/>
  <c r="D116"/>
  <c r="D25"/>
  <c r="D14"/>
  <c r="D26"/>
  <c r="F27"/>
  <c r="F15"/>
  <c r="F16" s="1"/>
  <c r="C15"/>
  <c r="D10"/>
  <c r="C37"/>
  <c r="D37" s="1"/>
  <c r="D36"/>
  <c r="D13"/>
  <c r="E39"/>
  <c r="E40" s="1"/>
  <c r="G15"/>
  <c r="D22"/>
  <c r="I29"/>
  <c r="B41"/>
  <c r="B170" s="1"/>
  <c r="D170" s="1"/>
  <c r="G97"/>
  <c r="G106" s="1"/>
  <c r="B27"/>
  <c r="B28" s="1"/>
  <c r="I41"/>
  <c r="F40"/>
  <c r="H74" i="4"/>
  <c r="I25"/>
  <c r="H40"/>
  <c r="H92"/>
  <c r="E43"/>
  <c r="F43"/>
  <c r="G94"/>
  <c r="D42"/>
  <c r="C43"/>
  <c r="G80"/>
  <c r="I22"/>
  <c r="I27" s="1"/>
  <c r="H89"/>
  <c r="H37"/>
  <c r="H77"/>
  <c r="H27"/>
  <c r="E15" i="1"/>
  <c r="E16" s="1"/>
  <c r="F37"/>
  <c r="F42" s="1"/>
  <c r="F41"/>
  <c r="B42"/>
  <c r="G16"/>
  <c r="I16"/>
  <c r="C27"/>
  <c r="C42"/>
  <c r="G25"/>
  <c r="H34"/>
  <c r="G117"/>
  <c r="H16"/>
  <c r="B15"/>
  <c r="B16" s="1"/>
  <c r="C41"/>
  <c r="F28"/>
  <c r="G22"/>
  <c r="G112"/>
  <c r="G121" s="1"/>
  <c r="E28"/>
  <c r="E37"/>
  <c r="I44" i="4" l="1"/>
  <c r="I86"/>
  <c r="I96" s="1"/>
  <c r="H79"/>
  <c r="H42"/>
  <c r="H43" s="1"/>
  <c r="B43" i="1"/>
  <c r="B172" s="1"/>
  <c r="B171"/>
  <c r="D171" s="1"/>
  <c r="G27"/>
  <c r="G28" s="1"/>
  <c r="C119"/>
  <c r="D119" s="1"/>
  <c r="D117"/>
  <c r="C120"/>
  <c r="D120" s="1"/>
  <c r="D118"/>
  <c r="F43"/>
  <c r="E41"/>
  <c r="D27"/>
  <c r="E42"/>
  <c r="D41"/>
  <c r="E43"/>
  <c r="H111"/>
  <c r="D42"/>
  <c r="C16"/>
  <c r="D16" s="1"/>
  <c r="D15"/>
  <c r="G102"/>
  <c r="H97"/>
  <c r="H106" s="1"/>
  <c r="H80" i="4"/>
  <c r="I28"/>
  <c r="I74"/>
  <c r="D43"/>
  <c r="G95"/>
  <c r="I77"/>
  <c r="H28"/>
  <c r="I89"/>
  <c r="I37"/>
  <c r="I92"/>
  <c r="I40"/>
  <c r="H94"/>
  <c r="G37" i="1"/>
  <c r="I34"/>
  <c r="C43"/>
  <c r="H35"/>
  <c r="H112" s="1"/>
  <c r="H22"/>
  <c r="H38"/>
  <c r="H115" s="1"/>
  <c r="H117" s="1"/>
  <c r="H25"/>
  <c r="G40"/>
  <c r="C28"/>
  <c r="D28" s="1"/>
  <c r="D43" l="1"/>
  <c r="B178"/>
  <c r="D172"/>
  <c r="H121"/>
  <c r="I111"/>
  <c r="H44"/>
  <c r="H102"/>
  <c r="I97"/>
  <c r="G99"/>
  <c r="G104" s="1"/>
  <c r="G105" s="1"/>
  <c r="I79" i="4"/>
  <c r="I80" s="1"/>
  <c r="I42"/>
  <c r="I43" s="1"/>
  <c r="H95"/>
  <c r="I94"/>
  <c r="H27" i="1"/>
  <c r="H28" s="1"/>
  <c r="I38"/>
  <c r="I25"/>
  <c r="H40"/>
  <c r="I22"/>
  <c r="I35"/>
  <c r="I112" s="1"/>
  <c r="H37"/>
  <c r="G42"/>
  <c r="G43" s="1"/>
  <c r="I99" l="1"/>
  <c r="I106"/>
  <c r="I44"/>
  <c r="I115"/>
  <c r="I121" s="1"/>
  <c r="H42"/>
  <c r="H43" s="1"/>
  <c r="I102"/>
  <c r="I95" i="4"/>
  <c r="G114" i="1"/>
  <c r="G119" s="1"/>
  <c r="G120" s="1"/>
  <c r="I27"/>
  <c r="I28" s="1"/>
  <c r="I37"/>
  <c r="I40"/>
  <c r="I117" l="1"/>
  <c r="H99"/>
  <c r="H104" s="1"/>
  <c r="H105" s="1"/>
  <c r="H114"/>
  <c r="H119" s="1"/>
  <c r="H120" s="1"/>
  <c r="I42"/>
  <c r="I43" s="1"/>
  <c r="I104" l="1"/>
  <c r="I105" s="1"/>
  <c r="I114"/>
  <c r="I119" s="1"/>
  <c r="I120" s="1"/>
</calcChain>
</file>

<file path=xl/comments1.xml><?xml version="1.0" encoding="utf-8"?>
<comments xmlns="http://schemas.openxmlformats.org/spreadsheetml/2006/main">
  <authors>
    <author>bellounes</author>
    <author>amina</author>
  </authors>
  <commentList>
    <comment ref="E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(2940)
Prix DCM er 3,218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(3432
Prix DCM er 3,185</t>
        </r>
      </text>
    </comment>
    <comment ref="G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(4006)
Prix DCM er 3,152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(4676)
Prix DCM er 3,120</t>
        </r>
      </text>
    </comment>
    <comment ref="I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(5459)
Prix DCM er 3,088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  <comment ref="E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1248
Prix vte DCM ER 2,35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  <comment ref="G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1391
Prix vte DCM ER 2,35</t>
        </r>
      </text>
    </comment>
    <comment ref="H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1471
Prix vte DCM ER 2,35</t>
        </r>
      </text>
    </comment>
    <comment ref="I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1553
Prix vte DCM ER 2,35</t>
        </r>
      </text>
    </comment>
  </commentList>
</comments>
</file>

<file path=xl/sharedStrings.xml><?xml version="1.0" encoding="utf-8"?>
<sst xmlns="http://schemas.openxmlformats.org/spreadsheetml/2006/main" count="439" uniqueCount="109">
  <si>
    <t>TE%</t>
  </si>
  <si>
    <t>Total clients</t>
  </si>
  <si>
    <t>Prix vte BT</t>
  </si>
  <si>
    <t>Prix vte MT</t>
  </si>
  <si>
    <t>Total CA</t>
  </si>
  <si>
    <t>LIBELE</t>
  </si>
  <si>
    <t>Source: Plan de développement 2011-2021</t>
  </si>
  <si>
    <t>Prix vte BP</t>
  </si>
  <si>
    <t>Prix vte MP</t>
  </si>
  <si>
    <t xml:space="preserve">Budget 2012 </t>
  </si>
  <si>
    <t xml:space="preserve">Bilan 2011 </t>
  </si>
  <si>
    <t xml:space="preserve">Bilan 2010 </t>
  </si>
  <si>
    <t>ok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</si>
  <si>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</si>
  <si>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</si>
  <si>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</si>
  <si>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</si>
  <si>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</si>
  <si>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</si>
  <si>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</si>
  <si>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</si>
  <si>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</si>
  <si>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</si>
  <si>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</si>
  <si>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</si>
  <si>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</si>
  <si>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</si>
  <si>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</si>
  <si>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</si>
  <si>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</si>
  <si>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</si>
  <si>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</si>
  <si>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</si>
  <si>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</si>
  <si>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</si>
  <si>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</si>
  <si>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</si>
  <si>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</si>
  <si>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</si>
  <si>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</si>
  <si>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</si>
  <si>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</si>
  <si>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</si>
  <si>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ventes</t>
  </si>
  <si>
    <t>PARAMETRES AVANT TRANSFERT SDA</t>
  </si>
  <si>
    <t>PARAMETRES TIP+BDES</t>
  </si>
  <si>
    <t>PARAMETRES  TIP+BDES</t>
  </si>
  <si>
    <t>Nbre clients BP (Non Eligible)</t>
  </si>
  <si>
    <t>Source: Plan de développement 2012-2022</t>
  </si>
  <si>
    <t>recalculé vte eligible *prix (dcm prix erroné)</t>
  </si>
  <si>
    <t>calculé par différence</t>
  </si>
  <si>
    <t>vte*prix</t>
  </si>
  <si>
    <t>sda*0,302  (poid)</t>
  </si>
  <si>
    <t>sda*0,338  (poid)</t>
  </si>
  <si>
    <t>hypothèse nbre idem 2013</t>
  </si>
  <si>
    <t>sda*0,22  (poid)</t>
  </si>
  <si>
    <t>sda*0,177  (poid)</t>
  </si>
  <si>
    <t>sda*0,30  (poid)</t>
  </si>
  <si>
    <t>sda*0,299</t>
  </si>
  <si>
    <t>contrôle</t>
  </si>
  <si>
    <t>contrôle calcul</t>
  </si>
  <si>
    <t>PARAMETRES  WILAYA D'ALGER</t>
  </si>
  <si>
    <t>nbre clients</t>
  </si>
  <si>
    <t>vtes elec</t>
  </si>
  <si>
    <t>ca</t>
  </si>
  <si>
    <t>chiffres d'affaires</t>
  </si>
  <si>
    <t>Source: Plan de développement 201é-2022</t>
  </si>
  <si>
    <t>PARAMETRES  WILAYA (sans bdes et tipaza)</t>
  </si>
  <si>
    <t xml:space="preserve">Budget probable  </t>
  </si>
  <si>
    <t xml:space="preserve">Prévu </t>
  </si>
  <si>
    <t>CONCESSION ELECTRICITE</t>
  </si>
  <si>
    <t>CONCESSION GAZ</t>
  </si>
  <si>
    <t>NOMBRE CLIENTS GAZ</t>
  </si>
  <si>
    <t xml:space="preserve">  Nbre client MP Non Eligible</t>
  </si>
  <si>
    <t xml:space="preserve">  Nbre client HP Non Eligible</t>
  </si>
  <si>
    <t>VENTES GAZ</t>
  </si>
  <si>
    <t>Prix vte HP</t>
  </si>
  <si>
    <t>Chiffres d'affaires Gaz BP (Non Eligible)</t>
  </si>
  <si>
    <t>CA Gaz MP Non Eligible</t>
  </si>
  <si>
    <t>CA Elec  HP Non Eligible</t>
  </si>
  <si>
    <t>CA Gaz Non Eligible</t>
  </si>
  <si>
    <t>Vtes Gaz  Non Eligible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</si>
  <si>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</si>
  <si>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</si>
  <si>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</si>
  <si>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</si>
  <si>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</si>
  <si>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</si>
  <si>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</si>
  <si>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</si>
  <si>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</si>
  <si>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</si>
  <si>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</si>
  <si>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>CA Elec MP Eligible</t>
  </si>
  <si>
    <t>CA Elec c MP Non Eligible</t>
  </si>
  <si>
    <t>CA Elec HP Eligible</t>
  </si>
  <si>
    <t>Chiffres d'affaires GAZ BP (Non Eligible)</t>
  </si>
  <si>
    <t>Chiffres d'affaires  GAZ MP  Dont :</t>
  </si>
  <si>
    <t>Chiffres d'affaires  GAZ  HP  Dont :</t>
  </si>
  <si>
    <t>ELIGIBLE ELECTRICITE</t>
  </si>
  <si>
    <t>ELIGIBLE GAZ</t>
  </si>
  <si>
    <t>Nbre clients BT (Eligible)</t>
  </si>
  <si>
    <t>Vtes Gaz MP Eligible</t>
  </si>
  <si>
    <t>Vtes Gaz HP Eligible</t>
  </si>
  <si>
    <t>Vtes Gaz Eligible</t>
  </si>
  <si>
    <t>CA Gaz  HP Non Eligible</t>
  </si>
  <si>
    <t>CA Gaz MP Eligible</t>
  </si>
  <si>
    <t>CA Gaz HP Eligible</t>
  </si>
  <si>
    <t>CA Gaz  Eligible</t>
  </si>
</sst>
</file>

<file path=xl/styles.xml><?xml version="1.0" encoding="utf-8"?>
<styleSheet xmlns="http://schemas.openxmlformats.org/spreadsheetml/2006/main">
  <numFmts count="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000000\ _€_-;\-* #,##0.0000000\ _€_-;_-* &quot;-&quot;??\ _€_-;_-@_-"/>
    <numFmt numFmtId="170" formatCode="_-* #,##0.000\ _€_-;\-* #,##0.000\ _€_-;_-* &quot;-&quot;??\ _€_-;_-@_-"/>
  </numFmts>
  <fonts count="25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4"/>
      <color rgb="FFFF0000"/>
      <name val="Candara"/>
      <family val="2"/>
    </font>
    <font>
      <sz val="14"/>
      <color rgb="FF92D050"/>
      <name val="Candara"/>
      <family val="2"/>
    </font>
    <font>
      <sz val="14"/>
      <color theme="3" tint="0.39997558519241921"/>
      <name val="Candara"/>
      <family val="2"/>
    </font>
    <font>
      <sz val="14"/>
      <name val="Candara"/>
      <family val="2"/>
    </font>
    <font>
      <sz val="14"/>
      <color theme="3" tint="0.59999389629810485"/>
      <name val="Candara"/>
      <family val="2"/>
    </font>
    <font>
      <b/>
      <sz val="14"/>
      <color rgb="FF92D050"/>
      <name val="Candara"/>
      <family val="2"/>
    </font>
    <font>
      <b/>
      <sz val="14"/>
      <color theme="0"/>
      <name val="Candara"/>
      <family val="2"/>
    </font>
    <font>
      <sz val="14"/>
      <color theme="0"/>
      <name val="Candara"/>
      <family val="2"/>
    </font>
    <font>
      <sz val="14"/>
      <color theme="6" tint="-0.249977111117893"/>
      <name val="Candara"/>
      <family val="2"/>
    </font>
    <font>
      <b/>
      <sz val="14"/>
      <color rgb="FFFF0000"/>
      <name val="Candara"/>
      <family val="2"/>
    </font>
    <font>
      <sz val="14"/>
      <color rgb="FF00B0F0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ndara"/>
      <family val="2"/>
    </font>
    <font>
      <b/>
      <sz val="14"/>
      <color rgb="FF00B0F0"/>
      <name val="Candara"/>
      <family val="2"/>
    </font>
    <font>
      <b/>
      <sz val="16"/>
      <color theme="1"/>
      <name val="Candara"/>
      <family val="2"/>
    </font>
    <font>
      <b/>
      <sz val="14"/>
      <color theme="9" tint="-0.499984740745262"/>
      <name val="Candara"/>
      <family val="2"/>
    </font>
    <font>
      <b/>
      <sz val="14"/>
      <color theme="9" tint="-0.249977111117893"/>
      <name val="Candara"/>
      <family val="2"/>
    </font>
    <font>
      <b/>
      <sz val="18"/>
      <color rgb="FFFF0000"/>
      <name val="Candar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7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5" xfId="0" applyFont="1" applyBorder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4" fillId="3" borderId="0" xfId="0" applyFont="1" applyFill="1"/>
    <xf numFmtId="0" fontId="4" fillId="3" borderId="6" xfId="0" applyFont="1" applyFill="1" applyBorder="1"/>
    <xf numFmtId="0" fontId="4" fillId="3" borderId="0" xfId="0" applyFont="1" applyFill="1" applyBorder="1" applyAlignment="1">
      <alignment horizontal="right"/>
    </xf>
    <xf numFmtId="0" fontId="4" fillId="3" borderId="4" xfId="0" applyFont="1" applyFill="1" applyBorder="1"/>
    <xf numFmtId="0" fontId="4" fillId="5" borderId="14" xfId="0" applyFont="1" applyFill="1" applyBorder="1"/>
    <xf numFmtId="0" fontId="4" fillId="5" borderId="16" xfId="0" applyFont="1" applyFill="1" applyBorder="1"/>
    <xf numFmtId="0" fontId="4" fillId="4" borderId="15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/>
    <xf numFmtId="167" fontId="5" fillId="0" borderId="1" xfId="0" applyNumberFormat="1" applyFont="1" applyBorder="1"/>
    <xf numFmtId="49" fontId="5" fillId="7" borderId="1" xfId="0" applyNumberFormat="1" applyFont="1" applyFill="1" applyBorder="1" applyAlignment="1"/>
    <xf numFmtId="49" fontId="5" fillId="6" borderId="1" xfId="0" applyNumberFormat="1" applyFont="1" applyFill="1" applyBorder="1" applyAlignment="1"/>
    <xf numFmtId="0" fontId="5" fillId="2" borderId="1" xfId="0" applyFont="1" applyFill="1" applyBorder="1"/>
    <xf numFmtId="3" fontId="10" fillId="2" borderId="1" xfId="0" applyNumberFormat="1" applyFont="1" applyFill="1" applyBorder="1"/>
    <xf numFmtId="3" fontId="8" fillId="2" borderId="1" xfId="0" applyNumberFormat="1" applyFont="1" applyFill="1" applyBorder="1"/>
    <xf numFmtId="165" fontId="8" fillId="2" borderId="1" xfId="1" applyNumberFormat="1" applyFont="1" applyFill="1" applyBorder="1"/>
    <xf numFmtId="0" fontId="5" fillId="2" borderId="8" xfId="0" applyFont="1" applyFill="1" applyBorder="1"/>
    <xf numFmtId="165" fontId="8" fillId="2" borderId="9" xfId="1" applyNumberFormat="1" applyFont="1" applyFill="1" applyBorder="1"/>
    <xf numFmtId="0" fontId="5" fillId="4" borderId="8" xfId="0" applyFont="1" applyFill="1" applyBorder="1"/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7" fontId="9" fillId="0" borderId="1" xfId="0" applyNumberFormat="1" applyFont="1" applyBorder="1"/>
    <xf numFmtId="167" fontId="9" fillId="4" borderId="1" xfId="0" applyNumberFormat="1" applyFont="1" applyFill="1" applyBorder="1"/>
    <xf numFmtId="3" fontId="7" fillId="2" borderId="1" xfId="0" applyNumberFormat="1" applyFont="1" applyFill="1" applyBorder="1"/>
    <xf numFmtId="0" fontId="5" fillId="0" borderId="1" xfId="0" applyFont="1" applyBorder="1"/>
    <xf numFmtId="166" fontId="5" fillId="0" borderId="1" xfId="0" applyNumberFormat="1" applyFont="1" applyBorder="1"/>
    <xf numFmtId="0" fontId="6" fillId="0" borderId="1" xfId="0" applyFont="1" applyBorder="1"/>
    <xf numFmtId="0" fontId="5" fillId="0" borderId="0" xfId="0" applyFont="1" applyFill="1"/>
    <xf numFmtId="0" fontId="12" fillId="4" borderId="0" xfId="0" applyFont="1" applyFill="1" applyBorder="1"/>
    <xf numFmtId="0" fontId="13" fillId="4" borderId="0" xfId="0" applyFont="1" applyFill="1" applyBorder="1"/>
    <xf numFmtId="3" fontId="13" fillId="4" borderId="0" xfId="0" applyNumberFormat="1" applyFont="1" applyFill="1" applyBorder="1"/>
    <xf numFmtId="3" fontId="13" fillId="4" borderId="0" xfId="1" applyNumberFormat="1" applyFont="1" applyFill="1" applyBorder="1"/>
    <xf numFmtId="168" fontId="13" fillId="4" borderId="0" xfId="0" applyNumberFormat="1" applyFont="1" applyFill="1" applyBorder="1"/>
    <xf numFmtId="165" fontId="13" fillId="4" borderId="0" xfId="1" applyNumberFormat="1" applyFont="1" applyFill="1" applyBorder="1"/>
    <xf numFmtId="167" fontId="13" fillId="4" borderId="0" xfId="0" applyNumberFormat="1" applyFont="1" applyFill="1" applyBorder="1"/>
    <xf numFmtId="49" fontId="13" fillId="4" borderId="0" xfId="0" applyNumberFormat="1" applyFont="1" applyFill="1" applyBorder="1" applyAlignment="1"/>
    <xf numFmtId="3" fontId="13" fillId="4" borderId="0" xfId="0" applyNumberFormat="1" applyFont="1" applyFill="1" applyBorder="1" applyAlignment="1">
      <alignment horizontal="center"/>
    </xf>
    <xf numFmtId="1" fontId="13" fillId="4" borderId="0" xfId="0" applyNumberFormat="1" applyFont="1" applyFill="1" applyBorder="1"/>
    <xf numFmtId="165" fontId="13" fillId="4" borderId="0" xfId="0" applyNumberFormat="1" applyFont="1" applyFill="1" applyBorder="1" applyAlignment="1">
      <alignment horizontal="center"/>
    </xf>
    <xf numFmtId="166" fontId="13" fillId="4" borderId="0" xfId="0" applyNumberFormat="1" applyFont="1" applyFill="1" applyBorder="1"/>
    <xf numFmtId="170" fontId="13" fillId="4" borderId="0" xfId="0" applyNumberFormat="1" applyFont="1" applyFill="1" applyBorder="1"/>
    <xf numFmtId="3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 applyFill="1"/>
    <xf numFmtId="169" fontId="5" fillId="0" borderId="0" xfId="0" applyNumberFormat="1" applyFont="1" applyFill="1"/>
    <xf numFmtId="167" fontId="5" fillId="4" borderId="9" xfId="0" applyNumberFormat="1" applyFont="1" applyFill="1" applyBorder="1"/>
    <xf numFmtId="0" fontId="4" fillId="4" borderId="8" xfId="0" applyFont="1" applyFill="1" applyBorder="1" applyAlignment="1"/>
    <xf numFmtId="0" fontId="4" fillId="4" borderId="9" xfId="0" applyFont="1" applyFill="1" applyBorder="1" applyAlignment="1"/>
    <xf numFmtId="164" fontId="4" fillId="4" borderId="9" xfId="0" applyNumberFormat="1" applyFont="1" applyFill="1" applyBorder="1" applyAlignment="1"/>
    <xf numFmtId="0" fontId="4" fillId="4" borderId="10" xfId="0" applyFont="1" applyFill="1" applyBorder="1" applyAlignment="1"/>
    <xf numFmtId="165" fontId="8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" fontId="5" fillId="0" borderId="0" xfId="0" applyNumberFormat="1" applyFont="1"/>
    <xf numFmtId="3" fontId="5" fillId="9" borderId="1" xfId="0" applyNumberFormat="1" applyFont="1" applyFill="1" applyBorder="1"/>
    <xf numFmtId="165" fontId="5" fillId="9" borderId="1" xfId="1" applyNumberFormat="1" applyFont="1" applyFill="1" applyBorder="1"/>
    <xf numFmtId="1" fontId="5" fillId="9" borderId="1" xfId="0" applyNumberFormat="1" applyFont="1" applyFill="1" applyBorder="1"/>
    <xf numFmtId="3" fontId="8" fillId="2" borderId="9" xfId="0" applyNumberFormat="1" applyFont="1" applyFill="1" applyBorder="1"/>
    <xf numFmtId="165" fontId="5" fillId="0" borderId="0" xfId="0" applyNumberFormat="1" applyFont="1"/>
    <xf numFmtId="3" fontId="6" fillId="4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3" fontId="5" fillId="0" borderId="1" xfId="0" applyNumberFormat="1" applyFont="1" applyBorder="1"/>
    <xf numFmtId="3" fontId="5" fillId="9" borderId="1" xfId="1" applyNumberFormat="1" applyFont="1" applyFill="1" applyBorder="1"/>
    <xf numFmtId="166" fontId="5" fillId="9" borderId="1" xfId="0" applyNumberFormat="1" applyFont="1" applyFill="1" applyBorder="1"/>
    <xf numFmtId="0" fontId="5" fillId="4" borderId="0" xfId="0" applyFont="1" applyFill="1" applyBorder="1"/>
    <xf numFmtId="170" fontId="5" fillId="9" borderId="1" xfId="0" applyNumberFormat="1" applyFont="1" applyFill="1" applyBorder="1"/>
    <xf numFmtId="0" fontId="5" fillId="9" borderId="0" xfId="0" applyFont="1" applyFill="1"/>
    <xf numFmtId="3" fontId="9" fillId="9" borderId="1" xfId="0" applyNumberFormat="1" applyFont="1" applyFill="1" applyBorder="1"/>
    <xf numFmtId="1" fontId="9" fillId="9" borderId="1" xfId="0" applyNumberFormat="1" applyFont="1" applyFill="1" applyBorder="1"/>
    <xf numFmtId="167" fontId="6" fillId="4" borderId="9" xfId="0" applyNumberFormat="1" applyFont="1" applyFill="1" applyBorder="1"/>
    <xf numFmtId="0" fontId="6" fillId="0" borderId="0" xfId="0" applyFont="1"/>
    <xf numFmtId="165" fontId="6" fillId="0" borderId="0" xfId="1" applyNumberFormat="1" applyFont="1"/>
    <xf numFmtId="165" fontId="6" fillId="0" borderId="0" xfId="1" applyNumberFormat="1" applyFont="1" applyAlignment="1">
      <alignment horizontal="center"/>
    </xf>
    <xf numFmtId="3" fontId="15" fillId="4" borderId="9" xfId="0" applyNumberFormat="1" applyFont="1" applyFill="1" applyBorder="1" applyAlignment="1">
      <alignment horizontal="center"/>
    </xf>
    <xf numFmtId="167" fontId="15" fillId="4" borderId="9" xfId="0" applyNumberFormat="1" applyFont="1" applyFill="1" applyBorder="1"/>
    <xf numFmtId="165" fontId="9" fillId="9" borderId="1" xfId="1" applyNumberFormat="1" applyFont="1" applyFill="1" applyBorder="1"/>
    <xf numFmtId="3" fontId="9" fillId="2" borderId="1" xfId="0" applyNumberFormat="1" applyFont="1" applyFill="1" applyBorder="1"/>
    <xf numFmtId="170" fontId="5" fillId="0" borderId="0" xfId="0" applyNumberFormat="1" applyFont="1"/>
    <xf numFmtId="164" fontId="4" fillId="4" borderId="9" xfId="1" applyNumberFormat="1" applyFont="1" applyFill="1" applyBorder="1" applyAlignment="1"/>
    <xf numFmtId="167" fontId="6" fillId="0" borderId="1" xfId="0" applyNumberFormat="1" applyFont="1" applyBorder="1"/>
    <xf numFmtId="3" fontId="19" fillId="9" borderId="1" xfId="0" applyNumberFormat="1" applyFont="1" applyFill="1" applyBorder="1"/>
    <xf numFmtId="0" fontId="4" fillId="4" borderId="0" xfId="0" applyFont="1" applyFill="1" applyBorder="1" applyAlignment="1">
      <alignment horizontal="right"/>
    </xf>
    <xf numFmtId="167" fontId="5" fillId="4" borderId="1" xfId="0" applyNumberFormat="1" applyFont="1" applyFill="1" applyBorder="1"/>
    <xf numFmtId="3" fontId="9" fillId="4" borderId="1" xfId="0" applyNumberFormat="1" applyFont="1" applyFill="1" applyBorder="1"/>
    <xf numFmtId="0" fontId="5" fillId="4" borderId="1" xfId="0" applyFont="1" applyFill="1" applyBorder="1"/>
    <xf numFmtId="166" fontId="5" fillId="4" borderId="1" xfId="0" applyNumberFormat="1" applyFont="1" applyFill="1" applyBorder="1"/>
    <xf numFmtId="165" fontId="7" fillId="2" borderId="1" xfId="1" applyNumberFormat="1" applyFont="1" applyFill="1" applyBorder="1"/>
    <xf numFmtId="165" fontId="16" fillId="4" borderId="9" xfId="1" applyNumberFormat="1" applyFont="1" applyFill="1" applyBorder="1"/>
    <xf numFmtId="165" fontId="9" fillId="2" borderId="1" xfId="1" applyNumberFormat="1" applyFont="1" applyFill="1" applyBorder="1"/>
    <xf numFmtId="168" fontId="9" fillId="4" borderId="1" xfId="0" applyNumberFormat="1" applyFont="1" applyFill="1" applyBorder="1"/>
    <xf numFmtId="0" fontId="15" fillId="0" borderId="0" xfId="0" applyFont="1" applyAlignment="1">
      <alignment horizontal="center"/>
    </xf>
    <xf numFmtId="3" fontId="20" fillId="0" borderId="0" xfId="0" applyNumberFormat="1" applyFont="1"/>
    <xf numFmtId="0" fontId="4" fillId="4" borderId="1" xfId="0" applyFont="1" applyFill="1" applyBorder="1"/>
    <xf numFmtId="165" fontId="20" fillId="0" borderId="1" xfId="0" applyNumberFormat="1" applyFont="1" applyBorder="1"/>
    <xf numFmtId="165" fontId="15" fillId="0" borderId="0" xfId="1" applyNumberFormat="1" applyFont="1" applyAlignment="1">
      <alignment horizontal="center"/>
    </xf>
    <xf numFmtId="165" fontId="15" fillId="0" borderId="0" xfId="1" applyNumberFormat="1" applyFont="1"/>
    <xf numFmtId="0" fontId="21" fillId="8" borderId="0" xfId="0" applyFont="1" applyFill="1"/>
    <xf numFmtId="0" fontId="5" fillId="8" borderId="0" xfId="0" applyFont="1" applyFill="1"/>
    <xf numFmtId="0" fontId="21" fillId="4" borderId="0" xfId="0" applyFont="1" applyFill="1"/>
    <xf numFmtId="0" fontId="5" fillId="4" borderId="0" xfId="0" applyFont="1" applyFill="1"/>
    <xf numFmtId="3" fontId="10" fillId="4" borderId="1" xfId="0" applyNumberFormat="1" applyFont="1" applyFill="1" applyBorder="1"/>
    <xf numFmtId="164" fontId="9" fillId="4" borderId="1" xfId="1" applyNumberFormat="1" applyFont="1" applyFill="1" applyBorder="1"/>
    <xf numFmtId="164" fontId="5" fillId="4" borderId="1" xfId="1" applyNumberFormat="1" applyFont="1" applyFill="1" applyBorder="1"/>
    <xf numFmtId="164" fontId="5" fillId="4" borderId="9" xfId="1" applyNumberFormat="1" applyFont="1" applyFill="1" applyBorder="1"/>
    <xf numFmtId="164" fontId="6" fillId="4" borderId="1" xfId="1" applyNumberFormat="1" applyFont="1" applyFill="1" applyBorder="1"/>
    <xf numFmtId="165" fontId="15" fillId="4" borderId="9" xfId="1" applyNumberFormat="1" applyFont="1" applyFill="1" applyBorder="1" applyAlignment="1">
      <alignment horizontal="center"/>
    </xf>
    <xf numFmtId="164" fontId="15" fillId="4" borderId="9" xfId="1" applyNumberFormat="1" applyFont="1" applyFill="1" applyBorder="1"/>
    <xf numFmtId="165" fontId="11" fillId="4" borderId="9" xfId="1" applyNumberFormat="1" applyFont="1" applyFill="1" applyBorder="1"/>
    <xf numFmtId="3" fontId="15" fillId="9" borderId="1" xfId="0" applyNumberFormat="1" applyFont="1" applyFill="1" applyBorder="1"/>
    <xf numFmtId="3" fontId="20" fillId="0" borderId="0" xfId="0" applyNumberFormat="1" applyFont="1" applyAlignment="1">
      <alignment horizontal="center"/>
    </xf>
    <xf numFmtId="164" fontId="15" fillId="4" borderId="1" xfId="1" applyNumberFormat="1" applyFont="1" applyFill="1" applyBorder="1"/>
    <xf numFmtId="165" fontId="15" fillId="0" borderId="1" xfId="0" applyNumberFormat="1" applyFont="1" applyBorder="1" applyAlignment="1">
      <alignment horizontal="center"/>
    </xf>
    <xf numFmtId="3" fontId="15" fillId="0" borderId="0" xfId="0" applyNumberFormat="1" applyFont="1" applyAlignment="1">
      <alignment horizontal="center"/>
    </xf>
    <xf numFmtId="0" fontId="5" fillId="0" borderId="17" xfId="0" applyFont="1" applyBorder="1"/>
    <xf numFmtId="3" fontId="5" fillId="0" borderId="18" xfId="0" applyNumberFormat="1" applyFont="1" applyBorder="1"/>
    <xf numFmtId="0" fontId="5" fillId="0" borderId="20" xfId="0" applyFont="1" applyBorder="1"/>
    <xf numFmtId="3" fontId="5" fillId="0" borderId="0" xfId="0" applyNumberFormat="1" applyFont="1" applyBorder="1"/>
    <xf numFmtId="0" fontId="5" fillId="0" borderId="0" xfId="0" applyFont="1" applyFill="1" applyBorder="1"/>
    <xf numFmtId="0" fontId="5" fillId="0" borderId="22" xfId="0" applyFont="1" applyFill="1" applyBorder="1"/>
    <xf numFmtId="1" fontId="5" fillId="0" borderId="15" xfId="0" applyNumberFormat="1" applyFont="1" applyFill="1" applyBorder="1"/>
    <xf numFmtId="1" fontId="5" fillId="0" borderId="15" xfId="0" applyNumberFormat="1" applyFont="1" applyBorder="1"/>
    <xf numFmtId="0" fontId="15" fillId="6" borderId="1" xfId="0" applyFont="1" applyFill="1" applyBorder="1"/>
    <xf numFmtId="49" fontId="15" fillId="6" borderId="1" xfId="0" applyNumberFormat="1" applyFont="1" applyFill="1" applyBorder="1" applyAlignment="1"/>
    <xf numFmtId="49" fontId="22" fillId="7" borderId="1" xfId="0" applyNumberFormat="1" applyFont="1" applyFill="1" applyBorder="1" applyAlignment="1"/>
    <xf numFmtId="3" fontId="22" fillId="9" borderId="1" xfId="0" applyNumberFormat="1" applyFont="1" applyFill="1" applyBorder="1"/>
    <xf numFmtId="164" fontId="22" fillId="4" borderId="1" xfId="1" applyNumberFormat="1" applyFont="1" applyFill="1" applyBorder="1"/>
    <xf numFmtId="164" fontId="19" fillId="4" borderId="1" xfId="1" applyNumberFormat="1" applyFont="1" applyFill="1" applyBorder="1"/>
    <xf numFmtId="3" fontId="5" fillId="2" borderId="1" xfId="0" applyNumberFormat="1" applyFont="1" applyFill="1" applyBorder="1"/>
    <xf numFmtId="164" fontId="9" fillId="2" borderId="1" xfId="1" applyNumberFormat="1" applyFont="1" applyFill="1" applyBorder="1"/>
    <xf numFmtId="165" fontId="15" fillId="9" borderId="1" xfId="1" applyNumberFormat="1" applyFont="1" applyFill="1" applyBorder="1"/>
    <xf numFmtId="1" fontId="22" fillId="9" borderId="1" xfId="0" applyNumberFormat="1" applyFont="1" applyFill="1" applyBorder="1"/>
    <xf numFmtId="165" fontId="22" fillId="9" borderId="1" xfId="1" applyNumberFormat="1" applyFont="1" applyFill="1" applyBorder="1"/>
    <xf numFmtId="49" fontId="23" fillId="7" borderId="1" xfId="0" applyNumberFormat="1" applyFont="1" applyFill="1" applyBorder="1" applyAlignment="1"/>
    <xf numFmtId="3" fontId="23" fillId="9" borderId="1" xfId="0" applyNumberFormat="1" applyFont="1" applyFill="1" applyBorder="1"/>
    <xf numFmtId="164" fontId="23" fillId="4" borderId="1" xfId="1" applyNumberFormat="1" applyFont="1" applyFill="1" applyBorder="1"/>
    <xf numFmtId="3" fontId="9" fillId="2" borderId="9" xfId="0" applyNumberFormat="1" applyFont="1" applyFill="1" applyBorder="1"/>
    <xf numFmtId="164" fontId="9" fillId="4" borderId="9" xfId="1" applyNumberFormat="1" applyFont="1" applyFill="1" applyBorder="1"/>
    <xf numFmtId="3" fontId="5" fillId="0" borderId="0" xfId="0" applyNumberFormat="1" applyFont="1" applyFill="1"/>
    <xf numFmtId="0" fontId="6" fillId="0" borderId="0" xfId="0" applyFont="1" applyFill="1"/>
    <xf numFmtId="0" fontId="4" fillId="8" borderId="0" xfId="0" applyFont="1" applyFill="1"/>
    <xf numFmtId="0" fontId="4" fillId="4" borderId="0" xfId="0" applyFont="1" applyFill="1"/>
    <xf numFmtId="3" fontId="4" fillId="4" borderId="0" xfId="0" applyNumberFormat="1" applyFont="1" applyFill="1"/>
    <xf numFmtId="165" fontId="20" fillId="4" borderId="9" xfId="1" applyNumberFormat="1" applyFont="1" applyFill="1" applyBorder="1"/>
    <xf numFmtId="164" fontId="9" fillId="9" borderId="1" xfId="1" applyNumberFormat="1" applyFont="1" applyFill="1" applyBorder="1"/>
    <xf numFmtId="170" fontId="5" fillId="0" borderId="0" xfId="0" applyNumberFormat="1" applyFont="1" applyFill="1"/>
    <xf numFmtId="3" fontId="20" fillId="0" borderId="1" xfId="0" applyNumberFormat="1" applyFont="1" applyBorder="1"/>
    <xf numFmtId="167" fontId="5" fillId="0" borderId="0" xfId="0" applyNumberFormat="1" applyFont="1" applyFill="1"/>
    <xf numFmtId="168" fontId="5" fillId="0" borderId="1" xfId="0" applyNumberFormat="1" applyFont="1" applyBorder="1"/>
    <xf numFmtId="165" fontId="5" fillId="2" borderId="1" xfId="1" applyNumberFormat="1" applyFont="1" applyFill="1" applyBorder="1"/>
    <xf numFmtId="3" fontId="19" fillId="2" borderId="1" xfId="0" applyNumberFormat="1" applyFont="1" applyFill="1" applyBorder="1"/>
    <xf numFmtId="165" fontId="15" fillId="4" borderId="1" xfId="1" applyNumberFormat="1" applyFont="1" applyFill="1" applyBorder="1"/>
    <xf numFmtId="3" fontId="23" fillId="4" borderId="1" xfId="0" applyNumberFormat="1" applyFont="1" applyFill="1" applyBorder="1"/>
    <xf numFmtId="1" fontId="6" fillId="0" borderId="0" xfId="0" applyNumberFormat="1" applyFont="1"/>
    <xf numFmtId="3" fontId="6" fillId="0" borderId="0" xfId="0" applyNumberFormat="1" applyFont="1"/>
    <xf numFmtId="3" fontId="6" fillId="0" borderId="18" xfId="0" applyNumberFormat="1" applyFont="1" applyBorder="1"/>
    <xf numFmtId="1" fontId="6" fillId="0" borderId="15" xfId="0" applyNumberFormat="1" applyFont="1" applyFill="1" applyBorder="1"/>
    <xf numFmtId="0" fontId="15" fillId="0" borderId="0" xfId="0" applyFont="1"/>
    <xf numFmtId="3" fontId="6" fillId="0" borderId="0" xfId="0" applyNumberFormat="1" applyFont="1" applyFill="1"/>
    <xf numFmtId="1" fontId="5" fillId="0" borderId="0" xfId="0" applyNumberFormat="1" applyFont="1" applyBorder="1"/>
    <xf numFmtId="1" fontId="5" fillId="0" borderId="0" xfId="0" applyNumberFormat="1" applyFont="1" applyFill="1" applyBorder="1"/>
    <xf numFmtId="1" fontId="6" fillId="0" borderId="0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6" fillId="0" borderId="1" xfId="0" applyFont="1" applyBorder="1" applyAlignment="1"/>
    <xf numFmtId="0" fontId="4" fillId="5" borderId="1" xfId="0" applyFont="1" applyFill="1" applyBorder="1"/>
    <xf numFmtId="165" fontId="15" fillId="4" borderId="1" xfId="1" applyNumberFormat="1" applyFont="1" applyFill="1" applyBorder="1" applyAlignment="1">
      <alignment horizontal="center"/>
    </xf>
    <xf numFmtId="0" fontId="15" fillId="6" borderId="8" xfId="0" applyFont="1" applyFill="1" applyBorder="1"/>
    <xf numFmtId="49" fontId="15" fillId="6" borderId="8" xfId="0" applyNumberFormat="1" applyFont="1" applyFill="1" applyBorder="1" applyAlignment="1"/>
    <xf numFmtId="0" fontId="5" fillId="0" borderId="8" xfId="0" applyFont="1" applyBorder="1"/>
    <xf numFmtId="0" fontId="4" fillId="3" borderId="1" xfId="0" applyFont="1" applyFill="1" applyBorder="1" applyAlignment="1">
      <alignment horizontal="center"/>
    </xf>
    <xf numFmtId="3" fontId="15" fillId="4" borderId="1" xfId="0" applyNumberFormat="1" applyFont="1" applyFill="1" applyBorder="1" applyAlignment="1">
      <alignment horizontal="center"/>
    </xf>
    <xf numFmtId="0" fontId="24" fillId="10" borderId="0" xfId="0" applyFont="1" applyFill="1"/>
    <xf numFmtId="0" fontId="4" fillId="2" borderId="8" xfId="0" applyFont="1" applyFill="1" applyBorder="1"/>
    <xf numFmtId="164" fontId="19" fillId="4" borderId="9" xfId="1" applyNumberFormat="1" applyFont="1" applyFill="1" applyBorder="1"/>
    <xf numFmtId="49" fontId="19" fillId="2" borderId="8" xfId="0" applyNumberFormat="1" applyFont="1" applyFill="1" applyBorder="1" applyAlignment="1"/>
    <xf numFmtId="0" fontId="5" fillId="0" borderId="19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44" fontId="19" fillId="4" borderId="15" xfId="2" applyFont="1" applyFill="1" applyBorder="1" applyAlignment="1">
      <alignment horizontal="center"/>
    </xf>
    <xf numFmtId="44" fontId="19" fillId="4" borderId="23" xfId="2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19" fillId="4" borderId="1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9"/>
  <sheetViews>
    <sheetView topLeftCell="A37" workbookViewId="0">
      <selection activeCell="J34" sqref="J34:J40"/>
    </sheetView>
  </sheetViews>
  <sheetFormatPr baseColWidth="10" defaultColWidth="12.21875" defaultRowHeight="18.75"/>
  <cols>
    <col min="1" max="1" width="38.77734375" style="2" customWidth="1"/>
    <col min="2" max="3" width="12.33203125" style="2" bestFit="1" customWidth="1"/>
    <col min="4" max="4" width="11.44140625" style="2" customWidth="1"/>
    <col min="5" max="5" width="12.88671875" style="2" bestFit="1" customWidth="1"/>
    <col min="6" max="6" width="13.109375" style="2" bestFit="1" customWidth="1"/>
    <col min="7" max="16384" width="12.21875" style="2"/>
  </cols>
  <sheetData>
    <row r="1" spans="1:10" ht="21">
      <c r="A1" s="104" t="s">
        <v>44</v>
      </c>
      <c r="B1" s="104"/>
      <c r="C1" s="105"/>
    </row>
    <row r="2" spans="1:10" ht="21">
      <c r="A2" s="106"/>
      <c r="B2" s="106"/>
      <c r="C2" s="107"/>
    </row>
    <row r="3" spans="1:10" ht="19.5" thickBot="1">
      <c r="D3" s="3"/>
    </row>
    <row r="4" spans="1:10">
      <c r="B4" s="4" t="s">
        <v>11</v>
      </c>
      <c r="C4" s="4" t="s">
        <v>10</v>
      </c>
      <c r="D4" s="72"/>
      <c r="E4" s="4" t="s">
        <v>9</v>
      </c>
      <c r="F4" s="5" t="s">
        <v>48</v>
      </c>
      <c r="G4" s="6"/>
      <c r="H4" s="6"/>
      <c r="I4" s="7"/>
    </row>
    <row r="5" spans="1:10">
      <c r="A5" s="8" t="s">
        <v>5</v>
      </c>
      <c r="B5" s="9">
        <v>2010</v>
      </c>
      <c r="C5" s="9">
        <v>2011</v>
      </c>
      <c r="D5" s="89" t="s">
        <v>0</v>
      </c>
      <c r="E5" s="11">
        <v>2012</v>
      </c>
      <c r="F5" s="12">
        <v>2013</v>
      </c>
      <c r="G5" s="12">
        <v>2014</v>
      </c>
      <c r="H5" s="12">
        <v>2015</v>
      </c>
      <c r="I5" s="13">
        <v>2016</v>
      </c>
    </row>
    <row r="6" spans="1:10">
      <c r="A6" s="14" t="s">
        <v>31</v>
      </c>
      <c r="B6" s="14"/>
      <c r="C6" s="14"/>
      <c r="D6" s="14"/>
      <c r="E6" s="14"/>
      <c r="F6" s="14"/>
      <c r="G6" s="14"/>
      <c r="H6" s="14"/>
      <c r="I6" s="14"/>
    </row>
    <row r="7" spans="1:10">
      <c r="A7" s="15" t="s">
        <v>23</v>
      </c>
      <c r="B7" s="62">
        <v>959553</v>
      </c>
      <c r="C7" s="63">
        <v>1012356</v>
      </c>
      <c r="D7" s="90">
        <f>+(C7-B7)/B7*100</f>
        <v>5.5028747760676069</v>
      </c>
      <c r="E7" s="63">
        <v>1053856</v>
      </c>
      <c r="F7" s="63">
        <v>1100355</v>
      </c>
      <c r="G7" s="83">
        <v>1079134</v>
      </c>
      <c r="H7" s="83">
        <v>1121407</v>
      </c>
      <c r="I7" s="83">
        <v>1161961</v>
      </c>
    </row>
    <row r="8" spans="1:10">
      <c r="A8" s="16" t="s">
        <v>19</v>
      </c>
      <c r="B8" s="62">
        <v>5555</v>
      </c>
      <c r="C8" s="63">
        <v>5698</v>
      </c>
      <c r="D8" s="90">
        <f t="shared" ref="D8:D43" si="0">+(C8-B8)/B8*100</f>
        <v>2.5742574257425743</v>
      </c>
      <c r="E8" s="63">
        <v>5849</v>
      </c>
      <c r="F8" s="63">
        <v>6011</v>
      </c>
      <c r="G8" s="83">
        <v>6009</v>
      </c>
      <c r="H8" s="83">
        <f>6152+1</f>
        <v>6153</v>
      </c>
      <c r="I8" s="83">
        <f>6298+1</f>
        <v>6299</v>
      </c>
    </row>
    <row r="9" spans="1:10">
      <c r="A9" s="18" t="s">
        <v>15</v>
      </c>
      <c r="B9" s="62">
        <v>86</v>
      </c>
      <c r="C9" s="63">
        <v>97</v>
      </c>
      <c r="D9" s="90">
        <f t="shared" si="0"/>
        <v>12.790697674418606</v>
      </c>
      <c r="E9" s="63">
        <v>105</v>
      </c>
      <c r="F9" s="63">
        <v>119</v>
      </c>
      <c r="G9" s="63">
        <v>128</v>
      </c>
      <c r="H9" s="63">
        <v>141</v>
      </c>
      <c r="I9" s="63">
        <v>152</v>
      </c>
    </row>
    <row r="10" spans="1:10">
      <c r="A10" s="19" t="s">
        <v>17</v>
      </c>
      <c r="B10" s="75">
        <f>+B8-B9</f>
        <v>5469</v>
      </c>
      <c r="C10" s="75">
        <f t="shared" ref="C10" si="1">+C8-C9</f>
        <v>5601</v>
      </c>
      <c r="D10" s="91">
        <f t="shared" si="0"/>
        <v>2.4136039495337358</v>
      </c>
      <c r="E10" s="75">
        <f>+E8-E9</f>
        <v>5744</v>
      </c>
      <c r="F10" s="75">
        <f>+F8-F9</f>
        <v>5892</v>
      </c>
      <c r="G10" s="75">
        <f>+G8-G9</f>
        <v>5881</v>
      </c>
      <c r="H10" s="75">
        <f t="shared" ref="H10:I10" si="2">+H8-H9</f>
        <v>6012</v>
      </c>
      <c r="I10" s="75">
        <f t="shared" si="2"/>
        <v>6147</v>
      </c>
      <c r="J10" s="36"/>
    </row>
    <row r="11" spans="1:10">
      <c r="A11" s="16" t="s">
        <v>20</v>
      </c>
      <c r="B11" s="62">
        <v>10</v>
      </c>
      <c r="C11" s="63">
        <v>11</v>
      </c>
      <c r="D11" s="90">
        <f t="shared" si="0"/>
        <v>10</v>
      </c>
      <c r="E11" s="63">
        <v>12</v>
      </c>
      <c r="F11" s="63">
        <v>15</v>
      </c>
      <c r="G11" s="83">
        <v>15</v>
      </c>
      <c r="H11" s="83">
        <v>15</v>
      </c>
      <c r="I11" s="83">
        <v>17</v>
      </c>
    </row>
    <row r="12" spans="1:10">
      <c r="A12" s="18" t="s">
        <v>16</v>
      </c>
      <c r="B12" s="75">
        <v>9</v>
      </c>
      <c r="C12" s="83">
        <v>11</v>
      </c>
      <c r="D12" s="31">
        <f t="shared" si="0"/>
        <v>22.222222222222221</v>
      </c>
      <c r="E12" s="83">
        <v>11</v>
      </c>
      <c r="F12" s="83">
        <v>13</v>
      </c>
      <c r="G12" s="83">
        <v>13</v>
      </c>
      <c r="H12" s="83">
        <v>14</v>
      </c>
      <c r="I12" s="83">
        <v>16</v>
      </c>
    </row>
    <row r="13" spans="1:10">
      <c r="A13" s="19" t="s">
        <v>18</v>
      </c>
      <c r="B13" s="75">
        <f>+B11-B12</f>
        <v>1</v>
      </c>
      <c r="C13" s="75">
        <f>+C11-C12</f>
        <v>0</v>
      </c>
      <c r="D13" s="31">
        <f t="shared" si="0"/>
        <v>-100</v>
      </c>
      <c r="E13" s="83">
        <f>+E11-E12</f>
        <v>1</v>
      </c>
      <c r="F13" s="83">
        <f>+F11-F12</f>
        <v>2</v>
      </c>
      <c r="G13" s="83">
        <f>+G11-G12</f>
        <v>2</v>
      </c>
      <c r="H13" s="83">
        <f t="shared" ref="H13:I13" si="3">+H11-H12</f>
        <v>1</v>
      </c>
      <c r="I13" s="83">
        <f t="shared" si="3"/>
        <v>1</v>
      </c>
      <c r="J13" s="36"/>
    </row>
    <row r="14" spans="1:10">
      <c r="A14" s="20" t="s">
        <v>21</v>
      </c>
      <c r="B14" s="84">
        <f>+B9+B12</f>
        <v>95</v>
      </c>
      <c r="C14" s="84">
        <f>+C9+C12</f>
        <v>108</v>
      </c>
      <c r="D14" s="31">
        <f t="shared" si="0"/>
        <v>13.684210526315791</v>
      </c>
      <c r="E14" s="96">
        <f>+E9+E12</f>
        <v>116</v>
      </c>
      <c r="F14" s="96">
        <f>+F9+F12</f>
        <v>132</v>
      </c>
      <c r="G14" s="96">
        <f>+G9+G12</f>
        <v>141</v>
      </c>
      <c r="H14" s="96">
        <f t="shared" ref="H14:I14" si="4">+H9+H12</f>
        <v>155</v>
      </c>
      <c r="I14" s="96">
        <f t="shared" si="4"/>
        <v>168</v>
      </c>
    </row>
    <row r="15" spans="1:10">
      <c r="A15" s="20" t="s">
        <v>22</v>
      </c>
      <c r="B15" s="84">
        <f>+B7+B10+B13</f>
        <v>965023</v>
      </c>
      <c r="C15" s="84">
        <f>+C7+C10+C13</f>
        <v>1017957</v>
      </c>
      <c r="D15" s="31">
        <f t="shared" si="0"/>
        <v>5.4852578643203325</v>
      </c>
      <c r="E15" s="96">
        <f>+E7+E10+E13</f>
        <v>1059601</v>
      </c>
      <c r="F15" s="96">
        <f>+F7+F10+F13</f>
        <v>1106249</v>
      </c>
      <c r="G15" s="96">
        <f>+G7+G10+G13</f>
        <v>1085017</v>
      </c>
      <c r="H15" s="96">
        <f t="shared" ref="H15:I15" si="5">+H7+H10+H13</f>
        <v>1127420</v>
      </c>
      <c r="I15" s="96">
        <f t="shared" si="5"/>
        <v>1168109</v>
      </c>
    </row>
    <row r="16" spans="1:10">
      <c r="A16" s="20" t="s">
        <v>1</v>
      </c>
      <c r="B16" s="84">
        <f>+B14+B15</f>
        <v>965118</v>
      </c>
      <c r="C16" s="84">
        <f>+C14+C15</f>
        <v>1018065</v>
      </c>
      <c r="D16" s="31">
        <f t="shared" si="0"/>
        <v>5.4860649164143664</v>
      </c>
      <c r="E16" s="96">
        <f>+E14+E15</f>
        <v>1059717</v>
      </c>
      <c r="F16" s="96">
        <f>+F14+F15</f>
        <v>1106381</v>
      </c>
      <c r="G16" s="96">
        <f>+G14+G15</f>
        <v>1085158</v>
      </c>
      <c r="H16" s="96">
        <f t="shared" ref="H16:I16" si="6">+H14+H15</f>
        <v>1127575</v>
      </c>
      <c r="I16" s="96">
        <f t="shared" si="6"/>
        <v>1168277</v>
      </c>
    </row>
    <row r="17" spans="1:11">
      <c r="A17" s="26"/>
      <c r="B17" s="67" t="s">
        <v>12</v>
      </c>
      <c r="C17" s="81" t="s">
        <v>12</v>
      </c>
      <c r="D17" s="82"/>
      <c r="E17" s="81" t="s">
        <v>12</v>
      </c>
      <c r="F17" s="81" t="s">
        <v>12</v>
      </c>
      <c r="G17" s="95">
        <f>+G7+G8+G11</f>
        <v>1085158</v>
      </c>
      <c r="H17" s="95">
        <f t="shared" ref="H17:I17" si="7">+H7+H8+H11</f>
        <v>1127575</v>
      </c>
      <c r="I17" s="95">
        <f t="shared" si="7"/>
        <v>1168277</v>
      </c>
      <c r="J17" s="2" t="s">
        <v>60</v>
      </c>
    </row>
    <row r="18" spans="1:11">
      <c r="A18" s="27" t="s">
        <v>30</v>
      </c>
      <c r="B18" s="28"/>
      <c r="C18" s="28"/>
      <c r="D18" s="28"/>
      <c r="E18" s="28"/>
      <c r="F18" s="28"/>
      <c r="G18" s="28"/>
      <c r="H18" s="28"/>
      <c r="I18" s="29"/>
    </row>
    <row r="19" spans="1:11">
      <c r="A19" s="15" t="s">
        <v>24</v>
      </c>
      <c r="B19" s="62">
        <v>2786.6</v>
      </c>
      <c r="C19" s="63">
        <v>2954.8</v>
      </c>
      <c r="D19" s="31">
        <f t="shared" si="0"/>
        <v>6.036029570085419</v>
      </c>
      <c r="E19" s="63">
        <v>3199.5</v>
      </c>
      <c r="F19" s="63">
        <v>3430.8</v>
      </c>
      <c r="G19" s="83">
        <f>+(3309-3040)+F19</f>
        <v>3699.8</v>
      </c>
      <c r="H19" s="83">
        <f>+(3597-3309)+G19</f>
        <v>3987.8</v>
      </c>
      <c r="I19" s="83">
        <f>+(3800-3597)+H19</f>
        <v>4190.8</v>
      </c>
    </row>
    <row r="20" spans="1:11">
      <c r="A20" s="16" t="s">
        <v>25</v>
      </c>
      <c r="B20" s="62">
        <v>2109.1999999999998</v>
      </c>
      <c r="C20" s="63">
        <v>2246.3000000000002</v>
      </c>
      <c r="D20" s="31">
        <f t="shared" si="0"/>
        <v>6.5000948226816027</v>
      </c>
      <c r="E20" s="63">
        <v>2385.5</v>
      </c>
      <c r="F20" s="63">
        <v>2514.5</v>
      </c>
      <c r="G20" s="83">
        <f>+(2492-2310)+F20</f>
        <v>2696.5</v>
      </c>
      <c r="H20" s="83">
        <f>+(2685-2492)+G20</f>
        <v>2889.5</v>
      </c>
      <c r="I20" s="83">
        <f>+(2853-2685)+H20</f>
        <v>3057.5</v>
      </c>
    </row>
    <row r="21" spans="1:11">
      <c r="A21" s="18" t="s">
        <v>13</v>
      </c>
      <c r="B21" s="64">
        <v>656.76</v>
      </c>
      <c r="C21" s="64">
        <v>774.61</v>
      </c>
      <c r="D21" s="31">
        <f t="shared" si="0"/>
        <v>17.944150070040809</v>
      </c>
      <c r="E21" s="63">
        <v>913.57</v>
      </c>
      <c r="F21" s="63">
        <v>1077</v>
      </c>
      <c r="G21" s="63">
        <v>1271</v>
      </c>
      <c r="H21" s="63">
        <v>1499</v>
      </c>
      <c r="I21" s="63">
        <v>1768</v>
      </c>
    </row>
    <row r="22" spans="1:11">
      <c r="A22" s="19" t="s">
        <v>26</v>
      </c>
      <c r="B22" s="75">
        <f>+B20-B21</f>
        <v>1452.4399999999998</v>
      </c>
      <c r="C22" s="75">
        <f>+C20-C21</f>
        <v>1471.69</v>
      </c>
      <c r="D22" s="31">
        <f t="shared" si="0"/>
        <v>1.3253559527416092</v>
      </c>
      <c r="E22" s="83">
        <f>+E20-E21</f>
        <v>1471.9299999999998</v>
      </c>
      <c r="F22" s="83">
        <f>+F20-F21</f>
        <v>1437.5</v>
      </c>
      <c r="G22" s="83">
        <f>+G20-G21</f>
        <v>1425.5</v>
      </c>
      <c r="H22" s="83">
        <f>+H20-H21</f>
        <v>1390.5</v>
      </c>
      <c r="I22" s="83">
        <f>+I20-I21</f>
        <v>1289.5</v>
      </c>
      <c r="J22" s="36"/>
    </row>
    <row r="23" spans="1:11">
      <c r="A23" s="16" t="s">
        <v>27</v>
      </c>
      <c r="B23" s="62">
        <v>373.9</v>
      </c>
      <c r="C23" s="63">
        <v>482.1</v>
      </c>
      <c r="D23" s="31">
        <f t="shared" si="0"/>
        <v>28.938218775073565</v>
      </c>
      <c r="E23" s="63">
        <v>534</v>
      </c>
      <c r="F23" s="63">
        <v>560.70000000000005</v>
      </c>
      <c r="G23" s="83">
        <f>(572-465)+F23</f>
        <v>667.7</v>
      </c>
      <c r="H23" s="83">
        <f>(681-572)+G23</f>
        <v>776.7</v>
      </c>
      <c r="I23" s="83">
        <f>(790-681)+H23</f>
        <v>885.7</v>
      </c>
    </row>
    <row r="24" spans="1:11">
      <c r="A24" s="18" t="s">
        <v>28</v>
      </c>
      <c r="B24" s="62">
        <v>372</v>
      </c>
      <c r="C24" s="63">
        <v>482</v>
      </c>
      <c r="D24" s="90">
        <f t="shared" si="0"/>
        <v>29.56989247311828</v>
      </c>
      <c r="E24" s="63">
        <v>531</v>
      </c>
      <c r="F24" s="63">
        <v>555</v>
      </c>
      <c r="G24" s="63">
        <v>592</v>
      </c>
      <c r="H24" s="63">
        <v>626</v>
      </c>
      <c r="I24" s="63">
        <v>661</v>
      </c>
    </row>
    <row r="25" spans="1:11">
      <c r="A25" s="19" t="s">
        <v>29</v>
      </c>
      <c r="B25" s="75">
        <f>+B23-B24</f>
        <v>1.8999999999999773</v>
      </c>
      <c r="C25" s="83">
        <f>+C23-C24</f>
        <v>0.10000000000002274</v>
      </c>
      <c r="D25" s="31">
        <f t="shared" si="0"/>
        <v>-94.7368421052619</v>
      </c>
      <c r="E25" s="83">
        <f>+E23-E24</f>
        <v>3</v>
      </c>
      <c r="F25" s="83">
        <f>+F23-F24</f>
        <v>5.7000000000000455</v>
      </c>
      <c r="G25" s="83">
        <f t="shared" ref="G25:I25" si="8">+G23-G24</f>
        <v>75.700000000000045</v>
      </c>
      <c r="H25" s="83">
        <f t="shared" si="8"/>
        <v>150.70000000000005</v>
      </c>
      <c r="I25" s="83">
        <f t="shared" si="8"/>
        <v>224.70000000000005</v>
      </c>
      <c r="J25" s="36"/>
    </row>
    <row r="26" spans="1:11">
      <c r="A26" s="20" t="s">
        <v>32</v>
      </c>
      <c r="B26" s="84">
        <f>+B21+B24</f>
        <v>1028.76</v>
      </c>
      <c r="C26" s="84">
        <f>+C21+C24</f>
        <v>1256.6100000000001</v>
      </c>
      <c r="D26" s="31">
        <f t="shared" si="0"/>
        <v>22.148022862475226</v>
      </c>
      <c r="E26" s="84">
        <f t="shared" ref="E26:I26" si="9">+E21+E24</f>
        <v>1444.5700000000002</v>
      </c>
      <c r="F26" s="84">
        <f t="shared" si="9"/>
        <v>1632</v>
      </c>
      <c r="G26" s="84">
        <f t="shared" si="9"/>
        <v>1863</v>
      </c>
      <c r="H26" s="84">
        <f t="shared" si="9"/>
        <v>2125</v>
      </c>
      <c r="I26" s="84">
        <f t="shared" si="9"/>
        <v>2429</v>
      </c>
    </row>
    <row r="27" spans="1:11">
      <c r="A27" s="20" t="s">
        <v>33</v>
      </c>
      <c r="B27" s="84">
        <f>+B19+B22+B25</f>
        <v>4240.9399999999996</v>
      </c>
      <c r="C27" s="84">
        <f>+C19+C22+C25</f>
        <v>4426.59</v>
      </c>
      <c r="D27" s="31">
        <f t="shared" si="0"/>
        <v>4.3775672374520873</v>
      </c>
      <c r="E27" s="84">
        <f t="shared" ref="E27:I27" si="10">+E19+E22+E25</f>
        <v>4674.43</v>
      </c>
      <c r="F27" s="84">
        <f t="shared" si="10"/>
        <v>4874</v>
      </c>
      <c r="G27" s="84">
        <f t="shared" si="10"/>
        <v>5201</v>
      </c>
      <c r="H27" s="84">
        <f t="shared" si="10"/>
        <v>5529</v>
      </c>
      <c r="I27" s="84">
        <f t="shared" si="10"/>
        <v>5705</v>
      </c>
    </row>
    <row r="28" spans="1:11">
      <c r="A28" s="20" t="s">
        <v>43</v>
      </c>
      <c r="B28" s="84">
        <f>+B26+B27</f>
        <v>5269.7</v>
      </c>
      <c r="C28" s="84">
        <f>+C26+C27</f>
        <v>5683.2000000000007</v>
      </c>
      <c r="D28" s="31">
        <f t="shared" si="0"/>
        <v>7.8467464941078413</v>
      </c>
      <c r="E28" s="84">
        <f t="shared" ref="E28:I28" si="11">+E26+E27</f>
        <v>6119</v>
      </c>
      <c r="F28" s="84">
        <f t="shared" si="11"/>
        <v>6506</v>
      </c>
      <c r="G28" s="84">
        <f t="shared" si="11"/>
        <v>7064</v>
      </c>
      <c r="H28" s="84">
        <f t="shared" si="11"/>
        <v>7654</v>
      </c>
      <c r="I28" s="84">
        <f t="shared" si="11"/>
        <v>8134</v>
      </c>
    </row>
    <row r="29" spans="1:11">
      <c r="A29" s="33"/>
      <c r="B29" s="81" t="s">
        <v>12</v>
      </c>
      <c r="C29" s="81" t="s">
        <v>12</v>
      </c>
      <c r="D29" s="100"/>
      <c r="E29" s="81" t="s">
        <v>12</v>
      </c>
      <c r="F29" s="81" t="s">
        <v>12</v>
      </c>
      <c r="G29" s="101">
        <f>+G19+G20+G23</f>
        <v>7064</v>
      </c>
      <c r="H29" s="101">
        <f t="shared" ref="H29:I29" si="12">+H19+H20+H23</f>
        <v>7654</v>
      </c>
      <c r="I29" s="101">
        <f t="shared" si="12"/>
        <v>8134</v>
      </c>
      <c r="J29" s="1" t="s">
        <v>60</v>
      </c>
      <c r="K29" s="1"/>
    </row>
    <row r="30" spans="1:11">
      <c r="A30" s="33" t="s">
        <v>2</v>
      </c>
      <c r="B30" s="71">
        <v>3.9620000000000002</v>
      </c>
      <c r="C30" s="71">
        <v>3.988</v>
      </c>
      <c r="D30" s="93">
        <f t="shared" si="0"/>
        <v>0.65623422513881369</v>
      </c>
      <c r="E30" s="73">
        <f>+E34/E19</f>
        <v>3.9581184560087515</v>
      </c>
      <c r="F30" s="73">
        <f>+F34/F19</f>
        <v>3.9579689868252301</v>
      </c>
      <c r="G30" s="71">
        <v>3.9579689868252301</v>
      </c>
      <c r="H30" s="71">
        <v>3.9579689868252301</v>
      </c>
      <c r="I30" s="71">
        <v>3.9579689868252301</v>
      </c>
    </row>
    <row r="31" spans="1:11">
      <c r="A31" s="33" t="s">
        <v>3</v>
      </c>
      <c r="B31" s="71">
        <v>3.2839999999999998</v>
      </c>
      <c r="C31" s="71">
        <v>3.2509999999999999</v>
      </c>
      <c r="D31" s="93">
        <f t="shared" si="0"/>
        <v>-1.0048721071863558</v>
      </c>
      <c r="E31" s="73">
        <f>+E35/E20</f>
        <v>3.3070635086983859</v>
      </c>
      <c r="F31" s="73">
        <f>+F35/F20</f>
        <v>3.3068204414396498</v>
      </c>
      <c r="G31" s="71">
        <v>3.3068204414396498</v>
      </c>
      <c r="H31" s="71">
        <v>3.3068204414396498</v>
      </c>
      <c r="I31" s="71">
        <v>3.3068204414396498</v>
      </c>
    </row>
    <row r="32" spans="1:11">
      <c r="A32" s="33" t="s">
        <v>14</v>
      </c>
      <c r="B32" s="71">
        <v>2.2959999999999998</v>
      </c>
      <c r="C32" s="71">
        <v>2.3719999999999999</v>
      </c>
      <c r="D32" s="93">
        <f t="shared" si="0"/>
        <v>3.3101045296167282</v>
      </c>
      <c r="E32" s="73">
        <f>+E38/E23</f>
        <v>2.1891385767790261</v>
      </c>
      <c r="F32" s="73">
        <f>+F38/F23</f>
        <v>2.1901194934902799</v>
      </c>
      <c r="G32" s="71">
        <v>2.1901194934902799</v>
      </c>
      <c r="H32" s="71">
        <v>2.1901194934902799</v>
      </c>
      <c r="I32" s="71">
        <v>2.1901194934902799</v>
      </c>
    </row>
    <row r="33" spans="1:13">
      <c r="A33" s="33"/>
      <c r="B33" s="33"/>
      <c r="C33" s="33"/>
      <c r="D33" s="92"/>
      <c r="E33" s="35"/>
      <c r="F33" s="35"/>
      <c r="G33" s="35"/>
      <c r="H33" s="35"/>
      <c r="I33" s="35"/>
    </row>
    <row r="34" spans="1:13">
      <c r="A34" s="15" t="s">
        <v>34</v>
      </c>
      <c r="B34" s="62">
        <v>11039</v>
      </c>
      <c r="C34" s="62">
        <v>11783</v>
      </c>
      <c r="D34" s="90">
        <f t="shared" si="0"/>
        <v>6.7397409185614636</v>
      </c>
      <c r="E34" s="62">
        <v>12664</v>
      </c>
      <c r="F34" s="62">
        <v>13579</v>
      </c>
      <c r="G34" s="75">
        <f>+G19*G30</f>
        <v>14643.693657455988</v>
      </c>
      <c r="H34" s="75">
        <f t="shared" ref="H34:I34" si="13">+H19*H30</f>
        <v>15783.588725661653</v>
      </c>
      <c r="I34" s="75">
        <f t="shared" si="13"/>
        <v>16587.056429987177</v>
      </c>
    </row>
    <row r="35" spans="1:13">
      <c r="A35" s="16" t="s">
        <v>35</v>
      </c>
      <c r="B35" s="62">
        <v>6927</v>
      </c>
      <c r="C35" s="62">
        <v>7302</v>
      </c>
      <c r="D35" s="90">
        <f t="shared" si="0"/>
        <v>5.4135989605889989</v>
      </c>
      <c r="E35" s="62">
        <v>7889</v>
      </c>
      <c r="F35" s="62">
        <v>8315</v>
      </c>
      <c r="G35" s="75">
        <f>G20*G31</f>
        <v>8916.841320342015</v>
      </c>
      <c r="H35" s="75">
        <f t="shared" ref="H35:I35" si="14">H20*H31</f>
        <v>9555.057665539869</v>
      </c>
      <c r="I35" s="75">
        <f t="shared" si="14"/>
        <v>10110.603499701729</v>
      </c>
    </row>
    <row r="36" spans="1:13">
      <c r="A36" s="18" t="s">
        <v>36</v>
      </c>
      <c r="B36" s="62">
        <f>+B21*B31</f>
        <v>2156.7998399999997</v>
      </c>
      <c r="C36" s="62">
        <f>+C21*C31</f>
        <v>2518.25711</v>
      </c>
      <c r="D36" s="90">
        <f t="shared" si="0"/>
        <v>16.758962203928967</v>
      </c>
      <c r="E36" s="62">
        <f>+E21*E31</f>
        <v>3021.2340096415846</v>
      </c>
      <c r="F36" s="62">
        <f>+F21*F31</f>
        <v>3561.445615430503</v>
      </c>
      <c r="G36" s="62">
        <f>+G21*G31</f>
        <v>4202.9687810697951</v>
      </c>
      <c r="H36" s="62">
        <f>+H21*H31</f>
        <v>4956.923841718035</v>
      </c>
      <c r="I36" s="62">
        <f>+I21*I31</f>
        <v>5846.4585404653008</v>
      </c>
    </row>
    <row r="37" spans="1:13">
      <c r="A37" s="19" t="s">
        <v>37</v>
      </c>
      <c r="B37" s="75">
        <f>+B35-B36</f>
        <v>4770.2001600000003</v>
      </c>
      <c r="C37" s="75">
        <f>+C35-C36</f>
        <v>4783.7428899999995</v>
      </c>
      <c r="D37" s="31">
        <f t="shared" si="0"/>
        <v>0.28390276184970836</v>
      </c>
      <c r="E37" s="75">
        <f>+E35-E36</f>
        <v>4867.7659903584154</v>
      </c>
      <c r="F37" s="75">
        <f>+F35-F36</f>
        <v>4753.5543845694974</v>
      </c>
      <c r="G37" s="75">
        <f>G35-G36</f>
        <v>4713.8725392722199</v>
      </c>
      <c r="H37" s="75">
        <f t="shared" ref="H37:I37" si="15">H35-H36</f>
        <v>4598.1338238218341</v>
      </c>
      <c r="I37" s="75">
        <f t="shared" si="15"/>
        <v>4264.1449592364279</v>
      </c>
      <c r="J37" s="36"/>
    </row>
    <row r="38" spans="1:13">
      <c r="A38" s="16" t="s">
        <v>38</v>
      </c>
      <c r="B38" s="62">
        <v>858.7</v>
      </c>
      <c r="C38" s="62">
        <v>1143</v>
      </c>
      <c r="D38" s="90">
        <f t="shared" si="0"/>
        <v>33.10818679399091</v>
      </c>
      <c r="E38" s="62">
        <v>1169</v>
      </c>
      <c r="F38" s="62">
        <v>1228</v>
      </c>
      <c r="G38" s="75">
        <f>G23*G32</f>
        <v>1462.3427858034599</v>
      </c>
      <c r="H38" s="75">
        <f>H23*H32</f>
        <v>1701.0658105939006</v>
      </c>
      <c r="I38" s="75">
        <f>I23*I32</f>
        <v>1939.7888353843409</v>
      </c>
    </row>
    <row r="39" spans="1:13">
      <c r="A39" s="18" t="s">
        <v>39</v>
      </c>
      <c r="B39" s="62">
        <f>+B24*B32-1</f>
        <v>853.11199999999997</v>
      </c>
      <c r="C39" s="62">
        <f>+C24*C32</f>
        <v>1143.3039999999999</v>
      </c>
      <c r="D39" s="90">
        <f t="shared" si="0"/>
        <v>34.015697821622467</v>
      </c>
      <c r="E39" s="62">
        <f>+E24*E32</f>
        <v>1162.4325842696628</v>
      </c>
      <c r="F39" s="62">
        <f>+F24*F32</f>
        <v>1215.5163188871054</v>
      </c>
      <c r="G39" s="62">
        <f>+G24*G32</f>
        <v>1296.5507401462457</v>
      </c>
      <c r="H39" s="62">
        <f>+H24*H32</f>
        <v>1371.0148029249153</v>
      </c>
      <c r="I39" s="62">
        <f>+I24*I32</f>
        <v>1447.668985197075</v>
      </c>
    </row>
    <row r="40" spans="1:13">
      <c r="A40" s="19" t="s">
        <v>40</v>
      </c>
      <c r="B40" s="75">
        <f>+B38-B39</f>
        <v>5.5880000000000791</v>
      </c>
      <c r="C40" s="75">
        <f>+C38-C39</f>
        <v>-0.30399999999985994</v>
      </c>
      <c r="D40" s="91">
        <f t="shared" si="0"/>
        <v>-105.44022906227373</v>
      </c>
      <c r="E40" s="75">
        <f t="shared" ref="E40:I40" si="16">+E38-E39</f>
        <v>6.5674157303371885</v>
      </c>
      <c r="F40" s="75">
        <f t="shared" si="16"/>
        <v>12.483681112894601</v>
      </c>
      <c r="G40" s="75">
        <f t="shared" si="16"/>
        <v>165.7920456572142</v>
      </c>
      <c r="H40" s="75">
        <f t="shared" si="16"/>
        <v>330.05100766898522</v>
      </c>
      <c r="I40" s="75">
        <f t="shared" si="16"/>
        <v>492.11985018726591</v>
      </c>
      <c r="J40" s="36"/>
    </row>
    <row r="41" spans="1:13">
      <c r="A41" s="20" t="s">
        <v>41</v>
      </c>
      <c r="B41" s="84">
        <f>+B36+B39</f>
        <v>3009.9118399999998</v>
      </c>
      <c r="C41" s="84">
        <f>+C36+C39</f>
        <v>3661.5611099999996</v>
      </c>
      <c r="D41" s="97">
        <f t="shared" si="0"/>
        <v>21.650111519545369</v>
      </c>
      <c r="E41" s="84">
        <f t="shared" ref="E41:I41" si="17">+E36+E39</f>
        <v>4183.6665939112472</v>
      </c>
      <c r="F41" s="84">
        <f t="shared" si="17"/>
        <v>4776.9619343176082</v>
      </c>
      <c r="G41" s="84">
        <f>+G36+G39</f>
        <v>5499.5195212160406</v>
      </c>
      <c r="H41" s="84">
        <f t="shared" si="17"/>
        <v>6327.9386446429507</v>
      </c>
      <c r="I41" s="84">
        <f t="shared" si="17"/>
        <v>7294.1275256623758</v>
      </c>
    </row>
    <row r="42" spans="1:13">
      <c r="A42" s="20" t="s">
        <v>42</v>
      </c>
      <c r="B42" s="84">
        <f>+B34+B37+B40</f>
        <v>15814.78816</v>
      </c>
      <c r="C42" s="84">
        <f>+C34+C37+C40</f>
        <v>16566.438890000001</v>
      </c>
      <c r="D42" s="97">
        <f t="shared" si="0"/>
        <v>4.7528346405621491</v>
      </c>
      <c r="E42" s="84">
        <f t="shared" ref="E42:I42" si="18">+E34+E37+E40</f>
        <v>17538.33340608875</v>
      </c>
      <c r="F42" s="84">
        <f t="shared" si="18"/>
        <v>18345.038065682395</v>
      </c>
      <c r="G42" s="84">
        <f t="shared" si="18"/>
        <v>19523.35824238542</v>
      </c>
      <c r="H42" s="84">
        <f t="shared" si="18"/>
        <v>20711.773557152472</v>
      </c>
      <c r="I42" s="84">
        <f t="shared" si="18"/>
        <v>21343.32123941087</v>
      </c>
    </row>
    <row r="43" spans="1:13">
      <c r="A43" s="20" t="s">
        <v>4</v>
      </c>
      <c r="B43" s="84">
        <f>+B41+B42</f>
        <v>18824.7</v>
      </c>
      <c r="C43" s="84">
        <f>+C41+C42</f>
        <v>20228</v>
      </c>
      <c r="D43" s="97">
        <f t="shared" si="0"/>
        <v>7.4545676690730751</v>
      </c>
      <c r="E43" s="84">
        <f t="shared" ref="E43:I43" si="19">+E41+E42</f>
        <v>21721.999999999996</v>
      </c>
      <c r="F43" s="84">
        <f t="shared" si="19"/>
        <v>23122.000000000004</v>
      </c>
      <c r="G43" s="84">
        <f t="shared" si="19"/>
        <v>25022.87776360146</v>
      </c>
      <c r="H43" s="84">
        <f t="shared" si="19"/>
        <v>27039.712201795424</v>
      </c>
      <c r="I43" s="84">
        <f t="shared" si="19"/>
        <v>28637.448765073248</v>
      </c>
    </row>
    <row r="44" spans="1:13">
      <c r="B44" s="98" t="s">
        <v>12</v>
      </c>
      <c r="C44" s="98" t="s">
        <v>12</v>
      </c>
      <c r="D44" s="1"/>
      <c r="E44" s="98" t="s">
        <v>12</v>
      </c>
      <c r="F44" s="98" t="s">
        <v>12</v>
      </c>
      <c r="G44" s="99">
        <f>+G34+G35+G38</f>
        <v>25022.87776360146</v>
      </c>
      <c r="H44" s="99">
        <f t="shared" ref="H44:I44" si="20">+H34+H35+H38</f>
        <v>27039.712201795424</v>
      </c>
      <c r="I44" s="99">
        <f t="shared" si="20"/>
        <v>28637.448765073244</v>
      </c>
      <c r="J44" s="1" t="s">
        <v>60</v>
      </c>
      <c r="K44" s="1"/>
    </row>
    <row r="45" spans="1:13">
      <c r="B45" s="68"/>
      <c r="C45" s="68"/>
      <c r="E45" s="68"/>
      <c r="F45" s="68"/>
    </row>
    <row r="46" spans="1:1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</row>
    <row r="47" spans="1:13">
      <c r="A47" s="37"/>
      <c r="B47" s="39"/>
      <c r="C47" s="40"/>
      <c r="D47" s="41"/>
      <c r="E47" s="40"/>
      <c r="F47" s="42"/>
      <c r="G47" s="42"/>
      <c r="H47" s="42"/>
      <c r="I47" s="42"/>
      <c r="J47" s="38"/>
      <c r="K47" s="38"/>
      <c r="L47" s="38"/>
      <c r="M47" s="38"/>
    </row>
    <row r="48" spans="1:13">
      <c r="A48" s="37"/>
      <c r="B48" s="39"/>
      <c r="C48" s="42"/>
      <c r="D48" s="43"/>
      <c r="E48" s="42"/>
      <c r="F48" s="42"/>
      <c r="G48" s="42"/>
      <c r="H48" s="42"/>
      <c r="I48" s="42"/>
      <c r="J48" s="38"/>
      <c r="K48" s="38"/>
      <c r="L48" s="38"/>
      <c r="M48" s="38"/>
    </row>
    <row r="49" spans="1:13">
      <c r="A49" s="44"/>
      <c r="B49" s="39"/>
      <c r="C49" s="42"/>
      <c r="D49" s="43"/>
      <c r="E49" s="42"/>
      <c r="F49" s="42"/>
      <c r="G49" s="42"/>
      <c r="H49" s="42"/>
      <c r="I49" s="42"/>
      <c r="J49" s="38"/>
      <c r="K49" s="38"/>
      <c r="L49" s="38"/>
      <c r="M49" s="38"/>
    </row>
    <row r="50" spans="1:13">
      <c r="A50" s="44"/>
      <c r="B50" s="39"/>
      <c r="C50" s="39"/>
      <c r="D50" s="39"/>
      <c r="E50" s="39"/>
      <c r="F50" s="39"/>
      <c r="G50" s="39"/>
      <c r="H50" s="39"/>
      <c r="I50" s="39"/>
      <c r="J50" s="38"/>
      <c r="K50" s="38"/>
      <c r="L50" s="38"/>
      <c r="M50" s="38"/>
    </row>
    <row r="51" spans="1:13">
      <c r="A51" s="37"/>
      <c r="B51" s="39"/>
      <c r="C51" s="42"/>
      <c r="D51" s="43"/>
      <c r="E51" s="42"/>
      <c r="F51" s="42"/>
      <c r="G51" s="42"/>
      <c r="H51" s="42"/>
      <c r="I51" s="42"/>
      <c r="J51" s="38"/>
      <c r="K51" s="38"/>
      <c r="L51" s="38"/>
      <c r="M51" s="38"/>
    </row>
    <row r="52" spans="1:13">
      <c r="A52" s="44"/>
      <c r="B52" s="39"/>
      <c r="C52" s="42"/>
      <c r="D52" s="43"/>
      <c r="E52" s="42"/>
      <c r="F52" s="42"/>
      <c r="G52" s="42"/>
      <c r="H52" s="42"/>
      <c r="I52" s="42"/>
      <c r="J52" s="38"/>
      <c r="K52" s="38"/>
      <c r="L52" s="38"/>
      <c r="M52" s="38"/>
    </row>
    <row r="53" spans="1:13">
      <c r="A53" s="44"/>
      <c r="B53" s="39"/>
      <c r="C53" s="39"/>
      <c r="D53" s="43"/>
      <c r="E53" s="42"/>
      <c r="F53" s="42"/>
      <c r="G53" s="42"/>
      <c r="H53" s="42"/>
      <c r="I53" s="42"/>
      <c r="J53" s="38"/>
      <c r="K53" s="38"/>
      <c r="L53" s="38"/>
      <c r="M53" s="38"/>
    </row>
    <row r="54" spans="1:13">
      <c r="A54" s="38"/>
      <c r="B54" s="39"/>
      <c r="C54" s="39"/>
      <c r="D54" s="43"/>
      <c r="E54" s="42"/>
      <c r="F54" s="42"/>
      <c r="G54" s="42"/>
      <c r="H54" s="42"/>
      <c r="I54" s="42"/>
      <c r="J54" s="38"/>
      <c r="K54" s="38"/>
      <c r="L54" s="38"/>
      <c r="M54" s="38"/>
    </row>
    <row r="55" spans="1:13">
      <c r="A55" s="38"/>
      <c r="B55" s="39"/>
      <c r="C55" s="39"/>
      <c r="D55" s="43"/>
      <c r="E55" s="42"/>
      <c r="F55" s="42"/>
      <c r="G55" s="42"/>
      <c r="H55" s="42"/>
      <c r="I55" s="42"/>
      <c r="J55" s="38"/>
      <c r="K55" s="38"/>
      <c r="L55" s="38"/>
      <c r="M55" s="38"/>
    </row>
    <row r="56" spans="1:13">
      <c r="A56" s="38"/>
      <c r="B56" s="39"/>
      <c r="C56" s="39"/>
      <c r="D56" s="43"/>
      <c r="E56" s="42"/>
      <c r="F56" s="42"/>
      <c r="G56" s="42"/>
      <c r="H56" s="42"/>
      <c r="I56" s="42"/>
      <c r="J56" s="38"/>
      <c r="K56" s="38"/>
      <c r="L56" s="38"/>
      <c r="M56" s="38"/>
    </row>
    <row r="57" spans="1:13">
      <c r="A57" s="38"/>
      <c r="B57" s="45"/>
      <c r="C57" s="45"/>
      <c r="D57" s="43"/>
      <c r="E57" s="45"/>
      <c r="F57" s="45"/>
      <c r="G57" s="42"/>
      <c r="H57" s="42"/>
      <c r="I57" s="42"/>
      <c r="J57" s="38"/>
      <c r="K57" s="38"/>
      <c r="L57" s="38"/>
      <c r="M57" s="38"/>
    </row>
    <row r="58" spans="1:13">
      <c r="A58" s="191"/>
      <c r="B58" s="191"/>
      <c r="C58" s="191"/>
      <c r="D58" s="191"/>
      <c r="E58" s="191"/>
      <c r="F58" s="191"/>
      <c r="G58" s="191"/>
      <c r="H58" s="191"/>
      <c r="I58" s="191"/>
      <c r="J58" s="38"/>
      <c r="K58" s="38"/>
      <c r="L58" s="38"/>
      <c r="M58" s="38"/>
    </row>
    <row r="59" spans="1:13">
      <c r="A59" s="37"/>
      <c r="B59" s="39"/>
      <c r="C59" s="42"/>
      <c r="D59" s="43"/>
      <c r="E59" s="42"/>
      <c r="F59" s="42"/>
      <c r="G59" s="42"/>
      <c r="H59" s="42"/>
      <c r="I59" s="42"/>
      <c r="J59" s="38"/>
      <c r="K59" s="38"/>
      <c r="L59" s="38"/>
      <c r="M59" s="38"/>
    </row>
    <row r="60" spans="1:13">
      <c r="A60" s="37"/>
      <c r="B60" s="39"/>
      <c r="C60" s="42"/>
      <c r="D60" s="43"/>
      <c r="E60" s="42"/>
      <c r="F60" s="42"/>
      <c r="G60" s="42"/>
      <c r="H60" s="42"/>
      <c r="I60" s="42"/>
      <c r="J60" s="38"/>
      <c r="K60" s="38"/>
      <c r="L60" s="38"/>
      <c r="M60" s="38"/>
    </row>
    <row r="61" spans="1:13">
      <c r="A61" s="44"/>
      <c r="B61" s="46"/>
      <c r="C61" s="46"/>
      <c r="D61" s="43"/>
      <c r="E61" s="42"/>
      <c r="F61" s="42"/>
      <c r="G61" s="42"/>
      <c r="H61" s="42"/>
      <c r="I61" s="42"/>
      <c r="J61" s="38"/>
      <c r="K61" s="38"/>
      <c r="L61" s="38"/>
      <c r="M61" s="38"/>
    </row>
    <row r="62" spans="1:13">
      <c r="A62" s="44"/>
      <c r="B62" s="39"/>
      <c r="C62" s="39"/>
      <c r="D62" s="43"/>
      <c r="E62" s="42"/>
      <c r="F62" s="42"/>
      <c r="G62" s="42"/>
      <c r="H62" s="42"/>
      <c r="I62" s="42"/>
      <c r="J62" s="38"/>
      <c r="K62" s="38"/>
      <c r="L62" s="38"/>
      <c r="M62" s="38"/>
    </row>
    <row r="63" spans="1:13">
      <c r="A63" s="37"/>
      <c r="B63" s="39"/>
      <c r="C63" s="42"/>
      <c r="D63" s="43"/>
      <c r="E63" s="42"/>
      <c r="F63" s="42"/>
      <c r="G63" s="42"/>
      <c r="H63" s="42"/>
      <c r="I63" s="42"/>
      <c r="J63" s="38"/>
      <c r="K63" s="38"/>
      <c r="L63" s="38"/>
      <c r="M63" s="38"/>
    </row>
    <row r="64" spans="1:13">
      <c r="A64" s="44"/>
      <c r="B64" s="39"/>
      <c r="C64" s="42"/>
      <c r="D64" s="43"/>
      <c r="E64" s="42"/>
      <c r="F64" s="42"/>
      <c r="G64" s="42"/>
      <c r="H64" s="42"/>
      <c r="I64" s="42"/>
      <c r="J64" s="38"/>
      <c r="K64" s="38"/>
      <c r="L64" s="38"/>
      <c r="M64" s="38"/>
    </row>
    <row r="65" spans="1:13">
      <c r="A65" s="44"/>
      <c r="B65" s="39"/>
      <c r="C65" s="39"/>
      <c r="D65" s="43"/>
      <c r="E65" s="42"/>
      <c r="F65" s="42"/>
      <c r="G65" s="42"/>
      <c r="H65" s="42"/>
      <c r="I65" s="42"/>
      <c r="J65" s="38"/>
      <c r="K65" s="38"/>
      <c r="L65" s="38"/>
      <c r="M65" s="38"/>
    </row>
    <row r="66" spans="1:13">
      <c r="A66" s="38"/>
      <c r="B66" s="39"/>
      <c r="C66" s="39"/>
      <c r="D66" s="39"/>
      <c r="E66" s="39"/>
      <c r="F66" s="39"/>
      <c r="G66" s="39"/>
      <c r="H66" s="39"/>
      <c r="I66" s="39"/>
      <c r="J66" s="38"/>
      <c r="K66" s="38"/>
      <c r="L66" s="38"/>
      <c r="M66" s="38"/>
    </row>
    <row r="67" spans="1:13">
      <c r="A67" s="38"/>
      <c r="B67" s="39"/>
      <c r="C67" s="39"/>
      <c r="D67" s="39"/>
      <c r="E67" s="39"/>
      <c r="F67" s="39"/>
      <c r="G67" s="39"/>
      <c r="H67" s="39"/>
      <c r="I67" s="39"/>
      <c r="J67" s="38"/>
      <c r="K67" s="38"/>
      <c r="L67" s="38"/>
      <c r="M67" s="38"/>
    </row>
    <row r="68" spans="1:13">
      <c r="A68" s="38"/>
      <c r="B68" s="39"/>
      <c r="C68" s="39"/>
      <c r="D68" s="39"/>
      <c r="E68" s="39"/>
      <c r="F68" s="39"/>
      <c r="G68" s="39"/>
      <c r="H68" s="39"/>
      <c r="I68" s="39"/>
      <c r="J68" s="38"/>
      <c r="K68" s="38"/>
      <c r="L68" s="38"/>
      <c r="M68" s="38"/>
    </row>
    <row r="69" spans="1:13">
      <c r="A69" s="38"/>
      <c r="B69" s="45"/>
      <c r="C69" s="45"/>
      <c r="D69" s="38"/>
      <c r="E69" s="45"/>
      <c r="F69" s="45"/>
      <c r="G69" s="47"/>
      <c r="H69" s="47"/>
      <c r="I69" s="47"/>
      <c r="J69" s="38"/>
      <c r="K69" s="38"/>
      <c r="L69" s="38"/>
      <c r="M69" s="38"/>
    </row>
    <row r="70" spans="1:13">
      <c r="A70" s="38"/>
      <c r="B70" s="48"/>
      <c r="C70" s="48"/>
      <c r="D70" s="48"/>
      <c r="E70" s="49"/>
      <c r="F70" s="49"/>
      <c r="G70" s="48"/>
      <c r="H70" s="48"/>
      <c r="I70" s="48"/>
      <c r="J70" s="38"/>
      <c r="K70" s="38"/>
      <c r="L70" s="38"/>
      <c r="M70" s="38"/>
    </row>
    <row r="71" spans="1:13">
      <c r="A71" s="38"/>
      <c r="B71" s="48"/>
      <c r="C71" s="48"/>
      <c r="D71" s="48"/>
      <c r="E71" s="49"/>
      <c r="F71" s="49"/>
      <c r="G71" s="48"/>
      <c r="H71" s="48"/>
      <c r="I71" s="48"/>
      <c r="J71" s="38"/>
      <c r="K71" s="38"/>
      <c r="L71" s="38"/>
      <c r="M71" s="38"/>
    </row>
    <row r="72" spans="1:13">
      <c r="A72" s="38"/>
      <c r="B72" s="48"/>
      <c r="C72" s="48"/>
      <c r="D72" s="48"/>
      <c r="E72" s="49"/>
      <c r="F72" s="49"/>
      <c r="G72" s="48"/>
      <c r="H72" s="48"/>
      <c r="I72" s="48"/>
      <c r="J72" s="38"/>
      <c r="K72" s="38"/>
      <c r="L72" s="38"/>
      <c r="M72" s="38"/>
    </row>
    <row r="73" spans="1:1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>
      <c r="A74" s="37"/>
      <c r="B74" s="39"/>
      <c r="C74" s="39"/>
      <c r="D74" s="43"/>
      <c r="E74" s="39"/>
      <c r="F74" s="39"/>
      <c r="G74" s="39"/>
      <c r="H74" s="39"/>
      <c r="I74" s="39"/>
      <c r="J74" s="38"/>
      <c r="K74" s="38"/>
      <c r="L74" s="38"/>
      <c r="M74" s="38"/>
    </row>
    <row r="75" spans="1:13">
      <c r="A75" s="37"/>
      <c r="B75" s="39"/>
      <c r="C75" s="39"/>
      <c r="D75" s="43"/>
      <c r="E75" s="39"/>
      <c r="F75" s="39"/>
      <c r="G75" s="39"/>
      <c r="H75" s="39"/>
      <c r="I75" s="39"/>
      <c r="J75" s="38"/>
      <c r="K75" s="38"/>
      <c r="L75" s="38"/>
      <c r="M75" s="38"/>
    </row>
    <row r="76" spans="1:13">
      <c r="A76" s="44"/>
      <c r="B76" s="39"/>
      <c r="C76" s="39"/>
      <c r="D76" s="43"/>
      <c r="E76" s="39"/>
      <c r="F76" s="39"/>
      <c r="G76" s="39"/>
      <c r="H76" s="39"/>
      <c r="I76" s="39"/>
      <c r="J76" s="38"/>
      <c r="K76" s="38"/>
      <c r="L76" s="38"/>
      <c r="M76" s="38"/>
    </row>
    <row r="77" spans="1:13">
      <c r="A77" s="44"/>
      <c r="B77" s="39"/>
      <c r="C77" s="39"/>
      <c r="D77" s="39"/>
      <c r="E77" s="39"/>
      <c r="F77" s="39"/>
      <c r="G77" s="39"/>
      <c r="H77" s="39"/>
      <c r="I77" s="39"/>
      <c r="J77" s="38"/>
      <c r="K77" s="38"/>
      <c r="L77" s="38"/>
      <c r="M77" s="38"/>
    </row>
    <row r="78" spans="1:13">
      <c r="A78" s="37"/>
      <c r="B78" s="39"/>
      <c r="C78" s="39"/>
      <c r="D78" s="43"/>
      <c r="E78" s="39"/>
      <c r="F78" s="39"/>
      <c r="G78" s="39"/>
      <c r="H78" s="39"/>
      <c r="I78" s="39"/>
      <c r="J78" s="38"/>
      <c r="K78" s="38"/>
      <c r="L78" s="38"/>
      <c r="M78" s="38"/>
    </row>
    <row r="79" spans="1:13" ht="21">
      <c r="A79" s="104" t="s">
        <v>46</v>
      </c>
      <c r="B79" s="104"/>
      <c r="D79" s="50"/>
      <c r="E79" s="51"/>
      <c r="F79" s="85"/>
      <c r="J79" s="36"/>
      <c r="K79" s="36"/>
      <c r="L79" s="36"/>
    </row>
    <row r="80" spans="1:13" ht="19.5" thickBot="1">
      <c r="D80" s="3"/>
      <c r="E80" s="51"/>
      <c r="G80" s="51"/>
      <c r="J80" s="36"/>
      <c r="K80" s="36"/>
      <c r="L80" s="36"/>
    </row>
    <row r="81" spans="1:12">
      <c r="B81" s="4" t="s">
        <v>11</v>
      </c>
      <c r="C81" s="4" t="s">
        <v>10</v>
      </c>
      <c r="D81" s="3"/>
      <c r="E81" s="4" t="s">
        <v>9</v>
      </c>
      <c r="F81" s="192" t="s">
        <v>6</v>
      </c>
      <c r="G81" s="193"/>
      <c r="H81" s="193"/>
      <c r="I81" s="194"/>
      <c r="J81" s="36"/>
      <c r="K81" s="36"/>
      <c r="L81" s="36"/>
    </row>
    <row r="82" spans="1:12">
      <c r="A82" s="8" t="s">
        <v>5</v>
      </c>
      <c r="B82" s="9">
        <v>2010</v>
      </c>
      <c r="C82" s="9">
        <v>2011</v>
      </c>
      <c r="D82" s="10" t="s">
        <v>0</v>
      </c>
      <c r="E82" s="11">
        <v>2012</v>
      </c>
      <c r="F82" s="12">
        <v>2013</v>
      </c>
      <c r="G82" s="12">
        <v>2014</v>
      </c>
      <c r="H82" s="12">
        <v>2015</v>
      </c>
      <c r="I82" s="13">
        <v>2016</v>
      </c>
      <c r="J82" s="36"/>
      <c r="K82" s="36"/>
      <c r="L82" s="36"/>
    </row>
    <row r="83" spans="1:12">
      <c r="A83" s="195" t="s">
        <v>31</v>
      </c>
      <c r="B83" s="195"/>
      <c r="C83" s="195"/>
      <c r="D83" s="195"/>
      <c r="E83" s="195"/>
      <c r="F83" s="195"/>
      <c r="G83" s="195"/>
      <c r="H83" s="195"/>
      <c r="I83" s="195"/>
      <c r="J83" s="36"/>
      <c r="K83" s="36"/>
      <c r="L83" s="36"/>
    </row>
    <row r="84" spans="1:12">
      <c r="A84" s="15" t="s">
        <v>23</v>
      </c>
      <c r="B84" s="62">
        <v>279333</v>
      </c>
      <c r="C84" s="70">
        <v>299270</v>
      </c>
      <c r="D84" s="109">
        <f t="shared" ref="D84:D120" si="21">+(C84-B84)/B84*100</f>
        <v>7.1373593524574606</v>
      </c>
      <c r="E84" s="70">
        <f>125667+189258</f>
        <v>314925</v>
      </c>
      <c r="F84" s="63">
        <f>201608+130801</f>
        <v>332409</v>
      </c>
      <c r="G84" s="83">
        <f>+G7*0.302</f>
        <v>325898.46799999999</v>
      </c>
      <c r="H84" s="83">
        <f>+H7*0.302</f>
        <v>338664.91399999999</v>
      </c>
      <c r="I84" s="83">
        <f>+I7*0.302</f>
        <v>350912.22200000001</v>
      </c>
      <c r="J84" s="52" t="s">
        <v>52</v>
      </c>
      <c r="K84" s="36"/>
      <c r="L84" s="36"/>
    </row>
    <row r="85" spans="1:12">
      <c r="A85" s="16" t="s">
        <v>19</v>
      </c>
      <c r="B85" s="62">
        <v>1785</v>
      </c>
      <c r="C85" s="63">
        <v>1877</v>
      </c>
      <c r="D85" s="110">
        <f t="shared" si="21"/>
        <v>5.1540616246498594</v>
      </c>
      <c r="E85" s="63">
        <f>1017+954</f>
        <v>1971</v>
      </c>
      <c r="F85" s="63">
        <f>1050+980</f>
        <v>2030</v>
      </c>
      <c r="G85" s="83">
        <f>+G8*0.338</f>
        <v>2031.0420000000001</v>
      </c>
      <c r="H85" s="83">
        <f>+H8*0.338</f>
        <v>2079.7139999999999</v>
      </c>
      <c r="I85" s="83">
        <f>+I8*0.338</f>
        <v>2129.0620000000004</v>
      </c>
      <c r="J85" s="52" t="s">
        <v>53</v>
      </c>
      <c r="K85" s="36"/>
      <c r="L85" s="36"/>
    </row>
    <row r="86" spans="1:12">
      <c r="A86" s="18" t="s">
        <v>15</v>
      </c>
      <c r="B86" s="62">
        <v>19</v>
      </c>
      <c r="C86" s="63">
        <v>21</v>
      </c>
      <c r="D86" s="110">
        <f t="shared" si="21"/>
        <v>10.526315789473683</v>
      </c>
      <c r="E86" s="63">
        <v>22</v>
      </c>
      <c r="F86" s="63">
        <v>25</v>
      </c>
      <c r="G86" s="63">
        <v>28</v>
      </c>
      <c r="H86" s="63">
        <v>32</v>
      </c>
      <c r="I86" s="63">
        <v>35</v>
      </c>
      <c r="J86" s="36" t="s">
        <v>12</v>
      </c>
      <c r="K86" s="36"/>
      <c r="L86" s="36"/>
    </row>
    <row r="87" spans="1:12">
      <c r="A87" s="19" t="s">
        <v>17</v>
      </c>
      <c r="B87" s="75">
        <f>+B85-B86</f>
        <v>1766</v>
      </c>
      <c r="C87" s="75">
        <f>+C85-C86</f>
        <v>1856</v>
      </c>
      <c r="D87" s="109">
        <f t="shared" si="21"/>
        <v>5.0962627406568517</v>
      </c>
      <c r="E87" s="75">
        <f>+E85-E86</f>
        <v>1949</v>
      </c>
      <c r="F87" s="75">
        <f>+F85-F86</f>
        <v>2005</v>
      </c>
      <c r="G87" s="75">
        <f t="shared" ref="G87" si="22">+G85-G86</f>
        <v>2003.0420000000001</v>
      </c>
      <c r="H87" s="75">
        <f t="shared" ref="H87" si="23">+H85-H86</f>
        <v>2047.7139999999999</v>
      </c>
      <c r="I87" s="75">
        <f t="shared" ref="I87" si="24">+I85-I86</f>
        <v>2094.0620000000004</v>
      </c>
      <c r="J87" s="36" t="s">
        <v>50</v>
      </c>
      <c r="L87" s="36"/>
    </row>
    <row r="88" spans="1:12">
      <c r="A88" s="16" t="s">
        <v>20</v>
      </c>
      <c r="B88" s="62">
        <v>3</v>
      </c>
      <c r="C88" s="63">
        <v>4</v>
      </c>
      <c r="D88" s="110">
        <f t="shared" si="21"/>
        <v>33.333333333333329</v>
      </c>
      <c r="E88" s="63">
        <f>2+2</f>
        <v>4</v>
      </c>
      <c r="F88" s="63">
        <f>2+3</f>
        <v>5</v>
      </c>
      <c r="G88" s="83">
        <v>5</v>
      </c>
      <c r="H88" s="83">
        <v>5</v>
      </c>
      <c r="I88" s="83">
        <v>5</v>
      </c>
      <c r="J88" s="36" t="s">
        <v>54</v>
      </c>
      <c r="K88" s="36"/>
      <c r="L88" s="36"/>
    </row>
    <row r="89" spans="1:12">
      <c r="A89" s="18" t="s">
        <v>16</v>
      </c>
      <c r="B89" s="62">
        <v>3</v>
      </c>
      <c r="C89" s="63">
        <v>4</v>
      </c>
      <c r="D89" s="110">
        <f t="shared" si="21"/>
        <v>33.333333333333329</v>
      </c>
      <c r="E89" s="63">
        <v>4</v>
      </c>
      <c r="F89" s="63">
        <v>5</v>
      </c>
      <c r="G89" s="63">
        <v>5</v>
      </c>
      <c r="H89" s="63">
        <v>5</v>
      </c>
      <c r="I89" s="63">
        <v>5</v>
      </c>
      <c r="J89" s="53" t="s">
        <v>12</v>
      </c>
      <c r="K89" s="36"/>
      <c r="L89" s="36"/>
    </row>
    <row r="90" spans="1:12">
      <c r="A90" s="19" t="s">
        <v>18</v>
      </c>
      <c r="B90" s="75">
        <f>+B88-B89</f>
        <v>0</v>
      </c>
      <c r="C90" s="75">
        <f>+C88-C89</f>
        <v>0</v>
      </c>
      <c r="D90" s="109"/>
      <c r="E90" s="75">
        <f t="shared" ref="E90:I90" si="25">+E88-E89</f>
        <v>0</v>
      </c>
      <c r="F90" s="75">
        <f t="shared" si="25"/>
        <v>0</v>
      </c>
      <c r="G90" s="75">
        <f t="shared" si="25"/>
        <v>0</v>
      </c>
      <c r="H90" s="75">
        <f t="shared" si="25"/>
        <v>0</v>
      </c>
      <c r="I90" s="75">
        <f t="shared" si="25"/>
        <v>0</v>
      </c>
      <c r="J90" s="36" t="s">
        <v>50</v>
      </c>
      <c r="K90" s="36"/>
      <c r="L90" s="36"/>
    </row>
    <row r="91" spans="1:12">
      <c r="A91" s="20" t="s">
        <v>21</v>
      </c>
      <c r="B91" s="22">
        <f>+B86+B89</f>
        <v>22</v>
      </c>
      <c r="C91" s="22">
        <f>+C86+C89</f>
        <v>25</v>
      </c>
      <c r="D91" s="110">
        <f t="shared" si="21"/>
        <v>13.636363636363635</v>
      </c>
      <c r="E91" s="23">
        <f>+E86+E89</f>
        <v>26</v>
      </c>
      <c r="F91" s="23">
        <f>+F86+F89</f>
        <v>30</v>
      </c>
      <c r="G91" s="23">
        <f t="shared" ref="G91:I91" si="26">+G86+G89</f>
        <v>33</v>
      </c>
      <c r="H91" s="23">
        <f t="shared" si="26"/>
        <v>37</v>
      </c>
      <c r="I91" s="23">
        <f t="shared" si="26"/>
        <v>40</v>
      </c>
      <c r="J91" s="53"/>
      <c r="K91" s="36"/>
      <c r="L91" s="36"/>
    </row>
    <row r="92" spans="1:12">
      <c r="A92" s="20" t="s">
        <v>22</v>
      </c>
      <c r="B92" s="22">
        <f>+B84+B87+B90</f>
        <v>281099</v>
      </c>
      <c r="C92" s="22">
        <f>+C84+C87+C90</f>
        <v>301126</v>
      </c>
      <c r="D92" s="110">
        <f t="shared" si="21"/>
        <v>7.1245361954329258</v>
      </c>
      <c r="E92" s="23">
        <f>+E84+E87+E90</f>
        <v>316874</v>
      </c>
      <c r="F92" s="23">
        <f>+F84+F87+F90</f>
        <v>334414</v>
      </c>
      <c r="G92" s="23">
        <f t="shared" ref="G92:I92" si="27">+G84+G87+G90</f>
        <v>327901.51</v>
      </c>
      <c r="H92" s="23">
        <f t="shared" si="27"/>
        <v>340712.62799999997</v>
      </c>
      <c r="I92" s="23">
        <f t="shared" si="27"/>
        <v>353006.28399999999</v>
      </c>
      <c r="J92" s="53"/>
      <c r="K92" s="36"/>
      <c r="L92" s="36"/>
    </row>
    <row r="93" spans="1:12">
      <c r="A93" s="20" t="s">
        <v>1</v>
      </c>
      <c r="B93" s="32">
        <f>+B91+B92</f>
        <v>281121</v>
      </c>
      <c r="C93" s="32">
        <f>+C91+C92</f>
        <v>301151</v>
      </c>
      <c r="D93" s="110">
        <f t="shared" si="21"/>
        <v>7.1250457987841536</v>
      </c>
      <c r="E93" s="94">
        <f>+E91+E92</f>
        <v>316900</v>
      </c>
      <c r="F93" s="94">
        <f>+F91+F92</f>
        <v>334444</v>
      </c>
      <c r="G93" s="23">
        <f t="shared" ref="G93" si="28">+G91+G92</f>
        <v>327934.51</v>
      </c>
      <c r="H93" s="23">
        <f t="shared" ref="H93" si="29">+H91+H92</f>
        <v>340749.62799999997</v>
      </c>
      <c r="I93" s="23">
        <f t="shared" ref="I93" si="30">+I91+I92</f>
        <v>353046.28399999999</v>
      </c>
      <c r="J93" s="53"/>
      <c r="K93" s="36"/>
      <c r="L93" s="36"/>
    </row>
    <row r="94" spans="1:12">
      <c r="A94" s="26"/>
      <c r="B94" s="113">
        <f>165000+116121</f>
        <v>281121</v>
      </c>
      <c r="C94" s="113">
        <f>179155+121996</f>
        <v>301151</v>
      </c>
      <c r="D94" s="114"/>
      <c r="E94" s="113">
        <f>190277+126623</f>
        <v>316900</v>
      </c>
      <c r="F94" s="103">
        <f>202661+131783</f>
        <v>334444</v>
      </c>
      <c r="G94" s="115">
        <f>+G84+G85+G88</f>
        <v>327934.51</v>
      </c>
      <c r="H94" s="115">
        <f t="shared" ref="H94:I94" si="31">+H84+H85+H88</f>
        <v>340749.62799999997</v>
      </c>
      <c r="I94" s="115">
        <f t="shared" si="31"/>
        <v>353046.28399999999</v>
      </c>
      <c r="J94" s="1" t="s">
        <v>60</v>
      </c>
      <c r="K94" s="36"/>
      <c r="L94" s="36"/>
    </row>
    <row r="95" spans="1:12">
      <c r="A95" s="55" t="s">
        <v>30</v>
      </c>
      <c r="B95" s="56"/>
      <c r="C95" s="56"/>
      <c r="D95" s="86"/>
      <c r="E95" s="56"/>
      <c r="F95" s="57"/>
      <c r="G95" s="86"/>
      <c r="H95" s="56"/>
      <c r="I95" s="58"/>
      <c r="J95" s="53"/>
      <c r="K95" s="36"/>
      <c r="L95" s="36"/>
    </row>
    <row r="96" spans="1:12">
      <c r="A96" s="15" t="s">
        <v>24</v>
      </c>
      <c r="B96" s="62">
        <v>698</v>
      </c>
      <c r="C96" s="63">
        <f>476.6+291.5</f>
        <v>768.1</v>
      </c>
      <c r="D96" s="109">
        <f t="shared" si="21"/>
        <v>10.042979942693412</v>
      </c>
      <c r="E96" s="63">
        <f>495.1+284.5</f>
        <v>779.6</v>
      </c>
      <c r="F96" s="63">
        <f>486+269</f>
        <v>755</v>
      </c>
      <c r="G96" s="83">
        <f>+G19*0.22</f>
        <v>813.95600000000002</v>
      </c>
      <c r="H96" s="83">
        <f>+H19*0.22</f>
        <v>877.31600000000003</v>
      </c>
      <c r="I96" s="83">
        <f>+I19*0.22</f>
        <v>921.976</v>
      </c>
      <c r="J96" s="52" t="s">
        <v>55</v>
      </c>
      <c r="K96" s="36"/>
      <c r="L96" s="36"/>
    </row>
    <row r="97" spans="1:12">
      <c r="A97" s="16" t="s">
        <v>25</v>
      </c>
      <c r="B97" s="62">
        <v>477</v>
      </c>
      <c r="C97" s="63">
        <f>299.3+206.3</f>
        <v>505.6</v>
      </c>
      <c r="D97" s="109">
        <f t="shared" si="21"/>
        <v>5.9958071278826042</v>
      </c>
      <c r="E97" s="63">
        <f>288.6+197.6</f>
        <v>486.20000000000005</v>
      </c>
      <c r="F97" s="63">
        <f>262+183</f>
        <v>445</v>
      </c>
      <c r="G97" s="83">
        <f>+G20*0.177</f>
        <v>477.28049999999996</v>
      </c>
      <c r="H97" s="83">
        <f>+H20*0.177</f>
        <v>511.44149999999996</v>
      </c>
      <c r="I97" s="83">
        <f>+I20*0.177</f>
        <v>541.17750000000001</v>
      </c>
      <c r="J97" s="52" t="s">
        <v>56</v>
      </c>
      <c r="K97" s="36"/>
      <c r="L97" s="36"/>
    </row>
    <row r="98" spans="1:12">
      <c r="A98" s="18" t="s">
        <v>13</v>
      </c>
      <c r="B98" s="64">
        <v>120</v>
      </c>
      <c r="C98" s="64">
        <v>136</v>
      </c>
      <c r="D98" s="110">
        <f t="shared" si="21"/>
        <v>13.333333333333334</v>
      </c>
      <c r="E98" s="63">
        <v>153</v>
      </c>
      <c r="F98" s="63">
        <v>172</v>
      </c>
      <c r="G98" s="63">
        <v>194</v>
      </c>
      <c r="H98" s="63">
        <v>219</v>
      </c>
      <c r="I98" s="63">
        <v>247</v>
      </c>
      <c r="J98" s="53" t="s">
        <v>12</v>
      </c>
      <c r="K98" s="36"/>
      <c r="L98" s="36"/>
    </row>
    <row r="99" spans="1:12">
      <c r="A99" s="19" t="s">
        <v>26</v>
      </c>
      <c r="B99" s="62">
        <f>+B97-B98</f>
        <v>357</v>
      </c>
      <c r="C99" s="62">
        <f>+C97-C98</f>
        <v>369.6</v>
      </c>
      <c r="D99" s="110">
        <f t="shared" si="21"/>
        <v>3.5294117647058885</v>
      </c>
      <c r="E99" s="63">
        <f>+E97-E98</f>
        <v>333.20000000000005</v>
      </c>
      <c r="F99" s="63">
        <f t="shared" ref="F99" si="32">+F97-F98</f>
        <v>273</v>
      </c>
      <c r="G99" s="63">
        <f t="shared" ref="G99" si="33">+G97-G98</f>
        <v>283.28049999999996</v>
      </c>
      <c r="H99" s="63">
        <f t="shared" ref="H99" si="34">+H97-H98</f>
        <v>292.44149999999996</v>
      </c>
      <c r="I99" s="63">
        <f>+I97-I98</f>
        <v>294.17750000000001</v>
      </c>
      <c r="J99" s="36" t="s">
        <v>50</v>
      </c>
      <c r="K99" s="36"/>
      <c r="L99" s="36"/>
    </row>
    <row r="100" spans="1:12">
      <c r="A100" s="16" t="s">
        <v>27</v>
      </c>
      <c r="B100" s="62">
        <f>25.7+40.4</f>
        <v>66.099999999999994</v>
      </c>
      <c r="C100" s="63">
        <f>42.1+96.6</f>
        <v>138.69999999999999</v>
      </c>
      <c r="D100" s="109">
        <f t="shared" si="21"/>
        <v>109.8335854765507</v>
      </c>
      <c r="E100" s="63">
        <f>38+117</f>
        <v>155</v>
      </c>
      <c r="F100" s="63">
        <f>49+119</f>
        <v>168</v>
      </c>
      <c r="G100" s="83">
        <f>+G23*0.3</f>
        <v>200.31</v>
      </c>
      <c r="H100" s="83">
        <f>+H23*0.3</f>
        <v>233.01</v>
      </c>
      <c r="I100" s="83">
        <f>+I23*0.3</f>
        <v>265.70999999999998</v>
      </c>
      <c r="J100" s="52" t="s">
        <v>57</v>
      </c>
      <c r="K100" s="36"/>
      <c r="L100" s="36"/>
    </row>
    <row r="101" spans="1:12">
      <c r="A101" s="18" t="s">
        <v>28</v>
      </c>
      <c r="B101" s="62">
        <v>64</v>
      </c>
      <c r="C101" s="63">
        <v>139</v>
      </c>
      <c r="D101" s="110">
        <f t="shared" si="21"/>
        <v>117.1875</v>
      </c>
      <c r="E101" s="63">
        <v>155</v>
      </c>
      <c r="F101" s="63">
        <v>168</v>
      </c>
      <c r="G101" s="63">
        <v>179</v>
      </c>
      <c r="H101" s="63">
        <v>188</v>
      </c>
      <c r="I101" s="63">
        <v>197</v>
      </c>
      <c r="J101" s="36" t="s">
        <v>12</v>
      </c>
      <c r="K101" s="36"/>
      <c r="L101" s="36"/>
    </row>
    <row r="102" spans="1:12">
      <c r="A102" s="19" t="s">
        <v>29</v>
      </c>
      <c r="B102" s="62">
        <f>+B100-B101</f>
        <v>2.0999999999999943</v>
      </c>
      <c r="C102" s="62">
        <f>+C100-C101</f>
        <v>-0.30000000000001137</v>
      </c>
      <c r="D102" s="110">
        <f t="shared" si="21"/>
        <v>-114.28571428571486</v>
      </c>
      <c r="E102" s="63">
        <f>+E100-E101</f>
        <v>0</v>
      </c>
      <c r="F102" s="63">
        <f t="shared" ref="F102" si="35">+F100-F101</f>
        <v>0</v>
      </c>
      <c r="G102" s="63">
        <f t="shared" ref="G102" si="36">+G100-G101</f>
        <v>21.310000000000002</v>
      </c>
      <c r="H102" s="63">
        <f t="shared" ref="H102" si="37">+H100-H101</f>
        <v>45.009999999999991</v>
      </c>
      <c r="I102" s="63">
        <f t="shared" ref="I102" si="38">+I100-I101</f>
        <v>68.70999999999998</v>
      </c>
      <c r="J102" s="36" t="s">
        <v>50</v>
      </c>
      <c r="K102" s="36"/>
      <c r="L102" s="36"/>
    </row>
    <row r="103" spans="1:12">
      <c r="A103" s="20" t="s">
        <v>32</v>
      </c>
      <c r="B103" s="84">
        <f>+B98+B101</f>
        <v>184</v>
      </c>
      <c r="C103" s="84">
        <f t="shared" ref="C103" si="39">+C98+C101</f>
        <v>275</v>
      </c>
      <c r="D103" s="109">
        <f t="shared" si="21"/>
        <v>49.45652173913043</v>
      </c>
      <c r="E103" s="84">
        <f t="shared" ref="E103:I103" si="40">+E98+E101</f>
        <v>308</v>
      </c>
      <c r="F103" s="84">
        <f t="shared" si="40"/>
        <v>340</v>
      </c>
      <c r="G103" s="84">
        <f t="shared" si="40"/>
        <v>373</v>
      </c>
      <c r="H103" s="84">
        <f t="shared" si="40"/>
        <v>407</v>
      </c>
      <c r="I103" s="84">
        <f t="shared" si="40"/>
        <v>444</v>
      </c>
      <c r="J103" s="36"/>
      <c r="K103" s="36"/>
      <c r="L103" s="36"/>
    </row>
    <row r="104" spans="1:12">
      <c r="A104" s="20" t="s">
        <v>33</v>
      </c>
      <c r="B104" s="84">
        <f>+B96+B99+B102</f>
        <v>1057.0999999999999</v>
      </c>
      <c r="C104" s="84">
        <f t="shared" ref="C104" si="41">+C96+C99+C102</f>
        <v>1137.4000000000001</v>
      </c>
      <c r="D104" s="109">
        <f t="shared" si="21"/>
        <v>7.596253902185242</v>
      </c>
      <c r="E104" s="84">
        <f t="shared" ref="E104:I104" si="42">+E96+E99+E102</f>
        <v>1112.8000000000002</v>
      </c>
      <c r="F104" s="84">
        <f t="shared" si="42"/>
        <v>1028</v>
      </c>
      <c r="G104" s="84">
        <f t="shared" si="42"/>
        <v>1118.5464999999999</v>
      </c>
      <c r="H104" s="84">
        <f t="shared" si="42"/>
        <v>1214.7674999999999</v>
      </c>
      <c r="I104" s="84">
        <f t="shared" si="42"/>
        <v>1284.8634999999999</v>
      </c>
      <c r="J104" s="36"/>
      <c r="K104" s="36"/>
      <c r="L104" s="36"/>
    </row>
    <row r="105" spans="1:12">
      <c r="A105" s="20" t="s">
        <v>43</v>
      </c>
      <c r="B105" s="84">
        <f>+B103+B104</f>
        <v>1241.0999999999999</v>
      </c>
      <c r="C105" s="84">
        <f t="shared" ref="C105" si="43">+C103+C104</f>
        <v>1412.4</v>
      </c>
      <c r="D105" s="109">
        <f t="shared" si="21"/>
        <v>13.80227217790671</v>
      </c>
      <c r="E105" s="84">
        <f t="shared" ref="E105" si="44">+E103+E104</f>
        <v>1420.8000000000002</v>
      </c>
      <c r="F105" s="84">
        <f>+F103+F104</f>
        <v>1368</v>
      </c>
      <c r="G105" s="84">
        <f t="shared" ref="G105" si="45">+G103+G104</f>
        <v>1491.5464999999999</v>
      </c>
      <c r="H105" s="84">
        <f t="shared" ref="H105" si="46">+H103+H104</f>
        <v>1621.7674999999999</v>
      </c>
      <c r="I105" s="84">
        <f t="shared" ref="I105" si="47">+I103+I104</f>
        <v>1728.8634999999999</v>
      </c>
      <c r="J105" s="36"/>
      <c r="K105" s="36"/>
      <c r="L105" s="36"/>
    </row>
    <row r="106" spans="1:12">
      <c r="A106" s="33"/>
      <c r="B106" s="67">
        <f>732.5+508.2</f>
        <v>1240.7</v>
      </c>
      <c r="C106" s="67">
        <f>818+594.4</f>
        <v>1412.4</v>
      </c>
      <c r="D106" s="112"/>
      <c r="E106" s="67">
        <f>821.6+599.1</f>
        <v>1420.7</v>
      </c>
      <c r="F106" s="67">
        <f>797+571.6</f>
        <v>1368.6</v>
      </c>
      <c r="G106" s="59">
        <f>+G96+G97+G100</f>
        <v>1491.5464999999999</v>
      </c>
      <c r="H106" s="59">
        <f t="shared" ref="H106:I106" si="48">+H96+H97+H100</f>
        <v>1621.7674999999999</v>
      </c>
      <c r="I106" s="59">
        <f t="shared" si="48"/>
        <v>1728.8634999999999</v>
      </c>
      <c r="J106" s="1" t="s">
        <v>60</v>
      </c>
      <c r="K106" s="36"/>
      <c r="L106" s="36"/>
    </row>
    <row r="107" spans="1:12">
      <c r="A107" s="33" t="s">
        <v>2</v>
      </c>
      <c r="B107" s="71">
        <f>+B111/B96</f>
        <v>3.9541547277936964</v>
      </c>
      <c r="C107" s="71">
        <f>+C111/C96</f>
        <v>3.9955734930347608</v>
      </c>
      <c r="D107" s="110">
        <f t="shared" si="21"/>
        <v>1.0474745702269204</v>
      </c>
      <c r="E107" s="73">
        <f>+E111/E96</f>
        <v>3.9571575166752178</v>
      </c>
      <c r="F107" s="73">
        <f>+F111/F96</f>
        <v>3.9589403973509936</v>
      </c>
      <c r="G107" s="71">
        <v>3.9589403973509936</v>
      </c>
      <c r="H107" s="71">
        <v>3.9589403973509936</v>
      </c>
      <c r="I107" s="71">
        <v>3.9589403973509936</v>
      </c>
      <c r="J107" s="36"/>
      <c r="K107" s="36"/>
      <c r="L107" s="36"/>
    </row>
    <row r="108" spans="1:12">
      <c r="A108" s="33" t="s">
        <v>3</v>
      </c>
      <c r="B108" s="71">
        <f>+B112/B97</f>
        <v>3.1970649895178198</v>
      </c>
      <c r="C108" s="71">
        <f>+C112/C97</f>
        <v>3.2535601265822782</v>
      </c>
      <c r="D108" s="110">
        <f t="shared" si="21"/>
        <v>1.7670937953932238</v>
      </c>
      <c r="E108" s="73">
        <f>+E112/E97</f>
        <v>3.3072809543397774</v>
      </c>
      <c r="F108" s="73">
        <f>+F112/F97</f>
        <v>3.3101123595505619</v>
      </c>
      <c r="G108" s="71">
        <v>3.3101123595505619</v>
      </c>
      <c r="H108" s="71">
        <v>3.3101123595505619</v>
      </c>
      <c r="I108" s="71">
        <v>3.3101123595505619</v>
      </c>
      <c r="J108" s="36"/>
      <c r="K108" s="36"/>
      <c r="L108" s="36"/>
    </row>
    <row r="109" spans="1:12">
      <c r="A109" s="33" t="s">
        <v>14</v>
      </c>
      <c r="B109" s="71">
        <f>+B115/B100</f>
        <v>2.6475037821482603</v>
      </c>
      <c r="C109" s="71">
        <f>+C115/C100</f>
        <v>2.7325162220620047</v>
      </c>
      <c r="D109" s="110">
        <f t="shared" si="21"/>
        <v>3.21104130188486</v>
      </c>
      <c r="E109" s="73">
        <f>+E115/E100</f>
        <v>2.1870967741935483</v>
      </c>
      <c r="F109" s="73">
        <f>+F115/F100</f>
        <v>2.1845238095238093</v>
      </c>
      <c r="G109" s="71">
        <v>2.1845238095238093</v>
      </c>
      <c r="H109" s="71">
        <v>2.1845238095238093</v>
      </c>
      <c r="I109" s="71">
        <v>2.1845238095238093</v>
      </c>
      <c r="J109" s="36"/>
      <c r="K109" s="36"/>
      <c r="L109" s="36"/>
    </row>
    <row r="110" spans="1:12">
      <c r="A110" s="33"/>
      <c r="B110" s="33"/>
      <c r="C110" s="33"/>
      <c r="D110" s="110"/>
      <c r="E110" s="35"/>
      <c r="F110" s="35"/>
      <c r="G110" s="87"/>
      <c r="H110" s="35"/>
      <c r="I110" s="35"/>
      <c r="J110" s="36"/>
      <c r="K110" s="36"/>
      <c r="L110" s="36"/>
    </row>
    <row r="111" spans="1:12">
      <c r="A111" s="15" t="s">
        <v>34</v>
      </c>
      <c r="B111" s="62">
        <f>1694+1066</f>
        <v>2760</v>
      </c>
      <c r="C111" s="62">
        <f>1902+1167</f>
        <v>3069</v>
      </c>
      <c r="D111" s="110">
        <f t="shared" si="21"/>
        <v>11.195652173913045</v>
      </c>
      <c r="E111" s="62">
        <f>1959+1126</f>
        <v>3085</v>
      </c>
      <c r="F111" s="62">
        <f>1924+1065</f>
        <v>2989</v>
      </c>
      <c r="G111" s="88">
        <f>+G34*0.22</f>
        <v>3221.6126046403174</v>
      </c>
      <c r="H111" s="88">
        <f>+H34*0.22</f>
        <v>3472.3895196455637</v>
      </c>
      <c r="I111" s="88">
        <f>+I34*0.22</f>
        <v>3649.1524145971789</v>
      </c>
      <c r="J111" s="52" t="s">
        <v>55</v>
      </c>
      <c r="K111" s="36"/>
      <c r="L111" s="36"/>
    </row>
    <row r="112" spans="1:12">
      <c r="A112" s="16" t="s">
        <v>35</v>
      </c>
      <c r="B112" s="62">
        <f>877+648</f>
        <v>1525</v>
      </c>
      <c r="C112" s="62">
        <f>936+709</f>
        <v>1645</v>
      </c>
      <c r="D112" s="110">
        <f t="shared" si="21"/>
        <v>7.8688524590163942</v>
      </c>
      <c r="E112" s="62">
        <f>954+654</f>
        <v>1608</v>
      </c>
      <c r="F112" s="62">
        <f>866+607</f>
        <v>1473</v>
      </c>
      <c r="G112" s="88">
        <f>+G35*0.177</f>
        <v>1578.2809137005365</v>
      </c>
      <c r="H112" s="88">
        <f>+H35*0.177</f>
        <v>1691.2452068005568</v>
      </c>
      <c r="I112" s="88">
        <f>+I35*0.177</f>
        <v>1789.5768194472059</v>
      </c>
      <c r="J112" s="52" t="s">
        <v>56</v>
      </c>
      <c r="K112" s="36"/>
      <c r="L112" s="36"/>
    </row>
    <row r="113" spans="1:12">
      <c r="A113" s="18" t="s">
        <v>36</v>
      </c>
      <c r="B113" s="75">
        <f>+B98*B108</f>
        <v>383.64779874213838</v>
      </c>
      <c r="C113" s="75">
        <f>+C98*C108</f>
        <v>442.48417721518985</v>
      </c>
      <c r="D113" s="110">
        <f t="shared" si="21"/>
        <v>15.33603963477899</v>
      </c>
      <c r="E113" s="75">
        <f>+E98*E108</f>
        <v>506.01398601398597</v>
      </c>
      <c r="F113" s="75">
        <f t="shared" ref="F113:I113" si="49">+F98*F108</f>
        <v>569.33932584269667</v>
      </c>
      <c r="G113" s="75">
        <f t="shared" si="49"/>
        <v>642.16179775280898</v>
      </c>
      <c r="H113" s="75">
        <f t="shared" si="49"/>
        <v>724.91460674157304</v>
      </c>
      <c r="I113" s="75">
        <f t="shared" si="49"/>
        <v>817.59775280898884</v>
      </c>
      <c r="J113" s="2" t="s">
        <v>51</v>
      </c>
      <c r="K113" s="36"/>
      <c r="L113" s="36"/>
    </row>
    <row r="114" spans="1:12">
      <c r="A114" s="19" t="s">
        <v>37</v>
      </c>
      <c r="B114" s="75">
        <f>+B112-B113</f>
        <v>1141.3522012578617</v>
      </c>
      <c r="C114" s="75">
        <f t="shared" ref="C114" si="50">+C112-C113</f>
        <v>1202.5158227848101</v>
      </c>
      <c r="D114" s="110">
        <f t="shared" si="21"/>
        <v>5.3588735764071078</v>
      </c>
      <c r="E114" s="75">
        <f t="shared" ref="E114" si="51">+E112-E113</f>
        <v>1101.9860139860141</v>
      </c>
      <c r="F114" s="75">
        <f t="shared" ref="F114" si="52">+F112-F113</f>
        <v>903.66067415730333</v>
      </c>
      <c r="G114" s="75">
        <f t="shared" ref="G114" si="53">+G112-G113</f>
        <v>936.11911594772755</v>
      </c>
      <c r="H114" s="75">
        <f t="shared" ref="H114" si="54">+H112-H113</f>
        <v>966.3306000589838</v>
      </c>
      <c r="I114" s="75">
        <f t="shared" ref="I114" si="55">+I112-I113</f>
        <v>971.97906663821709</v>
      </c>
      <c r="J114" s="36" t="s">
        <v>50</v>
      </c>
      <c r="K114" s="36"/>
      <c r="L114" s="36"/>
    </row>
    <row r="115" spans="1:12">
      <c r="A115" s="16" t="s">
        <v>38</v>
      </c>
      <c r="B115" s="62">
        <f>58+117</f>
        <v>175</v>
      </c>
      <c r="C115" s="62">
        <f>128+251</f>
        <v>379</v>
      </c>
      <c r="D115" s="109">
        <f t="shared" si="21"/>
        <v>116.57142857142857</v>
      </c>
      <c r="E115" s="62">
        <f>83+256</f>
        <v>339</v>
      </c>
      <c r="F115" s="74">
        <f>260+107</f>
        <v>367</v>
      </c>
      <c r="G115" s="75">
        <f>+G38*0.299</f>
        <v>437.24049295523452</v>
      </c>
      <c r="H115" s="75">
        <f>+H38*0.299</f>
        <v>508.61867736757625</v>
      </c>
      <c r="I115" s="75">
        <f>+I38*0.299</f>
        <v>579.99686177991794</v>
      </c>
      <c r="J115" s="52" t="s">
        <v>58</v>
      </c>
      <c r="K115" s="36"/>
      <c r="L115" s="36"/>
    </row>
    <row r="116" spans="1:12">
      <c r="A116" s="18" t="s">
        <v>39</v>
      </c>
      <c r="B116" s="76">
        <f>+B101*B109</f>
        <v>169.44024205748866</v>
      </c>
      <c r="C116" s="62">
        <f>+C101*C109-1</f>
        <v>378.81975486661867</v>
      </c>
      <c r="D116" s="109">
        <f t="shared" si="21"/>
        <v>123.57130175610263</v>
      </c>
      <c r="E116" s="62">
        <f>+E101*E109</f>
        <v>339</v>
      </c>
      <c r="F116" s="62">
        <f t="shared" ref="F116:G116" si="56">+F101*F109</f>
        <v>366.99999999999994</v>
      </c>
      <c r="G116" s="62">
        <f t="shared" si="56"/>
        <v>391.02976190476187</v>
      </c>
      <c r="H116" s="62">
        <f>+H101*H109</f>
        <v>410.69047619047615</v>
      </c>
      <c r="I116" s="62">
        <f>+I101*I109</f>
        <v>430.35119047619042</v>
      </c>
      <c r="J116" s="36" t="s">
        <v>49</v>
      </c>
      <c r="K116" s="36"/>
      <c r="L116" s="36"/>
    </row>
    <row r="117" spans="1:12">
      <c r="A117" s="19" t="s">
        <v>40</v>
      </c>
      <c r="B117" s="62">
        <f>+B115-B116</f>
        <v>5.5597579425113395</v>
      </c>
      <c r="C117" s="62">
        <f t="shared" ref="C117" si="57">+C115-C116</f>
        <v>0.18024513338133374</v>
      </c>
      <c r="D117" s="110">
        <f t="shared" si="21"/>
        <v>-96.758039913875876</v>
      </c>
      <c r="E117" s="62">
        <f t="shared" ref="E117" si="58">+E115-E116</f>
        <v>0</v>
      </c>
      <c r="F117" s="62">
        <f t="shared" ref="F117" si="59">+F115-F116</f>
        <v>0</v>
      </c>
      <c r="G117" s="62">
        <f t="shared" ref="G117" si="60">+G115-G116</f>
        <v>46.210731050472646</v>
      </c>
      <c r="H117" s="62">
        <f t="shared" ref="H117" si="61">+H115-H116</f>
        <v>97.928201177100107</v>
      </c>
      <c r="I117" s="62">
        <f t="shared" ref="I117" si="62">+I115-I116</f>
        <v>149.64567130372751</v>
      </c>
      <c r="J117" s="36" t="s">
        <v>50</v>
      </c>
      <c r="K117" s="36"/>
      <c r="L117" s="36"/>
    </row>
    <row r="118" spans="1:12">
      <c r="A118" s="20" t="s">
        <v>41</v>
      </c>
      <c r="B118" s="84">
        <f>+B113+B116</f>
        <v>553.08804079962704</v>
      </c>
      <c r="C118" s="84">
        <f t="shared" ref="C118" si="63">+C113+C116</f>
        <v>821.30393208180851</v>
      </c>
      <c r="D118" s="109">
        <f t="shared" si="21"/>
        <v>48.494248925434789</v>
      </c>
      <c r="E118" s="84">
        <f t="shared" ref="E118:I118" si="64">+E113+E116</f>
        <v>845.01398601398591</v>
      </c>
      <c r="F118" s="84">
        <f t="shared" si="64"/>
        <v>936.33932584269655</v>
      </c>
      <c r="G118" s="84">
        <f t="shared" si="64"/>
        <v>1033.1915596575709</v>
      </c>
      <c r="H118" s="84">
        <f t="shared" si="64"/>
        <v>1135.6050829320493</v>
      </c>
      <c r="I118" s="84">
        <f t="shared" si="64"/>
        <v>1247.9489432851792</v>
      </c>
      <c r="J118" s="36"/>
      <c r="K118" s="36"/>
      <c r="L118" s="36"/>
    </row>
    <row r="119" spans="1:12">
      <c r="A119" s="20" t="s">
        <v>42</v>
      </c>
      <c r="B119" s="84">
        <f>+B111+B114+B117</f>
        <v>3906.9119592003726</v>
      </c>
      <c r="C119" s="84">
        <f t="shared" ref="C119" si="65">+C111+C114+C117</f>
        <v>4271.6960679181911</v>
      </c>
      <c r="D119" s="109">
        <f t="shared" si="21"/>
        <v>9.3368909391159889</v>
      </c>
      <c r="E119" s="84">
        <f t="shared" ref="E119:I119" si="66">+E111+E114+E117</f>
        <v>4186.9860139860139</v>
      </c>
      <c r="F119" s="84">
        <f t="shared" si="66"/>
        <v>3892.6606741573032</v>
      </c>
      <c r="G119" s="84">
        <f t="shared" si="66"/>
        <v>4203.942451638517</v>
      </c>
      <c r="H119" s="84">
        <f t="shared" si="66"/>
        <v>4536.648320881648</v>
      </c>
      <c r="I119" s="84">
        <f t="shared" si="66"/>
        <v>4770.7771525391236</v>
      </c>
      <c r="J119" s="36"/>
      <c r="K119" s="36"/>
      <c r="L119" s="36"/>
    </row>
    <row r="120" spans="1:12">
      <c r="A120" s="20" t="s">
        <v>4</v>
      </c>
      <c r="B120" s="84">
        <f>+B118+B119</f>
        <v>4460</v>
      </c>
      <c r="C120" s="84">
        <f t="shared" ref="C120" si="67">+C118+C119</f>
        <v>5093</v>
      </c>
      <c r="D120" s="109">
        <f t="shared" si="21"/>
        <v>14.192825112107624</v>
      </c>
      <c r="E120" s="84">
        <f t="shared" ref="E120" si="68">+E118+E119</f>
        <v>5032</v>
      </c>
      <c r="F120" s="84">
        <f t="shared" ref="F120:I120" si="69">+F118+F119</f>
        <v>4829</v>
      </c>
      <c r="G120" s="84">
        <f t="shared" si="69"/>
        <v>5237.1340112960879</v>
      </c>
      <c r="H120" s="84">
        <f t="shared" si="69"/>
        <v>5672.2534038136973</v>
      </c>
      <c r="I120" s="84">
        <f t="shared" si="69"/>
        <v>6018.7260958243023</v>
      </c>
      <c r="J120" s="36"/>
      <c r="K120" s="36"/>
      <c r="L120" s="36"/>
    </row>
    <row r="121" spans="1:12">
      <c r="B121" s="102">
        <f>2629+1831</f>
        <v>4460</v>
      </c>
      <c r="C121" s="102">
        <f>2966+2127</f>
        <v>5093</v>
      </c>
      <c r="D121" s="103"/>
      <c r="E121" s="102">
        <f>1959+954+83+1126+654+256</f>
        <v>5032</v>
      </c>
      <c r="F121" s="102">
        <f>1924+866+107+1065+607+260</f>
        <v>4829</v>
      </c>
      <c r="G121" s="117">
        <f>+G111+G112+G115</f>
        <v>5237.1340112960888</v>
      </c>
      <c r="H121" s="117">
        <f t="shared" ref="H121:I121" si="70">+H111+H112+H115</f>
        <v>5672.2534038136964</v>
      </c>
      <c r="I121" s="117">
        <f t="shared" si="70"/>
        <v>6018.7260958243023</v>
      </c>
      <c r="J121" s="1" t="s">
        <v>60</v>
      </c>
      <c r="K121" s="36"/>
      <c r="L121" s="36"/>
    </row>
    <row r="122" spans="1:12">
      <c r="B122" s="80"/>
      <c r="C122" s="80"/>
      <c r="D122" s="79"/>
      <c r="E122" s="80"/>
      <c r="F122" s="80"/>
      <c r="G122" s="60"/>
      <c r="H122" s="60"/>
      <c r="I122" s="60"/>
      <c r="J122" s="36"/>
      <c r="K122" s="36"/>
      <c r="L122" s="36"/>
    </row>
    <row r="123" spans="1:12">
      <c r="B123" s="80"/>
      <c r="C123" s="80"/>
      <c r="D123" s="79"/>
      <c r="E123" s="80"/>
      <c r="F123" s="80"/>
      <c r="G123" s="60"/>
      <c r="H123" s="60"/>
      <c r="I123" s="60"/>
      <c r="J123" s="36"/>
      <c r="K123" s="36"/>
      <c r="L123" s="36"/>
    </row>
    <row r="124" spans="1:12">
      <c r="G124" s="36"/>
      <c r="H124" s="36"/>
      <c r="I124" s="36"/>
      <c r="J124" s="36"/>
      <c r="K124" s="36"/>
      <c r="L124" s="36"/>
    </row>
    <row r="125" spans="1:12">
      <c r="G125" s="36"/>
      <c r="H125" s="36"/>
      <c r="I125" s="36"/>
      <c r="J125" s="36"/>
      <c r="K125" s="36"/>
      <c r="L125" s="36"/>
    </row>
    <row r="126" spans="1:12">
      <c r="A126" s="36"/>
      <c r="B126" s="36"/>
      <c r="C126" s="36"/>
      <c r="F126" s="36"/>
      <c r="G126" s="36"/>
      <c r="H126" s="36"/>
      <c r="I126" s="36"/>
      <c r="J126" s="36"/>
      <c r="K126" s="36"/>
      <c r="L126" s="36"/>
    </row>
    <row r="131" spans="1:11" ht="21">
      <c r="A131" s="104" t="s">
        <v>61</v>
      </c>
      <c r="B131" s="104"/>
      <c r="D131" s="50"/>
      <c r="E131" s="51"/>
      <c r="F131" s="85"/>
      <c r="J131" s="36"/>
      <c r="K131" s="36"/>
    </row>
    <row r="132" spans="1:11" ht="19.5" thickBot="1">
      <c r="D132" s="3"/>
      <c r="E132" s="51"/>
      <c r="G132" s="51"/>
      <c r="J132" s="36"/>
      <c r="K132" s="36"/>
    </row>
    <row r="133" spans="1:11">
      <c r="B133" s="4" t="s">
        <v>11</v>
      </c>
      <c r="C133" s="4" t="s">
        <v>10</v>
      </c>
      <c r="D133" s="3"/>
      <c r="E133" s="4" t="s">
        <v>9</v>
      </c>
      <c r="F133" s="192" t="s">
        <v>6</v>
      </c>
      <c r="G133" s="193"/>
      <c r="H133" s="193"/>
      <c r="I133" s="194"/>
      <c r="J133" s="36"/>
      <c r="K133" s="36"/>
    </row>
    <row r="134" spans="1:11">
      <c r="A134" s="8" t="s">
        <v>5</v>
      </c>
      <c r="B134" s="9">
        <v>2010</v>
      </c>
      <c r="C134" s="9">
        <v>2011</v>
      </c>
      <c r="D134" s="10" t="s">
        <v>0</v>
      </c>
      <c r="E134" s="11">
        <v>2012</v>
      </c>
      <c r="F134" s="12">
        <v>2013</v>
      </c>
      <c r="G134" s="12">
        <v>2014</v>
      </c>
      <c r="H134" s="12">
        <v>2015</v>
      </c>
      <c r="I134" s="13">
        <v>2016</v>
      </c>
      <c r="J134" s="36"/>
      <c r="K134" s="36"/>
    </row>
    <row r="135" spans="1:11">
      <c r="A135" s="195" t="s">
        <v>31</v>
      </c>
      <c r="B135" s="195"/>
      <c r="C135" s="195"/>
      <c r="D135" s="195"/>
      <c r="E135" s="195"/>
      <c r="F135" s="195"/>
      <c r="G135" s="195"/>
      <c r="H135" s="195"/>
      <c r="I135" s="195"/>
      <c r="J135" s="36"/>
      <c r="K135" s="36"/>
    </row>
    <row r="136" spans="1:11">
      <c r="A136" s="129" t="s">
        <v>23</v>
      </c>
      <c r="B136" s="116">
        <f>+B7-B84</f>
        <v>680220</v>
      </c>
      <c r="C136" s="116">
        <f t="shared" ref="C136:I136" si="71">+C7-C84</f>
        <v>713086</v>
      </c>
      <c r="D136" s="118">
        <f t="shared" ref="D136:D157" si="72">+(C136-B136)/B136*100</f>
        <v>4.8316721060833263</v>
      </c>
      <c r="E136" s="116">
        <f t="shared" si="71"/>
        <v>738931</v>
      </c>
      <c r="F136" s="116">
        <f t="shared" si="71"/>
        <v>767946</v>
      </c>
      <c r="G136" s="116">
        <f t="shared" si="71"/>
        <v>753235.53200000001</v>
      </c>
      <c r="H136" s="116">
        <f t="shared" si="71"/>
        <v>782742.08600000001</v>
      </c>
      <c r="I136" s="116">
        <f t="shared" si="71"/>
        <v>811048.77799999993</v>
      </c>
      <c r="J136" s="52"/>
      <c r="K136" s="36"/>
    </row>
    <row r="137" spans="1:11">
      <c r="A137" s="16" t="s">
        <v>19</v>
      </c>
      <c r="B137" s="62">
        <f t="shared" ref="B137:I145" si="73">+B8-B85</f>
        <v>3770</v>
      </c>
      <c r="C137" s="62">
        <f t="shared" si="73"/>
        <v>3821</v>
      </c>
      <c r="D137" s="109">
        <f t="shared" si="72"/>
        <v>1.3527851458885942</v>
      </c>
      <c r="E137" s="62">
        <f t="shared" si="73"/>
        <v>3878</v>
      </c>
      <c r="F137" s="62">
        <f t="shared" si="73"/>
        <v>3981</v>
      </c>
      <c r="G137" s="62">
        <f t="shared" si="73"/>
        <v>3977.9579999999996</v>
      </c>
      <c r="H137" s="62">
        <f t="shared" si="73"/>
        <v>4073.2860000000001</v>
      </c>
      <c r="I137" s="62">
        <f t="shared" si="73"/>
        <v>4169.9380000000001</v>
      </c>
      <c r="J137" s="52"/>
      <c r="K137" s="36"/>
    </row>
    <row r="138" spans="1:11">
      <c r="A138" s="131" t="s">
        <v>15</v>
      </c>
      <c r="B138" s="132">
        <f t="shared" si="73"/>
        <v>67</v>
      </c>
      <c r="C138" s="132">
        <f t="shared" si="73"/>
        <v>76</v>
      </c>
      <c r="D138" s="133">
        <f t="shared" si="72"/>
        <v>13.432835820895523</v>
      </c>
      <c r="E138" s="132">
        <f t="shared" si="73"/>
        <v>83</v>
      </c>
      <c r="F138" s="132">
        <f t="shared" si="73"/>
        <v>94</v>
      </c>
      <c r="G138" s="132">
        <f t="shared" si="73"/>
        <v>100</v>
      </c>
      <c r="H138" s="132">
        <f t="shared" si="73"/>
        <v>109</v>
      </c>
      <c r="I138" s="132">
        <f t="shared" si="73"/>
        <v>117</v>
      </c>
      <c r="J138" s="36"/>
      <c r="K138" s="36"/>
    </row>
    <row r="139" spans="1:11">
      <c r="A139" s="130" t="s">
        <v>17</v>
      </c>
      <c r="B139" s="116">
        <f t="shared" si="73"/>
        <v>3703</v>
      </c>
      <c r="C139" s="116">
        <f t="shared" si="73"/>
        <v>3745</v>
      </c>
      <c r="D139" s="118">
        <f t="shared" si="72"/>
        <v>1.1342155009451798</v>
      </c>
      <c r="E139" s="116">
        <f t="shared" si="73"/>
        <v>3795</v>
      </c>
      <c r="F139" s="116">
        <f t="shared" si="73"/>
        <v>3887</v>
      </c>
      <c r="G139" s="116">
        <f t="shared" si="73"/>
        <v>3877.9579999999996</v>
      </c>
      <c r="H139" s="116">
        <f t="shared" si="73"/>
        <v>3964.2860000000001</v>
      </c>
      <c r="I139" s="116">
        <f t="shared" si="73"/>
        <v>4052.9379999999996</v>
      </c>
      <c r="J139" s="36"/>
    </row>
    <row r="140" spans="1:11">
      <c r="A140" s="16" t="s">
        <v>20</v>
      </c>
      <c r="B140" s="62">
        <f t="shared" si="73"/>
        <v>7</v>
      </c>
      <c r="C140" s="62">
        <f t="shared" si="73"/>
        <v>7</v>
      </c>
      <c r="D140" s="109">
        <f t="shared" si="72"/>
        <v>0</v>
      </c>
      <c r="E140" s="62">
        <f t="shared" si="73"/>
        <v>8</v>
      </c>
      <c r="F140" s="62">
        <f t="shared" si="73"/>
        <v>10</v>
      </c>
      <c r="G140" s="62">
        <f t="shared" si="73"/>
        <v>10</v>
      </c>
      <c r="H140" s="62">
        <f t="shared" si="73"/>
        <v>10</v>
      </c>
      <c r="I140" s="62">
        <f t="shared" si="73"/>
        <v>12</v>
      </c>
      <c r="J140" s="36"/>
      <c r="K140" s="36"/>
    </row>
    <row r="141" spans="1:11">
      <c r="A141" s="131" t="s">
        <v>16</v>
      </c>
      <c r="B141" s="132">
        <f t="shared" si="73"/>
        <v>6</v>
      </c>
      <c r="C141" s="132">
        <f t="shared" si="73"/>
        <v>7</v>
      </c>
      <c r="D141" s="133">
        <f t="shared" si="72"/>
        <v>16.666666666666664</v>
      </c>
      <c r="E141" s="132">
        <f t="shared" si="73"/>
        <v>7</v>
      </c>
      <c r="F141" s="132">
        <f t="shared" si="73"/>
        <v>8</v>
      </c>
      <c r="G141" s="132">
        <f t="shared" si="73"/>
        <v>8</v>
      </c>
      <c r="H141" s="132">
        <f t="shared" si="73"/>
        <v>9</v>
      </c>
      <c r="I141" s="132">
        <f t="shared" si="73"/>
        <v>11</v>
      </c>
      <c r="J141" s="53"/>
      <c r="K141" s="36"/>
    </row>
    <row r="142" spans="1:11">
      <c r="A142" s="130" t="s">
        <v>18</v>
      </c>
      <c r="B142" s="116">
        <f t="shared" si="73"/>
        <v>1</v>
      </c>
      <c r="C142" s="116">
        <f t="shared" si="73"/>
        <v>0</v>
      </c>
      <c r="D142" s="118">
        <f t="shared" si="72"/>
        <v>-100</v>
      </c>
      <c r="E142" s="116">
        <f t="shared" si="73"/>
        <v>1</v>
      </c>
      <c r="F142" s="116">
        <f t="shared" si="73"/>
        <v>2</v>
      </c>
      <c r="G142" s="116">
        <f t="shared" si="73"/>
        <v>2</v>
      </c>
      <c r="H142" s="116">
        <f t="shared" si="73"/>
        <v>1</v>
      </c>
      <c r="I142" s="116">
        <f t="shared" si="73"/>
        <v>1</v>
      </c>
      <c r="J142" s="36"/>
      <c r="K142" s="36"/>
    </row>
    <row r="143" spans="1:11">
      <c r="A143" s="20" t="s">
        <v>21</v>
      </c>
      <c r="B143" s="135">
        <f t="shared" si="73"/>
        <v>73</v>
      </c>
      <c r="C143" s="135">
        <f t="shared" si="73"/>
        <v>83</v>
      </c>
      <c r="D143" s="109">
        <f t="shared" si="72"/>
        <v>13.698630136986301</v>
      </c>
      <c r="E143" s="135">
        <f t="shared" si="73"/>
        <v>90</v>
      </c>
      <c r="F143" s="135">
        <f t="shared" si="73"/>
        <v>102</v>
      </c>
      <c r="G143" s="135">
        <f t="shared" si="73"/>
        <v>108</v>
      </c>
      <c r="H143" s="135">
        <f t="shared" si="73"/>
        <v>118</v>
      </c>
      <c r="I143" s="135">
        <f t="shared" si="73"/>
        <v>128</v>
      </c>
      <c r="J143" s="53"/>
      <c r="K143" s="36"/>
    </row>
    <row r="144" spans="1:11">
      <c r="A144" s="20" t="s">
        <v>22</v>
      </c>
      <c r="B144" s="135">
        <f t="shared" si="73"/>
        <v>683924</v>
      </c>
      <c r="C144" s="135">
        <f t="shared" si="73"/>
        <v>716831</v>
      </c>
      <c r="D144" s="109">
        <f t="shared" si="72"/>
        <v>4.81149952333885</v>
      </c>
      <c r="E144" s="135">
        <f t="shared" si="73"/>
        <v>742727</v>
      </c>
      <c r="F144" s="135">
        <f t="shared" si="73"/>
        <v>771835</v>
      </c>
      <c r="G144" s="135">
        <f t="shared" si="73"/>
        <v>757115.49</v>
      </c>
      <c r="H144" s="135">
        <f t="shared" si="73"/>
        <v>786707.37199999997</v>
      </c>
      <c r="I144" s="135">
        <f t="shared" si="73"/>
        <v>815102.71600000001</v>
      </c>
      <c r="J144" s="53"/>
      <c r="K144" s="36"/>
    </row>
    <row r="145" spans="1:11">
      <c r="A145" s="20" t="s">
        <v>1</v>
      </c>
      <c r="B145" s="135">
        <f t="shared" si="73"/>
        <v>683997</v>
      </c>
      <c r="C145" s="135">
        <f t="shared" si="73"/>
        <v>716914</v>
      </c>
      <c r="D145" s="109">
        <f t="shared" si="72"/>
        <v>4.8124480078129004</v>
      </c>
      <c r="E145" s="135">
        <f t="shared" si="73"/>
        <v>742817</v>
      </c>
      <c r="F145" s="135">
        <f t="shared" si="73"/>
        <v>771937</v>
      </c>
      <c r="G145" s="135">
        <f t="shared" si="73"/>
        <v>757223.49</v>
      </c>
      <c r="H145" s="135">
        <f t="shared" si="73"/>
        <v>786825.37199999997</v>
      </c>
      <c r="I145" s="135">
        <f t="shared" si="73"/>
        <v>815230.71600000001</v>
      </c>
      <c r="J145" s="53"/>
      <c r="K145" s="36"/>
    </row>
    <row r="146" spans="1:11">
      <c r="A146" s="26"/>
      <c r="B146" s="113">
        <f>+B136+B137+B140</f>
        <v>683997</v>
      </c>
      <c r="C146" s="113">
        <f t="shared" ref="C146:I146" si="74">+C136+C137+C140</f>
        <v>716914</v>
      </c>
      <c r="D146" s="113"/>
      <c r="E146" s="113">
        <f t="shared" si="74"/>
        <v>742817</v>
      </c>
      <c r="F146" s="113">
        <f t="shared" si="74"/>
        <v>771937</v>
      </c>
      <c r="G146" s="113">
        <f t="shared" si="74"/>
        <v>757223.49</v>
      </c>
      <c r="H146" s="113">
        <f t="shared" si="74"/>
        <v>786825.37199999997</v>
      </c>
      <c r="I146" s="113">
        <f t="shared" si="74"/>
        <v>815230.7159999999</v>
      </c>
      <c r="J146" s="1" t="s">
        <v>60</v>
      </c>
      <c r="K146" s="36"/>
    </row>
    <row r="147" spans="1:11">
      <c r="A147" s="185" t="s">
        <v>30</v>
      </c>
      <c r="B147" s="186"/>
      <c r="C147" s="186"/>
      <c r="D147" s="186"/>
      <c r="E147" s="186"/>
      <c r="F147" s="186"/>
      <c r="G147" s="186"/>
      <c r="H147" s="186"/>
      <c r="I147" s="187"/>
      <c r="J147" s="53"/>
      <c r="K147" s="36"/>
    </row>
    <row r="148" spans="1:11">
      <c r="A148" s="129" t="s">
        <v>24</v>
      </c>
      <c r="B148" s="116">
        <f>+B19-B96</f>
        <v>2088.6</v>
      </c>
      <c r="C148" s="137">
        <f t="shared" ref="C148:I148" si="75">+C19-C96</f>
        <v>2186.7000000000003</v>
      </c>
      <c r="D148" s="118">
        <f t="shared" si="72"/>
        <v>4.696926170640638</v>
      </c>
      <c r="E148" s="137">
        <f t="shared" si="75"/>
        <v>2419.9</v>
      </c>
      <c r="F148" s="137">
        <f t="shared" si="75"/>
        <v>2675.8</v>
      </c>
      <c r="G148" s="137">
        <f t="shared" si="75"/>
        <v>2885.8440000000001</v>
      </c>
      <c r="H148" s="137">
        <f t="shared" si="75"/>
        <v>3110.4840000000004</v>
      </c>
      <c r="I148" s="137">
        <f t="shared" si="75"/>
        <v>3268.8240000000001</v>
      </c>
      <c r="J148" s="52"/>
      <c r="K148" s="36"/>
    </row>
    <row r="149" spans="1:11">
      <c r="A149" s="16" t="s">
        <v>25</v>
      </c>
      <c r="B149" s="62">
        <f t="shared" ref="B149:I157" si="76">+B20-B97</f>
        <v>1632.1999999999998</v>
      </c>
      <c r="C149" s="63">
        <f t="shared" si="76"/>
        <v>1740.7000000000003</v>
      </c>
      <c r="D149" s="109">
        <f t="shared" si="72"/>
        <v>6.64746967283424</v>
      </c>
      <c r="E149" s="63">
        <f t="shared" si="76"/>
        <v>1899.3</v>
      </c>
      <c r="F149" s="63">
        <f t="shared" si="76"/>
        <v>2069.5</v>
      </c>
      <c r="G149" s="83">
        <f t="shared" si="76"/>
        <v>2219.2195000000002</v>
      </c>
      <c r="H149" s="83">
        <f t="shared" si="76"/>
        <v>2378.0585000000001</v>
      </c>
      <c r="I149" s="83">
        <f t="shared" si="76"/>
        <v>2516.3225000000002</v>
      </c>
      <c r="J149" s="52"/>
      <c r="K149" s="36"/>
    </row>
    <row r="150" spans="1:11">
      <c r="A150" s="131" t="s">
        <v>13</v>
      </c>
      <c r="B150" s="138">
        <f t="shared" si="76"/>
        <v>536.76</v>
      </c>
      <c r="C150" s="138">
        <f t="shared" si="76"/>
        <v>638.61</v>
      </c>
      <c r="D150" s="133">
        <f t="shared" si="72"/>
        <v>18.97496087636933</v>
      </c>
      <c r="E150" s="139">
        <f t="shared" si="76"/>
        <v>760.57</v>
      </c>
      <c r="F150" s="139">
        <f t="shared" si="76"/>
        <v>905</v>
      </c>
      <c r="G150" s="139">
        <f t="shared" si="76"/>
        <v>1077</v>
      </c>
      <c r="H150" s="139">
        <f t="shared" si="76"/>
        <v>1280</v>
      </c>
      <c r="I150" s="139">
        <f t="shared" si="76"/>
        <v>1521</v>
      </c>
      <c r="J150" s="53"/>
      <c r="K150" s="36"/>
    </row>
    <row r="151" spans="1:11">
      <c r="A151" s="130" t="s">
        <v>26</v>
      </c>
      <c r="B151" s="116">
        <f t="shared" si="76"/>
        <v>1095.4399999999998</v>
      </c>
      <c r="C151" s="116">
        <f t="shared" si="76"/>
        <v>1102.0900000000001</v>
      </c>
      <c r="D151" s="118">
        <f t="shared" si="72"/>
        <v>0.60706200248304965</v>
      </c>
      <c r="E151" s="137">
        <f t="shared" si="76"/>
        <v>1138.7299999999998</v>
      </c>
      <c r="F151" s="137">
        <f t="shared" si="76"/>
        <v>1164.5</v>
      </c>
      <c r="G151" s="137">
        <f t="shared" si="76"/>
        <v>1142.2195000000002</v>
      </c>
      <c r="H151" s="137">
        <f t="shared" si="76"/>
        <v>1098.0585000000001</v>
      </c>
      <c r="I151" s="137">
        <f t="shared" si="76"/>
        <v>995.32249999999999</v>
      </c>
      <c r="J151" s="36"/>
      <c r="K151" s="36"/>
    </row>
    <row r="152" spans="1:11">
      <c r="A152" s="16" t="s">
        <v>27</v>
      </c>
      <c r="B152" s="62">
        <f t="shared" si="76"/>
        <v>307.79999999999995</v>
      </c>
      <c r="C152" s="63">
        <f t="shared" si="76"/>
        <v>343.40000000000003</v>
      </c>
      <c r="D152" s="109">
        <f t="shared" si="72"/>
        <v>11.565951916829137</v>
      </c>
      <c r="E152" s="63">
        <f t="shared" si="76"/>
        <v>379</v>
      </c>
      <c r="F152" s="63">
        <f t="shared" si="76"/>
        <v>392.70000000000005</v>
      </c>
      <c r="G152" s="83">
        <f t="shared" si="76"/>
        <v>467.39000000000004</v>
      </c>
      <c r="H152" s="83">
        <f t="shared" si="76"/>
        <v>543.69000000000005</v>
      </c>
      <c r="I152" s="83">
        <f t="shared" si="76"/>
        <v>619.99</v>
      </c>
      <c r="J152" s="52"/>
      <c r="K152" s="36"/>
    </row>
    <row r="153" spans="1:11">
      <c r="A153" s="131" t="s">
        <v>28</v>
      </c>
      <c r="B153" s="132">
        <f t="shared" si="76"/>
        <v>308</v>
      </c>
      <c r="C153" s="139">
        <f t="shared" si="76"/>
        <v>343</v>
      </c>
      <c r="D153" s="133">
        <f t="shared" si="72"/>
        <v>11.363636363636363</v>
      </c>
      <c r="E153" s="139">
        <f t="shared" si="76"/>
        <v>376</v>
      </c>
      <c r="F153" s="139">
        <f t="shared" si="76"/>
        <v>387</v>
      </c>
      <c r="G153" s="139">
        <f t="shared" si="76"/>
        <v>413</v>
      </c>
      <c r="H153" s="139">
        <f t="shared" si="76"/>
        <v>438</v>
      </c>
      <c r="I153" s="139">
        <f t="shared" si="76"/>
        <v>464</v>
      </c>
      <c r="J153" s="36"/>
      <c r="K153" s="36"/>
    </row>
    <row r="154" spans="1:11">
      <c r="A154" s="130" t="s">
        <v>29</v>
      </c>
      <c r="B154" s="116">
        <f t="shared" si="76"/>
        <v>-0.20000000000001705</v>
      </c>
      <c r="C154" s="116">
        <f t="shared" si="76"/>
        <v>0.40000000000003411</v>
      </c>
      <c r="D154" s="118">
        <v>0</v>
      </c>
      <c r="E154" s="137">
        <f t="shared" si="76"/>
        <v>3</v>
      </c>
      <c r="F154" s="137">
        <f t="shared" si="76"/>
        <v>5.7000000000000455</v>
      </c>
      <c r="G154" s="137">
        <f t="shared" si="76"/>
        <v>54.390000000000043</v>
      </c>
      <c r="H154" s="137">
        <f t="shared" si="76"/>
        <v>105.69000000000005</v>
      </c>
      <c r="I154" s="137">
        <f t="shared" si="76"/>
        <v>155.99000000000007</v>
      </c>
      <c r="J154" s="36"/>
      <c r="K154" s="36"/>
    </row>
    <row r="155" spans="1:11">
      <c r="A155" s="20" t="s">
        <v>32</v>
      </c>
      <c r="B155" s="84">
        <f t="shared" si="76"/>
        <v>844.76</v>
      </c>
      <c r="C155" s="84">
        <f t="shared" si="76"/>
        <v>981.61000000000013</v>
      </c>
      <c r="D155" s="109">
        <f t="shared" si="72"/>
        <v>16.199867417964882</v>
      </c>
      <c r="E155" s="84">
        <f t="shared" si="76"/>
        <v>1136.5700000000002</v>
      </c>
      <c r="F155" s="84">
        <f t="shared" si="76"/>
        <v>1292</v>
      </c>
      <c r="G155" s="84">
        <f t="shared" si="76"/>
        <v>1490</v>
      </c>
      <c r="H155" s="84">
        <f t="shared" si="76"/>
        <v>1718</v>
      </c>
      <c r="I155" s="84">
        <f t="shared" si="76"/>
        <v>1985</v>
      </c>
      <c r="J155" s="36"/>
      <c r="K155" s="36"/>
    </row>
    <row r="156" spans="1:11">
      <c r="A156" s="20" t="s">
        <v>33</v>
      </c>
      <c r="B156" s="84">
        <f t="shared" si="76"/>
        <v>3183.8399999999997</v>
      </c>
      <c r="C156" s="84">
        <f t="shared" si="76"/>
        <v>3289.19</v>
      </c>
      <c r="D156" s="109">
        <f t="shared" si="72"/>
        <v>3.3088974320317726</v>
      </c>
      <c r="E156" s="84">
        <f t="shared" si="76"/>
        <v>3561.63</v>
      </c>
      <c r="F156" s="84">
        <f t="shared" si="76"/>
        <v>3846</v>
      </c>
      <c r="G156" s="84">
        <f t="shared" si="76"/>
        <v>4082.4535000000001</v>
      </c>
      <c r="H156" s="84">
        <f t="shared" si="76"/>
        <v>4314.2325000000001</v>
      </c>
      <c r="I156" s="84">
        <f t="shared" si="76"/>
        <v>4420.1365000000005</v>
      </c>
      <c r="J156" s="36"/>
      <c r="K156" s="36"/>
    </row>
    <row r="157" spans="1:11">
      <c r="A157" s="20" t="s">
        <v>43</v>
      </c>
      <c r="B157" s="84">
        <f t="shared" si="76"/>
        <v>4028.6</v>
      </c>
      <c r="C157" s="84">
        <f t="shared" si="76"/>
        <v>4270.8000000000011</v>
      </c>
      <c r="D157" s="109">
        <f t="shared" si="72"/>
        <v>6.0120140991908153</v>
      </c>
      <c r="E157" s="84">
        <f t="shared" si="76"/>
        <v>4698.2</v>
      </c>
      <c r="F157" s="84">
        <f t="shared" si="76"/>
        <v>5138</v>
      </c>
      <c r="G157" s="84">
        <f t="shared" si="76"/>
        <v>5572.4534999999996</v>
      </c>
      <c r="H157" s="84">
        <f t="shared" si="76"/>
        <v>6032.2325000000001</v>
      </c>
      <c r="I157" s="84">
        <f t="shared" si="76"/>
        <v>6405.1365000000005</v>
      </c>
      <c r="J157" s="36"/>
      <c r="K157" s="36"/>
    </row>
    <row r="158" spans="1:11">
      <c r="A158" s="33"/>
      <c r="B158" s="81">
        <f>+B148+B149+B152</f>
        <v>4028.5999999999995</v>
      </c>
      <c r="C158" s="81">
        <f t="shared" ref="C158:I158" si="77">+C148+C149+C152</f>
        <v>4270.8</v>
      </c>
      <c r="D158" s="118"/>
      <c r="E158" s="81">
        <f t="shared" si="77"/>
        <v>4698.2</v>
      </c>
      <c r="F158" s="81">
        <f t="shared" si="77"/>
        <v>5138</v>
      </c>
      <c r="G158" s="119">
        <f t="shared" si="77"/>
        <v>5572.4535000000005</v>
      </c>
      <c r="H158" s="119">
        <f t="shared" si="77"/>
        <v>6032.2325000000001</v>
      </c>
      <c r="I158" s="119">
        <f t="shared" si="77"/>
        <v>6405.1365000000005</v>
      </c>
      <c r="J158" s="1" t="s">
        <v>60</v>
      </c>
      <c r="K158" s="36"/>
    </row>
    <row r="159" spans="1:11">
      <c r="A159" s="33" t="s">
        <v>2</v>
      </c>
      <c r="B159" s="71"/>
      <c r="C159" s="71"/>
      <c r="D159" s="110"/>
      <c r="E159" s="73"/>
      <c r="F159" s="73"/>
      <c r="G159" s="71"/>
      <c r="H159" s="71"/>
      <c r="I159" s="71"/>
      <c r="J159" s="36"/>
      <c r="K159" s="36"/>
    </row>
    <row r="160" spans="1:11">
      <c r="A160" s="33" t="s">
        <v>3</v>
      </c>
      <c r="B160" s="71"/>
      <c r="C160" s="71"/>
      <c r="D160" s="110"/>
      <c r="E160" s="73"/>
      <c r="F160" s="73"/>
      <c r="G160" s="71"/>
      <c r="H160" s="71"/>
      <c r="I160" s="71"/>
      <c r="J160" s="36"/>
      <c r="K160" s="36"/>
    </row>
    <row r="161" spans="1:11">
      <c r="A161" s="33" t="s">
        <v>14</v>
      </c>
      <c r="B161" s="71"/>
      <c r="C161" s="71"/>
      <c r="D161" s="110"/>
      <c r="E161" s="73"/>
      <c r="F161" s="73"/>
      <c r="G161" s="71"/>
      <c r="H161" s="71"/>
      <c r="I161" s="71"/>
      <c r="J161" s="36"/>
      <c r="K161" s="36"/>
    </row>
    <row r="162" spans="1:11">
      <c r="A162" s="188" t="s">
        <v>65</v>
      </c>
      <c r="B162" s="189"/>
      <c r="C162" s="189"/>
      <c r="D162" s="189"/>
      <c r="E162" s="189"/>
      <c r="F162" s="189"/>
      <c r="G162" s="189"/>
      <c r="H162" s="189"/>
      <c r="I162" s="190"/>
      <c r="J162" s="36"/>
      <c r="K162" s="36"/>
    </row>
    <row r="163" spans="1:11">
      <c r="A163" s="129" t="s">
        <v>34</v>
      </c>
      <c r="B163" s="116">
        <f>+B34-B111</f>
        <v>8279</v>
      </c>
      <c r="C163" s="116">
        <f t="shared" ref="C163:I163" si="78">+C34-C111</f>
        <v>8714</v>
      </c>
      <c r="D163" s="118">
        <f t="shared" ref="D163:D172" si="79">+(C163-B163)/B163*100</f>
        <v>5.2542577605991063</v>
      </c>
      <c r="E163" s="116">
        <f t="shared" si="78"/>
        <v>9579</v>
      </c>
      <c r="F163" s="116">
        <f t="shared" si="78"/>
        <v>10590</v>
      </c>
      <c r="G163" s="116">
        <f t="shared" si="78"/>
        <v>11422.081052815671</v>
      </c>
      <c r="H163" s="116">
        <f t="shared" si="78"/>
        <v>12311.19920601609</v>
      </c>
      <c r="I163" s="116">
        <f t="shared" si="78"/>
        <v>12937.904015389999</v>
      </c>
      <c r="J163" s="52"/>
      <c r="K163" s="36"/>
    </row>
    <row r="164" spans="1:11">
      <c r="A164" s="16" t="s">
        <v>35</v>
      </c>
      <c r="B164" s="62">
        <f t="shared" ref="B164:I172" si="80">+B35-B112</f>
        <v>5402</v>
      </c>
      <c r="C164" s="62">
        <f t="shared" si="80"/>
        <v>5657</v>
      </c>
      <c r="D164" s="110">
        <f t="shared" si="79"/>
        <v>4.720473898556091</v>
      </c>
      <c r="E164" s="62">
        <f t="shared" si="80"/>
        <v>6281</v>
      </c>
      <c r="F164" s="62">
        <f t="shared" si="80"/>
        <v>6842</v>
      </c>
      <c r="G164" s="62">
        <f t="shared" si="80"/>
        <v>7338.560406641478</v>
      </c>
      <c r="H164" s="62">
        <f t="shared" si="80"/>
        <v>7863.8124587393122</v>
      </c>
      <c r="I164" s="62">
        <f t="shared" si="80"/>
        <v>8321.0266802545229</v>
      </c>
      <c r="J164" s="52"/>
      <c r="K164" s="36"/>
    </row>
    <row r="165" spans="1:11">
      <c r="A165" s="140" t="s">
        <v>36</v>
      </c>
      <c r="B165" s="141">
        <f t="shared" si="80"/>
        <v>1773.1520412578614</v>
      </c>
      <c r="C165" s="141">
        <f t="shared" si="80"/>
        <v>2075.7729327848101</v>
      </c>
      <c r="D165" s="142">
        <f t="shared" si="79"/>
        <v>17.066832650869106</v>
      </c>
      <c r="E165" s="141">
        <f t="shared" si="80"/>
        <v>2515.2200236275985</v>
      </c>
      <c r="F165" s="141">
        <f t="shared" si="80"/>
        <v>2992.1062895878063</v>
      </c>
      <c r="G165" s="141">
        <f t="shared" si="80"/>
        <v>3560.8069833169861</v>
      </c>
      <c r="H165" s="141">
        <f t="shared" si="80"/>
        <v>4232.0092349764618</v>
      </c>
      <c r="I165" s="141">
        <f t="shared" si="80"/>
        <v>5028.8607876563119</v>
      </c>
      <c r="K165" s="36"/>
    </row>
    <row r="166" spans="1:11">
      <c r="A166" s="130" t="s">
        <v>37</v>
      </c>
      <c r="B166" s="116">
        <f t="shared" si="80"/>
        <v>3628.8479587421389</v>
      </c>
      <c r="C166" s="116">
        <f t="shared" si="80"/>
        <v>3581.2270672151894</v>
      </c>
      <c r="D166" s="118">
        <f t="shared" si="79"/>
        <v>-1.3122867661685165</v>
      </c>
      <c r="E166" s="116">
        <f t="shared" si="80"/>
        <v>3765.7799763724015</v>
      </c>
      <c r="F166" s="116">
        <f t="shared" si="80"/>
        <v>3849.8937104121942</v>
      </c>
      <c r="G166" s="116">
        <f t="shared" si="80"/>
        <v>3777.7534233244924</v>
      </c>
      <c r="H166" s="116">
        <f t="shared" si="80"/>
        <v>3631.8032237628504</v>
      </c>
      <c r="I166" s="116">
        <f t="shared" si="80"/>
        <v>3292.165892598211</v>
      </c>
      <c r="J166" s="36"/>
      <c r="K166" s="36"/>
    </row>
    <row r="167" spans="1:11">
      <c r="A167" s="16" t="s">
        <v>38</v>
      </c>
      <c r="B167" s="62">
        <f t="shared" si="80"/>
        <v>683.7</v>
      </c>
      <c r="C167" s="62">
        <f t="shared" si="80"/>
        <v>764</v>
      </c>
      <c r="D167" s="110">
        <f t="shared" si="79"/>
        <v>11.744917361415819</v>
      </c>
      <c r="E167" s="62">
        <f t="shared" si="80"/>
        <v>830</v>
      </c>
      <c r="F167" s="62">
        <f t="shared" si="80"/>
        <v>861</v>
      </c>
      <c r="G167" s="62">
        <f t="shared" si="80"/>
        <v>1025.1022928482255</v>
      </c>
      <c r="H167" s="62">
        <f t="shared" si="80"/>
        <v>1192.4471332263242</v>
      </c>
      <c r="I167" s="62">
        <f t="shared" si="80"/>
        <v>1359.791973604423</v>
      </c>
      <c r="J167" s="52"/>
      <c r="K167" s="36"/>
    </row>
    <row r="168" spans="1:11">
      <c r="A168" s="140" t="s">
        <v>39</v>
      </c>
      <c r="B168" s="141">
        <f>+B39-B116</f>
        <v>683.67175794251125</v>
      </c>
      <c r="C168" s="141">
        <f t="shared" si="80"/>
        <v>764.48424513338114</v>
      </c>
      <c r="D168" s="142">
        <f t="shared" si="79"/>
        <v>11.820363537331502</v>
      </c>
      <c r="E168" s="141">
        <f t="shared" si="80"/>
        <v>823.43258426966281</v>
      </c>
      <c r="F168" s="141">
        <f t="shared" si="80"/>
        <v>848.5163188871054</v>
      </c>
      <c r="G168" s="141">
        <f t="shared" si="80"/>
        <v>905.52097824148382</v>
      </c>
      <c r="H168" s="141">
        <f t="shared" si="80"/>
        <v>960.32432673443918</v>
      </c>
      <c r="I168" s="141">
        <f t="shared" si="80"/>
        <v>1017.3177947208846</v>
      </c>
      <c r="J168" s="36"/>
      <c r="K168" s="36"/>
    </row>
    <row r="169" spans="1:11">
      <c r="A169" s="130" t="s">
        <v>40</v>
      </c>
      <c r="B169" s="116">
        <f t="shared" si="80"/>
        <v>2.8242057488739647E-2</v>
      </c>
      <c r="C169" s="116">
        <f t="shared" si="80"/>
        <v>-0.48424513338119368</v>
      </c>
      <c r="D169" s="110">
        <v>0</v>
      </c>
      <c r="E169" s="116">
        <f t="shared" si="80"/>
        <v>6.5674157303371885</v>
      </c>
      <c r="F169" s="116">
        <f t="shared" si="80"/>
        <v>12.483681112894601</v>
      </c>
      <c r="G169" s="116">
        <f t="shared" si="80"/>
        <v>119.58131460674156</v>
      </c>
      <c r="H169" s="116">
        <f t="shared" si="80"/>
        <v>232.12280649188511</v>
      </c>
      <c r="I169" s="116">
        <f t="shared" si="80"/>
        <v>342.4741788835384</v>
      </c>
      <c r="J169" s="36"/>
      <c r="K169" s="36"/>
    </row>
    <row r="170" spans="1:11">
      <c r="A170" s="20" t="s">
        <v>41</v>
      </c>
      <c r="B170" s="135">
        <f t="shared" si="80"/>
        <v>2456.8237992003728</v>
      </c>
      <c r="C170" s="135">
        <f t="shared" si="80"/>
        <v>2840.2571779181912</v>
      </c>
      <c r="D170" s="110">
        <f t="shared" si="79"/>
        <v>15.606873347718922</v>
      </c>
      <c r="E170" s="135">
        <f t="shared" si="80"/>
        <v>3338.6526078972611</v>
      </c>
      <c r="F170" s="135">
        <f t="shared" si="80"/>
        <v>3840.6226084749114</v>
      </c>
      <c r="G170" s="135">
        <f t="shared" si="80"/>
        <v>4466.3279615584697</v>
      </c>
      <c r="H170" s="135">
        <f t="shared" si="80"/>
        <v>5192.3335617109014</v>
      </c>
      <c r="I170" s="135">
        <f t="shared" si="80"/>
        <v>6046.178582377197</v>
      </c>
      <c r="J170" s="36"/>
      <c r="K170" s="36"/>
    </row>
    <row r="171" spans="1:11">
      <c r="A171" s="20" t="s">
        <v>42</v>
      </c>
      <c r="B171" s="135">
        <f t="shared" si="80"/>
        <v>11907.876200799627</v>
      </c>
      <c r="C171" s="135">
        <f t="shared" si="80"/>
        <v>12294.742822081811</v>
      </c>
      <c r="D171" s="110">
        <f t="shared" si="79"/>
        <v>3.2488297220977658</v>
      </c>
      <c r="E171" s="135">
        <f t="shared" si="80"/>
        <v>13351.347392102736</v>
      </c>
      <c r="F171" s="135">
        <f t="shared" si="80"/>
        <v>14452.377391525091</v>
      </c>
      <c r="G171" s="135">
        <f t="shared" si="80"/>
        <v>15319.415790746903</v>
      </c>
      <c r="H171" s="135">
        <f t="shared" si="80"/>
        <v>16175.125236270824</v>
      </c>
      <c r="I171" s="135">
        <f t="shared" si="80"/>
        <v>16572.544086871749</v>
      </c>
      <c r="J171" s="36"/>
      <c r="K171" s="36"/>
    </row>
    <row r="172" spans="1:11">
      <c r="A172" s="20" t="s">
        <v>4</v>
      </c>
      <c r="B172" s="135">
        <f t="shared" si="80"/>
        <v>14364.7</v>
      </c>
      <c r="C172" s="135">
        <f t="shared" si="80"/>
        <v>15135</v>
      </c>
      <c r="D172" s="110">
        <f t="shared" si="79"/>
        <v>5.3624510083746912</v>
      </c>
      <c r="E172" s="135">
        <f t="shared" si="80"/>
        <v>16689.999999999996</v>
      </c>
      <c r="F172" s="135">
        <f t="shared" si="80"/>
        <v>18293.000000000004</v>
      </c>
      <c r="G172" s="135">
        <f t="shared" si="80"/>
        <v>19785.743752305374</v>
      </c>
      <c r="H172" s="135">
        <f t="shared" si="80"/>
        <v>21367.458797981726</v>
      </c>
      <c r="I172" s="135">
        <f t="shared" si="80"/>
        <v>22618.722669248946</v>
      </c>
      <c r="J172" s="36"/>
      <c r="K172" s="36"/>
    </row>
    <row r="173" spans="1:11">
      <c r="B173" s="102">
        <f>+B163+B164+B167</f>
        <v>14364.7</v>
      </c>
      <c r="C173" s="102">
        <f t="shared" ref="C173:I173" si="81">+C163+C164+C167</f>
        <v>15135</v>
      </c>
      <c r="D173" s="103"/>
      <c r="E173" s="102">
        <f t="shared" si="81"/>
        <v>16690</v>
      </c>
      <c r="F173" s="102">
        <f t="shared" si="81"/>
        <v>18293</v>
      </c>
      <c r="G173" s="120">
        <f t="shared" si="81"/>
        <v>19785.743752305374</v>
      </c>
      <c r="H173" s="120">
        <f t="shared" si="81"/>
        <v>21367.458797981726</v>
      </c>
      <c r="I173" s="120">
        <f t="shared" si="81"/>
        <v>22618.722669248946</v>
      </c>
      <c r="J173" s="1" t="s">
        <v>60</v>
      </c>
      <c r="K173" s="36"/>
    </row>
    <row r="174" spans="1:11">
      <c r="B174" s="80"/>
      <c r="C174" s="80"/>
      <c r="D174" s="79"/>
      <c r="E174" s="80"/>
      <c r="F174" s="80"/>
      <c r="G174" s="60"/>
      <c r="H174" s="60"/>
      <c r="I174" s="60"/>
      <c r="J174" s="36"/>
      <c r="K174" s="36"/>
    </row>
    <row r="175" spans="1:11">
      <c r="B175" s="80"/>
      <c r="C175" s="80"/>
      <c r="D175" s="79"/>
      <c r="E175" s="80"/>
      <c r="F175" s="80"/>
      <c r="G175" s="60"/>
      <c r="H175" s="60"/>
      <c r="I175" s="60"/>
      <c r="J175" s="36"/>
      <c r="K175" s="36"/>
    </row>
    <row r="176" spans="1:11">
      <c r="A176" s="121" t="s">
        <v>62</v>
      </c>
      <c r="B176" s="122">
        <f>+B145+B93</f>
        <v>965118</v>
      </c>
      <c r="C176" s="122">
        <f t="shared" ref="C176:I176" si="82">+C145+C93</f>
        <v>1018065</v>
      </c>
      <c r="D176" s="122"/>
      <c r="E176" s="122">
        <f t="shared" si="82"/>
        <v>1059717</v>
      </c>
      <c r="F176" s="122">
        <f t="shared" si="82"/>
        <v>1106381</v>
      </c>
      <c r="G176" s="122">
        <f t="shared" si="82"/>
        <v>1085158</v>
      </c>
      <c r="H176" s="122">
        <f t="shared" si="82"/>
        <v>1127575</v>
      </c>
      <c r="I176" s="122">
        <f t="shared" si="82"/>
        <v>1168277</v>
      </c>
      <c r="J176" s="182" t="s">
        <v>59</v>
      </c>
      <c r="K176" s="36"/>
    </row>
    <row r="177" spans="1:11">
      <c r="A177" s="123" t="s">
        <v>63</v>
      </c>
      <c r="B177" s="124">
        <f>+B158+B105</f>
        <v>5269.6999999999989</v>
      </c>
      <c r="C177" s="3">
        <f t="shared" ref="C177:I177" si="83">+C158+C105</f>
        <v>5683.2000000000007</v>
      </c>
      <c r="D177" s="3"/>
      <c r="E177" s="3">
        <f t="shared" si="83"/>
        <v>6119</v>
      </c>
      <c r="F177" s="3">
        <f t="shared" si="83"/>
        <v>6506</v>
      </c>
      <c r="G177" s="125">
        <f t="shared" si="83"/>
        <v>7064</v>
      </c>
      <c r="H177" s="125">
        <f t="shared" si="83"/>
        <v>7654</v>
      </c>
      <c r="I177" s="125">
        <f t="shared" si="83"/>
        <v>8134</v>
      </c>
      <c r="J177" s="183"/>
      <c r="K177" s="36"/>
    </row>
    <row r="178" spans="1:11">
      <c r="A178" s="126" t="s">
        <v>64</v>
      </c>
      <c r="B178" s="127">
        <f>+B172+B120</f>
        <v>18824.7</v>
      </c>
      <c r="C178" s="127">
        <f t="shared" ref="C178:I178" si="84">+C172+C120</f>
        <v>20228</v>
      </c>
      <c r="D178" s="128"/>
      <c r="E178" s="128">
        <f t="shared" si="84"/>
        <v>21721.999999999996</v>
      </c>
      <c r="F178" s="127">
        <f t="shared" si="84"/>
        <v>23122.000000000004</v>
      </c>
      <c r="G178" s="127">
        <f t="shared" si="84"/>
        <v>25022.877763601464</v>
      </c>
      <c r="H178" s="127">
        <f t="shared" si="84"/>
        <v>27039.712201795424</v>
      </c>
      <c r="I178" s="127">
        <f t="shared" si="84"/>
        <v>28637.448765073248</v>
      </c>
      <c r="J178" s="184"/>
      <c r="K178" s="36"/>
    </row>
    <row r="179" spans="1:11">
      <c r="B179" s="61"/>
      <c r="C179" s="61"/>
      <c r="D179" s="61"/>
      <c r="E179" s="61"/>
      <c r="F179" s="61"/>
      <c r="G179" s="61"/>
      <c r="H179" s="61"/>
      <c r="I179" s="61"/>
    </row>
  </sheetData>
  <mergeCells count="8">
    <mergeCell ref="J176:J178"/>
    <mergeCell ref="A147:I147"/>
    <mergeCell ref="A162:I162"/>
    <mergeCell ref="A58:I58"/>
    <mergeCell ref="F81:I81"/>
    <mergeCell ref="A83:I83"/>
    <mergeCell ref="F133:I133"/>
    <mergeCell ref="A135:I135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6"/>
  <sheetViews>
    <sheetView topLeftCell="D145" workbookViewId="0">
      <selection activeCell="J86" sqref="J86:J92"/>
    </sheetView>
  </sheetViews>
  <sheetFormatPr baseColWidth="10" defaultColWidth="13.77734375" defaultRowHeight="18.75"/>
  <cols>
    <col min="1" max="1" width="32.109375" style="2" customWidth="1"/>
    <col min="2" max="2" width="11.77734375" style="2" customWidth="1"/>
    <col min="3" max="3" width="11.109375" style="2" customWidth="1"/>
    <col min="4" max="4" width="9.109375" style="2" customWidth="1"/>
    <col min="5" max="5" width="12.109375" style="2" customWidth="1"/>
    <col min="6" max="6" width="10.44140625" style="2" customWidth="1"/>
    <col min="7" max="7" width="12.109375" style="2" customWidth="1"/>
    <col min="8" max="8" width="11.44140625" style="2" customWidth="1"/>
    <col min="9" max="9" width="10.77734375" style="2" customWidth="1"/>
    <col min="10" max="10" width="14" style="2" customWidth="1"/>
    <col min="11" max="11" width="14.5546875" style="2" customWidth="1"/>
    <col min="12" max="12" width="13.6640625" style="2" customWidth="1"/>
    <col min="13" max="13" width="8" style="2" customWidth="1"/>
    <col min="14" max="14" width="7.5546875" style="2" customWidth="1"/>
    <col min="15" max="16384" width="13.77734375" style="2"/>
  </cols>
  <sheetData>
    <row r="1" spans="1:10">
      <c r="A1" s="147" t="s">
        <v>44</v>
      </c>
      <c r="B1" s="147"/>
    </row>
    <row r="2" spans="1:10">
      <c r="A2" s="148"/>
      <c r="B2" s="149"/>
      <c r="C2" s="149"/>
      <c r="D2" s="149"/>
      <c r="E2" s="149"/>
      <c r="F2" s="149"/>
      <c r="G2" s="149"/>
      <c r="H2" s="149"/>
      <c r="I2" s="149"/>
    </row>
    <row r="3" spans="1:10" ht="19.5" thickBot="1">
      <c r="C3" s="50"/>
      <c r="D3" s="50"/>
      <c r="E3" s="50"/>
      <c r="F3" s="50"/>
      <c r="G3" s="50"/>
      <c r="H3" s="50"/>
      <c r="I3" s="50"/>
      <c r="J3" s="50"/>
    </row>
    <row r="4" spans="1:10">
      <c r="B4" s="4" t="s">
        <v>11</v>
      </c>
      <c r="C4" s="4" t="s">
        <v>10</v>
      </c>
      <c r="D4" s="3"/>
      <c r="E4" s="4" t="s">
        <v>9</v>
      </c>
      <c r="F4" s="196" t="s">
        <v>66</v>
      </c>
      <c r="G4" s="197"/>
      <c r="H4" s="197"/>
      <c r="I4" s="198"/>
    </row>
    <row r="5" spans="1:10">
      <c r="A5" s="8" t="s">
        <v>5</v>
      </c>
      <c r="B5" s="9">
        <v>2010</v>
      </c>
      <c r="C5" s="9">
        <v>2011</v>
      </c>
      <c r="D5" s="10" t="s">
        <v>0</v>
      </c>
      <c r="E5" s="11">
        <v>2012</v>
      </c>
      <c r="F5" s="12">
        <v>2013</v>
      </c>
      <c r="G5" s="12">
        <v>2014</v>
      </c>
      <c r="H5" s="12">
        <v>2015</v>
      </c>
      <c r="I5" s="13">
        <v>2016</v>
      </c>
    </row>
    <row r="6" spans="1:10">
      <c r="A6" s="195" t="s">
        <v>31</v>
      </c>
      <c r="B6" s="195"/>
      <c r="C6" s="195"/>
      <c r="D6" s="195"/>
      <c r="E6" s="195"/>
      <c r="F6" s="195"/>
      <c r="G6" s="195"/>
      <c r="H6" s="195"/>
      <c r="I6" s="195"/>
    </row>
    <row r="7" spans="1:10">
      <c r="A7" s="15" t="s">
        <v>47</v>
      </c>
      <c r="B7" s="62">
        <v>480611</v>
      </c>
      <c r="C7" s="63">
        <v>517388</v>
      </c>
      <c r="D7" s="110">
        <f>+(C7-B7)/B7*100</f>
        <v>7.6521344704969296</v>
      </c>
      <c r="E7" s="62">
        <v>545888</v>
      </c>
      <c r="F7" s="63">
        <v>577388</v>
      </c>
      <c r="G7" s="75">
        <f>+(594983-563965)+F7</f>
        <v>608406</v>
      </c>
      <c r="H7" s="83">
        <f>+(627707-594983)+G7</f>
        <v>641130</v>
      </c>
      <c r="I7" s="75">
        <f>+(662231-627707)+H7</f>
        <v>675654</v>
      </c>
    </row>
    <row r="8" spans="1:10">
      <c r="A8" s="16" t="s">
        <v>82</v>
      </c>
      <c r="B8" s="62">
        <v>799</v>
      </c>
      <c r="C8" s="63">
        <v>852</v>
      </c>
      <c r="D8" s="110">
        <f t="shared" ref="D8:D16" si="0">+(C8-B8)/B8*100</f>
        <v>6.6332916145181482</v>
      </c>
      <c r="E8" s="62">
        <v>887</v>
      </c>
      <c r="F8" s="63">
        <v>943</v>
      </c>
      <c r="G8" s="75">
        <f>+(972-918)+F8</f>
        <v>997</v>
      </c>
      <c r="H8" s="83">
        <f>+(1028-972)+G8</f>
        <v>1053</v>
      </c>
      <c r="I8" s="75">
        <f>+(1088-1028)+H8</f>
        <v>1113</v>
      </c>
    </row>
    <row r="9" spans="1:10">
      <c r="A9" s="18" t="s">
        <v>83</v>
      </c>
      <c r="B9" s="62">
        <v>0</v>
      </c>
      <c r="C9" s="62">
        <v>0</v>
      </c>
      <c r="D9" s="110"/>
      <c r="E9" s="62">
        <v>0</v>
      </c>
      <c r="F9" s="62">
        <v>0</v>
      </c>
      <c r="G9" s="62">
        <v>0</v>
      </c>
      <c r="H9" s="62">
        <v>0</v>
      </c>
      <c r="I9" s="62">
        <v>0</v>
      </c>
    </row>
    <row r="10" spans="1:10">
      <c r="A10" s="19" t="s">
        <v>73</v>
      </c>
      <c r="B10" s="75">
        <f>+B8-B9</f>
        <v>799</v>
      </c>
      <c r="C10" s="75">
        <f t="shared" ref="C10" si="1">+C8-C9</f>
        <v>852</v>
      </c>
      <c r="D10" s="109">
        <f t="shared" si="0"/>
        <v>6.6332916145181482</v>
      </c>
      <c r="E10" s="75">
        <f>+E8-E9</f>
        <v>887</v>
      </c>
      <c r="F10" s="75">
        <f>+F8-F9</f>
        <v>943</v>
      </c>
      <c r="G10" s="75">
        <f>+G8-G9</f>
        <v>997</v>
      </c>
      <c r="H10" s="75">
        <f t="shared" ref="H10:I10" si="2">+H8-H9</f>
        <v>1053</v>
      </c>
      <c r="I10" s="75">
        <f t="shared" si="2"/>
        <v>1113</v>
      </c>
      <c r="J10" s="36"/>
    </row>
    <row r="11" spans="1:10">
      <c r="A11" s="16" t="s">
        <v>84</v>
      </c>
      <c r="B11" s="62">
        <v>33</v>
      </c>
      <c r="C11" s="63">
        <v>34</v>
      </c>
      <c r="D11" s="110">
        <f t="shared" si="0"/>
        <v>3.0303030303030303</v>
      </c>
      <c r="E11" s="62">
        <v>36</v>
      </c>
      <c r="F11" s="63">
        <v>39</v>
      </c>
      <c r="G11" s="75">
        <f>+(40-39)+F11</f>
        <v>40</v>
      </c>
      <c r="H11" s="83">
        <f>+(42-40)+G11</f>
        <v>42</v>
      </c>
      <c r="I11" s="75">
        <f>+(43-42)+H11</f>
        <v>43</v>
      </c>
    </row>
    <row r="12" spans="1:10">
      <c r="A12" s="18" t="s">
        <v>85</v>
      </c>
      <c r="B12" s="62">
        <v>2</v>
      </c>
      <c r="C12" s="62">
        <v>2</v>
      </c>
      <c r="D12" s="110">
        <f t="shared" si="0"/>
        <v>0</v>
      </c>
      <c r="E12" s="62">
        <v>2</v>
      </c>
      <c r="F12" s="62">
        <v>2</v>
      </c>
      <c r="G12" s="62">
        <v>2</v>
      </c>
      <c r="H12" s="62">
        <v>3</v>
      </c>
      <c r="I12" s="62">
        <v>3</v>
      </c>
    </row>
    <row r="13" spans="1:10">
      <c r="A13" s="19" t="s">
        <v>74</v>
      </c>
      <c r="B13" s="75">
        <f>+B11-B12</f>
        <v>31</v>
      </c>
      <c r="C13" s="75">
        <f>+C11-C12</f>
        <v>32</v>
      </c>
      <c r="D13" s="109">
        <f t="shared" si="0"/>
        <v>3.225806451612903</v>
      </c>
      <c r="E13" s="75">
        <f>+E11-E12</f>
        <v>34</v>
      </c>
      <c r="F13" s="75">
        <f>+F11-F12</f>
        <v>37</v>
      </c>
      <c r="G13" s="75">
        <f>+G11-G12</f>
        <v>38</v>
      </c>
      <c r="H13" s="75">
        <f t="shared" ref="H13:I13" si="3">+H11-H12</f>
        <v>39</v>
      </c>
      <c r="I13" s="75">
        <f t="shared" si="3"/>
        <v>40</v>
      </c>
      <c r="J13" s="36"/>
    </row>
    <row r="14" spans="1:10">
      <c r="A14" s="20" t="s">
        <v>21</v>
      </c>
      <c r="B14" s="84">
        <f>+B9+B12</f>
        <v>2</v>
      </c>
      <c r="C14" s="84">
        <f>+C9+C12</f>
        <v>2</v>
      </c>
      <c r="D14" s="109">
        <f t="shared" si="0"/>
        <v>0</v>
      </c>
      <c r="E14" s="84">
        <f>+E9+E12</f>
        <v>2</v>
      </c>
      <c r="F14" s="84">
        <f>+F9+F12</f>
        <v>2</v>
      </c>
      <c r="G14" s="84">
        <f>+G9+G12</f>
        <v>2</v>
      </c>
      <c r="H14" s="84">
        <f t="shared" ref="H14:I14" si="4">+H9+H12</f>
        <v>3</v>
      </c>
      <c r="I14" s="84">
        <f t="shared" si="4"/>
        <v>3</v>
      </c>
    </row>
    <row r="15" spans="1:10">
      <c r="A15" s="20" t="s">
        <v>22</v>
      </c>
      <c r="B15" s="84">
        <f>+B7+B10+B13</f>
        <v>481441</v>
      </c>
      <c r="C15" s="84">
        <f>+C7+C10+C13</f>
        <v>518272</v>
      </c>
      <c r="D15" s="109">
        <f t="shared" si="0"/>
        <v>7.65015858641038</v>
      </c>
      <c r="E15" s="84">
        <f>+E7+E10+E13</f>
        <v>546809</v>
      </c>
      <c r="F15" s="84">
        <f>+F7+F10+F13</f>
        <v>578368</v>
      </c>
      <c r="G15" s="84">
        <f>+G7+G10+G13</f>
        <v>609441</v>
      </c>
      <c r="H15" s="84">
        <f t="shared" ref="H15:I15" si="5">+H7+H10+H13</f>
        <v>642222</v>
      </c>
      <c r="I15" s="84">
        <f t="shared" si="5"/>
        <v>676807</v>
      </c>
    </row>
    <row r="16" spans="1:10">
      <c r="A16" s="24" t="s">
        <v>1</v>
      </c>
      <c r="B16" s="143">
        <f>+B14+B15</f>
        <v>481443</v>
      </c>
      <c r="C16" s="143">
        <f>+C14+C15</f>
        <v>518274</v>
      </c>
      <c r="D16" s="144">
        <f t="shared" si="0"/>
        <v>7.6501268062885943</v>
      </c>
      <c r="E16" s="143">
        <f>+E14+E15</f>
        <v>546811</v>
      </c>
      <c r="F16" s="143">
        <f>+F14+F15</f>
        <v>578370</v>
      </c>
      <c r="G16" s="143">
        <f>+G14+G15</f>
        <v>609443</v>
      </c>
      <c r="H16" s="143">
        <f t="shared" ref="H16:I16" si="6">+H14+H15</f>
        <v>642225</v>
      </c>
      <c r="I16" s="143">
        <f t="shared" si="6"/>
        <v>676810</v>
      </c>
    </row>
    <row r="17" spans="1:11">
      <c r="A17" s="26"/>
      <c r="B17" s="67" t="s">
        <v>12</v>
      </c>
      <c r="C17" s="67" t="s">
        <v>12</v>
      </c>
      <c r="D17" s="77"/>
      <c r="E17" s="67" t="s">
        <v>12</v>
      </c>
      <c r="F17" s="67" t="s">
        <v>12</v>
      </c>
      <c r="G17" s="95">
        <f>+G7+G8+G11</f>
        <v>609443</v>
      </c>
      <c r="H17" s="95">
        <f t="shared" ref="H17:I17" si="7">+H7+H8+H11</f>
        <v>642225</v>
      </c>
      <c r="I17" s="95">
        <f t="shared" si="7"/>
        <v>676810</v>
      </c>
      <c r="J17" s="164" t="s">
        <v>60</v>
      </c>
    </row>
    <row r="18" spans="1:11">
      <c r="A18" s="185" t="s">
        <v>30</v>
      </c>
      <c r="B18" s="186"/>
      <c r="C18" s="186"/>
      <c r="D18" s="186"/>
      <c r="E18" s="186"/>
      <c r="F18" s="186"/>
      <c r="G18" s="186"/>
      <c r="H18" s="186"/>
      <c r="I18" s="187"/>
    </row>
    <row r="19" spans="1:11">
      <c r="A19" s="15" t="s">
        <v>86</v>
      </c>
      <c r="B19" s="62">
        <v>5555.8</v>
      </c>
      <c r="C19" s="63">
        <v>6216.5</v>
      </c>
      <c r="D19" s="31">
        <f t="shared" ref="D19:D28" si="8">+(C19-B19)/B19*100</f>
        <v>11.892076748623056</v>
      </c>
      <c r="E19" s="63">
        <v>7085.5</v>
      </c>
      <c r="F19" s="63">
        <v>7474.6</v>
      </c>
      <c r="G19" s="83">
        <f>+(7915-7335)+F19</f>
        <v>8054.6</v>
      </c>
      <c r="H19" s="83">
        <f>+(8540-7915)+G19</f>
        <v>8679.6</v>
      </c>
      <c r="I19" s="83">
        <f>+(9214-8540)+H19</f>
        <v>9353.6</v>
      </c>
    </row>
    <row r="20" spans="1:11">
      <c r="A20" s="16" t="s">
        <v>87</v>
      </c>
      <c r="B20" s="62">
        <v>1546.2</v>
      </c>
      <c r="C20" s="63">
        <v>1549.4</v>
      </c>
      <c r="D20" s="31">
        <f t="shared" si="8"/>
        <v>0.20695899624887112</v>
      </c>
      <c r="E20" s="63">
        <v>1726.1</v>
      </c>
      <c r="F20" s="63">
        <v>1802.6</v>
      </c>
      <c r="G20" s="83">
        <f>+(2165-2031)+F20</f>
        <v>1936.6</v>
      </c>
      <c r="H20" s="83">
        <f>+(2308-2165)+G20</f>
        <v>2079.6</v>
      </c>
      <c r="I20" s="83">
        <f>+(2460-2308)+H20</f>
        <v>2231.6</v>
      </c>
    </row>
    <row r="21" spans="1:11">
      <c r="A21" s="18" t="s">
        <v>88</v>
      </c>
      <c r="B21" s="76">
        <v>0</v>
      </c>
      <c r="C21" s="76">
        <v>0</v>
      </c>
      <c r="D21" s="31"/>
      <c r="E21" s="75">
        <v>0</v>
      </c>
      <c r="F21" s="75">
        <v>0</v>
      </c>
      <c r="G21" s="75">
        <v>0</v>
      </c>
      <c r="H21" s="75">
        <v>0</v>
      </c>
      <c r="I21" s="75">
        <v>0</v>
      </c>
    </row>
    <row r="22" spans="1:11">
      <c r="A22" s="19" t="s">
        <v>89</v>
      </c>
      <c r="B22" s="75">
        <f>+B20-B21</f>
        <v>1546.2</v>
      </c>
      <c r="C22" s="75">
        <f>+C20-C21</f>
        <v>1549.4</v>
      </c>
      <c r="D22" s="31">
        <f t="shared" si="8"/>
        <v>0.20695899624887112</v>
      </c>
      <c r="E22" s="83">
        <f>+E20-E21</f>
        <v>1726.1</v>
      </c>
      <c r="F22" s="83">
        <f>+F20-F21</f>
        <v>1802.6</v>
      </c>
      <c r="G22" s="83">
        <f>+G20-G21</f>
        <v>1936.6</v>
      </c>
      <c r="H22" s="83">
        <f>+H20-H21</f>
        <v>2079.6</v>
      </c>
      <c r="I22" s="83">
        <f>+I20-I21</f>
        <v>2231.6</v>
      </c>
      <c r="J22" s="36"/>
    </row>
    <row r="23" spans="1:11">
      <c r="A23" s="16" t="s">
        <v>90</v>
      </c>
      <c r="B23" s="62">
        <v>1409.6</v>
      </c>
      <c r="C23" s="63">
        <v>1486.4</v>
      </c>
      <c r="D23" s="31">
        <f t="shared" si="8"/>
        <v>5.4483541430193094</v>
      </c>
      <c r="E23" s="63">
        <v>1518.9</v>
      </c>
      <c r="F23" s="63">
        <v>1587.6</v>
      </c>
      <c r="G23" s="83">
        <f>+(1902-1758)+F23</f>
        <v>1731.6</v>
      </c>
      <c r="H23" s="83">
        <f>+(2058-1902)+G23</f>
        <v>1887.6</v>
      </c>
      <c r="I23" s="83">
        <f>+(2227-2058)+H23</f>
        <v>2056.6</v>
      </c>
    </row>
    <row r="24" spans="1:11">
      <c r="A24" s="18" t="s">
        <v>91</v>
      </c>
      <c r="B24" s="75">
        <v>485</v>
      </c>
      <c r="C24" s="83">
        <v>501</v>
      </c>
      <c r="D24" s="31">
        <f t="shared" si="8"/>
        <v>3.2989690721649487</v>
      </c>
      <c r="E24" s="83">
        <v>527</v>
      </c>
      <c r="F24" s="83">
        <v>544</v>
      </c>
      <c r="G24" s="83">
        <v>571</v>
      </c>
      <c r="H24" s="83">
        <v>740</v>
      </c>
      <c r="I24" s="83">
        <v>770</v>
      </c>
    </row>
    <row r="25" spans="1:11">
      <c r="A25" s="19" t="s">
        <v>92</v>
      </c>
      <c r="B25" s="75">
        <f>+B23-B24</f>
        <v>924.59999999999991</v>
      </c>
      <c r="C25" s="83">
        <f>+C23-C24</f>
        <v>985.40000000000009</v>
      </c>
      <c r="D25" s="31">
        <f t="shared" si="8"/>
        <v>6.5758165693272979</v>
      </c>
      <c r="E25" s="83">
        <f>+E23-E24</f>
        <v>991.90000000000009</v>
      </c>
      <c r="F25" s="83">
        <f>+F23-F24</f>
        <v>1043.5999999999999</v>
      </c>
      <c r="G25" s="83">
        <f t="shared" ref="G25:I25" si="9">+G23-G24</f>
        <v>1160.5999999999999</v>
      </c>
      <c r="H25" s="83">
        <f t="shared" si="9"/>
        <v>1147.5999999999999</v>
      </c>
      <c r="I25" s="83">
        <f t="shared" si="9"/>
        <v>1286.5999999999999</v>
      </c>
      <c r="J25" s="36"/>
    </row>
    <row r="26" spans="1:11">
      <c r="A26" s="20" t="s">
        <v>32</v>
      </c>
      <c r="B26" s="84">
        <f>+B21+B24</f>
        <v>485</v>
      </c>
      <c r="C26" s="84">
        <f>+C21+C24</f>
        <v>501</v>
      </c>
      <c r="D26" s="31">
        <f t="shared" si="8"/>
        <v>3.2989690721649487</v>
      </c>
      <c r="E26" s="84">
        <f t="shared" ref="E26:I26" si="10">+E21+E24</f>
        <v>527</v>
      </c>
      <c r="F26" s="84">
        <f t="shared" si="10"/>
        <v>544</v>
      </c>
      <c r="G26" s="84">
        <f t="shared" si="10"/>
        <v>571</v>
      </c>
      <c r="H26" s="84">
        <f t="shared" si="10"/>
        <v>740</v>
      </c>
      <c r="I26" s="84">
        <f t="shared" si="10"/>
        <v>770</v>
      </c>
    </row>
    <row r="27" spans="1:11">
      <c r="A27" s="20" t="s">
        <v>33</v>
      </c>
      <c r="B27" s="84">
        <f>+B19+B22+B25</f>
        <v>8026.6</v>
      </c>
      <c r="C27" s="84">
        <f>+C19+C22+C25</f>
        <v>8751.2999999999993</v>
      </c>
      <c r="D27" s="31">
        <f t="shared" si="8"/>
        <v>9.0287294744972826</v>
      </c>
      <c r="E27" s="84">
        <f t="shared" ref="E27:I27" si="11">+E19+E22+E25</f>
        <v>9803.5</v>
      </c>
      <c r="F27" s="84">
        <f t="shared" si="11"/>
        <v>10320.800000000001</v>
      </c>
      <c r="G27" s="84">
        <f t="shared" si="11"/>
        <v>11151.800000000001</v>
      </c>
      <c r="H27" s="84">
        <f t="shared" si="11"/>
        <v>11906.800000000001</v>
      </c>
      <c r="I27" s="84">
        <f t="shared" si="11"/>
        <v>12871.800000000001</v>
      </c>
    </row>
    <row r="28" spans="1:11">
      <c r="A28" s="20" t="s">
        <v>43</v>
      </c>
      <c r="B28" s="84">
        <f>+B26+B27</f>
        <v>8511.6</v>
      </c>
      <c r="C28" s="84">
        <f>+C26+C27</f>
        <v>9252.2999999999993</v>
      </c>
      <c r="D28" s="31">
        <f t="shared" si="8"/>
        <v>8.7022416466939099</v>
      </c>
      <c r="E28" s="84">
        <f t="shared" ref="E28:I28" si="12">+E26+E27</f>
        <v>10330.5</v>
      </c>
      <c r="F28" s="84">
        <f t="shared" si="12"/>
        <v>10864.800000000001</v>
      </c>
      <c r="G28" s="84">
        <f t="shared" si="12"/>
        <v>11722.800000000001</v>
      </c>
      <c r="H28" s="84">
        <f t="shared" si="12"/>
        <v>12646.800000000001</v>
      </c>
      <c r="I28" s="84">
        <f t="shared" si="12"/>
        <v>13641.800000000001</v>
      </c>
    </row>
    <row r="29" spans="1:11">
      <c r="A29" s="33"/>
      <c r="B29" s="67" t="s">
        <v>12</v>
      </c>
      <c r="C29" s="67" t="s">
        <v>12</v>
      </c>
      <c r="D29" s="35"/>
      <c r="E29" s="67" t="s">
        <v>12</v>
      </c>
      <c r="F29" s="67" t="s">
        <v>12</v>
      </c>
      <c r="G29" s="101">
        <f>+G19+G20+G23</f>
        <v>11722.800000000001</v>
      </c>
      <c r="H29" s="101">
        <f t="shared" ref="H29:I29" si="13">+H19+H20+H23</f>
        <v>12646.800000000001</v>
      </c>
      <c r="I29" s="101">
        <f t="shared" si="13"/>
        <v>13641.800000000001</v>
      </c>
      <c r="J29" s="164" t="s">
        <v>60</v>
      </c>
      <c r="K29" s="1"/>
    </row>
    <row r="30" spans="1:11">
      <c r="A30" s="33" t="s">
        <v>7</v>
      </c>
      <c r="B30" s="71">
        <f>+B34/B19</f>
        <v>0.31714604557399473</v>
      </c>
      <c r="C30" s="71">
        <f>+C34/C19</f>
        <v>0.31770288747687603</v>
      </c>
      <c r="D30" s="34"/>
      <c r="E30" s="73">
        <f>+E34/E19</f>
        <v>0.31994919201185518</v>
      </c>
      <c r="F30" s="73">
        <f>+F34/F19</f>
        <v>0.32001712466218929</v>
      </c>
      <c r="G30" s="71">
        <v>0.32001712466218929</v>
      </c>
      <c r="H30" s="71">
        <v>0.32001712466218929</v>
      </c>
      <c r="I30" s="71">
        <v>0.32001712466218929</v>
      </c>
    </row>
    <row r="31" spans="1:11">
      <c r="A31" s="33" t="s">
        <v>8</v>
      </c>
      <c r="B31" s="71">
        <f>+B35/B20</f>
        <v>0.34406933126374334</v>
      </c>
      <c r="C31" s="71">
        <f>+C35/C20</f>
        <v>0.35110365302697816</v>
      </c>
      <c r="D31" s="34"/>
      <c r="E31" s="73">
        <f>+E35/E20</f>
        <v>0.33022420485487519</v>
      </c>
      <c r="F31" s="73">
        <f>+F35/F20</f>
        <v>0.33007877510262956</v>
      </c>
      <c r="G31" s="71">
        <v>0.33007877510262956</v>
      </c>
      <c r="H31" s="71">
        <v>0.33007877510262956</v>
      </c>
      <c r="I31" s="71">
        <v>0.33007877510262956</v>
      </c>
    </row>
    <row r="32" spans="1:11">
      <c r="A32" s="33" t="s">
        <v>76</v>
      </c>
      <c r="B32" s="71">
        <f>+B38/B23</f>
        <v>0.22133938706015893</v>
      </c>
      <c r="C32" s="71">
        <f>+C38/C23</f>
        <v>0.219994617868676</v>
      </c>
      <c r="D32" s="34"/>
      <c r="E32" s="73">
        <f>+E38/E23</f>
        <v>0.22121271973138454</v>
      </c>
      <c r="F32" s="73">
        <f>+F38/F23</f>
        <v>0.22108843537414968</v>
      </c>
      <c r="G32" s="71">
        <v>0.22108843537414968</v>
      </c>
      <c r="H32" s="71">
        <v>0.22108843537414968</v>
      </c>
      <c r="I32" s="71">
        <v>0.22108843537414968</v>
      </c>
    </row>
    <row r="33" spans="1:12">
      <c r="A33" s="33"/>
      <c r="B33" s="69"/>
      <c r="C33" s="69"/>
      <c r="D33" s="69"/>
      <c r="E33" s="69"/>
      <c r="F33" s="69"/>
      <c r="G33" s="69"/>
      <c r="H33" s="69"/>
      <c r="I33" s="69"/>
    </row>
    <row r="34" spans="1:12">
      <c r="A34" s="15" t="s">
        <v>96</v>
      </c>
      <c r="B34" s="62">
        <v>1762</v>
      </c>
      <c r="C34" s="62">
        <v>1975</v>
      </c>
      <c r="D34" s="17">
        <f>+(C34-B34)/B34*100</f>
        <v>12.088535754824063</v>
      </c>
      <c r="E34" s="62">
        <v>2267</v>
      </c>
      <c r="F34" s="62">
        <v>2392</v>
      </c>
      <c r="G34" s="75">
        <f>+G19*G30</f>
        <v>2577.6099323040698</v>
      </c>
      <c r="H34" s="75">
        <f t="shared" ref="H34:I34" si="14">+H19*H30</f>
        <v>2777.6206352179383</v>
      </c>
      <c r="I34" s="75">
        <f t="shared" si="14"/>
        <v>2993.3121772402537</v>
      </c>
    </row>
    <row r="35" spans="1:12">
      <c r="A35" s="16" t="s">
        <v>97</v>
      </c>
      <c r="B35" s="62">
        <v>532</v>
      </c>
      <c r="C35" s="62">
        <v>544</v>
      </c>
      <c r="D35" s="17">
        <f t="shared" ref="D35:D43" si="15">+(C35-B35)/B35*100</f>
        <v>2.2556390977443606</v>
      </c>
      <c r="E35" s="62">
        <v>570</v>
      </c>
      <c r="F35" s="62">
        <v>595</v>
      </c>
      <c r="G35" s="75">
        <f>+G20*G31</f>
        <v>639.23055586375233</v>
      </c>
      <c r="H35" s="75">
        <f t="shared" ref="H35:I35" si="16">+H20*H31</f>
        <v>686.43182070342846</v>
      </c>
      <c r="I35" s="75">
        <f t="shared" si="16"/>
        <v>736.60379451902816</v>
      </c>
    </row>
    <row r="36" spans="1:12">
      <c r="A36" s="18" t="s">
        <v>93</v>
      </c>
      <c r="B36" s="75">
        <v>0</v>
      </c>
      <c r="C36" s="75">
        <v>0</v>
      </c>
      <c r="D36" s="17"/>
      <c r="E36" s="75">
        <v>0</v>
      </c>
      <c r="F36" s="75">
        <v>0</v>
      </c>
      <c r="G36" s="75">
        <v>0</v>
      </c>
      <c r="H36" s="75">
        <v>0</v>
      </c>
      <c r="I36" s="75">
        <v>0</v>
      </c>
    </row>
    <row r="37" spans="1:12">
      <c r="A37" s="19" t="s">
        <v>94</v>
      </c>
      <c r="B37" s="75">
        <f>+B35-B36</f>
        <v>532</v>
      </c>
      <c r="C37" s="75">
        <f>+C35-C36</f>
        <v>544</v>
      </c>
      <c r="D37" s="17">
        <f t="shared" si="15"/>
        <v>2.2556390977443606</v>
      </c>
      <c r="E37" s="75">
        <f>+E35-E36</f>
        <v>570</v>
      </c>
      <c r="F37" s="75">
        <f>+F35-F36</f>
        <v>595</v>
      </c>
      <c r="G37" s="75">
        <f>G35-G36</f>
        <v>639.23055586375233</v>
      </c>
      <c r="H37" s="75">
        <f t="shared" ref="H37:I37" si="17">H35-H36</f>
        <v>686.43182070342846</v>
      </c>
      <c r="I37" s="75">
        <f t="shared" si="17"/>
        <v>736.60379451902816</v>
      </c>
      <c r="J37" s="36"/>
    </row>
    <row r="38" spans="1:12">
      <c r="A38" s="16" t="s">
        <v>98</v>
      </c>
      <c r="B38" s="62">
        <v>312</v>
      </c>
      <c r="C38" s="62">
        <v>327</v>
      </c>
      <c r="D38" s="17">
        <f t="shared" si="15"/>
        <v>4.8076923076923084</v>
      </c>
      <c r="E38" s="62">
        <v>336</v>
      </c>
      <c r="F38" s="62">
        <v>351</v>
      </c>
      <c r="G38" s="75">
        <f>+G23*G32</f>
        <v>382.83673469387759</v>
      </c>
      <c r="H38" s="75">
        <f t="shared" ref="H38" si="18">+H23*H32</f>
        <v>417.32653061224494</v>
      </c>
      <c r="I38" s="75">
        <f>+I23*I32</f>
        <v>454.6904761904762</v>
      </c>
    </row>
    <row r="39" spans="1:12">
      <c r="A39" s="18" t="s">
        <v>95</v>
      </c>
      <c r="B39" s="75">
        <f>+B24*B32</f>
        <v>107.34960272417709</v>
      </c>
      <c r="C39" s="75">
        <f t="shared" ref="C39:I39" si="19">+C24*C32</f>
        <v>110.21730355220667</v>
      </c>
      <c r="D39" s="17">
        <f t="shared" si="19"/>
        <v>0</v>
      </c>
      <c r="E39" s="75">
        <f t="shared" si="19"/>
        <v>116.57910329843965</v>
      </c>
      <c r="F39" s="75">
        <f t="shared" si="19"/>
        <v>120.27210884353742</v>
      </c>
      <c r="G39" s="75">
        <f t="shared" si="19"/>
        <v>126.24149659863947</v>
      </c>
      <c r="H39" s="75">
        <f t="shared" si="19"/>
        <v>163.60544217687075</v>
      </c>
      <c r="I39" s="75">
        <f t="shared" si="19"/>
        <v>170.23809523809527</v>
      </c>
    </row>
    <row r="40" spans="1:12">
      <c r="A40" s="19" t="s">
        <v>79</v>
      </c>
      <c r="B40" s="75">
        <f>+B38-B39</f>
        <v>204.65039727582291</v>
      </c>
      <c r="C40" s="75">
        <f>+C38-C39</f>
        <v>216.78269644779334</v>
      </c>
      <c r="D40" s="17">
        <f t="shared" si="15"/>
        <v>5.9283047252621781</v>
      </c>
      <c r="E40" s="75">
        <f t="shared" ref="E40:I40" si="20">+E38-E39</f>
        <v>219.42089670156037</v>
      </c>
      <c r="F40" s="75">
        <f t="shared" si="20"/>
        <v>230.72789115646259</v>
      </c>
      <c r="G40" s="75">
        <f t="shared" si="20"/>
        <v>256.59523809523813</v>
      </c>
      <c r="H40" s="75">
        <f t="shared" si="20"/>
        <v>253.72108843537418</v>
      </c>
      <c r="I40" s="75">
        <f t="shared" si="20"/>
        <v>284.45238095238096</v>
      </c>
      <c r="J40" s="36"/>
    </row>
    <row r="41" spans="1:12">
      <c r="A41" s="20" t="s">
        <v>41</v>
      </c>
      <c r="B41" s="84">
        <f>+B36+B39</f>
        <v>107.34960272417709</v>
      </c>
      <c r="C41" s="84">
        <f>+C36+C39</f>
        <v>110.21730355220667</v>
      </c>
      <c r="D41" s="97">
        <f t="shared" si="15"/>
        <v>2.6713660370013881</v>
      </c>
      <c r="E41" s="84">
        <f t="shared" ref="E41:I41" si="21">+E36+E39</f>
        <v>116.57910329843965</v>
      </c>
      <c r="F41" s="84">
        <f t="shared" si="21"/>
        <v>120.27210884353742</v>
      </c>
      <c r="G41" s="84">
        <f t="shared" si="21"/>
        <v>126.24149659863947</v>
      </c>
      <c r="H41" s="84">
        <f t="shared" si="21"/>
        <v>163.60544217687075</v>
      </c>
      <c r="I41" s="84">
        <f t="shared" si="21"/>
        <v>170.23809523809527</v>
      </c>
    </row>
    <row r="42" spans="1:12">
      <c r="A42" s="20" t="s">
        <v>42</v>
      </c>
      <c r="B42" s="84">
        <f>+B34+B37+B40</f>
        <v>2498.6503972758228</v>
      </c>
      <c r="C42" s="84">
        <f>+C34+C37+C40</f>
        <v>2735.7826964477936</v>
      </c>
      <c r="D42" s="97">
        <f t="shared" si="15"/>
        <v>9.4904152830066391</v>
      </c>
      <c r="E42" s="84">
        <f t="shared" ref="E42:I42" si="22">+E34+E37+E40</f>
        <v>3056.4208967015602</v>
      </c>
      <c r="F42" s="84">
        <f t="shared" si="22"/>
        <v>3217.7278911564626</v>
      </c>
      <c r="G42" s="84">
        <f t="shared" si="22"/>
        <v>3473.4357262630601</v>
      </c>
      <c r="H42" s="84">
        <f t="shared" si="22"/>
        <v>3717.7735443567408</v>
      </c>
      <c r="I42" s="84">
        <f t="shared" si="22"/>
        <v>4014.3683527116627</v>
      </c>
    </row>
    <row r="43" spans="1:12">
      <c r="A43" s="20" t="s">
        <v>4</v>
      </c>
      <c r="B43" s="84">
        <f>+B41+B42</f>
        <v>2606</v>
      </c>
      <c r="C43" s="84">
        <f>+C41+C42</f>
        <v>2846.0000000000005</v>
      </c>
      <c r="D43" s="97">
        <f t="shared" si="15"/>
        <v>9.2095165003837476</v>
      </c>
      <c r="E43" s="84">
        <f t="shared" ref="E43:I43" si="23">+E41+E42</f>
        <v>3173</v>
      </c>
      <c r="F43" s="84">
        <f t="shared" si="23"/>
        <v>3338</v>
      </c>
      <c r="G43" s="84">
        <f t="shared" si="23"/>
        <v>3599.6772228616996</v>
      </c>
      <c r="H43" s="84">
        <f t="shared" si="23"/>
        <v>3881.3789865336116</v>
      </c>
      <c r="I43" s="84">
        <f t="shared" si="23"/>
        <v>4184.6064479497581</v>
      </c>
    </row>
    <row r="44" spans="1:12">
      <c r="B44" s="68" t="s">
        <v>12</v>
      </c>
      <c r="C44" s="68" t="s">
        <v>12</v>
      </c>
      <c r="D44" s="78"/>
      <c r="E44" s="68" t="s">
        <v>12</v>
      </c>
      <c r="F44" s="68" t="s">
        <v>12</v>
      </c>
      <c r="G44" s="99">
        <f>+G34+G35+G38</f>
        <v>3599.6772228616996</v>
      </c>
      <c r="H44" s="99">
        <f t="shared" ref="H44:I44" si="24">+H34+H35+H38</f>
        <v>3881.3789865336116</v>
      </c>
      <c r="I44" s="99">
        <f t="shared" si="24"/>
        <v>4184.6064479497581</v>
      </c>
      <c r="J44" s="164" t="s">
        <v>60</v>
      </c>
      <c r="K44" s="1"/>
    </row>
    <row r="45" spans="1:12">
      <c r="A45" s="36"/>
      <c r="B45" s="146"/>
      <c r="C45" s="146"/>
      <c r="D45" s="146"/>
      <c r="E45" s="146"/>
      <c r="F45" s="146"/>
      <c r="G45" s="36"/>
      <c r="H45" s="36"/>
      <c r="I45" s="36"/>
      <c r="J45" s="36"/>
      <c r="K45" s="36"/>
      <c r="L45" s="36"/>
    </row>
    <row r="46" spans="1:12">
      <c r="A46" s="36"/>
      <c r="B46" s="165"/>
      <c r="C46" s="165"/>
      <c r="D46" s="165"/>
      <c r="E46" s="165"/>
      <c r="F46" s="165"/>
      <c r="G46" s="165"/>
      <c r="H46" s="165"/>
      <c r="I46" s="165"/>
      <c r="J46" s="36"/>
      <c r="K46" s="36"/>
      <c r="L46" s="36"/>
    </row>
    <row r="47" spans="1:12">
      <c r="A47" s="36"/>
      <c r="B47" s="146"/>
      <c r="C47" s="146"/>
      <c r="D47" s="146"/>
      <c r="E47" s="146"/>
      <c r="F47" s="146"/>
      <c r="G47" s="36"/>
      <c r="H47" s="36"/>
      <c r="I47" s="36"/>
      <c r="J47" s="36"/>
      <c r="K47" s="36"/>
      <c r="L47" s="36"/>
    </row>
    <row r="48" spans="1:12">
      <c r="A48" s="36"/>
      <c r="B48" s="146"/>
      <c r="C48" s="146"/>
      <c r="D48" s="146"/>
      <c r="E48" s="146"/>
      <c r="F48" s="146"/>
      <c r="G48" s="36"/>
      <c r="H48" s="36"/>
      <c r="I48" s="36"/>
      <c r="J48" s="36"/>
      <c r="K48" s="36"/>
      <c r="L48" s="36"/>
    </row>
    <row r="49" spans="1:12">
      <c r="A49" s="36"/>
      <c r="B49" s="146"/>
      <c r="C49" s="146"/>
      <c r="D49" s="146"/>
      <c r="E49" s="146"/>
      <c r="F49" s="146"/>
      <c r="G49" s="36"/>
      <c r="H49" s="36"/>
      <c r="I49" s="36"/>
      <c r="J49" s="36"/>
      <c r="K49" s="36"/>
      <c r="L49" s="36"/>
    </row>
    <row r="50" spans="1:12">
      <c r="A50" s="36"/>
      <c r="B50" s="146"/>
      <c r="C50" s="146"/>
      <c r="D50" s="146"/>
      <c r="E50" s="146"/>
      <c r="F50" s="146"/>
      <c r="G50" s="36"/>
      <c r="H50" s="36"/>
      <c r="I50" s="36"/>
      <c r="J50" s="36"/>
      <c r="K50" s="36"/>
      <c r="L50" s="36"/>
    </row>
    <row r="51" spans="1:12">
      <c r="A51" s="36"/>
      <c r="B51" s="146"/>
      <c r="C51" s="146"/>
      <c r="D51" s="146"/>
      <c r="E51" s="146"/>
      <c r="F51" s="146"/>
      <c r="G51" s="36"/>
      <c r="H51" s="36"/>
      <c r="I51" s="36"/>
      <c r="J51" s="36"/>
      <c r="K51" s="36"/>
      <c r="L51" s="36"/>
    </row>
    <row r="52" spans="1:12">
      <c r="A52" s="36"/>
      <c r="B52" s="146"/>
      <c r="C52" s="146"/>
      <c r="D52" s="146"/>
      <c r="E52" s="146"/>
      <c r="F52" s="146"/>
      <c r="G52" s="36"/>
      <c r="H52" s="36"/>
      <c r="I52" s="36"/>
      <c r="J52" s="36"/>
      <c r="K52" s="36"/>
      <c r="L52" s="36"/>
    </row>
    <row r="53" spans="1:12">
      <c r="A53" s="147" t="s">
        <v>45</v>
      </c>
      <c r="B53" s="147"/>
      <c r="F53" s="66"/>
      <c r="K53" s="36"/>
      <c r="L53" s="36"/>
    </row>
    <row r="54" spans="1:12">
      <c r="A54" s="148"/>
      <c r="B54" s="149"/>
      <c r="C54" s="149"/>
      <c r="D54" s="149"/>
      <c r="E54" s="149"/>
      <c r="F54" s="149"/>
      <c r="G54" s="149"/>
      <c r="H54" s="149"/>
      <c r="I54" s="149"/>
      <c r="K54" s="36"/>
      <c r="L54" s="36"/>
    </row>
    <row r="55" spans="1:12" ht="19.5" thickBot="1">
      <c r="D55" s="3"/>
      <c r="K55" s="36"/>
      <c r="L55" s="36"/>
    </row>
    <row r="56" spans="1:12">
      <c r="B56" s="4" t="s">
        <v>11</v>
      </c>
      <c r="C56" s="4" t="s">
        <v>10</v>
      </c>
      <c r="D56" s="3"/>
      <c r="E56" s="4" t="s">
        <v>9</v>
      </c>
      <c r="F56" s="196" t="s">
        <v>48</v>
      </c>
      <c r="G56" s="197"/>
      <c r="H56" s="197"/>
      <c r="I56" s="198"/>
      <c r="K56" s="36"/>
      <c r="L56" s="36"/>
    </row>
    <row r="57" spans="1:12">
      <c r="A57" s="8" t="s">
        <v>5</v>
      </c>
      <c r="B57" s="9">
        <v>2010</v>
      </c>
      <c r="C57" s="9">
        <v>2011</v>
      </c>
      <c r="D57" s="10" t="s">
        <v>0</v>
      </c>
      <c r="E57" s="11">
        <v>2012</v>
      </c>
      <c r="F57" s="12">
        <v>2013</v>
      </c>
      <c r="G57" s="12">
        <v>2014</v>
      </c>
      <c r="H57" s="12">
        <v>2015</v>
      </c>
      <c r="I57" s="13">
        <v>2016</v>
      </c>
      <c r="K57" s="36"/>
      <c r="L57" s="36"/>
    </row>
    <row r="58" spans="1:12">
      <c r="A58" s="195" t="s">
        <v>31</v>
      </c>
      <c r="B58" s="195"/>
      <c r="C58" s="195"/>
      <c r="D58" s="195"/>
      <c r="E58" s="195"/>
      <c r="F58" s="195"/>
      <c r="G58" s="195"/>
      <c r="H58" s="195"/>
      <c r="I58" s="195"/>
      <c r="K58" s="36"/>
      <c r="L58" s="36"/>
    </row>
    <row r="59" spans="1:12">
      <c r="A59" s="15" t="s">
        <v>47</v>
      </c>
      <c r="B59" s="62">
        <v>77204</v>
      </c>
      <c r="C59" s="70">
        <f>45955+41047</f>
        <v>87002</v>
      </c>
      <c r="D59" s="97">
        <f t="shared" ref="D59:D68" si="25">+(C59-B59)/B59*100</f>
        <v>12.691052277084088</v>
      </c>
      <c r="E59" s="70">
        <f>51563+43205</f>
        <v>94768</v>
      </c>
      <c r="F59" s="63">
        <f>57758+45583</f>
        <v>103341</v>
      </c>
      <c r="G59" s="83">
        <f>+G7*0.179</f>
        <v>108904.674</v>
      </c>
      <c r="H59" s="83">
        <f t="shared" ref="H59" si="26">+H7*0.179</f>
        <v>114762.26999999999</v>
      </c>
      <c r="I59" s="83">
        <f>+I7*0.179</f>
        <v>120942.06599999999</v>
      </c>
      <c r="J59" s="52"/>
      <c r="K59" s="36"/>
      <c r="L59" s="36"/>
    </row>
    <row r="60" spans="1:12">
      <c r="A60" s="16" t="s">
        <v>82</v>
      </c>
      <c r="B60" s="62">
        <f>93+51</f>
        <v>144</v>
      </c>
      <c r="C60" s="63">
        <f>52+112</f>
        <v>164</v>
      </c>
      <c r="D60" s="90">
        <f t="shared" si="25"/>
        <v>13.888888888888889</v>
      </c>
      <c r="E60" s="63">
        <f>125+52</f>
        <v>177</v>
      </c>
      <c r="F60" s="63">
        <f>145+49</f>
        <v>194</v>
      </c>
      <c r="G60" s="83">
        <f>+G8*0.206</f>
        <v>205.38199999999998</v>
      </c>
      <c r="H60" s="83">
        <f t="shared" ref="H60:I60" si="27">+H8*0.206</f>
        <v>216.91799999999998</v>
      </c>
      <c r="I60" s="83">
        <f t="shared" si="27"/>
        <v>229.27799999999999</v>
      </c>
      <c r="J60" s="52"/>
      <c r="K60" s="36"/>
      <c r="L60" s="36"/>
    </row>
    <row r="61" spans="1:12">
      <c r="A61" s="18" t="s">
        <v>83</v>
      </c>
      <c r="B61" s="62">
        <v>0</v>
      </c>
      <c r="C61" s="62">
        <v>0</v>
      </c>
      <c r="D61" s="90"/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36"/>
      <c r="K61" s="36"/>
      <c r="L61" s="36"/>
    </row>
    <row r="62" spans="1:12">
      <c r="A62" s="19" t="s">
        <v>73</v>
      </c>
      <c r="B62" s="75">
        <f>+B60-B61</f>
        <v>144</v>
      </c>
      <c r="C62" s="75">
        <f>+C60-C61</f>
        <v>164</v>
      </c>
      <c r="D62" s="90">
        <f t="shared" si="25"/>
        <v>13.888888888888889</v>
      </c>
      <c r="E62" s="75">
        <f>+E60-E61</f>
        <v>177</v>
      </c>
      <c r="F62" s="75">
        <f>+F60-F61</f>
        <v>194</v>
      </c>
      <c r="G62" s="75">
        <f t="shared" ref="G62:I62" si="28">+G60-G61</f>
        <v>205.38199999999998</v>
      </c>
      <c r="H62" s="75">
        <f t="shared" si="28"/>
        <v>216.91799999999998</v>
      </c>
      <c r="I62" s="75">
        <f t="shared" si="28"/>
        <v>229.27799999999999</v>
      </c>
      <c r="J62" s="36"/>
      <c r="L62" s="36"/>
    </row>
    <row r="63" spans="1:12">
      <c r="A63" s="16" t="s">
        <v>84</v>
      </c>
      <c r="B63" s="62">
        <f>5+15</f>
        <v>20</v>
      </c>
      <c r="C63" s="63">
        <f>5+15</f>
        <v>20</v>
      </c>
      <c r="D63" s="90">
        <f t="shared" si="25"/>
        <v>0</v>
      </c>
      <c r="E63" s="63">
        <f>17+5</f>
        <v>22</v>
      </c>
      <c r="F63" s="63">
        <f>17+5</f>
        <v>22</v>
      </c>
      <c r="G63" s="63">
        <f t="shared" ref="G63:I63" si="29">17+5</f>
        <v>22</v>
      </c>
      <c r="H63" s="63">
        <f t="shared" si="29"/>
        <v>22</v>
      </c>
      <c r="I63" s="63">
        <f t="shared" si="29"/>
        <v>22</v>
      </c>
      <c r="J63" s="36"/>
      <c r="K63" s="36"/>
      <c r="L63" s="36"/>
    </row>
    <row r="64" spans="1:12">
      <c r="A64" s="18" t="s">
        <v>85</v>
      </c>
      <c r="B64" s="62">
        <v>0</v>
      </c>
      <c r="C64" s="62">
        <v>0</v>
      </c>
      <c r="D64" s="90"/>
      <c r="E64" s="62">
        <v>0</v>
      </c>
      <c r="F64" s="62">
        <v>0</v>
      </c>
      <c r="G64" s="62">
        <v>0</v>
      </c>
      <c r="H64" s="63">
        <v>1</v>
      </c>
      <c r="I64" s="63">
        <v>1</v>
      </c>
      <c r="J64" s="53"/>
      <c r="K64" s="36"/>
      <c r="L64" s="36"/>
    </row>
    <row r="65" spans="1:12">
      <c r="A65" s="19" t="s">
        <v>74</v>
      </c>
      <c r="B65" s="75">
        <f>+B63-B64</f>
        <v>20</v>
      </c>
      <c r="C65" s="75">
        <f>+C63-C64</f>
        <v>20</v>
      </c>
      <c r="D65" s="90">
        <f t="shared" si="25"/>
        <v>0</v>
      </c>
      <c r="E65" s="83">
        <f>+E63-E64</f>
        <v>22</v>
      </c>
      <c r="F65" s="83">
        <f>+F63-F64</f>
        <v>22</v>
      </c>
      <c r="G65" s="83">
        <f t="shared" ref="G65:I65" si="30">+G63-G64</f>
        <v>22</v>
      </c>
      <c r="H65" s="83">
        <f t="shared" si="30"/>
        <v>21</v>
      </c>
      <c r="I65" s="83">
        <f t="shared" si="30"/>
        <v>21</v>
      </c>
      <c r="J65" s="36"/>
      <c r="K65" s="36"/>
      <c r="L65" s="36"/>
    </row>
    <row r="66" spans="1:12">
      <c r="A66" s="20" t="s">
        <v>21</v>
      </c>
      <c r="B66" s="22">
        <f>+B61+B64</f>
        <v>0</v>
      </c>
      <c r="C66" s="22">
        <f>+C61+C64</f>
        <v>0</v>
      </c>
      <c r="D66" s="90"/>
      <c r="E66" s="23">
        <f>+E61+E64</f>
        <v>0</v>
      </c>
      <c r="F66" s="23">
        <f>+F61+F64</f>
        <v>0</v>
      </c>
      <c r="G66" s="23">
        <f t="shared" ref="G66:I66" si="31">+G61+G64</f>
        <v>0</v>
      </c>
      <c r="H66" s="23">
        <f t="shared" si="31"/>
        <v>1</v>
      </c>
      <c r="I66" s="23">
        <f t="shared" si="31"/>
        <v>1</v>
      </c>
      <c r="J66" s="53"/>
      <c r="K66" s="36"/>
      <c r="L66" s="36"/>
    </row>
    <row r="67" spans="1:12">
      <c r="A67" s="20" t="s">
        <v>22</v>
      </c>
      <c r="B67" s="22">
        <f>+B59+B62+B65</f>
        <v>77368</v>
      </c>
      <c r="C67" s="22">
        <f>+C59+C62+C65</f>
        <v>87186</v>
      </c>
      <c r="D67" s="90">
        <f t="shared" si="25"/>
        <v>12.690001034019232</v>
      </c>
      <c r="E67" s="23">
        <f>+E59+E62+E65</f>
        <v>94967</v>
      </c>
      <c r="F67" s="23">
        <f>+F59+F62+F65</f>
        <v>103557</v>
      </c>
      <c r="G67" s="23">
        <f t="shared" ref="G67:I67" si="32">+G59+G62+G65</f>
        <v>109132.056</v>
      </c>
      <c r="H67" s="23">
        <f t="shared" si="32"/>
        <v>115000.18799999999</v>
      </c>
      <c r="I67" s="23">
        <f t="shared" si="32"/>
        <v>121192.344</v>
      </c>
      <c r="J67" s="53"/>
      <c r="K67" s="36"/>
      <c r="L67" s="36"/>
    </row>
    <row r="68" spans="1:12">
      <c r="A68" s="24" t="s">
        <v>1</v>
      </c>
      <c r="B68" s="65">
        <f>+B66+B67</f>
        <v>77368</v>
      </c>
      <c r="C68" s="65">
        <f>+C66+C67</f>
        <v>87186</v>
      </c>
      <c r="D68" s="54">
        <f t="shared" si="25"/>
        <v>12.690001034019232</v>
      </c>
      <c r="E68" s="25">
        <f>+E66+E67</f>
        <v>94967</v>
      </c>
      <c r="F68" s="25">
        <f>+F66+F67</f>
        <v>103557</v>
      </c>
      <c r="G68" s="25">
        <f t="shared" ref="G68:I68" si="33">+G66+G67</f>
        <v>109132.056</v>
      </c>
      <c r="H68" s="25">
        <f t="shared" si="33"/>
        <v>115001.18799999999</v>
      </c>
      <c r="I68" s="25">
        <f t="shared" si="33"/>
        <v>121193.344</v>
      </c>
      <c r="J68" s="53"/>
      <c r="K68" s="36"/>
      <c r="L68" s="36"/>
    </row>
    <row r="69" spans="1:12">
      <c r="A69" s="26"/>
      <c r="B69" s="67" t="s">
        <v>12</v>
      </c>
      <c r="C69" s="67" t="s">
        <v>12</v>
      </c>
      <c r="D69" s="67"/>
      <c r="E69" s="67" t="s">
        <v>12</v>
      </c>
      <c r="F69" s="67" t="s">
        <v>12</v>
      </c>
      <c r="G69" s="150">
        <f>+G59+G60+G63</f>
        <v>109132.056</v>
      </c>
      <c r="H69" s="150">
        <f t="shared" ref="H69:I69" si="34">+H59+H60+H63</f>
        <v>115001.18799999999</v>
      </c>
      <c r="I69" s="150">
        <f t="shared" si="34"/>
        <v>121193.344</v>
      </c>
      <c r="J69" s="164" t="s">
        <v>60</v>
      </c>
      <c r="K69" s="36"/>
      <c r="L69" s="36"/>
    </row>
    <row r="70" spans="1:12">
      <c r="A70" s="185" t="s">
        <v>30</v>
      </c>
      <c r="B70" s="186"/>
      <c r="C70" s="186"/>
      <c r="D70" s="186"/>
      <c r="E70" s="186"/>
      <c r="F70" s="186"/>
      <c r="G70" s="186"/>
      <c r="H70" s="186"/>
      <c r="I70" s="187"/>
      <c r="J70" s="53"/>
      <c r="K70" s="36"/>
      <c r="L70" s="36"/>
    </row>
    <row r="71" spans="1:12">
      <c r="A71" s="15" t="s">
        <v>86</v>
      </c>
      <c r="B71" s="62">
        <f>438.9+402.2</f>
        <v>841.09999999999991</v>
      </c>
      <c r="C71" s="63">
        <f>456+506.1</f>
        <v>962.1</v>
      </c>
      <c r="D71" s="31">
        <f t="shared" ref="D71:D80" si="35">+(C71-B71)/B71*100</f>
        <v>14.385923195815021</v>
      </c>
      <c r="E71" s="63">
        <f>542.2+468.9</f>
        <v>1011.1</v>
      </c>
      <c r="F71" s="63">
        <f>520+423</f>
        <v>943</v>
      </c>
      <c r="G71" s="83">
        <f>+G19*0.126</f>
        <v>1014.8796000000001</v>
      </c>
      <c r="H71" s="83">
        <f t="shared" ref="H71:I71" si="36">+H19*0.126</f>
        <v>1093.6296</v>
      </c>
      <c r="I71" s="83">
        <f t="shared" si="36"/>
        <v>1178.5536</v>
      </c>
      <c r="J71" s="52"/>
      <c r="K71" s="152"/>
      <c r="L71" s="36"/>
    </row>
    <row r="72" spans="1:12">
      <c r="A72" s="16" t="s">
        <v>87</v>
      </c>
      <c r="B72" s="62">
        <f>172.6+254.4</f>
        <v>427</v>
      </c>
      <c r="C72" s="63">
        <f>222.2+179</f>
        <v>401.2</v>
      </c>
      <c r="D72" s="31">
        <f t="shared" si="35"/>
        <v>-6.0421545667447329</v>
      </c>
      <c r="E72" s="63">
        <f>166.6+220.7</f>
        <v>387.29999999999995</v>
      </c>
      <c r="F72" s="63">
        <f>136+192</f>
        <v>328</v>
      </c>
      <c r="G72" s="151">
        <f>+G8*0.182</f>
        <v>181.45400000000001</v>
      </c>
      <c r="H72" s="151">
        <f t="shared" ref="H72:I72" si="37">+H8*0.182</f>
        <v>191.64599999999999</v>
      </c>
      <c r="I72" s="151">
        <f t="shared" si="37"/>
        <v>202.566</v>
      </c>
      <c r="J72" s="52"/>
      <c r="K72" s="36"/>
      <c r="L72" s="36"/>
    </row>
    <row r="73" spans="1:12">
      <c r="A73" s="18" t="s">
        <v>88</v>
      </c>
      <c r="B73" s="76">
        <v>0</v>
      </c>
      <c r="C73" s="76">
        <v>0</v>
      </c>
      <c r="D73" s="31"/>
      <c r="E73" s="76">
        <v>0</v>
      </c>
      <c r="F73" s="76">
        <v>0</v>
      </c>
      <c r="G73" s="76">
        <v>0</v>
      </c>
      <c r="H73" s="76">
        <v>0</v>
      </c>
      <c r="I73" s="76">
        <v>0</v>
      </c>
      <c r="J73" s="53"/>
      <c r="K73" s="36"/>
      <c r="L73" s="36"/>
    </row>
    <row r="74" spans="1:12">
      <c r="A74" s="19" t="s">
        <v>89</v>
      </c>
      <c r="B74" s="75">
        <f>+B72-B73</f>
        <v>427</v>
      </c>
      <c r="C74" s="75">
        <f>+C72-C73</f>
        <v>401.2</v>
      </c>
      <c r="D74" s="31">
        <f t="shared" si="35"/>
        <v>-6.0421545667447329</v>
      </c>
      <c r="E74" s="83">
        <f>+E72-E73</f>
        <v>387.29999999999995</v>
      </c>
      <c r="F74" s="83">
        <f t="shared" ref="F74:I74" si="38">+F72-F73</f>
        <v>328</v>
      </c>
      <c r="G74" s="83">
        <f t="shared" si="38"/>
        <v>181.45400000000001</v>
      </c>
      <c r="H74" s="83">
        <f t="shared" si="38"/>
        <v>191.64599999999999</v>
      </c>
      <c r="I74" s="83">
        <f t="shared" si="38"/>
        <v>202.566</v>
      </c>
      <c r="J74" s="36"/>
      <c r="K74" s="36"/>
      <c r="L74" s="36"/>
    </row>
    <row r="75" spans="1:12">
      <c r="A75" s="16" t="s">
        <v>90</v>
      </c>
      <c r="B75" s="62">
        <f>545.3+198.3</f>
        <v>743.59999999999991</v>
      </c>
      <c r="C75" s="63">
        <f>193.2+644.5</f>
        <v>837.7</v>
      </c>
      <c r="D75" s="31">
        <f t="shared" si="35"/>
        <v>12.654653039268442</v>
      </c>
      <c r="E75" s="63">
        <f>560+189</f>
        <v>749</v>
      </c>
      <c r="F75" s="63">
        <f>597+194</f>
        <v>791</v>
      </c>
      <c r="G75" s="151">
        <f>+G23*0.498</f>
        <v>862.33679999999993</v>
      </c>
      <c r="H75" s="151">
        <f t="shared" ref="H75:I75" si="39">+H23*0.498</f>
        <v>940.02479999999991</v>
      </c>
      <c r="I75" s="151">
        <f t="shared" si="39"/>
        <v>1024.1867999999999</v>
      </c>
      <c r="J75" s="52"/>
      <c r="K75" s="36"/>
      <c r="L75" s="36"/>
    </row>
    <row r="76" spans="1:12">
      <c r="A76" s="18" t="s">
        <v>91</v>
      </c>
      <c r="B76" s="76">
        <v>0</v>
      </c>
      <c r="C76" s="76">
        <v>0</v>
      </c>
      <c r="D76" s="31"/>
      <c r="E76" s="76">
        <v>0</v>
      </c>
      <c r="F76" s="76">
        <v>0</v>
      </c>
      <c r="G76" s="76">
        <v>0</v>
      </c>
      <c r="H76" s="83">
        <v>140</v>
      </c>
      <c r="I76" s="83">
        <v>140</v>
      </c>
      <c r="J76" s="36"/>
      <c r="K76" s="36"/>
      <c r="L76" s="36"/>
    </row>
    <row r="77" spans="1:12">
      <c r="A77" s="19" t="s">
        <v>92</v>
      </c>
      <c r="B77" s="75">
        <f>+B75-B76</f>
        <v>743.59999999999991</v>
      </c>
      <c r="C77" s="75">
        <f>+C75-C76</f>
        <v>837.7</v>
      </c>
      <c r="D77" s="31">
        <f t="shared" si="35"/>
        <v>12.654653039268442</v>
      </c>
      <c r="E77" s="83">
        <f>+E75-E76</f>
        <v>749</v>
      </c>
      <c r="F77" s="83">
        <f t="shared" ref="F77:I77" si="40">+F75-F76</f>
        <v>791</v>
      </c>
      <c r="G77" s="83">
        <f t="shared" si="40"/>
        <v>862.33679999999993</v>
      </c>
      <c r="H77" s="83">
        <f t="shared" si="40"/>
        <v>800.02479999999991</v>
      </c>
      <c r="I77" s="83">
        <f t="shared" si="40"/>
        <v>884.18679999999995</v>
      </c>
      <c r="J77" s="36"/>
      <c r="K77" s="36"/>
      <c r="L77" s="36"/>
    </row>
    <row r="78" spans="1:12">
      <c r="A78" s="20" t="s">
        <v>32</v>
      </c>
      <c r="B78" s="21">
        <f>+B73+B76</f>
        <v>0</v>
      </c>
      <c r="C78" s="21">
        <f t="shared" ref="C78:I78" si="41">+C73+C76</f>
        <v>0</v>
      </c>
      <c r="D78" s="108"/>
      <c r="E78" s="21">
        <f t="shared" si="41"/>
        <v>0</v>
      </c>
      <c r="F78" s="21">
        <f t="shared" si="41"/>
        <v>0</v>
      </c>
      <c r="G78" s="21">
        <f t="shared" si="41"/>
        <v>0</v>
      </c>
      <c r="H78" s="21">
        <f t="shared" si="41"/>
        <v>140</v>
      </c>
      <c r="I78" s="21">
        <f t="shared" si="41"/>
        <v>140</v>
      </c>
      <c r="J78" s="36"/>
      <c r="K78" s="36"/>
      <c r="L78" s="36"/>
    </row>
    <row r="79" spans="1:12">
      <c r="A79" s="20" t="s">
        <v>33</v>
      </c>
      <c r="B79" s="21">
        <f>+B71+B74+B77</f>
        <v>2011.6999999999998</v>
      </c>
      <c r="C79" s="21">
        <f t="shared" ref="C79:I79" si="42">+C71+C74+C77</f>
        <v>2201</v>
      </c>
      <c r="D79" s="108">
        <f t="shared" si="35"/>
        <v>9.4099517820748719</v>
      </c>
      <c r="E79" s="21">
        <f t="shared" si="42"/>
        <v>2147.4</v>
      </c>
      <c r="F79" s="21">
        <f t="shared" si="42"/>
        <v>2062</v>
      </c>
      <c r="G79" s="21">
        <f t="shared" si="42"/>
        <v>2058.6704</v>
      </c>
      <c r="H79" s="21">
        <f t="shared" si="42"/>
        <v>2085.3004000000001</v>
      </c>
      <c r="I79" s="21">
        <f t="shared" si="42"/>
        <v>2265.3063999999999</v>
      </c>
      <c r="J79" s="36"/>
      <c r="K79" s="36"/>
      <c r="L79" s="36"/>
    </row>
    <row r="80" spans="1:12">
      <c r="A80" s="20" t="s">
        <v>43</v>
      </c>
      <c r="B80" s="22">
        <f>+B78+B79</f>
        <v>2011.6999999999998</v>
      </c>
      <c r="C80" s="22">
        <f t="shared" ref="C80:I80" si="43">+C78+C79</f>
        <v>2201</v>
      </c>
      <c r="D80" s="108">
        <f t="shared" si="35"/>
        <v>9.4099517820748719</v>
      </c>
      <c r="E80" s="22">
        <f t="shared" si="43"/>
        <v>2147.4</v>
      </c>
      <c r="F80" s="22">
        <f t="shared" si="43"/>
        <v>2062</v>
      </c>
      <c r="G80" s="22">
        <f t="shared" si="43"/>
        <v>2058.6704</v>
      </c>
      <c r="H80" s="22">
        <f t="shared" si="43"/>
        <v>2225.3004000000001</v>
      </c>
      <c r="I80" s="22">
        <f t="shared" si="43"/>
        <v>2405.3063999999999</v>
      </c>
      <c r="J80" s="36"/>
      <c r="K80" s="36"/>
      <c r="L80" s="36"/>
    </row>
    <row r="81" spans="1:12">
      <c r="A81" s="33"/>
      <c r="B81" s="67" t="s">
        <v>12</v>
      </c>
      <c r="C81" s="67" t="s">
        <v>12</v>
      </c>
      <c r="D81" s="33"/>
      <c r="E81" s="67" t="s">
        <v>12</v>
      </c>
      <c r="F81" s="67" t="s">
        <v>12</v>
      </c>
      <c r="G81" s="153">
        <f>+G71+G72+G75</f>
        <v>2058.6704</v>
      </c>
      <c r="H81" s="153">
        <f t="shared" ref="H81:I81" si="44">+H71+H72+H75</f>
        <v>2225.3004000000001</v>
      </c>
      <c r="I81" s="153">
        <f t="shared" si="44"/>
        <v>2405.3063999999999</v>
      </c>
      <c r="J81" s="164" t="s">
        <v>60</v>
      </c>
      <c r="K81" s="36"/>
      <c r="L81" s="36"/>
    </row>
    <row r="82" spans="1:12">
      <c r="A82" s="33" t="s">
        <v>2</v>
      </c>
      <c r="B82" s="71">
        <f>+B86/B71</f>
        <v>0.32100820354297949</v>
      </c>
      <c r="C82" s="71">
        <f>+C86/C71</f>
        <v>0.32117243529778611</v>
      </c>
      <c r="D82" s="34">
        <f t="shared" ref="D82:D83" si="45">+(C82-B82)/B82*100</f>
        <v>5.1161232951055083E-2</v>
      </c>
      <c r="E82" s="73">
        <f>+E86/E71</f>
        <v>0.32044308179210762</v>
      </c>
      <c r="F82" s="73">
        <f>+F86/F71</f>
        <v>0.31919406150583246</v>
      </c>
      <c r="G82" s="71">
        <v>0.31919406150583246</v>
      </c>
      <c r="H82" s="71">
        <v>0.31919406150583246</v>
      </c>
      <c r="I82" s="71">
        <v>0.31919406150583246</v>
      </c>
      <c r="J82" s="36"/>
      <c r="K82" s="36"/>
      <c r="L82" s="36"/>
    </row>
    <row r="83" spans="1:12">
      <c r="A83" s="33" t="s">
        <v>3</v>
      </c>
      <c r="B83" s="71">
        <f>+B87/B72</f>
        <v>0.26463700234192039</v>
      </c>
      <c r="C83" s="71">
        <f>+C87/C72</f>
        <v>0.28165503489531407</v>
      </c>
      <c r="D83" s="34">
        <f t="shared" si="45"/>
        <v>6.430707876370886</v>
      </c>
      <c r="E83" s="73">
        <f>+E87/E72</f>
        <v>0.3304931577588433</v>
      </c>
      <c r="F83" s="73">
        <f>+F87/F72</f>
        <v>0.32926829268292684</v>
      </c>
      <c r="G83" s="71">
        <v>0.32926829268292684</v>
      </c>
      <c r="H83" s="71">
        <v>0.32926829268292684</v>
      </c>
      <c r="I83" s="71">
        <v>0.32926829268292684</v>
      </c>
      <c r="J83" s="36"/>
      <c r="K83" s="36"/>
      <c r="L83" s="36"/>
    </row>
    <row r="84" spans="1:12">
      <c r="A84" s="33" t="s">
        <v>14</v>
      </c>
      <c r="B84" s="71">
        <f>+B90/B75</f>
        <v>0.22727272727272729</v>
      </c>
      <c r="C84" s="71">
        <f>+C90/C75</f>
        <v>0.22203652859018741</v>
      </c>
      <c r="D84" s="34"/>
      <c r="E84" s="73">
        <f>+E90/E75</f>
        <v>0.22162883845126835</v>
      </c>
      <c r="F84" s="73">
        <f>+F90/F75</f>
        <v>0.22123893805309736</v>
      </c>
      <c r="G84" s="71">
        <v>0.22123893805309736</v>
      </c>
      <c r="H84" s="71">
        <v>0.22123893805309736</v>
      </c>
      <c r="I84" s="71">
        <v>0.22123893805309736</v>
      </c>
      <c r="J84" s="36"/>
      <c r="K84" s="36"/>
      <c r="L84" s="36"/>
    </row>
    <row r="85" spans="1:12">
      <c r="A85" s="33"/>
      <c r="B85" s="69"/>
      <c r="C85" s="69"/>
      <c r="D85" s="69"/>
      <c r="E85" s="69"/>
      <c r="F85" s="69"/>
      <c r="G85" s="69"/>
      <c r="H85" s="69"/>
      <c r="I85" s="69"/>
      <c r="J85" s="154"/>
      <c r="K85" s="154"/>
      <c r="L85" s="36"/>
    </row>
    <row r="86" spans="1:12">
      <c r="A86" s="15" t="s">
        <v>96</v>
      </c>
      <c r="B86" s="62">
        <f>138+132</f>
        <v>270</v>
      </c>
      <c r="C86" s="62">
        <f>149+160</f>
        <v>309</v>
      </c>
      <c r="D86" s="17">
        <f>+(C86-B86)/B86*100</f>
        <v>14.444444444444443</v>
      </c>
      <c r="E86" s="62">
        <f>174+150</f>
        <v>324</v>
      </c>
      <c r="F86" s="62">
        <f>166+135</f>
        <v>301</v>
      </c>
      <c r="G86" s="75">
        <f>+G34*0.126</f>
        <v>324.77885147031282</v>
      </c>
      <c r="H86" s="75">
        <f t="shared" ref="H86:I86" si="46">+H34*0.126</f>
        <v>349.98020003746024</v>
      </c>
      <c r="I86" s="75">
        <f t="shared" si="46"/>
        <v>377.157334332272</v>
      </c>
      <c r="J86" s="52"/>
      <c r="K86" s="36"/>
      <c r="L86" s="36"/>
    </row>
    <row r="87" spans="1:12">
      <c r="A87" s="16" t="s">
        <v>97</v>
      </c>
      <c r="B87" s="62">
        <f>61+52</f>
        <v>113</v>
      </c>
      <c r="C87" s="62">
        <f>57+56</f>
        <v>113</v>
      </c>
      <c r="D87" s="17">
        <f t="shared" ref="D87:D95" si="47">+(C87-B87)/B87*100</f>
        <v>0</v>
      </c>
      <c r="E87" s="62">
        <f>55+73</f>
        <v>128</v>
      </c>
      <c r="F87" s="62">
        <f>45+63</f>
        <v>108</v>
      </c>
      <c r="G87" s="75">
        <f>+G35*0.182</f>
        <v>116.33996116720292</v>
      </c>
      <c r="H87" s="75">
        <f t="shared" ref="H87:I87" si="48">+H35*0.182</f>
        <v>124.93059136802398</v>
      </c>
      <c r="I87" s="75">
        <f t="shared" si="48"/>
        <v>134.06189060246311</v>
      </c>
      <c r="J87" s="52"/>
      <c r="K87" s="36"/>
      <c r="L87" s="36"/>
    </row>
    <row r="88" spans="1:12">
      <c r="A88" s="18" t="s">
        <v>93</v>
      </c>
      <c r="B88" s="75">
        <v>0</v>
      </c>
      <c r="C88" s="75">
        <v>0</v>
      </c>
      <c r="D88" s="17"/>
      <c r="E88" s="75">
        <v>0</v>
      </c>
      <c r="F88" s="75">
        <v>0</v>
      </c>
      <c r="G88" s="75">
        <v>0</v>
      </c>
      <c r="H88" s="75">
        <v>0</v>
      </c>
      <c r="I88" s="75">
        <v>0</v>
      </c>
      <c r="K88" s="36"/>
      <c r="L88" s="36"/>
    </row>
    <row r="89" spans="1:12">
      <c r="A89" s="19" t="s">
        <v>94</v>
      </c>
      <c r="B89" s="75">
        <f>+B87-B88</f>
        <v>113</v>
      </c>
      <c r="C89" s="75">
        <f t="shared" ref="C89:I89" si="49">+C87-C88</f>
        <v>113</v>
      </c>
      <c r="D89" s="155">
        <f t="shared" si="47"/>
        <v>0</v>
      </c>
      <c r="E89" s="75">
        <f t="shared" si="49"/>
        <v>128</v>
      </c>
      <c r="F89" s="75">
        <f t="shared" si="49"/>
        <v>108</v>
      </c>
      <c r="G89" s="75">
        <f t="shared" si="49"/>
        <v>116.33996116720292</v>
      </c>
      <c r="H89" s="75">
        <f t="shared" si="49"/>
        <v>124.93059136802398</v>
      </c>
      <c r="I89" s="75">
        <f t="shared" si="49"/>
        <v>134.06189060246311</v>
      </c>
      <c r="J89" s="36"/>
      <c r="K89" s="36"/>
      <c r="L89" s="36"/>
    </row>
    <row r="90" spans="1:12">
      <c r="A90" s="16" t="s">
        <v>98</v>
      </c>
      <c r="B90" s="62">
        <f>48+121</f>
        <v>169</v>
      </c>
      <c r="C90" s="62">
        <f>47+139</f>
        <v>186</v>
      </c>
      <c r="D90" s="30">
        <f t="shared" si="47"/>
        <v>10.059171597633137</v>
      </c>
      <c r="E90" s="62">
        <f>124+42</f>
        <v>166</v>
      </c>
      <c r="F90" s="62">
        <f>132+43</f>
        <v>175</v>
      </c>
      <c r="G90" s="75">
        <f>+G38*0.499</f>
        <v>191.03553061224491</v>
      </c>
      <c r="H90" s="75">
        <f t="shared" ref="H90:I90" si="50">+H38*0.499</f>
        <v>208.24593877551021</v>
      </c>
      <c r="I90" s="75">
        <f t="shared" si="50"/>
        <v>226.89054761904762</v>
      </c>
      <c r="J90" s="52"/>
      <c r="K90" s="36"/>
      <c r="L90" s="36"/>
    </row>
    <row r="91" spans="1:12">
      <c r="A91" s="18" t="s">
        <v>95</v>
      </c>
      <c r="B91" s="75">
        <v>0</v>
      </c>
      <c r="C91" s="75">
        <v>0</v>
      </c>
      <c r="D91" s="31"/>
      <c r="E91" s="75">
        <v>0</v>
      </c>
      <c r="F91" s="75">
        <v>0</v>
      </c>
      <c r="G91" s="75">
        <v>0</v>
      </c>
      <c r="H91" s="75">
        <f>+H76*H84</f>
        <v>30.973451327433629</v>
      </c>
      <c r="I91" s="75">
        <f>+I76*I84</f>
        <v>30.973451327433629</v>
      </c>
      <c r="J91" s="36"/>
      <c r="K91" s="36"/>
      <c r="L91" s="36"/>
    </row>
    <row r="92" spans="1:12">
      <c r="A92" s="19" t="s">
        <v>79</v>
      </c>
      <c r="B92" s="75">
        <f>+B90-B91</f>
        <v>169</v>
      </c>
      <c r="C92" s="75">
        <f t="shared" ref="C92:I92" si="51">+C90-C91</f>
        <v>186</v>
      </c>
      <c r="D92" s="30">
        <f t="shared" si="47"/>
        <v>10.059171597633137</v>
      </c>
      <c r="E92" s="62">
        <f t="shared" si="51"/>
        <v>166</v>
      </c>
      <c r="F92" s="62">
        <f t="shared" si="51"/>
        <v>175</v>
      </c>
      <c r="G92" s="62">
        <f t="shared" si="51"/>
        <v>191.03553061224491</v>
      </c>
      <c r="H92" s="62">
        <f t="shared" si="51"/>
        <v>177.27248744807659</v>
      </c>
      <c r="I92" s="62">
        <f t="shared" si="51"/>
        <v>195.917096291614</v>
      </c>
      <c r="J92" s="36"/>
      <c r="K92" s="36"/>
      <c r="L92" s="36"/>
    </row>
    <row r="93" spans="1:12">
      <c r="A93" s="20" t="s">
        <v>41</v>
      </c>
      <c r="B93" s="135">
        <f>+B88+B91</f>
        <v>0</v>
      </c>
      <c r="C93" s="135">
        <f t="shared" ref="C93:I93" si="52">+C88+C91</f>
        <v>0</v>
      </c>
      <c r="D93" s="30"/>
      <c r="E93" s="135">
        <f t="shared" si="52"/>
        <v>0</v>
      </c>
      <c r="F93" s="135">
        <f t="shared" si="52"/>
        <v>0</v>
      </c>
      <c r="G93" s="135">
        <f t="shared" si="52"/>
        <v>0</v>
      </c>
      <c r="H93" s="135">
        <f t="shared" si="52"/>
        <v>30.973451327433629</v>
      </c>
      <c r="I93" s="135">
        <f t="shared" si="52"/>
        <v>30.973451327433629</v>
      </c>
      <c r="J93" s="36"/>
      <c r="K93" s="36"/>
      <c r="L93" s="36"/>
    </row>
    <row r="94" spans="1:12">
      <c r="A94" s="20" t="s">
        <v>42</v>
      </c>
      <c r="B94" s="135">
        <f>+B86+B89+B92</f>
        <v>552</v>
      </c>
      <c r="C94" s="135">
        <f t="shared" ref="C94:I94" si="53">+C86+C89+C92</f>
        <v>608</v>
      </c>
      <c r="D94" s="90">
        <f t="shared" si="47"/>
        <v>10.144927536231885</v>
      </c>
      <c r="E94" s="135">
        <f t="shared" si="53"/>
        <v>618</v>
      </c>
      <c r="F94" s="135">
        <f t="shared" si="53"/>
        <v>584</v>
      </c>
      <c r="G94" s="135">
        <f t="shared" si="53"/>
        <v>632.15434324976059</v>
      </c>
      <c r="H94" s="135">
        <f t="shared" si="53"/>
        <v>652.18327885356086</v>
      </c>
      <c r="I94" s="135">
        <f t="shared" si="53"/>
        <v>707.13632122634908</v>
      </c>
      <c r="J94" s="36"/>
      <c r="K94" s="36"/>
      <c r="L94" s="36"/>
    </row>
    <row r="95" spans="1:12">
      <c r="A95" s="20" t="s">
        <v>4</v>
      </c>
      <c r="B95" s="135">
        <f>+B93+B94</f>
        <v>552</v>
      </c>
      <c r="C95" s="135">
        <f t="shared" ref="C95:I95" si="54">+C93+C94</f>
        <v>608</v>
      </c>
      <c r="D95" s="90">
        <f t="shared" si="47"/>
        <v>10.144927536231885</v>
      </c>
      <c r="E95" s="135">
        <f t="shared" si="54"/>
        <v>618</v>
      </c>
      <c r="F95" s="135">
        <f t="shared" si="54"/>
        <v>584</v>
      </c>
      <c r="G95" s="135">
        <f t="shared" si="54"/>
        <v>632.15434324976059</v>
      </c>
      <c r="H95" s="135">
        <f t="shared" si="54"/>
        <v>683.15673018099449</v>
      </c>
      <c r="I95" s="135">
        <f t="shared" si="54"/>
        <v>738.1097725537827</v>
      </c>
      <c r="J95" s="36"/>
      <c r="K95" s="36"/>
      <c r="L95" s="36"/>
    </row>
    <row r="96" spans="1:12">
      <c r="B96" s="68" t="s">
        <v>12</v>
      </c>
      <c r="C96" s="68" t="s">
        <v>12</v>
      </c>
      <c r="E96" s="68" t="s">
        <v>12</v>
      </c>
      <c r="F96" s="68" t="s">
        <v>12</v>
      </c>
      <c r="G96" s="117">
        <f>+G86+G87+G90</f>
        <v>632.15434324976059</v>
      </c>
      <c r="H96" s="117">
        <f t="shared" ref="H96:I96" si="55">+H86+H87+H90</f>
        <v>683.15673018099449</v>
      </c>
      <c r="I96" s="117">
        <f t="shared" si="55"/>
        <v>738.1097725537827</v>
      </c>
      <c r="J96" s="164" t="s">
        <v>60</v>
      </c>
      <c r="K96" s="36"/>
      <c r="L96" s="36"/>
    </row>
    <row r="97" spans="1:1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>
      <c r="A98" s="36"/>
      <c r="B98" s="145"/>
      <c r="C98" s="145"/>
      <c r="D98" s="145"/>
      <c r="E98" s="145"/>
      <c r="F98" s="145"/>
      <c r="G98" s="145"/>
      <c r="H98" s="145"/>
      <c r="I98" s="145"/>
      <c r="J98" s="36"/>
      <c r="K98" s="36"/>
      <c r="L98" s="36"/>
    </row>
    <row r="105" spans="1:12" ht="21">
      <c r="A105" s="104" t="s">
        <v>61</v>
      </c>
      <c r="B105" s="104"/>
      <c r="D105" s="50"/>
      <c r="E105" s="51"/>
      <c r="F105" s="85"/>
      <c r="J105" s="36"/>
      <c r="K105" s="36"/>
    </row>
    <row r="106" spans="1:12" ht="19.5" thickBot="1">
      <c r="D106" s="3"/>
      <c r="E106" s="51"/>
      <c r="G106" s="51"/>
      <c r="J106" s="36"/>
      <c r="K106" s="36"/>
    </row>
    <row r="107" spans="1:12">
      <c r="B107" s="4" t="s">
        <v>11</v>
      </c>
      <c r="C107" s="4" t="s">
        <v>10</v>
      </c>
      <c r="D107" s="3"/>
      <c r="E107" s="4" t="s">
        <v>9</v>
      </c>
      <c r="F107" s="192" t="s">
        <v>6</v>
      </c>
      <c r="G107" s="193"/>
      <c r="H107" s="193"/>
      <c r="I107" s="194"/>
      <c r="J107" s="36"/>
      <c r="K107" s="36"/>
    </row>
    <row r="108" spans="1:12">
      <c r="A108" s="8" t="s">
        <v>5</v>
      </c>
      <c r="B108" s="9">
        <v>2010</v>
      </c>
      <c r="C108" s="9">
        <v>2011</v>
      </c>
      <c r="D108" s="10" t="s">
        <v>0</v>
      </c>
      <c r="E108" s="11">
        <v>2012</v>
      </c>
      <c r="F108" s="12">
        <v>2013</v>
      </c>
      <c r="G108" s="12">
        <v>2014</v>
      </c>
      <c r="H108" s="12">
        <v>2015</v>
      </c>
      <c r="I108" s="13">
        <v>2016</v>
      </c>
      <c r="J108" s="36"/>
      <c r="K108" s="36"/>
    </row>
    <row r="109" spans="1:12">
      <c r="A109" s="195" t="s">
        <v>31</v>
      </c>
      <c r="B109" s="195"/>
      <c r="C109" s="195"/>
      <c r="D109" s="195"/>
      <c r="E109" s="195"/>
      <c r="F109" s="195"/>
      <c r="G109" s="195"/>
      <c r="H109" s="195"/>
      <c r="I109" s="195"/>
      <c r="J109" s="36"/>
      <c r="K109" s="36"/>
    </row>
    <row r="110" spans="1:12">
      <c r="A110" s="15" t="s">
        <v>47</v>
      </c>
      <c r="B110" s="116">
        <f>+B7-B59</f>
        <v>403407</v>
      </c>
      <c r="C110" s="116">
        <f t="shared" ref="C110:G110" si="56">+C7-C59</f>
        <v>430386</v>
      </c>
      <c r="D110" s="118">
        <f t="shared" si="56"/>
        <v>-5.0389178065871585</v>
      </c>
      <c r="E110" s="116">
        <f t="shared" si="56"/>
        <v>451120</v>
      </c>
      <c r="F110" s="116">
        <f t="shared" si="56"/>
        <v>474047</v>
      </c>
      <c r="G110" s="116">
        <f t="shared" si="56"/>
        <v>499501.326</v>
      </c>
      <c r="H110" s="116">
        <f>+H7-H59</f>
        <v>526367.73</v>
      </c>
      <c r="I110" s="116">
        <f>+I7-I59</f>
        <v>554711.93400000001</v>
      </c>
      <c r="J110" s="52"/>
      <c r="K110" s="36"/>
    </row>
    <row r="111" spans="1:12">
      <c r="A111" s="16" t="s">
        <v>82</v>
      </c>
      <c r="B111" s="88">
        <f t="shared" ref="B111:I119" si="57">+B8-B60</f>
        <v>655</v>
      </c>
      <c r="C111" s="88">
        <f t="shared" si="57"/>
        <v>688</v>
      </c>
      <c r="D111" s="134">
        <f t="shared" si="57"/>
        <v>-7.2555972743707411</v>
      </c>
      <c r="E111" s="88">
        <f t="shared" si="57"/>
        <v>710</v>
      </c>
      <c r="F111" s="88">
        <f t="shared" si="57"/>
        <v>749</v>
      </c>
      <c r="G111" s="88">
        <f t="shared" si="57"/>
        <v>791.61800000000005</v>
      </c>
      <c r="H111" s="88">
        <f>+H8-H60</f>
        <v>836.08199999999999</v>
      </c>
      <c r="I111" s="88">
        <f>+I8-I60</f>
        <v>883.72199999999998</v>
      </c>
      <c r="J111" s="52"/>
      <c r="K111" s="36"/>
    </row>
    <row r="112" spans="1:12">
      <c r="A112" s="18" t="s">
        <v>83</v>
      </c>
      <c r="B112" s="141">
        <f t="shared" si="57"/>
        <v>0</v>
      </c>
      <c r="C112" s="141">
        <f t="shared" si="57"/>
        <v>0</v>
      </c>
      <c r="D112" s="142">
        <f t="shared" si="57"/>
        <v>0</v>
      </c>
      <c r="E112" s="141">
        <f t="shared" si="57"/>
        <v>0</v>
      </c>
      <c r="F112" s="141">
        <f t="shared" si="57"/>
        <v>0</v>
      </c>
      <c r="G112" s="141">
        <f t="shared" si="57"/>
        <v>0</v>
      </c>
      <c r="H112" s="141">
        <f t="shared" si="57"/>
        <v>0</v>
      </c>
      <c r="I112" s="141">
        <f t="shared" si="57"/>
        <v>0</v>
      </c>
      <c r="J112" s="36"/>
      <c r="K112" s="36"/>
    </row>
    <row r="113" spans="1:11">
      <c r="A113" s="19" t="s">
        <v>73</v>
      </c>
      <c r="B113" s="116">
        <f t="shared" si="57"/>
        <v>655</v>
      </c>
      <c r="C113" s="116">
        <f t="shared" si="57"/>
        <v>688</v>
      </c>
      <c r="D113" s="118">
        <f t="shared" si="57"/>
        <v>-7.2555972743707411</v>
      </c>
      <c r="E113" s="116">
        <f t="shared" si="57"/>
        <v>710</v>
      </c>
      <c r="F113" s="116">
        <f t="shared" si="57"/>
        <v>749</v>
      </c>
      <c r="G113" s="116">
        <f t="shared" si="57"/>
        <v>791.61800000000005</v>
      </c>
      <c r="H113" s="116">
        <f>+H10-H62</f>
        <v>836.08199999999999</v>
      </c>
      <c r="I113" s="116">
        <f>+I10-I62</f>
        <v>883.72199999999998</v>
      </c>
      <c r="J113" s="36"/>
    </row>
    <row r="114" spans="1:11">
      <c r="A114" s="16" t="s">
        <v>84</v>
      </c>
      <c r="B114" s="88">
        <f t="shared" si="57"/>
        <v>13</v>
      </c>
      <c r="C114" s="75">
        <f t="shared" si="57"/>
        <v>14</v>
      </c>
      <c r="D114" s="109">
        <f t="shared" si="57"/>
        <v>3.0303030303030303</v>
      </c>
      <c r="E114" s="75">
        <f t="shared" si="57"/>
        <v>14</v>
      </c>
      <c r="F114" s="75">
        <f t="shared" si="57"/>
        <v>17</v>
      </c>
      <c r="G114" s="75">
        <f t="shared" si="57"/>
        <v>18</v>
      </c>
      <c r="H114" s="75">
        <f>+H23-H63</f>
        <v>1865.6</v>
      </c>
      <c r="I114" s="75">
        <f t="shared" si="57"/>
        <v>21</v>
      </c>
      <c r="J114" s="36"/>
      <c r="K114" s="36"/>
    </row>
    <row r="115" spans="1:11">
      <c r="A115" s="18" t="s">
        <v>85</v>
      </c>
      <c r="B115" s="141">
        <f t="shared" si="57"/>
        <v>2</v>
      </c>
      <c r="C115" s="141">
        <f t="shared" si="57"/>
        <v>2</v>
      </c>
      <c r="D115" s="142">
        <f t="shared" si="57"/>
        <v>0</v>
      </c>
      <c r="E115" s="141">
        <f t="shared" si="57"/>
        <v>2</v>
      </c>
      <c r="F115" s="141">
        <f t="shared" si="57"/>
        <v>2</v>
      </c>
      <c r="G115" s="141">
        <f t="shared" si="57"/>
        <v>2</v>
      </c>
      <c r="H115" s="141">
        <f t="shared" si="57"/>
        <v>2</v>
      </c>
      <c r="I115" s="141">
        <f t="shared" si="57"/>
        <v>2</v>
      </c>
      <c r="J115" s="53"/>
      <c r="K115" s="36"/>
    </row>
    <row r="116" spans="1:11">
      <c r="A116" s="19" t="s">
        <v>74</v>
      </c>
      <c r="B116" s="116">
        <f t="shared" si="57"/>
        <v>11</v>
      </c>
      <c r="C116" s="116">
        <f t="shared" si="57"/>
        <v>12</v>
      </c>
      <c r="D116" s="118">
        <f t="shared" si="57"/>
        <v>3.225806451612903</v>
      </c>
      <c r="E116" s="116">
        <f t="shared" si="57"/>
        <v>12</v>
      </c>
      <c r="F116" s="116">
        <f t="shared" si="57"/>
        <v>15</v>
      </c>
      <c r="G116" s="116">
        <f t="shared" si="57"/>
        <v>16</v>
      </c>
      <c r="H116" s="116">
        <f>+H25-H65</f>
        <v>1126.5999999999999</v>
      </c>
      <c r="I116" s="116">
        <f t="shared" si="57"/>
        <v>19</v>
      </c>
      <c r="J116" s="36"/>
      <c r="K116" s="36"/>
    </row>
    <row r="117" spans="1:11">
      <c r="A117" s="20" t="s">
        <v>21</v>
      </c>
      <c r="B117" s="157">
        <f t="shared" si="57"/>
        <v>2</v>
      </c>
      <c r="C117" s="157">
        <f t="shared" si="57"/>
        <v>2</v>
      </c>
      <c r="D117" s="134">
        <f t="shared" si="57"/>
        <v>0</v>
      </c>
      <c r="E117" s="157">
        <f t="shared" si="57"/>
        <v>2</v>
      </c>
      <c r="F117" s="157">
        <f t="shared" si="57"/>
        <v>2</v>
      </c>
      <c r="G117" s="157">
        <f t="shared" si="57"/>
        <v>2</v>
      </c>
      <c r="H117" s="157">
        <f t="shared" si="57"/>
        <v>2</v>
      </c>
      <c r="I117" s="157">
        <f t="shared" si="57"/>
        <v>2</v>
      </c>
      <c r="J117" s="53"/>
      <c r="K117" s="36"/>
    </row>
    <row r="118" spans="1:11">
      <c r="A118" s="20" t="s">
        <v>22</v>
      </c>
      <c r="B118" s="157">
        <f t="shared" si="57"/>
        <v>404073</v>
      </c>
      <c r="C118" s="157">
        <f t="shared" si="57"/>
        <v>431086</v>
      </c>
      <c r="D118" s="134">
        <f t="shared" si="57"/>
        <v>-5.0398424476088524</v>
      </c>
      <c r="E118" s="157">
        <f t="shared" si="57"/>
        <v>451842</v>
      </c>
      <c r="F118" s="157">
        <f t="shared" si="57"/>
        <v>474811</v>
      </c>
      <c r="G118" s="157">
        <f t="shared" si="57"/>
        <v>500308.94400000002</v>
      </c>
      <c r="H118" s="157">
        <f t="shared" si="57"/>
        <v>527221.81200000003</v>
      </c>
      <c r="I118" s="157">
        <f t="shared" si="57"/>
        <v>555614.65599999996</v>
      </c>
      <c r="J118" s="53"/>
      <c r="K118" s="36"/>
    </row>
    <row r="119" spans="1:11">
      <c r="A119" s="24" t="s">
        <v>1</v>
      </c>
      <c r="B119" s="157">
        <f t="shared" si="57"/>
        <v>404075</v>
      </c>
      <c r="C119" s="157">
        <f t="shared" si="57"/>
        <v>431088</v>
      </c>
      <c r="D119" s="134">
        <f t="shared" si="57"/>
        <v>-5.0398742277306381</v>
      </c>
      <c r="E119" s="157">
        <f t="shared" si="57"/>
        <v>451844</v>
      </c>
      <c r="F119" s="157">
        <f t="shared" si="57"/>
        <v>474813</v>
      </c>
      <c r="G119" s="157">
        <f t="shared" si="57"/>
        <v>500310.94400000002</v>
      </c>
      <c r="H119" s="157">
        <f t="shared" si="57"/>
        <v>527223.81200000003</v>
      </c>
      <c r="I119" s="157">
        <f t="shared" si="57"/>
        <v>555616.65599999996</v>
      </c>
      <c r="J119" s="53"/>
      <c r="K119" s="36"/>
    </row>
    <row r="120" spans="1:11">
      <c r="A120" s="26"/>
      <c r="B120" s="113">
        <f>+B110+B111+B114</f>
        <v>404075</v>
      </c>
      <c r="C120" s="113">
        <f t="shared" ref="C120:I120" si="58">+C110+C111+C114</f>
        <v>431088</v>
      </c>
      <c r="D120" s="113"/>
      <c r="E120" s="113">
        <f t="shared" si="58"/>
        <v>451844</v>
      </c>
      <c r="F120" s="113">
        <f t="shared" si="58"/>
        <v>474813</v>
      </c>
      <c r="G120" s="113">
        <f t="shared" si="58"/>
        <v>500310.94400000002</v>
      </c>
      <c r="H120" s="113">
        <f t="shared" si="58"/>
        <v>529069.41200000001</v>
      </c>
      <c r="I120" s="113">
        <f t="shared" si="58"/>
        <v>555616.65599999996</v>
      </c>
      <c r="J120" s="1" t="s">
        <v>60</v>
      </c>
      <c r="K120" s="145"/>
    </row>
    <row r="121" spans="1:11">
      <c r="A121" s="185" t="s">
        <v>30</v>
      </c>
      <c r="B121" s="186"/>
      <c r="C121" s="186"/>
      <c r="D121" s="186"/>
      <c r="E121" s="186"/>
      <c r="F121" s="186"/>
      <c r="G121" s="186"/>
      <c r="H121" s="186"/>
      <c r="I121" s="187"/>
      <c r="J121" s="53"/>
      <c r="K121" s="36"/>
    </row>
    <row r="122" spans="1:11">
      <c r="A122" s="15" t="s">
        <v>86</v>
      </c>
      <c r="B122" s="116">
        <f>+B19-B71</f>
        <v>4714.7000000000007</v>
      </c>
      <c r="C122" s="116">
        <f t="shared" ref="C122:I122" si="59">+C19-C71</f>
        <v>5254.4</v>
      </c>
      <c r="D122" s="118">
        <f t="shared" si="59"/>
        <v>-2.4938464471919648</v>
      </c>
      <c r="E122" s="116">
        <f t="shared" si="59"/>
        <v>6074.4</v>
      </c>
      <c r="F122" s="116">
        <f t="shared" si="59"/>
        <v>6531.6</v>
      </c>
      <c r="G122" s="116">
        <f t="shared" si="59"/>
        <v>7039.7204000000002</v>
      </c>
      <c r="H122" s="116">
        <f t="shared" si="59"/>
        <v>7585.9704000000002</v>
      </c>
      <c r="I122" s="116">
        <f t="shared" si="59"/>
        <v>8175.0464000000002</v>
      </c>
      <c r="J122" s="52"/>
      <c r="K122" s="36"/>
    </row>
    <row r="123" spans="1:11">
      <c r="A123" s="16" t="s">
        <v>87</v>
      </c>
      <c r="B123" s="62">
        <f>+B20-B72</f>
        <v>1119.2</v>
      </c>
      <c r="C123" s="63">
        <f t="shared" ref="C123:I123" si="60">+C20-C72</f>
        <v>1148.2</v>
      </c>
      <c r="D123" s="109">
        <f t="shared" si="60"/>
        <v>6.2491135629936041</v>
      </c>
      <c r="E123" s="63">
        <f t="shared" si="60"/>
        <v>1338.8</v>
      </c>
      <c r="F123" s="63">
        <f t="shared" si="60"/>
        <v>1474.6</v>
      </c>
      <c r="G123" s="83">
        <f t="shared" si="60"/>
        <v>1755.146</v>
      </c>
      <c r="H123" s="83">
        <f t="shared" si="60"/>
        <v>1887.954</v>
      </c>
      <c r="I123" s="83">
        <f t="shared" si="60"/>
        <v>2029.0339999999999</v>
      </c>
      <c r="J123" s="52"/>
      <c r="K123" s="36"/>
    </row>
    <row r="124" spans="1:11">
      <c r="A124" s="18" t="s">
        <v>88</v>
      </c>
      <c r="B124" s="138">
        <f t="shared" ref="B124:I131" si="61">+B21-B73</f>
        <v>0</v>
      </c>
      <c r="C124" s="63">
        <f t="shared" si="61"/>
        <v>0</v>
      </c>
      <c r="D124" s="133">
        <f t="shared" si="61"/>
        <v>0</v>
      </c>
      <c r="E124" s="139">
        <f t="shared" si="61"/>
        <v>0</v>
      </c>
      <c r="F124" s="139">
        <f t="shared" si="61"/>
        <v>0</v>
      </c>
      <c r="G124" s="139">
        <f t="shared" si="61"/>
        <v>0</v>
      </c>
      <c r="H124" s="139">
        <f t="shared" si="61"/>
        <v>0</v>
      </c>
      <c r="I124" s="139">
        <f t="shared" si="61"/>
        <v>0</v>
      </c>
      <c r="J124" s="53"/>
      <c r="K124" s="36"/>
    </row>
    <row r="125" spans="1:11">
      <c r="A125" s="19" t="s">
        <v>89</v>
      </c>
      <c r="B125" s="116">
        <f t="shared" si="61"/>
        <v>1119.2</v>
      </c>
      <c r="C125" s="63">
        <f t="shared" si="61"/>
        <v>1148.2</v>
      </c>
      <c r="D125" s="118">
        <f t="shared" si="61"/>
        <v>6.2491135629936041</v>
      </c>
      <c r="E125" s="137">
        <f t="shared" si="61"/>
        <v>1338.8</v>
      </c>
      <c r="F125" s="137">
        <f t="shared" si="61"/>
        <v>1474.6</v>
      </c>
      <c r="G125" s="137">
        <f t="shared" si="61"/>
        <v>1755.146</v>
      </c>
      <c r="H125" s="137">
        <f t="shared" si="61"/>
        <v>1887.954</v>
      </c>
      <c r="I125" s="137">
        <f t="shared" si="61"/>
        <v>2029.0339999999999</v>
      </c>
      <c r="J125" s="36"/>
      <c r="K125" s="36"/>
    </row>
    <row r="126" spans="1:11">
      <c r="A126" s="16" t="s">
        <v>90</v>
      </c>
      <c r="B126" s="62">
        <f t="shared" si="61"/>
        <v>666</v>
      </c>
      <c r="C126" s="63">
        <f t="shared" si="61"/>
        <v>648.70000000000005</v>
      </c>
      <c r="D126" s="109">
        <f t="shared" si="61"/>
        <v>-7.206298896249133</v>
      </c>
      <c r="E126" s="63">
        <f t="shared" si="61"/>
        <v>769.90000000000009</v>
      </c>
      <c r="F126" s="63">
        <f t="shared" si="61"/>
        <v>796.59999999999991</v>
      </c>
      <c r="G126" s="83">
        <f t="shared" si="61"/>
        <v>869.26319999999998</v>
      </c>
      <c r="H126" s="83">
        <f t="shared" si="61"/>
        <v>947.5752</v>
      </c>
      <c r="I126" s="83">
        <f t="shared" si="61"/>
        <v>1032.4132</v>
      </c>
      <c r="J126" s="52"/>
      <c r="K126" s="36"/>
    </row>
    <row r="127" spans="1:11">
      <c r="A127" s="18" t="s">
        <v>91</v>
      </c>
      <c r="B127" s="132">
        <f t="shared" si="61"/>
        <v>485</v>
      </c>
      <c r="C127" s="63">
        <f t="shared" si="61"/>
        <v>501</v>
      </c>
      <c r="D127" s="133">
        <f t="shared" si="61"/>
        <v>3.2989690721649487</v>
      </c>
      <c r="E127" s="139">
        <f t="shared" si="61"/>
        <v>527</v>
      </c>
      <c r="F127" s="139">
        <f t="shared" si="61"/>
        <v>544</v>
      </c>
      <c r="G127" s="139">
        <f t="shared" si="61"/>
        <v>571</v>
      </c>
      <c r="H127" s="139">
        <f t="shared" si="61"/>
        <v>600</v>
      </c>
      <c r="I127" s="139">
        <f t="shared" si="61"/>
        <v>630</v>
      </c>
      <c r="J127" s="36"/>
      <c r="K127" s="36"/>
    </row>
    <row r="128" spans="1:11">
      <c r="A128" s="19" t="s">
        <v>92</v>
      </c>
      <c r="B128" s="116">
        <f t="shared" si="61"/>
        <v>181</v>
      </c>
      <c r="C128" s="63">
        <f t="shared" si="61"/>
        <v>147.70000000000005</v>
      </c>
      <c r="D128" s="118">
        <f t="shared" si="61"/>
        <v>-6.0788364699411446</v>
      </c>
      <c r="E128" s="137">
        <f t="shared" si="61"/>
        <v>242.90000000000009</v>
      </c>
      <c r="F128" s="137">
        <f t="shared" si="61"/>
        <v>252.59999999999991</v>
      </c>
      <c r="G128" s="137">
        <f t="shared" si="61"/>
        <v>298.26319999999998</v>
      </c>
      <c r="H128" s="137">
        <f t="shared" si="61"/>
        <v>347.5752</v>
      </c>
      <c r="I128" s="137">
        <f t="shared" si="61"/>
        <v>402.41319999999996</v>
      </c>
      <c r="J128" s="36"/>
      <c r="K128" s="36"/>
    </row>
    <row r="129" spans="1:11">
      <c r="A129" s="20" t="s">
        <v>32</v>
      </c>
      <c r="B129" s="84">
        <f t="shared" si="61"/>
        <v>485</v>
      </c>
      <c r="C129" s="156">
        <f t="shared" si="61"/>
        <v>501</v>
      </c>
      <c r="D129" s="136">
        <f t="shared" si="61"/>
        <v>3.2989690721649487</v>
      </c>
      <c r="E129" s="84">
        <f t="shared" si="61"/>
        <v>527</v>
      </c>
      <c r="F129" s="84">
        <f t="shared" si="61"/>
        <v>544</v>
      </c>
      <c r="G129" s="84">
        <f t="shared" si="61"/>
        <v>571</v>
      </c>
      <c r="H129" s="84">
        <f t="shared" si="61"/>
        <v>600</v>
      </c>
      <c r="I129" s="84">
        <f t="shared" si="61"/>
        <v>630</v>
      </c>
      <c r="J129" s="36"/>
      <c r="K129" s="36"/>
    </row>
    <row r="130" spans="1:11">
      <c r="A130" s="20" t="s">
        <v>33</v>
      </c>
      <c r="B130" s="84">
        <f t="shared" si="61"/>
        <v>6014.9000000000005</v>
      </c>
      <c r="C130" s="156">
        <f t="shared" si="61"/>
        <v>6550.2999999999993</v>
      </c>
      <c r="D130" s="136">
        <f t="shared" si="61"/>
        <v>-0.38122230757758935</v>
      </c>
      <c r="E130" s="84">
        <f t="shared" si="61"/>
        <v>7656.1</v>
      </c>
      <c r="F130" s="84">
        <f t="shared" si="61"/>
        <v>8258.8000000000011</v>
      </c>
      <c r="G130" s="84">
        <f t="shared" si="61"/>
        <v>9093.1296000000002</v>
      </c>
      <c r="H130" s="84">
        <f t="shared" si="61"/>
        <v>9821.499600000001</v>
      </c>
      <c r="I130" s="84">
        <f t="shared" si="61"/>
        <v>10606.493600000002</v>
      </c>
      <c r="J130" s="36"/>
      <c r="K130" s="36"/>
    </row>
    <row r="131" spans="1:11">
      <c r="A131" s="20" t="s">
        <v>43</v>
      </c>
      <c r="B131" s="84">
        <f t="shared" si="61"/>
        <v>6499.9000000000005</v>
      </c>
      <c r="C131" s="156">
        <f t="shared" si="61"/>
        <v>7051.2999999999993</v>
      </c>
      <c r="D131" s="136">
        <f t="shared" si="61"/>
        <v>-0.70771013538096206</v>
      </c>
      <c r="E131" s="84">
        <f t="shared" si="61"/>
        <v>8183.1</v>
      </c>
      <c r="F131" s="84">
        <f t="shared" si="61"/>
        <v>8802.8000000000011</v>
      </c>
      <c r="G131" s="84">
        <f t="shared" si="61"/>
        <v>9664.1296000000002</v>
      </c>
      <c r="H131" s="84">
        <f t="shared" si="61"/>
        <v>10421.499600000001</v>
      </c>
      <c r="I131" s="84">
        <f t="shared" si="61"/>
        <v>11236.493600000002</v>
      </c>
      <c r="J131" s="36"/>
      <c r="K131" s="36"/>
    </row>
    <row r="132" spans="1:11">
      <c r="A132" s="33"/>
      <c r="B132" s="81">
        <f>+B122+B123+B126</f>
        <v>6499.9000000000005</v>
      </c>
      <c r="C132" s="158">
        <f t="shared" ref="C132:I132" si="62">+C122+C123+C126</f>
        <v>7051.2999999999993</v>
      </c>
      <c r="D132" s="118"/>
      <c r="E132" s="81">
        <f t="shared" si="62"/>
        <v>8183.1</v>
      </c>
      <c r="F132" s="81">
        <f t="shared" si="62"/>
        <v>8802.8000000000011</v>
      </c>
      <c r="G132" s="119">
        <f t="shared" si="62"/>
        <v>9664.1296000000002</v>
      </c>
      <c r="H132" s="119">
        <f t="shared" si="62"/>
        <v>10421.499599999999</v>
      </c>
      <c r="I132" s="119">
        <f t="shared" si="62"/>
        <v>11236.493600000002</v>
      </c>
      <c r="J132" s="1" t="s">
        <v>60</v>
      </c>
      <c r="K132" s="36"/>
    </row>
    <row r="133" spans="1:11">
      <c r="A133" s="33" t="s">
        <v>2</v>
      </c>
      <c r="B133" s="71"/>
      <c r="C133" s="71"/>
      <c r="D133" s="110"/>
      <c r="E133" s="73"/>
      <c r="F133" s="73"/>
      <c r="G133" s="71"/>
      <c r="H133" s="71"/>
      <c r="I133" s="71"/>
      <c r="J133" s="36"/>
      <c r="K133" s="36"/>
    </row>
    <row r="134" spans="1:11">
      <c r="A134" s="33" t="s">
        <v>3</v>
      </c>
      <c r="B134" s="71"/>
      <c r="C134" s="71"/>
      <c r="D134" s="110"/>
      <c r="E134" s="73"/>
      <c r="F134" s="73"/>
      <c r="G134" s="71"/>
      <c r="H134" s="71"/>
      <c r="I134" s="71"/>
      <c r="J134" s="36"/>
      <c r="K134" s="36"/>
    </row>
    <row r="135" spans="1:11">
      <c r="A135" s="33" t="s">
        <v>14</v>
      </c>
      <c r="B135" s="71"/>
      <c r="C135" s="71"/>
      <c r="D135" s="110"/>
      <c r="E135" s="73"/>
      <c r="F135" s="73"/>
      <c r="G135" s="71"/>
      <c r="H135" s="71"/>
      <c r="I135" s="71"/>
      <c r="J135" s="36"/>
      <c r="K135" s="36"/>
    </row>
    <row r="136" spans="1:11">
      <c r="A136" s="188" t="s">
        <v>65</v>
      </c>
      <c r="B136" s="189"/>
      <c r="C136" s="189"/>
      <c r="D136" s="189"/>
      <c r="E136" s="189"/>
      <c r="F136" s="189"/>
      <c r="G136" s="189"/>
      <c r="H136" s="189"/>
      <c r="I136" s="190"/>
      <c r="J136" s="36"/>
      <c r="K136" s="36"/>
    </row>
    <row r="137" spans="1:11">
      <c r="A137" s="15" t="s">
        <v>96</v>
      </c>
      <c r="B137" s="116">
        <f t="shared" ref="B137:B146" si="63">+B34-B86</f>
        <v>1492</v>
      </c>
      <c r="C137" s="116">
        <f t="shared" ref="C137:I137" si="64">+C34-C86</f>
        <v>1666</v>
      </c>
      <c r="D137" s="118">
        <f t="shared" si="64"/>
        <v>-2.3559086896203798</v>
      </c>
      <c r="E137" s="116">
        <f t="shared" si="64"/>
        <v>1943</v>
      </c>
      <c r="F137" s="116">
        <f t="shared" si="64"/>
        <v>2091</v>
      </c>
      <c r="G137" s="116">
        <f t="shared" si="64"/>
        <v>2252.8310808337569</v>
      </c>
      <c r="H137" s="116">
        <f t="shared" si="64"/>
        <v>2427.6404351804781</v>
      </c>
      <c r="I137" s="116">
        <f t="shared" si="64"/>
        <v>2616.1548429079817</v>
      </c>
      <c r="J137" s="52"/>
      <c r="K137" s="36"/>
    </row>
    <row r="138" spans="1:11">
      <c r="A138" s="16" t="s">
        <v>97</v>
      </c>
      <c r="B138" s="62">
        <f t="shared" si="63"/>
        <v>419</v>
      </c>
      <c r="C138" s="62">
        <f t="shared" ref="C138:I138" si="65">+C35-C87</f>
        <v>431</v>
      </c>
      <c r="D138" s="110">
        <f t="shared" si="65"/>
        <v>2.2556390977443606</v>
      </c>
      <c r="E138" s="62">
        <f t="shared" si="65"/>
        <v>442</v>
      </c>
      <c r="F138" s="62">
        <f t="shared" si="65"/>
        <v>487</v>
      </c>
      <c r="G138" s="62">
        <f t="shared" si="65"/>
        <v>522.89059469654944</v>
      </c>
      <c r="H138" s="62">
        <f t="shared" si="65"/>
        <v>561.50122933540445</v>
      </c>
      <c r="I138" s="62">
        <f t="shared" si="65"/>
        <v>602.54190391656505</v>
      </c>
      <c r="J138" s="52"/>
      <c r="K138" s="36"/>
    </row>
    <row r="139" spans="1:11">
      <c r="A139" s="18" t="s">
        <v>93</v>
      </c>
      <c r="B139" s="141">
        <f t="shared" si="63"/>
        <v>0</v>
      </c>
      <c r="C139" s="141">
        <f t="shared" ref="C139:I139" si="66">+C36-C88</f>
        <v>0</v>
      </c>
      <c r="D139" s="159">
        <f t="shared" si="66"/>
        <v>0</v>
      </c>
      <c r="E139" s="141">
        <f t="shared" si="66"/>
        <v>0</v>
      </c>
      <c r="F139" s="141">
        <f t="shared" si="66"/>
        <v>0</v>
      </c>
      <c r="G139" s="141">
        <f t="shared" si="66"/>
        <v>0</v>
      </c>
      <c r="H139" s="141">
        <f t="shared" si="66"/>
        <v>0</v>
      </c>
      <c r="I139" s="141">
        <f t="shared" si="66"/>
        <v>0</v>
      </c>
      <c r="K139" s="36"/>
    </row>
    <row r="140" spans="1:11">
      <c r="A140" s="19" t="s">
        <v>94</v>
      </c>
      <c r="B140" s="116">
        <f t="shared" si="63"/>
        <v>419</v>
      </c>
      <c r="C140" s="116">
        <f t="shared" ref="C140:I140" si="67">+C37-C89</f>
        <v>431</v>
      </c>
      <c r="D140" s="118">
        <f t="shared" si="67"/>
        <v>2.2556390977443606</v>
      </c>
      <c r="E140" s="116">
        <f t="shared" si="67"/>
        <v>442</v>
      </c>
      <c r="F140" s="116">
        <f t="shared" si="67"/>
        <v>487</v>
      </c>
      <c r="G140" s="116">
        <f t="shared" si="67"/>
        <v>522.89059469654944</v>
      </c>
      <c r="H140" s="116">
        <f t="shared" si="67"/>
        <v>561.50122933540445</v>
      </c>
      <c r="I140" s="116">
        <f t="shared" si="67"/>
        <v>602.54190391656505</v>
      </c>
      <c r="J140" s="36"/>
      <c r="K140" s="36"/>
    </row>
    <row r="141" spans="1:11">
      <c r="A141" s="16" t="s">
        <v>98</v>
      </c>
      <c r="B141" s="62">
        <f t="shared" si="63"/>
        <v>143</v>
      </c>
      <c r="C141" s="62">
        <f t="shared" ref="C141:I141" si="68">+C38-C90</f>
        <v>141</v>
      </c>
      <c r="D141" s="110">
        <f t="shared" si="68"/>
        <v>-5.2514792899408285</v>
      </c>
      <c r="E141" s="62">
        <f t="shared" si="68"/>
        <v>170</v>
      </c>
      <c r="F141" s="62">
        <f t="shared" si="68"/>
        <v>176</v>
      </c>
      <c r="G141" s="62">
        <f t="shared" si="68"/>
        <v>191.80120408163268</v>
      </c>
      <c r="H141" s="62">
        <f t="shared" si="68"/>
        <v>209.08059183673473</v>
      </c>
      <c r="I141" s="62">
        <f t="shared" si="68"/>
        <v>227.79992857142858</v>
      </c>
      <c r="J141" s="52"/>
      <c r="K141" s="36"/>
    </row>
    <row r="142" spans="1:11">
      <c r="A142" s="18" t="s">
        <v>107</v>
      </c>
      <c r="B142" s="141">
        <f t="shared" si="63"/>
        <v>107.34960272417709</v>
      </c>
      <c r="C142" s="141">
        <f t="shared" ref="C142:I142" si="69">+C39-C91</f>
        <v>110.21730355220667</v>
      </c>
      <c r="D142" s="142">
        <f t="shared" si="69"/>
        <v>0</v>
      </c>
      <c r="E142" s="141">
        <f t="shared" si="69"/>
        <v>116.57910329843965</v>
      </c>
      <c r="F142" s="141">
        <f t="shared" si="69"/>
        <v>120.27210884353742</v>
      </c>
      <c r="G142" s="141">
        <f t="shared" si="69"/>
        <v>126.24149659863947</v>
      </c>
      <c r="H142" s="141">
        <f t="shared" si="69"/>
        <v>132.63199084943713</v>
      </c>
      <c r="I142" s="141">
        <f t="shared" si="69"/>
        <v>139.26464391066165</v>
      </c>
      <c r="J142" s="36"/>
      <c r="K142" s="36"/>
    </row>
    <row r="143" spans="1:11">
      <c r="A143" s="19" t="s">
        <v>105</v>
      </c>
      <c r="B143" s="116">
        <f t="shared" si="63"/>
        <v>35.650397275822911</v>
      </c>
      <c r="C143" s="116">
        <f t="shared" ref="C143:I143" si="70">+C40-C92</f>
        <v>30.782696447793342</v>
      </c>
      <c r="D143" s="110">
        <f t="shared" si="70"/>
        <v>-4.1308668723709587</v>
      </c>
      <c r="E143" s="116">
        <f t="shared" si="70"/>
        <v>53.420896701560366</v>
      </c>
      <c r="F143" s="116">
        <f t="shared" si="70"/>
        <v>55.72789115646259</v>
      </c>
      <c r="G143" s="116">
        <f t="shared" si="70"/>
        <v>65.559707482993218</v>
      </c>
      <c r="H143" s="116">
        <f t="shared" si="70"/>
        <v>76.448600987297596</v>
      </c>
      <c r="I143" s="116">
        <f t="shared" si="70"/>
        <v>88.535284660766962</v>
      </c>
      <c r="J143" s="36"/>
      <c r="K143" s="36"/>
    </row>
    <row r="144" spans="1:11">
      <c r="A144" s="20" t="s">
        <v>108</v>
      </c>
      <c r="B144" s="135">
        <f t="shared" si="63"/>
        <v>107.34960272417709</v>
      </c>
      <c r="C144" s="135">
        <f t="shared" ref="C144:I144" si="71">+C41-C93</f>
        <v>110.21730355220667</v>
      </c>
      <c r="D144" s="110">
        <f t="shared" si="71"/>
        <v>2.6713660370013881</v>
      </c>
      <c r="E144" s="135">
        <f t="shared" si="71"/>
        <v>116.57910329843965</v>
      </c>
      <c r="F144" s="135">
        <f t="shared" si="71"/>
        <v>120.27210884353742</v>
      </c>
      <c r="G144" s="135">
        <f t="shared" si="71"/>
        <v>126.24149659863947</v>
      </c>
      <c r="H144" s="135">
        <f t="shared" si="71"/>
        <v>132.63199084943713</v>
      </c>
      <c r="I144" s="135">
        <f t="shared" si="71"/>
        <v>139.26464391066165</v>
      </c>
      <c r="J144" s="36"/>
      <c r="K144" s="36"/>
    </row>
    <row r="145" spans="1:11">
      <c r="A145" s="20" t="s">
        <v>80</v>
      </c>
      <c r="B145" s="135">
        <f t="shared" si="63"/>
        <v>1946.6503972758228</v>
      </c>
      <c r="C145" s="135">
        <f t="shared" ref="C145:I145" si="72">+C42-C94</f>
        <v>2127.7826964477936</v>
      </c>
      <c r="D145" s="110">
        <f t="shared" si="72"/>
        <v>-0.65451225322524564</v>
      </c>
      <c r="E145" s="135">
        <f t="shared" si="72"/>
        <v>2438.4208967015602</v>
      </c>
      <c r="F145" s="135">
        <f t="shared" si="72"/>
        <v>2633.7278911564626</v>
      </c>
      <c r="G145" s="135">
        <f t="shared" si="72"/>
        <v>2841.2813830132995</v>
      </c>
      <c r="H145" s="135">
        <f t="shared" si="72"/>
        <v>3065.59026550318</v>
      </c>
      <c r="I145" s="135">
        <f t="shared" si="72"/>
        <v>3307.2320314853137</v>
      </c>
      <c r="J145" s="36"/>
      <c r="K145" s="36"/>
    </row>
    <row r="146" spans="1:11">
      <c r="A146" s="20" t="s">
        <v>4</v>
      </c>
      <c r="B146" s="135">
        <f t="shared" si="63"/>
        <v>2054</v>
      </c>
      <c r="C146" s="135">
        <f t="shared" ref="C146:I146" si="73">+C43-C95</f>
        <v>2238.0000000000005</v>
      </c>
      <c r="D146" s="110">
        <f t="shared" si="73"/>
        <v>-0.93541103584813712</v>
      </c>
      <c r="E146" s="135">
        <f t="shared" si="73"/>
        <v>2555</v>
      </c>
      <c r="F146" s="135">
        <f t="shared" si="73"/>
        <v>2754</v>
      </c>
      <c r="G146" s="135">
        <f t="shared" si="73"/>
        <v>2967.5228796119391</v>
      </c>
      <c r="H146" s="135">
        <f t="shared" si="73"/>
        <v>3198.222256352617</v>
      </c>
      <c r="I146" s="135">
        <f t="shared" si="73"/>
        <v>3446.4966753959752</v>
      </c>
      <c r="J146" s="36"/>
      <c r="K146" s="36"/>
    </row>
    <row r="147" spans="1:11">
      <c r="B147" s="102">
        <f>+B137+B138+B141</f>
        <v>2054</v>
      </c>
      <c r="C147" s="102">
        <f t="shared" ref="C147:I147" si="74">+C137+C138+C141</f>
        <v>2238</v>
      </c>
      <c r="D147" s="103"/>
      <c r="E147" s="102">
        <f t="shared" si="74"/>
        <v>2555</v>
      </c>
      <c r="F147" s="102">
        <f t="shared" si="74"/>
        <v>2754</v>
      </c>
      <c r="G147" s="120">
        <f t="shared" si="74"/>
        <v>2967.5228796119386</v>
      </c>
      <c r="H147" s="120">
        <f t="shared" si="74"/>
        <v>3198.222256352617</v>
      </c>
      <c r="I147" s="120">
        <f t="shared" si="74"/>
        <v>3446.4966753959752</v>
      </c>
      <c r="J147" s="1" t="s">
        <v>60</v>
      </c>
      <c r="K147" s="36"/>
    </row>
    <row r="148" spans="1:11">
      <c r="B148" s="80"/>
      <c r="C148" s="80"/>
      <c r="D148" s="79"/>
      <c r="E148" s="80"/>
      <c r="F148" s="80"/>
      <c r="G148" s="60"/>
      <c r="H148" s="60"/>
      <c r="I148" s="60"/>
      <c r="J148" s="36"/>
      <c r="K148" s="36"/>
    </row>
    <row r="149" spans="1:11">
      <c r="B149" s="80"/>
      <c r="C149" s="80"/>
      <c r="D149" s="79"/>
      <c r="E149" s="80"/>
      <c r="F149" s="80"/>
      <c r="G149" s="60"/>
      <c r="H149" s="60"/>
      <c r="I149" s="60"/>
      <c r="J149" s="36"/>
      <c r="K149" s="36"/>
    </row>
    <row r="150" spans="1:11">
      <c r="A150" s="121" t="s">
        <v>62</v>
      </c>
      <c r="B150" s="122">
        <f>+B68+B119</f>
        <v>481443</v>
      </c>
      <c r="C150" s="122">
        <f t="shared" ref="C150:I150" si="75">+C68+C119</f>
        <v>518274</v>
      </c>
      <c r="D150" s="122"/>
      <c r="E150" s="122">
        <f t="shared" si="75"/>
        <v>546811</v>
      </c>
      <c r="F150" s="122">
        <f t="shared" si="75"/>
        <v>578370</v>
      </c>
      <c r="G150" s="122">
        <f t="shared" si="75"/>
        <v>609443</v>
      </c>
      <c r="H150" s="162">
        <f t="shared" si="75"/>
        <v>642225</v>
      </c>
      <c r="I150" s="162">
        <f t="shared" si="75"/>
        <v>676810</v>
      </c>
      <c r="J150" s="182" t="s">
        <v>59</v>
      </c>
      <c r="K150" s="36"/>
    </row>
    <row r="151" spans="1:11">
      <c r="A151" s="123" t="s">
        <v>63</v>
      </c>
      <c r="B151" s="124">
        <f>+B80+B131</f>
        <v>8511.6</v>
      </c>
      <c r="C151" s="166">
        <f t="shared" ref="C151:I151" si="76">+C80+C131</f>
        <v>9252.2999999999993</v>
      </c>
      <c r="D151" s="166"/>
      <c r="E151" s="166">
        <f t="shared" si="76"/>
        <v>10330.5</v>
      </c>
      <c r="F151" s="166">
        <f t="shared" si="76"/>
        <v>10864.800000000001</v>
      </c>
      <c r="G151" s="167">
        <f t="shared" si="76"/>
        <v>11722.8</v>
      </c>
      <c r="H151" s="168">
        <f t="shared" si="76"/>
        <v>12646.800000000001</v>
      </c>
      <c r="I151" s="168">
        <f t="shared" si="76"/>
        <v>13641.800000000001</v>
      </c>
      <c r="J151" s="183"/>
      <c r="K151" s="36"/>
    </row>
    <row r="152" spans="1:11">
      <c r="A152" s="126" t="s">
        <v>64</v>
      </c>
      <c r="B152" s="127">
        <f>+B95+B146</f>
        <v>2606</v>
      </c>
      <c r="C152" s="127">
        <f t="shared" ref="C152:I152" si="77">+C95+C146</f>
        <v>2846.0000000000005</v>
      </c>
      <c r="D152" s="128"/>
      <c r="E152" s="128">
        <f t="shared" si="77"/>
        <v>3173</v>
      </c>
      <c r="F152" s="127">
        <f t="shared" si="77"/>
        <v>3338</v>
      </c>
      <c r="G152" s="127">
        <f t="shared" si="77"/>
        <v>3599.6772228616996</v>
      </c>
      <c r="H152" s="163">
        <f t="shared" si="77"/>
        <v>3881.3789865336116</v>
      </c>
      <c r="I152" s="163">
        <f t="shared" si="77"/>
        <v>4184.6064479497581</v>
      </c>
      <c r="J152" s="184"/>
      <c r="K152" s="36"/>
    </row>
    <row r="153" spans="1:11">
      <c r="B153" s="61"/>
      <c r="C153" s="61"/>
      <c r="D153" s="61"/>
      <c r="E153" s="61"/>
      <c r="F153" s="61"/>
      <c r="G153" s="61"/>
      <c r="H153" s="61"/>
      <c r="I153" s="61"/>
    </row>
    <row r="154" spans="1:11">
      <c r="B154" s="50">
        <v>481443</v>
      </c>
      <c r="C154" s="50">
        <v>518274</v>
      </c>
      <c r="D154" s="51"/>
      <c r="E154" s="50">
        <v>546811</v>
      </c>
      <c r="F154" s="50">
        <v>578370</v>
      </c>
      <c r="G154" s="50">
        <v>609443</v>
      </c>
      <c r="H154" s="161">
        <v>642225</v>
      </c>
      <c r="I154" s="161">
        <v>676810</v>
      </c>
    </row>
    <row r="155" spans="1:11">
      <c r="B155" s="61">
        <v>8511.6</v>
      </c>
      <c r="C155" s="2">
        <v>9252.2999999999993</v>
      </c>
      <c r="E155" s="61">
        <v>10330.5</v>
      </c>
      <c r="F155" s="61">
        <v>10864.800000000001</v>
      </c>
      <c r="G155" s="61">
        <v>11722.800000000001</v>
      </c>
      <c r="H155" s="160">
        <v>12646.800000000001</v>
      </c>
      <c r="I155" s="160">
        <v>13641.800000000001</v>
      </c>
    </row>
    <row r="156" spans="1:11">
      <c r="B156" s="2">
        <v>2606</v>
      </c>
      <c r="C156" s="2">
        <v>2846.0000000000005</v>
      </c>
      <c r="E156" s="2">
        <v>3173</v>
      </c>
      <c r="F156" s="2">
        <v>3338</v>
      </c>
      <c r="G156" s="61">
        <v>3599.6772228616996</v>
      </c>
      <c r="H156" s="160">
        <v>3881.3789865336116</v>
      </c>
      <c r="I156" s="160">
        <v>4184.6064479497581</v>
      </c>
    </row>
  </sheetData>
  <mergeCells count="11">
    <mergeCell ref="F107:I107"/>
    <mergeCell ref="A109:I109"/>
    <mergeCell ref="A121:I121"/>
    <mergeCell ref="A136:I136"/>
    <mergeCell ref="J150:J152"/>
    <mergeCell ref="A70:I70"/>
    <mergeCell ref="F4:I4"/>
    <mergeCell ref="A6:I6"/>
    <mergeCell ref="A18:I18"/>
    <mergeCell ref="F56:I56"/>
    <mergeCell ref="A58:I5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28" workbookViewId="0">
      <selection activeCell="A8" sqref="A8:I8"/>
    </sheetView>
  </sheetViews>
  <sheetFormatPr baseColWidth="10" defaultColWidth="12.21875" defaultRowHeight="18.75"/>
  <cols>
    <col min="1" max="1" width="38.77734375" style="2" customWidth="1"/>
    <col min="2" max="3" width="12.33203125" style="2" bestFit="1" customWidth="1"/>
    <col min="4" max="4" width="7.77734375" style="2" customWidth="1"/>
    <col min="5" max="5" width="16.6640625" style="2" customWidth="1"/>
    <col min="6" max="6" width="15.77734375" style="2" customWidth="1"/>
    <col min="7" max="7" width="16.44140625" style="2" customWidth="1"/>
    <col min="8" max="16384" width="12.21875" style="2"/>
  </cols>
  <sheetData>
    <row r="1" spans="1:11" ht="23.25">
      <c r="A1" s="178" t="s">
        <v>70</v>
      </c>
    </row>
    <row r="3" spans="1:11" ht="21">
      <c r="A3" s="104" t="s">
        <v>67</v>
      </c>
      <c r="B3" s="104"/>
      <c r="D3" s="50"/>
      <c r="E3" s="51"/>
      <c r="F3" s="51"/>
      <c r="G3" s="85"/>
      <c r="J3" s="36"/>
      <c r="K3" s="36"/>
    </row>
    <row r="4" spans="1:11">
      <c r="D4" s="3"/>
      <c r="E4" s="51"/>
      <c r="F4" s="51"/>
      <c r="H4" s="51"/>
      <c r="J4" s="36"/>
      <c r="K4" s="36"/>
    </row>
    <row r="5" spans="1:11">
      <c r="B5" s="35" t="s">
        <v>11</v>
      </c>
      <c r="C5" s="35" t="s">
        <v>10</v>
      </c>
      <c r="D5" s="3"/>
      <c r="E5" s="35" t="s">
        <v>68</v>
      </c>
      <c r="F5" s="35" t="s">
        <v>69</v>
      </c>
      <c r="G5" s="170" t="s">
        <v>48</v>
      </c>
      <c r="H5" s="170"/>
      <c r="I5" s="170"/>
      <c r="J5" s="36"/>
      <c r="K5" s="36"/>
    </row>
    <row r="6" spans="1:11">
      <c r="A6" s="8" t="s">
        <v>5</v>
      </c>
      <c r="B6" s="176">
        <v>2010</v>
      </c>
      <c r="C6" s="176">
        <v>2011</v>
      </c>
      <c r="D6" s="169" t="s">
        <v>0</v>
      </c>
      <c r="E6" s="176">
        <v>2012</v>
      </c>
      <c r="F6" s="176">
        <v>2013</v>
      </c>
      <c r="G6" s="171">
        <v>2014</v>
      </c>
      <c r="H6" s="171">
        <v>2015</v>
      </c>
      <c r="I6" s="171">
        <v>2016</v>
      </c>
      <c r="J6" s="36"/>
      <c r="K6" s="36"/>
    </row>
    <row r="7" spans="1:11">
      <c r="A7" s="202" t="s">
        <v>31</v>
      </c>
      <c r="B7" s="202"/>
      <c r="C7" s="202"/>
      <c r="D7" s="202"/>
      <c r="E7" s="202"/>
      <c r="F7" s="202"/>
      <c r="G7" s="202"/>
      <c r="H7" s="202"/>
      <c r="I7" s="203"/>
      <c r="J7" s="36"/>
      <c r="K7" s="36"/>
    </row>
    <row r="8" spans="1:11">
      <c r="A8" s="173" t="s">
        <v>15</v>
      </c>
      <c r="B8" s="116">
        <v>67</v>
      </c>
      <c r="C8" s="116">
        <v>76</v>
      </c>
      <c r="D8" s="114">
        <v>13.432835820895523</v>
      </c>
      <c r="E8" s="116">
        <v>83</v>
      </c>
      <c r="F8" s="116">
        <v>94</v>
      </c>
      <c r="G8" s="116">
        <v>100</v>
      </c>
      <c r="H8" s="116">
        <v>109</v>
      </c>
      <c r="I8" s="116">
        <v>117</v>
      </c>
      <c r="J8" s="52"/>
      <c r="K8" s="36"/>
    </row>
    <row r="9" spans="1:11">
      <c r="A9" s="174" t="s">
        <v>17</v>
      </c>
      <c r="B9" s="116">
        <v>3703</v>
      </c>
      <c r="C9" s="116">
        <v>3745</v>
      </c>
      <c r="D9" s="114">
        <v>1.1342155009451798</v>
      </c>
      <c r="E9" s="116">
        <v>3795</v>
      </c>
      <c r="F9" s="116">
        <v>3887</v>
      </c>
      <c r="G9" s="116">
        <v>3877.9579999999996</v>
      </c>
      <c r="H9" s="116">
        <v>3964.2860000000001</v>
      </c>
      <c r="I9" s="116">
        <v>4052.9379999999996</v>
      </c>
      <c r="J9" s="36"/>
    </row>
    <row r="10" spans="1:11">
      <c r="A10" s="174" t="s">
        <v>18</v>
      </c>
      <c r="B10" s="116">
        <v>1</v>
      </c>
      <c r="C10" s="116">
        <v>0</v>
      </c>
      <c r="D10" s="114">
        <v>-100</v>
      </c>
      <c r="E10" s="116">
        <v>1</v>
      </c>
      <c r="F10" s="116">
        <v>2</v>
      </c>
      <c r="G10" s="116">
        <v>2</v>
      </c>
      <c r="H10" s="116">
        <v>1</v>
      </c>
      <c r="I10" s="116">
        <v>1</v>
      </c>
      <c r="J10" s="36"/>
      <c r="K10" s="36"/>
    </row>
    <row r="11" spans="1:11">
      <c r="A11" s="24" t="s">
        <v>22</v>
      </c>
      <c r="B11" s="135">
        <v>683924</v>
      </c>
      <c r="C11" s="135">
        <v>716831</v>
      </c>
      <c r="D11" s="144">
        <v>4.81149952333885</v>
      </c>
      <c r="E11" s="135">
        <v>742727</v>
      </c>
      <c r="F11" s="135">
        <v>771835</v>
      </c>
      <c r="G11" s="135">
        <v>757115.49</v>
      </c>
      <c r="H11" s="135">
        <v>786707.37199999997</v>
      </c>
      <c r="I11" s="135">
        <v>815102.71600000001</v>
      </c>
      <c r="J11" s="53"/>
      <c r="K11" s="36"/>
    </row>
    <row r="12" spans="1:11">
      <c r="A12" s="26"/>
      <c r="B12" s="172"/>
      <c r="C12" s="172"/>
      <c r="D12" s="113"/>
      <c r="E12" s="172"/>
      <c r="F12" s="172"/>
      <c r="G12" s="172"/>
      <c r="H12" s="172"/>
      <c r="I12" s="172"/>
      <c r="J12" s="1"/>
      <c r="K12" s="36"/>
    </row>
    <row r="13" spans="1:11">
      <c r="A13" s="204" t="s">
        <v>30</v>
      </c>
      <c r="B13" s="205"/>
      <c r="C13" s="205"/>
      <c r="D13" s="205"/>
      <c r="E13" s="205"/>
      <c r="F13" s="205"/>
      <c r="G13" s="205"/>
      <c r="H13" s="205"/>
      <c r="I13" s="206"/>
      <c r="J13" s="53"/>
      <c r="K13" s="36"/>
    </row>
    <row r="14" spans="1:11">
      <c r="A14" s="173" t="s">
        <v>24</v>
      </c>
      <c r="B14" s="116">
        <v>2088.6</v>
      </c>
      <c r="C14" s="137">
        <v>2186.7000000000003</v>
      </c>
      <c r="D14" s="114">
        <v>4.696926170640638</v>
      </c>
      <c r="E14" s="137">
        <v>2419.9</v>
      </c>
      <c r="F14" s="137">
        <v>2675.8</v>
      </c>
      <c r="G14" s="137">
        <v>2885.8440000000001</v>
      </c>
      <c r="H14" s="137">
        <v>3110.4840000000004</v>
      </c>
      <c r="I14" s="137">
        <v>3268.8240000000001</v>
      </c>
      <c r="J14" s="52"/>
      <c r="K14" s="36"/>
    </row>
    <row r="15" spans="1:11">
      <c r="A15" s="174" t="s">
        <v>26</v>
      </c>
      <c r="B15" s="116">
        <v>1095.4399999999998</v>
      </c>
      <c r="C15" s="116">
        <v>1102.0900000000001</v>
      </c>
      <c r="D15" s="114">
        <v>0.60706200248304965</v>
      </c>
      <c r="E15" s="137">
        <v>1138.7299999999998</v>
      </c>
      <c r="F15" s="137">
        <v>1164.5</v>
      </c>
      <c r="G15" s="137">
        <v>1142.2195000000002</v>
      </c>
      <c r="H15" s="137">
        <v>1098.0585000000001</v>
      </c>
      <c r="I15" s="137">
        <v>995.32249999999999</v>
      </c>
      <c r="J15" s="36"/>
      <c r="K15" s="36"/>
    </row>
    <row r="16" spans="1:11">
      <c r="A16" s="174" t="s">
        <v>29</v>
      </c>
      <c r="B16" s="116">
        <v>-0.20000000000001705</v>
      </c>
      <c r="C16" s="116">
        <v>0.40000000000003411</v>
      </c>
      <c r="D16" s="114">
        <v>0</v>
      </c>
      <c r="E16" s="137">
        <v>3</v>
      </c>
      <c r="F16" s="137">
        <v>5.7000000000000455</v>
      </c>
      <c r="G16" s="137">
        <v>54.390000000000043</v>
      </c>
      <c r="H16" s="137">
        <v>105.69000000000005</v>
      </c>
      <c r="I16" s="137">
        <v>155.99000000000007</v>
      </c>
      <c r="J16" s="36"/>
      <c r="K16" s="36"/>
    </row>
    <row r="17" spans="1:11">
      <c r="A17" s="24" t="s">
        <v>33</v>
      </c>
      <c r="B17" s="84">
        <v>3183.8399999999997</v>
      </c>
      <c r="C17" s="84">
        <v>3289.19</v>
      </c>
      <c r="D17" s="144">
        <v>3.3088974320317726</v>
      </c>
      <c r="E17" s="84">
        <v>3561.63</v>
      </c>
      <c r="F17" s="84">
        <v>3846</v>
      </c>
      <c r="G17" s="84">
        <v>4082.4535000000001</v>
      </c>
      <c r="H17" s="84">
        <v>4314.2325000000001</v>
      </c>
      <c r="I17" s="84">
        <v>4420.1365000000005</v>
      </c>
      <c r="J17" s="36"/>
      <c r="K17" s="36"/>
    </row>
    <row r="18" spans="1:11">
      <c r="A18" s="175"/>
      <c r="B18" s="177"/>
      <c r="C18" s="177"/>
      <c r="D18" s="114"/>
      <c r="E18" s="177"/>
      <c r="F18" s="177"/>
      <c r="G18" s="119"/>
      <c r="H18" s="119"/>
      <c r="I18" s="119"/>
      <c r="J18" s="1"/>
      <c r="K18" s="36"/>
    </row>
    <row r="19" spans="1:11">
      <c r="A19" s="175" t="s">
        <v>2</v>
      </c>
      <c r="B19" s="71">
        <v>3.9620000000000002</v>
      </c>
      <c r="C19" s="71">
        <v>3.988</v>
      </c>
      <c r="D19" s="111"/>
      <c r="E19" s="73">
        <v>3.9581184560087515</v>
      </c>
      <c r="F19" s="73">
        <v>3.9579689868252301</v>
      </c>
      <c r="G19" s="71">
        <v>3.9579689868252301</v>
      </c>
      <c r="H19" s="71">
        <v>3.9579689868252301</v>
      </c>
      <c r="I19" s="71">
        <v>3.9579689868252301</v>
      </c>
      <c r="J19" s="36"/>
      <c r="K19" s="36"/>
    </row>
    <row r="20" spans="1:11">
      <c r="A20" s="175" t="s">
        <v>3</v>
      </c>
      <c r="B20" s="71">
        <v>3.2839999999999998</v>
      </c>
      <c r="C20" s="71">
        <v>3.2509999999999999</v>
      </c>
      <c r="D20" s="111"/>
      <c r="E20" s="73">
        <v>3.3070635086983859</v>
      </c>
      <c r="F20" s="73">
        <v>3.3068204414396498</v>
      </c>
      <c r="G20" s="71">
        <v>3.3068204414396498</v>
      </c>
      <c r="H20" s="71">
        <v>3.3068204414396498</v>
      </c>
      <c r="I20" s="71">
        <v>3.3068204414396498</v>
      </c>
      <c r="J20" s="36"/>
      <c r="K20" s="36"/>
    </row>
    <row r="21" spans="1:11">
      <c r="A21" s="175" t="s">
        <v>14</v>
      </c>
      <c r="B21" s="71">
        <v>2.2959999999999998</v>
      </c>
      <c r="C21" s="71">
        <v>2.3719999999999999</v>
      </c>
      <c r="D21" s="111"/>
      <c r="E21" s="73">
        <v>2.1891385767790261</v>
      </c>
      <c r="F21" s="73">
        <v>2.1901194934902799</v>
      </c>
      <c r="G21" s="71">
        <v>2.1901194934902799</v>
      </c>
      <c r="H21" s="71">
        <v>2.1901194934902799</v>
      </c>
      <c r="I21" s="71">
        <v>2.1901194934902799</v>
      </c>
      <c r="J21" s="36"/>
      <c r="K21" s="36"/>
    </row>
    <row r="22" spans="1:11">
      <c r="A22" s="199" t="s">
        <v>65</v>
      </c>
      <c r="B22" s="200"/>
      <c r="C22" s="200"/>
      <c r="D22" s="200"/>
      <c r="E22" s="200"/>
      <c r="F22" s="200"/>
      <c r="G22" s="200"/>
      <c r="H22" s="200"/>
      <c r="I22" s="201"/>
      <c r="J22" s="36"/>
      <c r="K22" s="36"/>
    </row>
    <row r="23" spans="1:11">
      <c r="A23" s="173" t="s">
        <v>34</v>
      </c>
      <c r="B23" s="116">
        <v>8279</v>
      </c>
      <c r="C23" s="116">
        <v>8714</v>
      </c>
      <c r="D23" s="114">
        <v>5.2542577605991063</v>
      </c>
      <c r="E23" s="116">
        <v>9579</v>
      </c>
      <c r="F23" s="116">
        <v>10590</v>
      </c>
      <c r="G23" s="116">
        <v>11422.081052815671</v>
      </c>
      <c r="H23" s="116">
        <v>12311.19920601609</v>
      </c>
      <c r="I23" s="116">
        <v>12937.904015389999</v>
      </c>
      <c r="J23" s="52"/>
      <c r="K23" s="36"/>
    </row>
    <row r="24" spans="1:11">
      <c r="A24" s="174" t="s">
        <v>37</v>
      </c>
      <c r="B24" s="116">
        <v>3628.8479587421389</v>
      </c>
      <c r="C24" s="116">
        <v>3581.2270672151894</v>
      </c>
      <c r="D24" s="114">
        <v>-1.3122867661685165</v>
      </c>
      <c r="E24" s="116">
        <v>3765.7799763724015</v>
      </c>
      <c r="F24" s="116">
        <v>3849.8937104121942</v>
      </c>
      <c r="G24" s="116">
        <v>3777.7534233244924</v>
      </c>
      <c r="H24" s="116">
        <v>3631.8032237628504</v>
      </c>
      <c r="I24" s="116">
        <v>3292.165892598211</v>
      </c>
      <c r="J24" s="36"/>
      <c r="K24" s="36"/>
    </row>
    <row r="25" spans="1:11">
      <c r="A25" s="174" t="s">
        <v>40</v>
      </c>
      <c r="B25" s="116">
        <v>2.8242057488739647E-2</v>
      </c>
      <c r="C25" s="116">
        <v>-0.48424513338119368</v>
      </c>
      <c r="D25" s="111">
        <v>0</v>
      </c>
      <c r="E25" s="116">
        <v>6.5674157303371885</v>
      </c>
      <c r="F25" s="116">
        <v>12.483681112894601</v>
      </c>
      <c r="G25" s="116">
        <v>119.58131460674156</v>
      </c>
      <c r="H25" s="116">
        <v>232.12280649188511</v>
      </c>
      <c r="I25" s="116">
        <v>342.4741788835384</v>
      </c>
      <c r="J25" s="36"/>
      <c r="K25" s="36"/>
    </row>
    <row r="26" spans="1:11">
      <c r="A26" s="24" t="s">
        <v>42</v>
      </c>
      <c r="B26" s="135">
        <v>11907.876200799627</v>
      </c>
      <c r="C26" s="135">
        <v>12294.742822081811</v>
      </c>
      <c r="D26" s="111">
        <v>3.2488297220977658</v>
      </c>
      <c r="E26" s="135">
        <v>13351.347392102736</v>
      </c>
      <c r="F26" s="135">
        <v>14452.377391525091</v>
      </c>
      <c r="G26" s="135">
        <v>15319.415790746903</v>
      </c>
      <c r="H26" s="135">
        <v>16175.125236270824</v>
      </c>
      <c r="I26" s="135">
        <v>16572.544086871749</v>
      </c>
      <c r="J26" s="36"/>
      <c r="K26" s="36"/>
    </row>
    <row r="27" spans="1:11">
      <c r="B27" s="102"/>
      <c r="C27" s="102"/>
      <c r="D27" s="103"/>
      <c r="E27" s="102"/>
      <c r="F27" s="102"/>
      <c r="G27" s="102"/>
      <c r="H27" s="120"/>
      <c r="I27" s="120"/>
      <c r="J27" s="1"/>
      <c r="K27" s="36"/>
    </row>
    <row r="32" spans="1:11" ht="23.25">
      <c r="A32" s="178" t="s">
        <v>71</v>
      </c>
    </row>
    <row r="34" spans="1:9" ht="21">
      <c r="A34" s="104" t="s">
        <v>67</v>
      </c>
      <c r="B34" s="104"/>
    </row>
    <row r="37" spans="1:9">
      <c r="B37" s="35" t="s">
        <v>11</v>
      </c>
      <c r="C37" s="35" t="s">
        <v>10</v>
      </c>
      <c r="D37" s="3"/>
      <c r="E37" s="35" t="s">
        <v>68</v>
      </c>
      <c r="F37" s="35" t="s">
        <v>69</v>
      </c>
      <c r="G37" s="170" t="s">
        <v>48</v>
      </c>
      <c r="H37" s="170"/>
      <c r="I37" s="170"/>
    </row>
    <row r="38" spans="1:9">
      <c r="A38" s="8" t="s">
        <v>5</v>
      </c>
      <c r="B38" s="176">
        <v>2010</v>
      </c>
      <c r="C38" s="176">
        <v>2011</v>
      </c>
      <c r="D38" s="169" t="s">
        <v>0</v>
      </c>
      <c r="E38" s="176">
        <v>2012</v>
      </c>
      <c r="F38" s="176">
        <v>2013</v>
      </c>
      <c r="G38" s="171">
        <v>2014</v>
      </c>
      <c r="H38" s="171">
        <v>2015</v>
      </c>
      <c r="I38" s="171">
        <v>2016</v>
      </c>
    </row>
    <row r="39" spans="1:9">
      <c r="A39" s="202" t="s">
        <v>72</v>
      </c>
      <c r="B39" s="202"/>
      <c r="C39" s="202"/>
      <c r="D39" s="202"/>
      <c r="E39" s="202"/>
      <c r="F39" s="202"/>
      <c r="G39" s="202"/>
      <c r="H39" s="202"/>
      <c r="I39" s="203"/>
    </row>
    <row r="40" spans="1:9">
      <c r="A40" s="173" t="s">
        <v>47</v>
      </c>
      <c r="B40" s="116">
        <v>403407</v>
      </c>
      <c r="C40" s="116">
        <v>430386</v>
      </c>
      <c r="D40" s="114">
        <v>-5.0389178065871585</v>
      </c>
      <c r="E40" s="116">
        <v>451120</v>
      </c>
      <c r="F40" s="116">
        <v>474047</v>
      </c>
      <c r="G40" s="116">
        <v>499501.326</v>
      </c>
      <c r="H40" s="116">
        <v>526367.73</v>
      </c>
      <c r="I40" s="116">
        <v>554711.93400000001</v>
      </c>
    </row>
    <row r="41" spans="1:9">
      <c r="A41" s="174" t="s">
        <v>73</v>
      </c>
      <c r="B41" s="116">
        <v>655</v>
      </c>
      <c r="C41" s="116">
        <v>688</v>
      </c>
      <c r="D41" s="114">
        <v>-7.2555972743707411</v>
      </c>
      <c r="E41" s="116">
        <v>710</v>
      </c>
      <c r="F41" s="116">
        <v>749</v>
      </c>
      <c r="G41" s="116">
        <v>791.61800000000005</v>
      </c>
      <c r="H41" s="116">
        <v>836.08199999999999</v>
      </c>
      <c r="I41" s="116">
        <v>883.72199999999998</v>
      </c>
    </row>
    <row r="42" spans="1:9">
      <c r="A42" s="174" t="s">
        <v>74</v>
      </c>
      <c r="B42" s="116">
        <v>11</v>
      </c>
      <c r="C42" s="116">
        <v>12</v>
      </c>
      <c r="D42" s="114">
        <v>3.225806451612903</v>
      </c>
      <c r="E42" s="116">
        <v>12</v>
      </c>
      <c r="F42" s="116">
        <v>15</v>
      </c>
      <c r="G42" s="116">
        <v>16</v>
      </c>
      <c r="H42" s="116">
        <v>1126.5999999999999</v>
      </c>
      <c r="I42" s="116">
        <v>19</v>
      </c>
    </row>
    <row r="43" spans="1:9">
      <c r="A43" s="24" t="s">
        <v>22</v>
      </c>
      <c r="B43" s="135">
        <v>404073</v>
      </c>
      <c r="C43" s="135">
        <v>431086</v>
      </c>
      <c r="D43" s="144">
        <v>-5.0398424476088524</v>
      </c>
      <c r="E43" s="135">
        <v>451842</v>
      </c>
      <c r="F43" s="135">
        <v>474811</v>
      </c>
      <c r="G43" s="135">
        <v>500308.94400000002</v>
      </c>
      <c r="H43" s="135">
        <v>527221.81200000003</v>
      </c>
      <c r="I43" s="135">
        <v>555614.65599999996</v>
      </c>
    </row>
    <row r="44" spans="1:9">
      <c r="A44" s="26"/>
      <c r="B44" s="172"/>
      <c r="C44" s="172"/>
      <c r="D44" s="113"/>
      <c r="E44" s="172"/>
      <c r="F44" s="172"/>
      <c r="G44" s="172"/>
      <c r="H44" s="172"/>
      <c r="I44" s="172"/>
    </row>
    <row r="45" spans="1:9">
      <c r="A45" s="204" t="s">
        <v>75</v>
      </c>
      <c r="B45" s="205"/>
      <c r="C45" s="205"/>
      <c r="D45" s="205"/>
      <c r="E45" s="205"/>
      <c r="F45" s="205"/>
      <c r="G45" s="205"/>
      <c r="H45" s="205"/>
      <c r="I45" s="206"/>
    </row>
    <row r="46" spans="1:9">
      <c r="A46" s="173" t="s">
        <v>47</v>
      </c>
      <c r="B46" s="116">
        <v>4714.7000000000007</v>
      </c>
      <c r="C46" s="137">
        <v>5254.4</v>
      </c>
      <c r="D46" s="114">
        <v>-2.4938464471919648</v>
      </c>
      <c r="E46" s="137">
        <v>6074.4</v>
      </c>
      <c r="F46" s="137">
        <v>6531.6</v>
      </c>
      <c r="G46" s="137">
        <v>7039.7204000000002</v>
      </c>
      <c r="H46" s="137">
        <v>7585.9704000000002</v>
      </c>
      <c r="I46" s="137">
        <v>8175.0464000000002</v>
      </c>
    </row>
    <row r="47" spans="1:9">
      <c r="A47" s="174" t="s">
        <v>73</v>
      </c>
      <c r="B47" s="116">
        <v>1119.2</v>
      </c>
      <c r="C47" s="116">
        <v>1148.2</v>
      </c>
      <c r="D47" s="114">
        <v>6.2491135629936041</v>
      </c>
      <c r="E47" s="137">
        <v>1338.8</v>
      </c>
      <c r="F47" s="137">
        <v>1474.6</v>
      </c>
      <c r="G47" s="137">
        <v>1755.146</v>
      </c>
      <c r="H47" s="137">
        <v>1887.954</v>
      </c>
      <c r="I47" s="137">
        <v>2029.0339999999999</v>
      </c>
    </row>
    <row r="48" spans="1:9">
      <c r="A48" s="174" t="s">
        <v>74</v>
      </c>
      <c r="B48" s="116">
        <v>181</v>
      </c>
      <c r="C48" s="116">
        <v>147.70000000000005</v>
      </c>
      <c r="D48" s="114">
        <v>-6.0788364699411446</v>
      </c>
      <c r="E48" s="137">
        <v>242.90000000000009</v>
      </c>
      <c r="F48" s="137">
        <v>252.59999999999991</v>
      </c>
      <c r="G48" s="137">
        <v>298.26319999999998</v>
      </c>
      <c r="H48" s="137">
        <v>347.5752</v>
      </c>
      <c r="I48" s="137">
        <v>402.41319999999996</v>
      </c>
    </row>
    <row r="49" spans="1:9">
      <c r="A49" s="24" t="s">
        <v>81</v>
      </c>
      <c r="B49" s="84">
        <v>6014.9000000000005</v>
      </c>
      <c r="C49" s="84">
        <v>6550.2999999999993</v>
      </c>
      <c r="D49" s="144">
        <v>-0.38122230757758935</v>
      </c>
      <c r="E49" s="84">
        <v>7656.1</v>
      </c>
      <c r="F49" s="84">
        <v>8258.8000000000011</v>
      </c>
      <c r="G49" s="84">
        <v>9093.1296000000002</v>
      </c>
      <c r="H49" s="84">
        <v>9821.499600000001</v>
      </c>
      <c r="I49" s="84">
        <v>10606.493600000002</v>
      </c>
    </row>
    <row r="50" spans="1:9">
      <c r="A50" s="175"/>
      <c r="B50" s="177"/>
      <c r="C50" s="177"/>
      <c r="D50" s="114"/>
      <c r="E50" s="177"/>
      <c r="F50" s="177"/>
      <c r="G50" s="119"/>
      <c r="H50" s="119"/>
      <c r="I50" s="119"/>
    </row>
    <row r="51" spans="1:9">
      <c r="A51" s="175" t="s">
        <v>7</v>
      </c>
      <c r="B51" s="71">
        <v>0.32100820354297949</v>
      </c>
      <c r="C51" s="71">
        <v>0.32117243529778611</v>
      </c>
      <c r="D51" s="111"/>
      <c r="E51" s="73">
        <v>0.32044308179210762</v>
      </c>
      <c r="F51" s="73">
        <v>0.31919406150583246</v>
      </c>
      <c r="G51" s="71">
        <v>0.31919406150583246</v>
      </c>
      <c r="H51" s="71">
        <v>0.31919406150583246</v>
      </c>
      <c r="I51" s="71">
        <v>0.31919406150583246</v>
      </c>
    </row>
    <row r="52" spans="1:9">
      <c r="A52" s="175" t="s">
        <v>8</v>
      </c>
      <c r="B52" s="71">
        <v>0.26463700234192039</v>
      </c>
      <c r="C52" s="71">
        <v>0.28165503489531407</v>
      </c>
      <c r="D52" s="111"/>
      <c r="E52" s="73">
        <v>0.3304931577588433</v>
      </c>
      <c r="F52" s="73">
        <v>0.32926829268292684</v>
      </c>
      <c r="G52" s="71">
        <v>0.32926829268292684</v>
      </c>
      <c r="H52" s="71">
        <v>0.32926829268292684</v>
      </c>
      <c r="I52" s="71">
        <v>0.32926829268292684</v>
      </c>
    </row>
    <row r="53" spans="1:9">
      <c r="A53" s="175" t="s">
        <v>76</v>
      </c>
      <c r="B53" s="71">
        <v>0.22727272727272729</v>
      </c>
      <c r="C53" s="71">
        <v>0.22203652859018741</v>
      </c>
      <c r="D53" s="111"/>
      <c r="E53" s="73">
        <v>0.22162883845126835</v>
      </c>
      <c r="F53" s="73">
        <v>0.22123893805309736</v>
      </c>
      <c r="G53" s="71">
        <v>0.22123893805309736</v>
      </c>
      <c r="H53" s="71">
        <v>0.22123893805309736</v>
      </c>
      <c r="I53" s="71">
        <v>0.22123893805309736</v>
      </c>
    </row>
    <row r="54" spans="1:9">
      <c r="A54" s="199" t="s">
        <v>65</v>
      </c>
      <c r="B54" s="200"/>
      <c r="C54" s="200"/>
      <c r="D54" s="200"/>
      <c r="E54" s="200"/>
      <c r="F54" s="200"/>
      <c r="G54" s="200"/>
      <c r="H54" s="200"/>
      <c r="I54" s="201"/>
    </row>
    <row r="55" spans="1:9">
      <c r="A55" s="173" t="s">
        <v>77</v>
      </c>
      <c r="B55" s="116">
        <v>1492</v>
      </c>
      <c r="C55" s="116">
        <v>1666</v>
      </c>
      <c r="D55" s="114">
        <v>-2.3559086896203798</v>
      </c>
      <c r="E55" s="116">
        <v>1943</v>
      </c>
      <c r="F55" s="116">
        <v>2091</v>
      </c>
      <c r="G55" s="116">
        <v>2252.8310808337569</v>
      </c>
      <c r="H55" s="116">
        <v>2427.6404351804781</v>
      </c>
      <c r="I55" s="116">
        <v>2616.1548429079817</v>
      </c>
    </row>
    <row r="56" spans="1:9">
      <c r="A56" s="174" t="s">
        <v>78</v>
      </c>
      <c r="B56" s="116">
        <v>419</v>
      </c>
      <c r="C56" s="116">
        <v>431</v>
      </c>
      <c r="D56" s="114">
        <v>2.2556390977443606</v>
      </c>
      <c r="E56" s="116">
        <v>442</v>
      </c>
      <c r="F56" s="116">
        <v>487</v>
      </c>
      <c r="G56" s="116">
        <v>522.89059469654944</v>
      </c>
      <c r="H56" s="116">
        <v>561.50122933540445</v>
      </c>
      <c r="I56" s="116">
        <v>602.54190391656505</v>
      </c>
    </row>
    <row r="57" spans="1:9">
      <c r="A57" s="174" t="s">
        <v>79</v>
      </c>
      <c r="B57" s="116">
        <v>35.650397275822911</v>
      </c>
      <c r="C57" s="116">
        <v>30.782696447793342</v>
      </c>
      <c r="D57" s="111">
        <v>-4.1308668723709587</v>
      </c>
      <c r="E57" s="116">
        <v>53.420896701560366</v>
      </c>
      <c r="F57" s="116">
        <v>55.72789115646259</v>
      </c>
      <c r="G57" s="116">
        <v>65.559707482993218</v>
      </c>
      <c r="H57" s="116">
        <v>76.448600987297596</v>
      </c>
      <c r="I57" s="116">
        <v>88.535284660766962</v>
      </c>
    </row>
    <row r="58" spans="1:9">
      <c r="A58" s="24" t="s">
        <v>80</v>
      </c>
      <c r="B58" s="135">
        <v>1946.6503972758228</v>
      </c>
      <c r="C58" s="135">
        <v>2127.7826964477936</v>
      </c>
      <c r="D58" s="111">
        <v>-0.65451225322524564</v>
      </c>
      <c r="E58" s="135">
        <v>2438.4208967015602</v>
      </c>
      <c r="F58" s="135">
        <v>2633.7278911564626</v>
      </c>
      <c r="G58" s="135">
        <v>2841.2813830132995</v>
      </c>
      <c r="H58" s="135">
        <v>3065.59026550318</v>
      </c>
      <c r="I58" s="135">
        <v>3307.2320314853137</v>
      </c>
    </row>
    <row r="59" spans="1:9">
      <c r="B59" s="102"/>
      <c r="C59" s="102"/>
      <c r="D59" s="103"/>
      <c r="E59" s="102"/>
      <c r="F59" s="102"/>
      <c r="G59" s="102"/>
      <c r="H59" s="120"/>
      <c r="I59" s="120"/>
    </row>
  </sheetData>
  <mergeCells count="6">
    <mergeCell ref="A22:I22"/>
    <mergeCell ref="A39:I39"/>
    <mergeCell ref="A45:I45"/>
    <mergeCell ref="A54:I54"/>
    <mergeCell ref="A7:I7"/>
    <mergeCell ref="A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>
      <selection activeCell="F3" sqref="F3"/>
    </sheetView>
  </sheetViews>
  <sheetFormatPr baseColWidth="10" defaultColWidth="12.21875" defaultRowHeight="18.75"/>
  <cols>
    <col min="1" max="1" width="38.77734375" style="2" customWidth="1"/>
    <col min="2" max="3" width="12.33203125" style="2" bestFit="1" customWidth="1"/>
    <col min="4" max="4" width="7.77734375" style="2" customWidth="1"/>
    <col min="5" max="5" width="16.6640625" style="2" customWidth="1"/>
    <col min="6" max="6" width="15.77734375" style="2" customWidth="1"/>
    <col min="7" max="7" width="16.44140625" style="2" customWidth="1"/>
    <col min="8" max="16384" width="12.21875" style="2"/>
  </cols>
  <sheetData>
    <row r="1" spans="1:11" ht="23.25">
      <c r="A1" s="178" t="s">
        <v>99</v>
      </c>
    </row>
    <row r="3" spans="1:11" ht="21">
      <c r="A3" s="104" t="s">
        <v>67</v>
      </c>
      <c r="B3" s="104"/>
      <c r="D3" s="50"/>
      <c r="E3" s="51"/>
      <c r="F3" s="51"/>
      <c r="G3" s="85"/>
      <c r="J3" s="36"/>
      <c r="K3" s="36"/>
    </row>
    <row r="4" spans="1:11">
      <c r="D4" s="3"/>
      <c r="E4" s="51"/>
      <c r="F4" s="51"/>
      <c r="H4" s="51"/>
      <c r="J4" s="36"/>
      <c r="K4" s="36"/>
    </row>
    <row r="5" spans="1:11">
      <c r="B5" s="35" t="s">
        <v>11</v>
      </c>
      <c r="C5" s="35" t="s">
        <v>10</v>
      </c>
      <c r="D5" s="3"/>
      <c r="E5" s="35" t="s">
        <v>68</v>
      </c>
      <c r="F5" s="35" t="s">
        <v>69</v>
      </c>
      <c r="G5" s="170" t="s">
        <v>48</v>
      </c>
      <c r="H5" s="170"/>
      <c r="I5" s="170"/>
      <c r="J5" s="36"/>
      <c r="K5" s="36"/>
    </row>
    <row r="6" spans="1:11">
      <c r="A6" s="8" t="s">
        <v>5</v>
      </c>
      <c r="B6" s="176">
        <v>2010</v>
      </c>
      <c r="C6" s="176">
        <v>2011</v>
      </c>
      <c r="D6" s="169" t="s">
        <v>0</v>
      </c>
      <c r="E6" s="176">
        <v>2012</v>
      </c>
      <c r="F6" s="176">
        <v>2013</v>
      </c>
      <c r="G6" s="171">
        <v>2014</v>
      </c>
      <c r="H6" s="171">
        <v>2015</v>
      </c>
      <c r="I6" s="171">
        <v>2016</v>
      </c>
      <c r="J6" s="36"/>
      <c r="K6" s="36"/>
    </row>
    <row r="7" spans="1:11">
      <c r="A7" s="202" t="s">
        <v>31</v>
      </c>
      <c r="B7" s="202"/>
      <c r="C7" s="202"/>
      <c r="D7" s="202"/>
      <c r="E7" s="202"/>
      <c r="F7" s="202"/>
      <c r="G7" s="202"/>
      <c r="H7" s="202"/>
      <c r="I7" s="203"/>
      <c r="J7" s="36"/>
      <c r="K7" s="36"/>
    </row>
    <row r="8" spans="1:11">
      <c r="A8" s="173" t="s">
        <v>101</v>
      </c>
      <c r="B8" s="116">
        <v>67</v>
      </c>
      <c r="C8" s="116">
        <v>76</v>
      </c>
      <c r="D8" s="114">
        <v>13.432835820895523</v>
      </c>
      <c r="E8" s="116">
        <v>83</v>
      </c>
      <c r="F8" s="116">
        <v>94</v>
      </c>
      <c r="G8" s="116">
        <v>100</v>
      </c>
      <c r="H8" s="116">
        <v>109</v>
      </c>
      <c r="I8" s="116">
        <v>117</v>
      </c>
      <c r="J8" s="52"/>
      <c r="K8" s="36"/>
    </row>
    <row r="9" spans="1:11">
      <c r="A9" s="174" t="s">
        <v>16</v>
      </c>
      <c r="B9" s="116">
        <v>6</v>
      </c>
      <c r="C9" s="116">
        <v>7</v>
      </c>
      <c r="D9" s="114">
        <v>16.666666666666664</v>
      </c>
      <c r="E9" s="116">
        <v>7</v>
      </c>
      <c r="F9" s="116">
        <v>8</v>
      </c>
      <c r="G9" s="116">
        <v>8</v>
      </c>
      <c r="H9" s="116">
        <v>9</v>
      </c>
      <c r="I9" s="116">
        <v>11</v>
      </c>
      <c r="J9" s="36"/>
    </row>
    <row r="10" spans="1:11">
      <c r="A10" s="24" t="s">
        <v>21</v>
      </c>
      <c r="B10" s="135">
        <v>73</v>
      </c>
      <c r="C10" s="135">
        <v>83</v>
      </c>
      <c r="D10" s="144">
        <v>13.698630136986301</v>
      </c>
      <c r="E10" s="135">
        <v>90</v>
      </c>
      <c r="F10" s="135">
        <v>102</v>
      </c>
      <c r="G10" s="135">
        <v>108</v>
      </c>
      <c r="H10" s="135">
        <v>118</v>
      </c>
      <c r="I10" s="135">
        <v>128</v>
      </c>
      <c r="J10" s="36"/>
      <c r="K10" s="36"/>
    </row>
    <row r="11" spans="1:11">
      <c r="A11" s="26"/>
      <c r="B11" s="172">
        <f>+B8+B9</f>
        <v>73</v>
      </c>
      <c r="C11" s="172">
        <f t="shared" ref="C11:I11" si="0">+C8+C9</f>
        <v>83</v>
      </c>
      <c r="D11" s="172">
        <f t="shared" si="0"/>
        <v>30.099502487562187</v>
      </c>
      <c r="E11" s="172">
        <f t="shared" si="0"/>
        <v>90</v>
      </c>
      <c r="F11" s="172">
        <f t="shared" si="0"/>
        <v>102</v>
      </c>
      <c r="G11" s="172">
        <f t="shared" si="0"/>
        <v>108</v>
      </c>
      <c r="H11" s="172">
        <f t="shared" si="0"/>
        <v>118</v>
      </c>
      <c r="I11" s="172">
        <f t="shared" si="0"/>
        <v>128</v>
      </c>
      <c r="J11" s="1"/>
      <c r="K11" s="36"/>
    </row>
    <row r="12" spans="1:11">
      <c r="A12" s="204" t="s">
        <v>30</v>
      </c>
      <c r="B12" s="205"/>
      <c r="C12" s="205"/>
      <c r="D12" s="205"/>
      <c r="E12" s="205"/>
      <c r="F12" s="205"/>
      <c r="G12" s="205"/>
      <c r="H12" s="205"/>
      <c r="I12" s="206"/>
      <c r="J12" s="53"/>
      <c r="K12" s="36"/>
    </row>
    <row r="13" spans="1:11">
      <c r="A13" s="173" t="s">
        <v>13</v>
      </c>
      <c r="B13" s="116">
        <v>536.76</v>
      </c>
      <c r="C13" s="137">
        <v>638.61</v>
      </c>
      <c r="D13" s="114">
        <v>18.97496087636933</v>
      </c>
      <c r="E13" s="137">
        <v>760.57</v>
      </c>
      <c r="F13" s="137">
        <v>905</v>
      </c>
      <c r="G13" s="137">
        <v>1077</v>
      </c>
      <c r="H13" s="137">
        <v>1280</v>
      </c>
      <c r="I13" s="137">
        <v>1521</v>
      </c>
      <c r="J13" s="52"/>
      <c r="K13" s="36"/>
    </row>
    <row r="14" spans="1:11">
      <c r="A14" s="174" t="s">
        <v>28</v>
      </c>
      <c r="B14" s="116">
        <v>308</v>
      </c>
      <c r="C14" s="116">
        <v>343</v>
      </c>
      <c r="D14" s="114">
        <v>11.363636363636363</v>
      </c>
      <c r="E14" s="137">
        <v>376</v>
      </c>
      <c r="F14" s="137">
        <v>387</v>
      </c>
      <c r="G14" s="137">
        <v>413</v>
      </c>
      <c r="H14" s="137">
        <v>438</v>
      </c>
      <c r="I14" s="137">
        <v>464</v>
      </c>
      <c r="J14" s="36"/>
      <c r="K14" s="36"/>
    </row>
    <row r="15" spans="1:11">
      <c r="A15" s="24" t="s">
        <v>32</v>
      </c>
      <c r="B15" s="84">
        <v>844.76</v>
      </c>
      <c r="C15" s="84">
        <v>981.61000000000013</v>
      </c>
      <c r="D15" s="144">
        <v>16.199867417964882</v>
      </c>
      <c r="E15" s="84">
        <v>1136.5700000000002</v>
      </c>
      <c r="F15" s="84">
        <v>1292</v>
      </c>
      <c r="G15" s="84">
        <v>1490</v>
      </c>
      <c r="H15" s="84">
        <v>1718</v>
      </c>
      <c r="I15" s="84">
        <v>1985</v>
      </c>
      <c r="J15" s="36"/>
      <c r="K15" s="36"/>
    </row>
    <row r="16" spans="1:11">
      <c r="A16" s="175"/>
      <c r="B16" s="177">
        <f>+B13+B14</f>
        <v>844.76</v>
      </c>
      <c r="C16" s="177">
        <f t="shared" ref="C16:I16" si="1">+C13+C14</f>
        <v>981.61</v>
      </c>
      <c r="D16" s="177">
        <f t="shared" si="1"/>
        <v>30.338597240005694</v>
      </c>
      <c r="E16" s="177">
        <f t="shared" si="1"/>
        <v>1136.5700000000002</v>
      </c>
      <c r="F16" s="177">
        <f t="shared" si="1"/>
        <v>1292</v>
      </c>
      <c r="G16" s="177">
        <f t="shared" si="1"/>
        <v>1490</v>
      </c>
      <c r="H16" s="177">
        <f t="shared" si="1"/>
        <v>1718</v>
      </c>
      <c r="I16" s="177">
        <f t="shared" si="1"/>
        <v>1985</v>
      </c>
      <c r="J16" s="1"/>
      <c r="K16" s="36"/>
    </row>
    <row r="17" spans="1:11">
      <c r="A17" s="175" t="s">
        <v>2</v>
      </c>
      <c r="B17" s="71">
        <v>3.9541547277936964</v>
      </c>
      <c r="C17" s="71">
        <v>3.9955734930347608</v>
      </c>
      <c r="D17" s="111">
        <v>1.0474745702269204</v>
      </c>
      <c r="E17" s="73">
        <v>3.9571575166752178</v>
      </c>
      <c r="F17" s="73">
        <v>3.9589403973509936</v>
      </c>
      <c r="G17" s="71">
        <v>3.9589403973509936</v>
      </c>
      <c r="H17" s="71">
        <v>3.9589403973509936</v>
      </c>
      <c r="I17" s="71">
        <v>3.9589403973509936</v>
      </c>
      <c r="J17" s="36"/>
      <c r="K17" s="36"/>
    </row>
    <row r="18" spans="1:11">
      <c r="A18" s="175" t="s">
        <v>3</v>
      </c>
      <c r="B18" s="71">
        <v>3.1970649895178198</v>
      </c>
      <c r="C18" s="71">
        <v>3.2535601265822782</v>
      </c>
      <c r="D18" s="111">
        <v>1.7670937953932238</v>
      </c>
      <c r="E18" s="73">
        <v>3.3072809543397774</v>
      </c>
      <c r="F18" s="73">
        <v>3.3101123595505619</v>
      </c>
      <c r="G18" s="71">
        <v>3.3101123595505619</v>
      </c>
      <c r="H18" s="71">
        <v>3.3101123595505619</v>
      </c>
      <c r="I18" s="71">
        <v>3.3101123595505619</v>
      </c>
      <c r="J18" s="36"/>
      <c r="K18" s="36"/>
    </row>
    <row r="19" spans="1:11">
      <c r="A19" s="175" t="s">
        <v>14</v>
      </c>
      <c r="B19" s="71">
        <v>2.6475037821482603</v>
      </c>
      <c r="C19" s="71">
        <v>2.7325162220620047</v>
      </c>
      <c r="D19" s="111">
        <v>3.21104130188486</v>
      </c>
      <c r="E19" s="73">
        <v>2.1870967741935483</v>
      </c>
      <c r="F19" s="73">
        <v>2.1845238095238093</v>
      </c>
      <c r="G19" s="71">
        <v>2.1845238095238093</v>
      </c>
      <c r="H19" s="71">
        <v>2.1845238095238093</v>
      </c>
      <c r="I19" s="71">
        <v>2.1845238095238093</v>
      </c>
      <c r="J19" s="36"/>
      <c r="K19" s="36"/>
    </row>
    <row r="20" spans="1:11">
      <c r="A20" s="199" t="s">
        <v>65</v>
      </c>
      <c r="B20" s="200"/>
      <c r="C20" s="200"/>
      <c r="D20" s="200"/>
      <c r="E20" s="200"/>
      <c r="F20" s="200"/>
      <c r="G20" s="200"/>
      <c r="H20" s="200"/>
      <c r="I20" s="201"/>
      <c r="J20" s="36"/>
      <c r="K20" s="36"/>
    </row>
    <row r="21" spans="1:11">
      <c r="A21" s="173" t="s">
        <v>36</v>
      </c>
      <c r="B21" s="116">
        <v>1773.1520412578614</v>
      </c>
      <c r="C21" s="116">
        <v>2075.7729327848101</v>
      </c>
      <c r="D21" s="114">
        <v>17.066832650869106</v>
      </c>
      <c r="E21" s="116">
        <v>2515.2200236275985</v>
      </c>
      <c r="F21" s="116">
        <v>2992.1062895878063</v>
      </c>
      <c r="G21" s="116">
        <v>3560.8069833169861</v>
      </c>
      <c r="H21" s="116">
        <v>4232.0092349764618</v>
      </c>
      <c r="I21" s="116">
        <v>5028.8607876563119</v>
      </c>
      <c r="J21" s="52"/>
      <c r="K21" s="36"/>
    </row>
    <row r="22" spans="1:11">
      <c r="A22" s="174" t="s">
        <v>39</v>
      </c>
      <c r="B22" s="116">
        <v>683.67175794251125</v>
      </c>
      <c r="C22" s="116">
        <v>764.48424513338114</v>
      </c>
      <c r="D22" s="114">
        <v>11.820363537331502</v>
      </c>
      <c r="E22" s="116">
        <v>823.43258426966281</v>
      </c>
      <c r="F22" s="116">
        <v>848.5163188871054</v>
      </c>
      <c r="G22" s="116">
        <v>905.52097824148382</v>
      </c>
      <c r="H22" s="116">
        <v>960.32432673443918</v>
      </c>
      <c r="I22" s="116">
        <v>1017.3177947208846</v>
      </c>
      <c r="J22" s="36"/>
      <c r="K22" s="36"/>
    </row>
    <row r="23" spans="1:11">
      <c r="A23" s="24" t="s">
        <v>41</v>
      </c>
      <c r="B23" s="135">
        <v>2456.8237992003728</v>
      </c>
      <c r="C23" s="135">
        <v>2840.2571779181912</v>
      </c>
      <c r="D23" s="111">
        <v>15.606873347718922</v>
      </c>
      <c r="E23" s="135">
        <v>3338.6526078972611</v>
      </c>
      <c r="F23" s="135">
        <v>3840.6226084749114</v>
      </c>
      <c r="G23" s="135">
        <v>4466.3279615584697</v>
      </c>
      <c r="H23" s="135">
        <v>5192.3335617109014</v>
      </c>
      <c r="I23" s="135">
        <v>6046.178582377197</v>
      </c>
      <c r="J23" s="36"/>
      <c r="K23" s="36"/>
    </row>
    <row r="24" spans="1:11">
      <c r="B24" s="102"/>
      <c r="C24" s="102"/>
      <c r="D24" s="103"/>
      <c r="E24" s="102"/>
      <c r="F24" s="102"/>
      <c r="G24" s="102"/>
      <c r="H24" s="120"/>
      <c r="I24" s="120"/>
      <c r="J24" s="1"/>
      <c r="K24" s="36"/>
    </row>
    <row r="25" spans="1:11">
      <c r="B25" s="50"/>
      <c r="C25" s="50"/>
      <c r="D25" s="50"/>
      <c r="E25" s="50"/>
      <c r="F25" s="50"/>
      <c r="G25" s="50"/>
      <c r="H25" s="50"/>
      <c r="I25" s="50"/>
    </row>
    <row r="29" spans="1:11" ht="23.25">
      <c r="A29" s="178" t="s">
        <v>100</v>
      </c>
    </row>
    <row r="31" spans="1:11" ht="21">
      <c r="A31" s="104" t="s">
        <v>67</v>
      </c>
      <c r="B31" s="104"/>
    </row>
    <row r="34" spans="1:9">
      <c r="B34" s="35" t="s">
        <v>11</v>
      </c>
      <c r="C34" s="35" t="s">
        <v>10</v>
      </c>
      <c r="D34" s="3"/>
      <c r="E34" s="35" t="s">
        <v>68</v>
      </c>
      <c r="F34" s="35" t="s">
        <v>69</v>
      </c>
      <c r="G34" s="170" t="s">
        <v>48</v>
      </c>
      <c r="H34" s="170"/>
      <c r="I34" s="170"/>
    </row>
    <row r="35" spans="1:9">
      <c r="A35" s="8" t="s">
        <v>5</v>
      </c>
      <c r="B35" s="176">
        <v>2010</v>
      </c>
      <c r="C35" s="176">
        <v>2011</v>
      </c>
      <c r="D35" s="169" t="s">
        <v>0</v>
      </c>
      <c r="E35" s="176">
        <v>2012</v>
      </c>
      <c r="F35" s="176">
        <v>2013</v>
      </c>
      <c r="G35" s="171">
        <v>2014</v>
      </c>
      <c r="H35" s="171">
        <v>2015</v>
      </c>
      <c r="I35" s="171">
        <v>2016</v>
      </c>
    </row>
    <row r="36" spans="1:9">
      <c r="A36" s="202" t="s">
        <v>72</v>
      </c>
      <c r="B36" s="202"/>
      <c r="C36" s="202"/>
      <c r="D36" s="202"/>
      <c r="E36" s="202"/>
      <c r="F36" s="202"/>
      <c r="G36" s="202"/>
      <c r="H36" s="202"/>
      <c r="I36" s="203"/>
    </row>
    <row r="37" spans="1:9">
      <c r="A37" s="173" t="s">
        <v>83</v>
      </c>
      <c r="B37" s="116">
        <v>0</v>
      </c>
      <c r="C37" s="116">
        <v>0</v>
      </c>
      <c r="D37" s="114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</row>
    <row r="38" spans="1:9">
      <c r="A38" s="174" t="s">
        <v>85</v>
      </c>
      <c r="B38" s="116">
        <v>2</v>
      </c>
      <c r="C38" s="116">
        <v>2</v>
      </c>
      <c r="D38" s="114">
        <v>0</v>
      </c>
      <c r="E38" s="116">
        <v>2</v>
      </c>
      <c r="F38" s="116">
        <v>2</v>
      </c>
      <c r="G38" s="116">
        <v>2</v>
      </c>
      <c r="H38" s="116">
        <v>2</v>
      </c>
      <c r="I38" s="116">
        <v>2</v>
      </c>
    </row>
    <row r="39" spans="1:9">
      <c r="A39" s="24" t="s">
        <v>21</v>
      </c>
      <c r="B39" s="135">
        <v>2</v>
      </c>
      <c r="C39" s="135">
        <v>2</v>
      </c>
      <c r="D39" s="144">
        <v>0</v>
      </c>
      <c r="E39" s="135">
        <v>2</v>
      </c>
      <c r="F39" s="135">
        <v>2</v>
      </c>
      <c r="G39" s="135">
        <v>2</v>
      </c>
      <c r="H39" s="135">
        <v>2</v>
      </c>
      <c r="I39" s="135">
        <v>2</v>
      </c>
    </row>
    <row r="40" spans="1:9">
      <c r="A40" s="26"/>
      <c r="B40" s="172"/>
      <c r="C40" s="172"/>
      <c r="D40" s="113"/>
      <c r="E40" s="172"/>
      <c r="F40" s="172"/>
      <c r="G40" s="172"/>
      <c r="H40" s="172"/>
      <c r="I40" s="172"/>
    </row>
    <row r="41" spans="1:9">
      <c r="A41" s="204" t="s">
        <v>75</v>
      </c>
      <c r="B41" s="205"/>
      <c r="C41" s="205"/>
      <c r="D41" s="205"/>
      <c r="E41" s="205"/>
      <c r="F41" s="205"/>
      <c r="G41" s="205"/>
      <c r="H41" s="205"/>
      <c r="I41" s="206"/>
    </row>
    <row r="42" spans="1:9">
      <c r="A42" s="173" t="s">
        <v>102</v>
      </c>
      <c r="B42" s="116">
        <v>0</v>
      </c>
      <c r="C42" s="137">
        <v>0</v>
      </c>
      <c r="D42" s="114">
        <v>0</v>
      </c>
      <c r="E42" s="137">
        <v>0</v>
      </c>
      <c r="F42" s="137">
        <v>0</v>
      </c>
      <c r="G42" s="137">
        <v>0</v>
      </c>
      <c r="H42" s="137">
        <v>0</v>
      </c>
      <c r="I42" s="137">
        <v>0</v>
      </c>
    </row>
    <row r="43" spans="1:9">
      <c r="A43" s="174" t="s">
        <v>103</v>
      </c>
      <c r="B43" s="116">
        <v>485</v>
      </c>
      <c r="C43" s="116">
        <v>501</v>
      </c>
      <c r="D43" s="114">
        <v>3.2989690721649487</v>
      </c>
      <c r="E43" s="137">
        <v>527</v>
      </c>
      <c r="F43" s="137">
        <v>544</v>
      </c>
      <c r="G43" s="137">
        <v>571</v>
      </c>
      <c r="H43" s="137">
        <v>600</v>
      </c>
      <c r="I43" s="137">
        <v>630</v>
      </c>
    </row>
    <row r="44" spans="1:9">
      <c r="A44" s="179" t="s">
        <v>104</v>
      </c>
      <c r="B44" s="157">
        <v>485</v>
      </c>
      <c r="C44" s="157">
        <v>501</v>
      </c>
      <c r="D44" s="180">
        <v>3.2989690721649487</v>
      </c>
      <c r="E44" s="157">
        <v>527</v>
      </c>
      <c r="F44" s="157">
        <v>544</v>
      </c>
      <c r="G44" s="157">
        <v>571</v>
      </c>
      <c r="H44" s="157">
        <v>600</v>
      </c>
      <c r="I44" s="157">
        <v>630</v>
      </c>
    </row>
    <row r="45" spans="1:9">
      <c r="A45" s="175"/>
      <c r="B45" s="177"/>
      <c r="C45" s="177"/>
      <c r="D45" s="114"/>
      <c r="E45" s="177"/>
      <c r="F45" s="177"/>
      <c r="G45" s="119"/>
      <c r="H45" s="119"/>
      <c r="I45" s="119"/>
    </row>
    <row r="46" spans="1:9">
      <c r="A46" s="175" t="s">
        <v>7</v>
      </c>
      <c r="B46" s="71">
        <v>0.32100820354297949</v>
      </c>
      <c r="C46" s="71">
        <v>0.32117243529778611</v>
      </c>
      <c r="D46" s="111">
        <v>5.1161232951055083E-2</v>
      </c>
      <c r="E46" s="73">
        <v>0.32044308179210762</v>
      </c>
      <c r="F46" s="73">
        <v>0.31919406150583246</v>
      </c>
      <c r="G46" s="71">
        <v>0.31919406150583246</v>
      </c>
      <c r="H46" s="71">
        <v>0.31919406150583246</v>
      </c>
      <c r="I46" s="71">
        <v>0.31919406150583246</v>
      </c>
    </row>
    <row r="47" spans="1:9">
      <c r="A47" s="175" t="s">
        <v>8</v>
      </c>
      <c r="B47" s="71">
        <v>0.26463700234192039</v>
      </c>
      <c r="C47" s="71">
        <v>0.28165503489531407</v>
      </c>
      <c r="D47" s="111">
        <v>6.430707876370886</v>
      </c>
      <c r="E47" s="73">
        <v>0.3304931577588433</v>
      </c>
      <c r="F47" s="73">
        <v>0.32926829268292684</v>
      </c>
      <c r="G47" s="71">
        <v>0.32926829268292684</v>
      </c>
      <c r="H47" s="71">
        <v>0.32926829268292684</v>
      </c>
      <c r="I47" s="71">
        <v>0.32926829268292684</v>
      </c>
    </row>
    <row r="48" spans="1:9">
      <c r="A48" s="175" t="s">
        <v>76</v>
      </c>
      <c r="B48" s="71">
        <v>0.22727272727272729</v>
      </c>
      <c r="C48" s="71">
        <v>0.22203652859018741</v>
      </c>
      <c r="D48" s="111"/>
      <c r="E48" s="73">
        <v>0.22162883845126835</v>
      </c>
      <c r="F48" s="73">
        <v>0.22123893805309736</v>
      </c>
      <c r="G48" s="71">
        <v>0.22123893805309736</v>
      </c>
      <c r="H48" s="71">
        <v>0.22123893805309736</v>
      </c>
      <c r="I48" s="71">
        <v>0.22123893805309736</v>
      </c>
    </row>
    <row r="49" spans="1:9">
      <c r="A49" s="199" t="s">
        <v>65</v>
      </c>
      <c r="B49" s="200"/>
      <c r="C49" s="200"/>
      <c r="D49" s="200"/>
      <c r="E49" s="200"/>
      <c r="F49" s="200"/>
      <c r="G49" s="200"/>
      <c r="H49" s="200"/>
      <c r="I49" s="201"/>
    </row>
    <row r="50" spans="1:9">
      <c r="A50" s="173" t="s">
        <v>106</v>
      </c>
      <c r="B50" s="116">
        <v>0</v>
      </c>
      <c r="C50" s="116">
        <v>0</v>
      </c>
      <c r="D50" s="114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</row>
    <row r="51" spans="1:9">
      <c r="A51" s="174" t="s">
        <v>107</v>
      </c>
      <c r="B51" s="116">
        <v>107.34960272417709</v>
      </c>
      <c r="C51" s="116">
        <v>110.21730355220667</v>
      </c>
      <c r="D51" s="114">
        <v>0</v>
      </c>
      <c r="E51" s="116">
        <v>116.57910329843965</v>
      </c>
      <c r="F51" s="116">
        <v>120.27210884353742</v>
      </c>
      <c r="G51" s="116">
        <v>126.24149659863947</v>
      </c>
      <c r="H51" s="116">
        <v>132.63199084943713</v>
      </c>
      <c r="I51" s="116">
        <v>139.26464391066165</v>
      </c>
    </row>
    <row r="52" spans="1:9">
      <c r="A52" s="181" t="s">
        <v>41</v>
      </c>
      <c r="B52" s="157">
        <v>107.34960272417709</v>
      </c>
      <c r="C52" s="157">
        <v>110.21730355220667</v>
      </c>
      <c r="D52" s="180">
        <v>2.6713660370013881</v>
      </c>
      <c r="E52" s="157">
        <v>116.57910329843965</v>
      </c>
      <c r="F52" s="157">
        <v>120.27210884353742</v>
      </c>
      <c r="G52" s="157">
        <v>126.24149659863947</v>
      </c>
      <c r="H52" s="157">
        <v>132.63199084943713</v>
      </c>
      <c r="I52" s="157">
        <v>139.26464391066165</v>
      </c>
    </row>
    <row r="53" spans="1:9">
      <c r="B53" s="102"/>
      <c r="C53" s="102"/>
      <c r="D53" s="103"/>
      <c r="E53" s="102"/>
      <c r="F53" s="102"/>
      <c r="G53" s="102"/>
      <c r="H53" s="120"/>
      <c r="I53" s="120"/>
    </row>
  </sheetData>
  <mergeCells count="6">
    <mergeCell ref="A49:I49"/>
    <mergeCell ref="A7:I7"/>
    <mergeCell ref="A12:I12"/>
    <mergeCell ref="A20:I20"/>
    <mergeCell ref="A36:I36"/>
    <mergeCell ref="A41:I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calcul elec</vt:lpstr>
      <vt:lpstr>calcul gaz</vt:lpstr>
      <vt:lpstr>concession Eelec &amp; Gaz</vt:lpstr>
      <vt:lpstr>Eligible Elec &amp; Gaz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2012-08-16T14:24:24Z</cp:lastPrinted>
  <dcterms:created xsi:type="dcterms:W3CDTF">2012-05-29T09:10:07Z</dcterms:created>
  <dcterms:modified xsi:type="dcterms:W3CDTF">2012-09-25T15:09:44Z</dcterms:modified>
</cp:coreProperties>
</file>