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05" windowHeight="5850" tabRatio="684" firstSheet="1" activeTab="3"/>
  </bookViews>
  <sheets>
    <sheet name="Reqs. datarate" sheetId="1" r:id="rId1"/>
    <sheet name="Reqs. energy" sheetId="2" r:id="rId2"/>
    <sheet name="Monthly data" sheetId="3" r:id="rId3"/>
    <sheet name="NB-IoT NPUSCH TBS table" sheetId="8" r:id="rId4"/>
    <sheet name="TS-UNB" sheetId="7" r:id="rId5"/>
    <sheet name="LoRaWAN" sheetId="9" r:id="rId6"/>
    <sheet name="Energy" sheetId="11" r:id="rId7"/>
    <sheet name="Costs1" sheetId="4" r:id="rId8"/>
    <sheet name="Costs2" sheetId="10" r:id="rId9"/>
    <sheet name="Summary" sheetId="12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2" i="7" l="1"/>
  <c r="D40" i="7"/>
  <c r="D39" i="7"/>
  <c r="F57" i="7"/>
  <c r="E57" i="7"/>
  <c r="D57" i="7"/>
  <c r="F42" i="9" l="1"/>
  <c r="F41" i="9"/>
  <c r="F40" i="9"/>
  <c r="E42" i="9"/>
  <c r="E41" i="9"/>
  <c r="E40" i="9"/>
  <c r="F39" i="9"/>
  <c r="D42" i="9"/>
  <c r="D41" i="9"/>
  <c r="D39" i="9"/>
  <c r="D29" i="9"/>
  <c r="E39" i="9"/>
  <c r="D40" i="9"/>
  <c r="F66" i="9" l="1"/>
  <c r="E66" i="9"/>
  <c r="D66" i="9"/>
  <c r="F65" i="9"/>
  <c r="E65" i="9"/>
  <c r="D65" i="9"/>
  <c r="F64" i="9"/>
  <c r="E64" i="9"/>
  <c r="D64" i="9"/>
  <c r="F63" i="9"/>
  <c r="E63" i="9"/>
  <c r="D63" i="9"/>
  <c r="M22" i="8"/>
  <c r="M19" i="8" l="1"/>
  <c r="T39" i="8"/>
  <c r="Q52" i="8"/>
  <c r="Q36" i="8"/>
  <c r="Q39" i="8"/>
  <c r="R36" i="8"/>
  <c r="R48" i="8"/>
  <c r="R49" i="8"/>
  <c r="S35" i="8"/>
  <c r="N23" i="8"/>
  <c r="S48" i="8"/>
  <c r="R39" i="8"/>
  <c r="P48" i="8"/>
  <c r="N48" i="8"/>
  <c r="R35" i="8"/>
  <c r="M35" i="8"/>
  <c r="T23" i="8"/>
  <c r="P22" i="8"/>
  <c r="S52" i="8"/>
  <c r="O23" i="8"/>
  <c r="S23" i="8"/>
  <c r="Q31" i="8"/>
  <c r="Q49" i="8"/>
  <c r="R23" i="8"/>
  <c r="M36" i="8"/>
  <c r="P36" i="8"/>
  <c r="Q22" i="8"/>
  <c r="Q57" i="8"/>
  <c r="Q23" i="8"/>
  <c r="O22" i="8"/>
  <c r="N22" i="8"/>
  <c r="M49" i="8"/>
  <c r="P35" i="8"/>
  <c r="N44" i="8"/>
  <c r="O49" i="8"/>
  <c r="P23" i="8"/>
  <c r="P49" i="8"/>
  <c r="P44" i="8"/>
  <c r="S36" i="8"/>
  <c r="N49" i="8"/>
  <c r="Q35" i="8"/>
  <c r="P39" i="8"/>
  <c r="T49" i="8"/>
  <c r="R22" i="8"/>
  <c r="N36" i="8"/>
  <c r="S39" i="8"/>
  <c r="P52" i="8"/>
  <c r="S49" i="8"/>
  <c r="T22" i="8"/>
  <c r="R52" i="8"/>
  <c r="N57" i="8"/>
  <c r="M23" i="8"/>
  <c r="O48" i="8"/>
  <c r="M48" i="8"/>
  <c r="T48" i="8"/>
  <c r="Q48" i="8"/>
  <c r="S22" i="8"/>
  <c r="O35" i="8"/>
  <c r="N35" i="8"/>
  <c r="T52" i="8"/>
  <c r="P57" i="8"/>
  <c r="T35" i="8"/>
  <c r="T36" i="8"/>
  <c r="Q44" i="8"/>
  <c r="O36" i="8"/>
  <c r="P55" i="8" l="1"/>
  <c r="Q55" i="8"/>
  <c r="R55" i="8"/>
  <c r="S55" i="8"/>
  <c r="T55" i="8"/>
  <c r="P42" i="8"/>
  <c r="S42" i="8"/>
  <c r="T42" i="8"/>
  <c r="Q42" i="8"/>
  <c r="R42" i="8"/>
  <c r="T41" i="8"/>
  <c r="S41" i="8"/>
  <c r="R41" i="8"/>
  <c r="P41" i="8"/>
  <c r="P54" i="8"/>
  <c r="Q54" i="8"/>
  <c r="R54" i="8"/>
  <c r="S54" i="8"/>
  <c r="T54" i="8"/>
  <c r="Q41" i="8"/>
  <c r="M27" i="8"/>
  <c r="I68" i="10"/>
  <c r="G68" i="10"/>
  <c r="F68" i="10"/>
  <c r="G67" i="10"/>
  <c r="F67" i="10"/>
  <c r="J66" i="10"/>
  <c r="H66" i="10"/>
  <c r="G66" i="10"/>
  <c r="F66" i="10"/>
  <c r="J65" i="10"/>
  <c r="H65" i="10"/>
  <c r="G65" i="10"/>
  <c r="F65" i="10"/>
  <c r="I64" i="10"/>
  <c r="F64" i="10"/>
  <c r="I63" i="10"/>
  <c r="F63" i="10"/>
  <c r="I62" i="10"/>
  <c r="H62" i="10"/>
  <c r="F62" i="10"/>
  <c r="I61" i="10"/>
  <c r="F61" i="10"/>
  <c r="I60" i="10"/>
  <c r="H60" i="10"/>
  <c r="F60" i="10"/>
  <c r="K60" i="10" s="1"/>
  <c r="I59" i="10"/>
  <c r="F59" i="10"/>
  <c r="I58" i="10"/>
  <c r="F58" i="10"/>
  <c r="I57" i="10"/>
  <c r="F57" i="10"/>
  <c r="E53" i="10"/>
  <c r="D53" i="10"/>
  <c r="C53" i="10"/>
  <c r="B53" i="10"/>
  <c r="E52" i="10"/>
  <c r="H64" i="10" s="1"/>
  <c r="D52" i="10"/>
  <c r="H63" i="10" s="1"/>
  <c r="C52" i="10"/>
  <c r="B52" i="10"/>
  <c r="H61" i="10" s="1"/>
  <c r="E51" i="10"/>
  <c r="D51" i="10"/>
  <c r="H59" i="10" s="1"/>
  <c r="C51" i="10"/>
  <c r="H58" i="10" s="1"/>
  <c r="B51" i="10"/>
  <c r="H57" i="10" s="1"/>
  <c r="K57" i="10" s="1"/>
  <c r="B39" i="10"/>
  <c r="I66" i="10" s="1"/>
  <c r="B33" i="10"/>
  <c r="B32" i="10"/>
  <c r="B31" i="10"/>
  <c r="B30" i="10"/>
  <c r="E24" i="10"/>
  <c r="E19" i="10"/>
  <c r="E13" i="10"/>
  <c r="E10" i="10"/>
  <c r="I61" i="4"/>
  <c r="I64" i="4"/>
  <c r="I63" i="4"/>
  <c r="I62" i="4"/>
  <c r="H64" i="4"/>
  <c r="H63" i="4"/>
  <c r="H62" i="4"/>
  <c r="H61" i="4"/>
  <c r="E52" i="4"/>
  <c r="D52" i="4"/>
  <c r="C52" i="4"/>
  <c r="B52" i="4"/>
  <c r="F64" i="4"/>
  <c r="F63" i="4"/>
  <c r="F62" i="4"/>
  <c r="F61" i="4"/>
  <c r="F8" i="3"/>
  <c r="F6" i="3"/>
  <c r="F4" i="3"/>
  <c r="F2" i="3"/>
  <c r="D8" i="3"/>
  <c r="D6" i="3"/>
  <c r="D4" i="3"/>
  <c r="D2" i="3"/>
  <c r="O1" i="3"/>
  <c r="B5" i="3"/>
  <c r="B4" i="3"/>
  <c r="B3" i="3"/>
  <c r="B2" i="3"/>
  <c r="B7" i="3"/>
  <c r="B8" i="3"/>
  <c r="B9" i="3"/>
  <c r="B6" i="3"/>
  <c r="Q6" i="3"/>
  <c r="F3" i="2"/>
  <c r="D4" i="1"/>
  <c r="D5" i="1"/>
  <c r="D6" i="1"/>
  <c r="D7" i="1"/>
  <c r="D14" i="7"/>
  <c r="P18" i="7"/>
  <c r="F31" i="7"/>
  <c r="F16" i="7"/>
  <c r="L9" i="9"/>
  <c r="L11" i="9" s="1"/>
  <c r="C24" i="9"/>
  <c r="C14" i="9"/>
  <c r="G21" i="9" s="1"/>
  <c r="G22" i="9" s="1"/>
  <c r="G28" i="9" s="1"/>
  <c r="R2" i="3"/>
  <c r="R1" i="3"/>
  <c r="O4" i="3"/>
  <c r="R4" i="3" s="1"/>
  <c r="O3" i="3"/>
  <c r="R3" i="3" s="1"/>
  <c r="O2" i="3"/>
  <c r="N2" i="3"/>
  <c r="N4" i="3"/>
  <c r="N3" i="3"/>
  <c r="E28" i="7"/>
  <c r="E29" i="7" s="1"/>
  <c r="E31" i="7"/>
  <c r="E7" i="7"/>
  <c r="D7" i="7"/>
  <c r="M39" i="8"/>
  <c r="O39" i="8"/>
  <c r="N52" i="8"/>
  <c r="M26" i="8"/>
  <c r="M52" i="8"/>
  <c r="R26" i="8"/>
  <c r="S26" i="8"/>
  <c r="N26" i="8"/>
  <c r="T26" i="8"/>
  <c r="N39" i="8"/>
  <c r="O52" i="8"/>
  <c r="O26" i="8"/>
  <c r="P26" i="8"/>
  <c r="Q26" i="8"/>
  <c r="Q29" i="8" l="1"/>
  <c r="Q28" i="8"/>
  <c r="M29" i="8"/>
  <c r="M28" i="8"/>
  <c r="N28" i="8"/>
  <c r="N29" i="8"/>
  <c r="T29" i="8"/>
  <c r="T28" i="8"/>
  <c r="O28" i="8"/>
  <c r="O29" i="8"/>
  <c r="S29" i="8"/>
  <c r="S28" i="8"/>
  <c r="D43" i="7"/>
  <c r="D134" i="7"/>
  <c r="E18" i="7"/>
  <c r="E20" i="7" s="1"/>
  <c r="F35" i="7"/>
  <c r="D24" i="7"/>
  <c r="D133" i="7"/>
  <c r="R29" i="8"/>
  <c r="R28" i="8"/>
  <c r="P28" i="8"/>
  <c r="P29" i="8"/>
  <c r="G58" i="9"/>
  <c r="G57" i="9"/>
  <c r="G59" i="9"/>
  <c r="G60" i="9"/>
  <c r="Q43" i="8"/>
  <c r="N42" i="8"/>
  <c r="N41" i="8"/>
  <c r="M41" i="8"/>
  <c r="M42" i="8"/>
  <c r="N54" i="8"/>
  <c r="N55" i="8"/>
  <c r="O55" i="8"/>
  <c r="O54" i="8"/>
  <c r="M54" i="8"/>
  <c r="M55" i="8"/>
  <c r="O42" i="8"/>
  <c r="O41" i="8"/>
  <c r="Q56" i="8"/>
  <c r="T43" i="8"/>
  <c r="S56" i="8"/>
  <c r="P56" i="8"/>
  <c r="T56" i="8"/>
  <c r="R56" i="8"/>
  <c r="R43" i="8"/>
  <c r="S43" i="8"/>
  <c r="P43" i="8"/>
  <c r="K61" i="10"/>
  <c r="K59" i="10"/>
  <c r="K63" i="10"/>
  <c r="K68" i="10"/>
  <c r="K66" i="10"/>
  <c r="K62" i="10"/>
  <c r="K64" i="10"/>
  <c r="K58" i="10"/>
  <c r="I67" i="10"/>
  <c r="K67" i="10" s="1"/>
  <c r="I65" i="10"/>
  <c r="K65" i="10" s="1"/>
  <c r="C21" i="9"/>
  <c r="C22" i="9" s="1"/>
  <c r="C27" i="9" s="1"/>
  <c r="H21" i="9"/>
  <c r="H22" i="9" s="1"/>
  <c r="H28" i="9" s="1"/>
  <c r="F21" i="9"/>
  <c r="F22" i="9" s="1"/>
  <c r="F28" i="9" s="1"/>
  <c r="E21" i="9"/>
  <c r="E22" i="9" s="1"/>
  <c r="G27" i="9"/>
  <c r="P11" i="9" s="1"/>
  <c r="D16" i="7"/>
  <c r="E16" i="7"/>
  <c r="P75" i="7" a="1"/>
  <c r="P98" i="7" s="1"/>
  <c r="P102" i="7" a="1"/>
  <c r="P102" i="7" s="1"/>
  <c r="E32" i="7" l="1"/>
  <c r="E40" i="7"/>
  <c r="Q30" i="8"/>
  <c r="N30" i="8"/>
  <c r="M30" i="8"/>
  <c r="S30" i="8"/>
  <c r="O30" i="8"/>
  <c r="D31" i="9"/>
  <c r="H31" i="9"/>
  <c r="N11" i="9"/>
  <c r="D28" i="9"/>
  <c r="F18" i="7"/>
  <c r="F20" i="7" s="1"/>
  <c r="F37" i="7" s="1"/>
  <c r="E35" i="7"/>
  <c r="D18" i="7"/>
  <c r="D35" i="7"/>
  <c r="E37" i="7"/>
  <c r="E44" i="7" s="1"/>
  <c r="E132" i="7"/>
  <c r="T30" i="8"/>
  <c r="R30" i="8"/>
  <c r="P30" i="8"/>
  <c r="N60" i="9"/>
  <c r="N68" i="9" s="1"/>
  <c r="M60" i="9"/>
  <c r="M67" i="9" s="1"/>
  <c r="M68" i="9" s="1"/>
  <c r="L60" i="9"/>
  <c r="L66" i="9" s="1"/>
  <c r="C28" i="9"/>
  <c r="K60" i="9"/>
  <c r="F59" i="9"/>
  <c r="F60" i="9"/>
  <c r="F58" i="9"/>
  <c r="F57" i="9"/>
  <c r="G31" i="9"/>
  <c r="H59" i="9"/>
  <c r="H60" i="9"/>
  <c r="F31" i="9"/>
  <c r="H58" i="9"/>
  <c r="H57" i="9"/>
  <c r="C31" i="9"/>
  <c r="E28" i="9"/>
  <c r="O60" i="9"/>
  <c r="F27" i="9"/>
  <c r="Q11" i="9" s="1"/>
  <c r="O43" i="8"/>
  <c r="M56" i="8"/>
  <c r="N43" i="8"/>
  <c r="O56" i="8"/>
  <c r="N56" i="8"/>
  <c r="M43" i="8"/>
  <c r="E39" i="7"/>
  <c r="D20" i="7"/>
  <c r="H27" i="9"/>
  <c r="R11" i="9" s="1"/>
  <c r="E33" i="7"/>
  <c r="E70" i="7" s="1"/>
  <c r="E27" i="9"/>
  <c r="O11" i="9" s="1"/>
  <c r="D31" i="7"/>
  <c r="P83" i="7"/>
  <c r="P94" i="7"/>
  <c r="P92" i="7"/>
  <c r="P77" i="7"/>
  <c r="P85" i="7"/>
  <c r="P78" i="7"/>
  <c r="P79" i="7"/>
  <c r="P95" i="7"/>
  <c r="P80" i="7"/>
  <c r="P88" i="7"/>
  <c r="P96" i="7"/>
  <c r="P75" i="7"/>
  <c r="P91" i="7"/>
  <c r="P76" i="7"/>
  <c r="P84" i="7"/>
  <c r="P93" i="7"/>
  <c r="P86" i="7"/>
  <c r="P87" i="7"/>
  <c r="P81" i="7"/>
  <c r="P89" i="7"/>
  <c r="P97" i="7"/>
  <c r="P82" i="7"/>
  <c r="P90" i="7"/>
  <c r="P125" i="7"/>
  <c r="P109" i="7"/>
  <c r="P124" i="7"/>
  <c r="P116" i="7"/>
  <c r="P108" i="7"/>
  <c r="P121" i="7"/>
  <c r="P117" i="7"/>
  <c r="P123" i="7"/>
  <c r="P115" i="7"/>
  <c r="P107" i="7"/>
  <c r="P113" i="7"/>
  <c r="P122" i="7"/>
  <c r="P114" i="7"/>
  <c r="P106" i="7"/>
  <c r="P105" i="7"/>
  <c r="P104" i="7"/>
  <c r="P103" i="7"/>
  <c r="P120" i="7"/>
  <c r="P112" i="7"/>
  <c r="P119" i="7"/>
  <c r="P111" i="7"/>
  <c r="P118" i="7"/>
  <c r="P110" i="7"/>
  <c r="D50" i="7" l="1"/>
  <c r="E49" i="7"/>
  <c r="E50" i="7"/>
  <c r="D37" i="7"/>
  <c r="D44" i="7" s="1"/>
  <c r="Q14" i="7"/>
  <c r="L67" i="9"/>
  <c r="L68" i="9" s="1"/>
  <c r="F40" i="7"/>
  <c r="F132" i="7" s="1"/>
  <c r="F44" i="7"/>
  <c r="D32" i="7"/>
  <c r="P71" i="9"/>
  <c r="K65" i="9"/>
  <c r="K66" i="9" s="1"/>
  <c r="K67" i="9" s="1"/>
  <c r="K68" i="9" s="1"/>
  <c r="K69" i="9" s="1"/>
  <c r="K70" i="9" s="1"/>
  <c r="K71" i="9" s="1"/>
  <c r="E57" i="9"/>
  <c r="D58" i="9"/>
  <c r="D59" i="9"/>
  <c r="D60" i="9"/>
  <c r="D57" i="9"/>
  <c r="N69" i="9"/>
  <c r="M62" i="9"/>
  <c r="O69" i="9"/>
  <c r="M69" i="9"/>
  <c r="L69" i="9"/>
  <c r="E58" i="9"/>
  <c r="E59" i="9"/>
  <c r="E72" i="7"/>
  <c r="E69" i="7"/>
  <c r="E71" i="7"/>
  <c r="F32" i="7"/>
  <c r="D27" i="9"/>
  <c r="D33" i="7"/>
  <c r="D55" i="7"/>
  <c r="F33" i="7" l="1"/>
  <c r="F71" i="7" s="1"/>
  <c r="D63" i="7"/>
  <c r="L70" i="9"/>
  <c r="L71" i="9" s="1"/>
  <c r="F39" i="7"/>
  <c r="E60" i="9"/>
  <c r="M70" i="9"/>
  <c r="M71" i="9" s="1"/>
  <c r="O70" i="9"/>
  <c r="O71" i="9" s="1"/>
  <c r="L28" i="9"/>
  <c r="N70" i="9"/>
  <c r="N71" i="9" s="1"/>
  <c r="F63" i="7"/>
  <c r="D65" i="7"/>
  <c r="D69" i="7"/>
  <c r="D72" i="7"/>
  <c r="D71" i="7"/>
  <c r="D70" i="7"/>
  <c r="G68" i="4"/>
  <c r="G67" i="4"/>
  <c r="F68" i="4"/>
  <c r="F67" i="4"/>
  <c r="F66" i="4"/>
  <c r="G66" i="4"/>
  <c r="H66" i="4"/>
  <c r="J66" i="4"/>
  <c r="J65" i="4"/>
  <c r="H65" i="4"/>
  <c r="G65" i="4"/>
  <c r="I60" i="4"/>
  <c r="I59" i="4"/>
  <c r="I58" i="4"/>
  <c r="I57" i="4"/>
  <c r="B39" i="4"/>
  <c r="I68" i="4" s="1"/>
  <c r="F65" i="4"/>
  <c r="F60" i="4"/>
  <c r="F59" i="4"/>
  <c r="F58" i="4"/>
  <c r="F57" i="4"/>
  <c r="B33" i="4"/>
  <c r="B32" i="4"/>
  <c r="B31" i="4"/>
  <c r="B30" i="4"/>
  <c r="E24" i="4"/>
  <c r="E19" i="4"/>
  <c r="E13" i="4"/>
  <c r="E10" i="4"/>
  <c r="Q4" i="3"/>
  <c r="Q3" i="3"/>
  <c r="Q2" i="3"/>
  <c r="N1" i="3"/>
  <c r="Q1" i="3" s="1"/>
  <c r="C13" i="3"/>
  <c r="N12" i="3" s="1"/>
  <c r="Q12" i="3" s="1"/>
  <c r="E4" i="1"/>
  <c r="C6" i="1"/>
  <c r="C7" i="1" s="1"/>
  <c r="B6" i="1"/>
  <c r="B7" i="1" s="1"/>
  <c r="D5" i="2"/>
  <c r="D3" i="2"/>
  <c r="E7" i="1"/>
  <c r="E6" i="1"/>
  <c r="E5" i="1"/>
  <c r="F50" i="7" l="1"/>
  <c r="F49" i="7"/>
  <c r="F69" i="7"/>
  <c r="F72" i="7"/>
  <c r="F70" i="7"/>
  <c r="F65" i="7"/>
  <c r="E66" i="7"/>
  <c r="E63" i="7"/>
  <c r="E65" i="7"/>
  <c r="E64" i="7"/>
  <c r="F64" i="7"/>
  <c r="F66" i="7"/>
  <c r="N10" i="3"/>
  <c r="Q10" i="3" s="1"/>
  <c r="N13" i="3"/>
  <c r="Q13" i="3" s="1"/>
  <c r="E53" i="4"/>
  <c r="B53" i="4"/>
  <c r="E51" i="4"/>
  <c r="N7" i="3"/>
  <c r="Q7" i="3" s="1"/>
  <c r="C53" i="4"/>
  <c r="N11" i="3"/>
  <c r="Q11" i="3" s="1"/>
  <c r="D51" i="4" s="1"/>
  <c r="D53" i="4"/>
  <c r="D66" i="7"/>
  <c r="D64" i="7"/>
  <c r="K68" i="4"/>
  <c r="I65" i="4"/>
  <c r="K65" i="4" s="1"/>
  <c r="I66" i="4"/>
  <c r="K66" i="4" s="1"/>
  <c r="I67" i="4"/>
  <c r="K67" i="4" s="1"/>
  <c r="N8" i="3"/>
  <c r="Q8" i="3" s="1"/>
  <c r="N9" i="3"/>
  <c r="Q9" i="3" s="1"/>
  <c r="N6" i="3"/>
  <c r="B5" i="1"/>
  <c r="C5" i="1"/>
  <c r="B4" i="1"/>
  <c r="C4" i="1"/>
  <c r="H60" i="4" l="1"/>
  <c r="K60" i="4" s="1"/>
  <c r="K64" i="4"/>
  <c r="H59" i="4"/>
  <c r="K59" i="4" s="1"/>
  <c r="K63" i="4"/>
  <c r="B51" i="4"/>
  <c r="C51" i="4"/>
  <c r="H57" i="4" l="1"/>
  <c r="K57" i="4" s="1"/>
  <c r="K61" i="4"/>
  <c r="H58" i="4"/>
  <c r="K58" i="4" s="1"/>
  <c r="K62" i="4"/>
</calcChain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accurate calc.</t>
        </r>
      </text>
    </comment>
  </commentList>
</comments>
</file>

<file path=xl/sharedStrings.xml><?xml version="1.0" encoding="utf-8"?>
<sst xmlns="http://schemas.openxmlformats.org/spreadsheetml/2006/main" count="1017" uniqueCount="394">
  <si>
    <t xml:space="preserve"> Interval</t>
  </si>
  <si>
    <t>Profile 1</t>
  </si>
  <si>
    <t>Profile 2</t>
  </si>
  <si>
    <t>Time</t>
  </si>
  <si>
    <t>seconds</t>
  </si>
  <si>
    <t xml:space="preserve"> 3 seconds</t>
  </si>
  <si>
    <t>Uplink</t>
  </si>
  <si>
    <t>Bytes</t>
  </si>
  <si>
    <t xml:space="preserve"> 15 seconds</t>
  </si>
  <si>
    <t>Downlink</t>
  </si>
  <si>
    <t xml:space="preserve"> 60 seconds</t>
  </si>
  <si>
    <t xml:space="preserve"> 600 seconds</t>
  </si>
  <si>
    <t xml:space="preserve"> </t>
  </si>
  <si>
    <t>Battery capacity</t>
  </si>
  <si>
    <t>mAh</t>
  </si>
  <si>
    <t>mA</t>
  </si>
  <si>
    <t>Battery Management Unit</t>
  </si>
  <si>
    <t xml:space="preserve"> -</t>
  </si>
  <si>
    <t>Weather station</t>
  </si>
  <si>
    <t xml:space="preserve">mA </t>
  </si>
  <si>
    <t>Self-discharge</t>
  </si>
  <si>
    <t>Data amounts extrapolated for 1 month</t>
  </si>
  <si>
    <t>~</t>
  </si>
  <si>
    <t>per month</t>
  </si>
  <si>
    <t xml:space="preserve"> @ 60s interval</t>
  </si>
  <si>
    <t>https://confluence.vaisala.com/confluence/display/DMU801/Transferred+data+volumes</t>
  </si>
  <si>
    <t>MB / month</t>
  </si>
  <si>
    <t xml:space="preserve"> @ 15s interval</t>
  </si>
  <si>
    <t xml:space="preserve"> @ 3s interval</t>
  </si>
  <si>
    <t xml:space="preserve"> @ 600s interval</t>
  </si>
  <si>
    <t>UL</t>
  </si>
  <si>
    <t>DL</t>
  </si>
  <si>
    <t>Data rate (bps)</t>
  </si>
  <si>
    <t>measured for 60s interval</t>
  </si>
  <si>
    <t>Source</t>
  </si>
  <si>
    <t>Brand</t>
  </si>
  <si>
    <t>Model</t>
  </si>
  <si>
    <t>Tech</t>
  </si>
  <si>
    <t>Price</t>
  </si>
  <si>
    <t>Notes</t>
  </si>
  <si>
    <t>[66]</t>
  </si>
  <si>
    <t>IMST</t>
  </si>
  <si>
    <t>iM880B</t>
  </si>
  <si>
    <t>LoRaWAN</t>
  </si>
  <si>
    <t>Symmetry Electronics</t>
  </si>
  <si>
    <t>MuRata</t>
  </si>
  <si>
    <t>CMWX1ZZABZ</t>
  </si>
  <si>
    <t>Digikey</t>
  </si>
  <si>
    <t>RF Solutions</t>
  </si>
  <si>
    <t>RFM95W-868S2</t>
  </si>
  <si>
    <t>CMWX1ZZABZ-091</t>
  </si>
  <si>
    <t>Laird Connectivity</t>
  </si>
  <si>
    <t>RM186-SM-02</t>
  </si>
  <si>
    <t>Microchip Technology</t>
  </si>
  <si>
    <t>RN2483A-I/RM104</t>
  </si>
  <si>
    <t>Multi-Tech Systems</t>
  </si>
  <si>
    <t>MTXDOT-EU1-A01-100</t>
  </si>
  <si>
    <t>Telit</t>
  </si>
  <si>
    <t>ME910C1N 002T7A2000</t>
  </si>
  <si>
    <t>LTE-M</t>
  </si>
  <si>
    <t>Thales DIS</t>
  </si>
  <si>
    <t>EMS31-US Rel.2</t>
  </si>
  <si>
    <t>Octopart</t>
  </si>
  <si>
    <t>Quectel</t>
  </si>
  <si>
    <t>BG96MA-128-SGN</t>
  </si>
  <si>
    <t>LTE-M &amp; NB-IoT</t>
  </si>
  <si>
    <t>Widely certified</t>
  </si>
  <si>
    <t>SIMcom</t>
  </si>
  <si>
    <t>SIM7000G</t>
  </si>
  <si>
    <t>Sierra Wireless</t>
  </si>
  <si>
    <t>WP7702</t>
  </si>
  <si>
    <t>U-Blox</t>
  </si>
  <si>
    <t>SARA-R510S-00B</t>
  </si>
  <si>
    <t>SARA-R412M-02B</t>
  </si>
  <si>
    <t>[41]</t>
  </si>
  <si>
    <t>Various</t>
  </si>
  <si>
    <t>NB-IoT</t>
  </si>
  <si>
    <t>NE310H2-W1</t>
  </si>
  <si>
    <t>Variously certified</t>
  </si>
  <si>
    <t>SIM7020</t>
  </si>
  <si>
    <t>ENS22-E Rel.1</t>
  </si>
  <si>
    <t>Average</t>
  </si>
  <si>
    <t>Moduulihinnat</t>
  </si>
  <si>
    <t>Subscriptions</t>
  </si>
  <si>
    <t>1ot.mobi</t>
  </si>
  <si>
    <t>0.2 - 0.05</t>
  </si>
  <si>
    <t>€ / MB</t>
  </si>
  <si>
    <t>Telstra</t>
  </si>
  <si>
    <t>500 MB plan</t>
  </si>
  <si>
    <t>Choice IoT</t>
  </si>
  <si>
    <t xml:space="preserve"> @ 64 kbps</t>
  </si>
  <si>
    <t>n</t>
  </si>
  <si>
    <t>t</t>
  </si>
  <si>
    <t>m</t>
  </si>
  <si>
    <t>MTBF</t>
  </si>
  <si>
    <t>D</t>
  </si>
  <si>
    <t>3s</t>
  </si>
  <si>
    <t>15s</t>
  </si>
  <si>
    <t>60s</t>
  </si>
  <si>
    <t>600s</t>
  </si>
  <si>
    <t>Interval</t>
  </si>
  <si>
    <t>C_mod</t>
  </si>
  <si>
    <t>TS-UNB</t>
  </si>
  <si>
    <t>C_BS</t>
  </si>
  <si>
    <t xml:space="preserve">C_BSkit </t>
  </si>
  <si>
    <t>C_work</t>
  </si>
  <si>
    <t>C_msub</t>
  </si>
  <si>
    <t>C_Mrent</t>
  </si>
  <si>
    <t>per BS</t>
  </si>
  <si>
    <t>per day</t>
  </si>
  <si>
    <t>per MB</t>
  </si>
  <si>
    <t>per mast per month</t>
  </si>
  <si>
    <t>C_BSsub</t>
  </si>
  <si>
    <t>λ</t>
  </si>
  <si>
    <r>
      <rPr>
        <b/>
        <sz val="11"/>
        <color theme="1"/>
        <rFont val="Calibri"/>
        <family val="2"/>
        <scheme val="minor"/>
      </rPr>
      <t xml:space="preserve">LCC </t>
    </r>
    <r>
      <rPr>
        <vertAlign val="subscript"/>
        <sz val="11"/>
        <color theme="1"/>
        <rFont val="Calibri"/>
        <family val="2"/>
        <scheme val="minor"/>
      </rPr>
      <t>pur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</si>
  <si>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depl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</si>
  <si>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oper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</si>
  <si>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maint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</si>
  <si>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decom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</si>
  <si>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total</t>
    </r>
  </si>
  <si>
    <t>Table</t>
  </si>
  <si>
    <t>UPG1</t>
  </si>
  <si>
    <t>UPG2</t>
  </si>
  <si>
    <t>6-51</t>
  </si>
  <si>
    <t>Carriers</t>
  </si>
  <si>
    <t>Frequency</t>
  </si>
  <si>
    <t>Bins</t>
  </si>
  <si>
    <t>6-49</t>
  </si>
  <si>
    <t>Duty cycle analysis</t>
  </si>
  <si>
    <t>Max app. Payload</t>
  </si>
  <si>
    <t xml:space="preserve">App payload </t>
  </si>
  <si>
    <t>Overhead</t>
  </si>
  <si>
    <t>MAC</t>
  </si>
  <si>
    <t>PHY</t>
  </si>
  <si>
    <t>Sub-carriers</t>
  </si>
  <si>
    <t>Sub-carrier utilization</t>
  </si>
  <si>
    <t xml:space="preserve">RBs in Core frame </t>
  </si>
  <si>
    <t xml:space="preserve">RBs in Full Ext. Frame </t>
  </si>
  <si>
    <t xml:space="preserve">RBs in partial Ext. Frame </t>
  </si>
  <si>
    <t>Quotient of total payload/max payload</t>
  </si>
  <si>
    <t>Max payload + overhead - core frame bytes</t>
  </si>
  <si>
    <t>No. Full Radio Frames</t>
  </si>
  <si>
    <t>No. partial Radio Frames</t>
  </si>
  <si>
    <t>Total on-air of Core frames</t>
  </si>
  <si>
    <t>Total on-air of Ext. Frames</t>
  </si>
  <si>
    <t>On-air time per sub-carrier</t>
  </si>
  <si>
    <t>ms</t>
  </si>
  <si>
    <t>Duty</t>
  </si>
  <si>
    <t>Cycle</t>
  </si>
  <si>
    <t>Band duty-cycle period</t>
  </si>
  <si>
    <t>Total</t>
  </si>
  <si>
    <t>Channel duty-cycle period</t>
  </si>
  <si>
    <t>Channel</t>
  </si>
  <si>
    <t>Band</t>
  </si>
  <si>
    <t>NPUSCH</t>
  </si>
  <si>
    <t>TBS</t>
  </si>
  <si>
    <t>R_PhyP</t>
  </si>
  <si>
    <t>per I_TBS</t>
  </si>
  <si>
    <t>SNR_reqd</t>
  </si>
  <si>
    <t>APL</t>
  </si>
  <si>
    <t>d LoRA</t>
  </si>
  <si>
    <t>Partial radio frame bytes</t>
  </si>
  <si>
    <t>Core frame max app. payload</t>
  </si>
  <si>
    <t>Bits</t>
  </si>
  <si>
    <t>The extension frame adds up to core frame by one radio burst per each additional byte in the physical payload.</t>
  </si>
  <si>
    <t>Bits (20 Bytes)</t>
  </si>
  <si>
    <t>min. PSDU size.</t>
  </si>
  <si>
    <t>Zero padded if MPDU is less than 20 bytes</t>
  </si>
  <si>
    <t>Data rates:</t>
  </si>
  <si>
    <t>T_RB,avg</t>
  </si>
  <si>
    <t>T_Total</t>
  </si>
  <si>
    <t>symbols</t>
  </si>
  <si>
    <t>s</t>
  </si>
  <si>
    <t>R_mac</t>
  </si>
  <si>
    <t>bit/s</t>
  </si>
  <si>
    <t>R_phy</t>
  </si>
  <si>
    <t>core frame R_phy</t>
  </si>
  <si>
    <t>n_preamble</t>
  </si>
  <si>
    <t>Profile</t>
  </si>
  <si>
    <t>2a</t>
  </si>
  <si>
    <t>2b</t>
  </si>
  <si>
    <t>FULL frame</t>
  </si>
  <si>
    <t>n_payload</t>
  </si>
  <si>
    <t>SF</t>
  </si>
  <si>
    <t>CRC</t>
  </si>
  <si>
    <t>H</t>
  </si>
  <si>
    <t>DE</t>
  </si>
  <si>
    <t>1 if SF = 11 or 12, else 0</t>
  </si>
  <si>
    <t>CR_ind</t>
  </si>
  <si>
    <t>{1, 2, 3, 4}</t>
  </si>
  <si>
    <t>CR</t>
  </si>
  <si>
    <t>control</t>
  </si>
  <si>
    <t>T_Symbol</t>
  </si>
  <si>
    <t>B</t>
  </si>
  <si>
    <t>Bandwidth 125 kHz</t>
  </si>
  <si>
    <t>T_ON</t>
  </si>
  <si>
    <t>Packet transmission time</t>
  </si>
  <si>
    <t>full frames</t>
  </si>
  <si>
    <t>partial</t>
  </si>
  <si>
    <t>n_payload_helper</t>
  </si>
  <si>
    <t>Header enabled/disabled</t>
  </si>
  <si>
    <t>Payload CRC enabled/disabled</t>
  </si>
  <si>
    <t>Spreading factor</t>
  </si>
  <si>
    <t>On air time:</t>
  </si>
  <si>
    <t>Bitrate:</t>
  </si>
  <si>
    <t>Rb</t>
  </si>
  <si>
    <t>bps</t>
  </si>
  <si>
    <t>ext frame rbs old</t>
  </si>
  <si>
    <t>APP payload - min PSDU size / 8 = additional bytes</t>
  </si>
  <si>
    <t>PHY Payload</t>
  </si>
  <si>
    <t>MAC-layer data rate</t>
  </si>
  <si>
    <t>L2-payload / T_ON</t>
  </si>
  <si>
    <t>Profile 1a</t>
  </si>
  <si>
    <t>Profile 1b</t>
  </si>
  <si>
    <t>P1U</t>
  </si>
  <si>
    <t>P2U</t>
  </si>
  <si>
    <t>P1aL</t>
  </si>
  <si>
    <t>P1bL</t>
  </si>
  <si>
    <t>PSM</t>
  </si>
  <si>
    <t>TX</t>
  </si>
  <si>
    <t>RX</t>
  </si>
  <si>
    <t>Idle</t>
  </si>
  <si>
    <t>Data sources</t>
  </si>
  <si>
    <t>Current consumption averages</t>
  </si>
  <si>
    <t>UL Gap</t>
  </si>
  <si>
    <t>ToA:</t>
  </si>
  <si>
    <t>kHz</t>
  </si>
  <si>
    <t>SCS</t>
  </si>
  <si>
    <t>Subcarrier spacing</t>
  </si>
  <si>
    <t>No. Subcarriers</t>
  </si>
  <si>
    <t>N_SC</t>
  </si>
  <si>
    <t>T_RU</t>
  </si>
  <si>
    <t>P1a</t>
  </si>
  <si>
    <t>P1b</t>
  </si>
  <si>
    <t>P2</t>
  </si>
  <si>
    <t>PCDP PDU</t>
  </si>
  <si>
    <t>I_MCS</t>
  </si>
  <si>
    <t xml:space="preserve">A-PLD + CoAP + DTLS + UDP + IP - ROHC + PDCP </t>
  </si>
  <si>
    <t>L3 PLD</t>
  </si>
  <si>
    <t>App. PLD</t>
  </si>
  <si>
    <t>N/A</t>
  </si>
  <si>
    <t>1000 + 4 + 13 + 8 + 20 - 26 + 1</t>
  </si>
  <si>
    <t>RLC segments</t>
  </si>
  <si>
    <t>From link budget calc</t>
  </si>
  <si>
    <t>RLC Seg helper</t>
  </si>
  <si>
    <t>N_SEG</t>
  </si>
  <si>
    <t>N_RU</t>
  </si>
  <si>
    <t>No. RUs</t>
  </si>
  <si>
    <t>Bits in last seg.</t>
  </si>
  <si>
    <t>(2 + 2) * 8 = 32</t>
  </si>
  <si>
    <t>P1a:</t>
  </si>
  <si>
    <t>P1b:</t>
  </si>
  <si>
    <t>P2:</t>
  </si>
  <si>
    <t>N_SEG_ceil</t>
  </si>
  <si>
    <t>old</t>
  </si>
  <si>
    <t>Chosen SCS</t>
  </si>
  <si>
    <t>Chosen N_SC</t>
  </si>
  <si>
    <t>Resulting T_RU</t>
  </si>
  <si>
    <t>SNR_reqd for combination</t>
  </si>
  <si>
    <t>Chosen I_MCS / N_RU</t>
  </si>
  <si>
    <t>I_MCS = 13</t>
  </si>
  <si>
    <t>N_RU = 5</t>
  </si>
  <si>
    <t xml:space="preserve"> =&gt;</t>
  </si>
  <si>
    <t>N_SEG = 7</t>
  </si>
  <si>
    <t>N_RU = 4</t>
  </si>
  <si>
    <t>N_SEG = 1</t>
  </si>
  <si>
    <t>scheduling + (n)ack</t>
  </si>
  <si>
    <t>Total time</t>
  </si>
  <si>
    <t>Signaling overhead to get connected:</t>
  </si>
  <si>
    <t>Seg RX time</t>
  </si>
  <si>
    <t>RX seg</t>
  </si>
  <si>
    <t>Seg TX time</t>
  </si>
  <si>
    <t>TX seg</t>
  </si>
  <si>
    <t>Duty cycle:</t>
  </si>
  <si>
    <t>Sub-carriers EU</t>
  </si>
  <si>
    <t>Sub-carriers US</t>
  </si>
  <si>
    <t>1b</t>
  </si>
  <si>
    <t>1a</t>
  </si>
  <si>
    <t>Full-frame</t>
  </si>
  <si>
    <t>https://arxiv.org/ftp/arxiv/papers/1812/1812.00031.pdf</t>
  </si>
  <si>
    <t>Table 3</t>
  </si>
  <si>
    <t>From:</t>
  </si>
  <si>
    <t>US DC period (per Sub-channel)</t>
  </si>
  <si>
    <t>EU DC period (per Band)</t>
  </si>
  <si>
    <t>Ch</t>
  </si>
  <si>
    <t>Packet</t>
  </si>
  <si>
    <t>DC limit EU</t>
  </si>
  <si>
    <t>DC limit US</t>
  </si>
  <si>
    <t>T_WAIT</t>
  </si>
  <si>
    <t>After curr. packet:
T_OFF</t>
  </si>
  <si>
    <t>W</t>
  </si>
  <si>
    <t>Link Budget</t>
  </si>
  <si>
    <t>Time on-Air</t>
  </si>
  <si>
    <t>Energy consumption per message</t>
  </si>
  <si>
    <t>Cost</t>
  </si>
  <si>
    <t>2 basestations</t>
  </si>
  <si>
    <t>100 end devices</t>
  </si>
  <si>
    <t>Battery lifetime estimation</t>
  </si>
  <si>
    <t>not applicable</t>
  </si>
  <si>
    <t>SF7</t>
  </si>
  <si>
    <t>8 Channels, BW 125 kHz, EU865-868 &amp; EU870-875.6 MHz – DC 1 %</t>
  </si>
  <si>
    <t>Strictest</t>
  </si>
  <si>
    <t>NOK</t>
  </si>
  <si>
    <t>OK</t>
  </si>
  <si>
    <t>1000m OK/NOK ?</t>
  </si>
  <si>
    <t>Duty Cycle limit against message interval</t>
  </si>
  <si>
    <t xml:space="preserve"> + max. Distance (km)</t>
  </si>
  <si>
    <t>bytes</t>
  </si>
  <si>
    <t>Ack</t>
  </si>
  <si>
    <t>See Jupyter notebook</t>
  </si>
  <si>
    <t>T_RX</t>
  </si>
  <si>
    <t>ACK</t>
  </si>
  <si>
    <t>Frames</t>
  </si>
  <si>
    <t>ACK Frames</t>
  </si>
  <si>
    <t>UPLINK &amp; DOWNLINK ACK</t>
  </si>
  <si>
    <t>DL ACK on-air (Core-frames)</t>
  </si>
  <si>
    <t>UL Core-frame on-air time</t>
  </si>
  <si>
    <t>UL Ext RB on-air time</t>
  </si>
  <si>
    <t>DL Core-frame on-air time</t>
  </si>
  <si>
    <t>UL Total on-air of full RF</t>
  </si>
  <si>
    <t>Idle time (drx-stuff):</t>
  </si>
  <si>
    <t>Max MAC-layer rate (kbps)</t>
  </si>
  <si>
    <t>Coverage</t>
  </si>
  <si>
    <t>Msg Interval</t>
  </si>
  <si>
    <t>Throughput</t>
  </si>
  <si>
    <t>Reliability</t>
  </si>
  <si>
    <t>Energy Consumption</t>
  </si>
  <si>
    <t>High</t>
  </si>
  <si>
    <t>Medium</t>
  </si>
  <si>
    <t>Low</t>
  </si>
  <si>
    <t>Costs</t>
  </si>
  <si>
    <t>Symbol duration</t>
  </si>
  <si>
    <t>Avg. no. syms. btwn RBs</t>
  </si>
  <si>
    <t>Total msg time</t>
  </si>
  <si>
    <t>Total Time btwn RBs</t>
  </si>
  <si>
    <t>T_Idle</t>
  </si>
  <si>
    <t>UL-DL Gap Time</t>
  </si>
  <si>
    <t>T_TX</t>
  </si>
  <si>
    <t>UL-DL Gap symbols</t>
  </si>
  <si>
    <t>Total Time Idle</t>
  </si>
  <si>
    <t>Avg. time btwn RBs</t>
  </si>
  <si>
    <t>Sleep time</t>
  </si>
  <si>
    <t>interval</t>
  </si>
  <si>
    <t>NA</t>
  </si>
  <si>
    <t>T_Sleep</t>
  </si>
  <si>
    <t xml:space="preserve">  -32 because T_RB,avg is calculated from center of one RB to the center of next = 16 + 16 symbols</t>
  </si>
  <si>
    <t>NA = Message too long for interval</t>
  </si>
  <si>
    <t>RECEIVE_DELAY1</t>
  </si>
  <si>
    <t>Transmission event:</t>
  </si>
  <si>
    <t>RRC</t>
  </si>
  <si>
    <t>Connected</t>
  </si>
  <si>
    <t>TAU T3412</t>
  </si>
  <si>
    <t>Active Timer T3324</t>
  </si>
  <si>
    <t>Inactivity Timer</t>
  </si>
  <si>
    <t>C-DRX Cycle</t>
  </si>
  <si>
    <t>C-DRX PO</t>
  </si>
  <si>
    <t>I-DRX Cycle</t>
  </si>
  <si>
    <t>PTW timer</t>
  </si>
  <si>
    <t>I-DRX PO</t>
  </si>
  <si>
    <t>3100 ms</t>
  </si>
  <si>
    <t>100 ms</t>
  </si>
  <si>
    <t>6100 ms</t>
  </si>
  <si>
    <t>9100 ms</t>
  </si>
  <si>
    <t>12100 ms</t>
  </si>
  <si>
    <t>15100 ms</t>
  </si>
  <si>
    <t>18100 ms</t>
  </si>
  <si>
    <t>21100 ms</t>
  </si>
  <si>
    <t>24100 ms</t>
  </si>
  <si>
    <t>27100 ms</t>
  </si>
  <si>
    <t>30100 ms</t>
  </si>
  <si>
    <t>33100 ms</t>
  </si>
  <si>
    <t>36100 ms</t>
  </si>
  <si>
    <t>39100 ms</t>
  </si>
  <si>
    <t>42100 ms</t>
  </si>
  <si>
    <t>45100 ms</t>
  </si>
  <si>
    <t>48100 ms</t>
  </si>
  <si>
    <t>51100 ms</t>
  </si>
  <si>
    <t>54100 ms</t>
  </si>
  <si>
    <t>57100 ms</t>
  </si>
  <si>
    <t>60100 ms</t>
  </si>
  <si>
    <t>63100 ms</t>
  </si>
  <si>
    <t>66100 ms</t>
  </si>
  <si>
    <t>69100 ms</t>
  </si>
  <si>
    <t>72100 ms</t>
  </si>
  <si>
    <t>75100 ms</t>
  </si>
  <si>
    <t>78100 ms</t>
  </si>
  <si>
    <t>120100 ms</t>
  </si>
  <si>
    <t>180100 ms</t>
  </si>
  <si>
    <t>600100 ms</t>
  </si>
  <si>
    <t>kpbs</t>
  </si>
  <si>
    <t xml:space="preserve"> P1b</t>
  </si>
  <si>
    <t xml:space="preserve"> P2</t>
  </si>
  <si>
    <t>T_Idle_alt</t>
  </si>
  <si>
    <t>T_Sleep_PSM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</si>
</sst>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#,##0\ &quot;€&quot;;[Red]\-#,##0\ &quot;€&quot;"/>
    <numFmt numFmtId="8" formatCode="#,##0.00\ &quot;€&quot;;[Red]\-#,##0.00\ &quot;€&quot;"/>
    <numFmt numFmtId="164" formatCode="0.0"/>
    <numFmt numFmtId="165" formatCode="#,##0.00\ &quot;€&quot;"/>
    <numFmt numFmtId="166" formatCode="#,##0\ &quot;€&quot;"/>
    <numFmt numFmtId="167" formatCode="#,##0.0\ &quot;€&quot;"/>
    <numFmt numFmtId="168" formatCode="0.000%"/>
    <numFmt numFmtId="169" formatCode="0.000"/>
    <numFmt numFmtId="170" formatCode="0.000000"/>
    <numFmt numFmtId="171" formatCode="0.0000"/>
    <numFmt numFmtId="172" formatCode="0.000000000"/>
  </numFmts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theme="2"/>
      <name val="Arial"/>
      <family val="2"/>
    </font>
    <font>
      <sz val="10"/>
      <color rgb="FF9C0006"/>
      <name val="Arial"/>
      <family val="2"/>
    </font>
    <font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0"/>
      <color rgb="FF9C0006"/>
      <name val="Arial"/>
      <family val="2"/>
    </font>
    <font>
      <strike/>
      <sz val="10"/>
      <color rgb="FF0061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4" fillId="0" borderId="0"/>
    <xf numFmtId="0" fontId="23" fillId="8" borderId="0" applyNumberFormat="0" applyBorder="0" applyAlignment="0" applyProtection="0"/>
  </cellStyleXfs>
  <cellXfs count="272">
    <xf numFmtId="0" fontId="0" fillId="0" borderId="0" xfId="0"/>
    <xf numFmtId="0" fontId="6" fillId="0" borderId="0" xfId="1" applyFont="1"/>
    <xf numFmtId="0" fontId="7" fillId="0" borderId="1" xfId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164" fontId="6" fillId="2" borderId="8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164" fontId="6" fillId="3" borderId="8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2" fontId="6" fillId="3" borderId="8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left" vertical="top"/>
    </xf>
    <xf numFmtId="164" fontId="6" fillId="3" borderId="2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0" fillId="0" borderId="0" xfId="2" applyFont="1"/>
    <xf numFmtId="164" fontId="6" fillId="0" borderId="1" xfId="1" applyNumberFormat="1" applyFont="1" applyBorder="1" applyAlignment="1">
      <alignment horizontal="center" vertical="top"/>
    </xf>
    <xf numFmtId="164" fontId="6" fillId="0" borderId="11" xfId="1" applyNumberFormat="1" applyFont="1" applyBorder="1" applyAlignment="1">
      <alignment horizontal="center" vertical="top"/>
    </xf>
    <xf numFmtId="0" fontId="6" fillId="0" borderId="12" xfId="1" applyFont="1" applyBorder="1" applyAlignment="1">
      <alignment horizontal="center" vertical="top"/>
    </xf>
    <xf numFmtId="0" fontId="6" fillId="0" borderId="13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6" fontId="9" fillId="0" borderId="21" xfId="0" applyNumberFormat="1" applyFont="1" applyBorder="1" applyAlignment="1">
      <alignment horizontal="center" vertical="center" wrapText="1"/>
    </xf>
    <xf numFmtId="8" fontId="9" fillId="0" borderId="21" xfId="0" applyNumberFormat="1" applyFont="1" applyBorder="1" applyAlignment="1">
      <alignment horizontal="center" vertical="center" wrapText="1"/>
    </xf>
    <xf numFmtId="166" fontId="9" fillId="0" borderId="21" xfId="0" applyNumberFormat="1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left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6" fontId="9" fillId="5" borderId="21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0" xfId="0" applyFont="1" applyFill="1" applyBorder="1" applyAlignment="1">
      <alignment horizontal="left" vertical="center" wrapText="1"/>
    </xf>
    <xf numFmtId="164" fontId="6" fillId="0" borderId="8" xfId="1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5" borderId="12" xfId="0" applyFill="1" applyBorder="1"/>
    <xf numFmtId="0" fontId="0" fillId="4" borderId="12" xfId="0" applyFill="1" applyBorder="1"/>
    <xf numFmtId="0" fontId="0" fillId="2" borderId="12" xfId="0" applyFill="1" applyBorder="1"/>
    <xf numFmtId="0" fontId="0" fillId="3" borderId="12" xfId="0" applyFill="1" applyBorder="1"/>
    <xf numFmtId="0" fontId="0" fillId="6" borderId="27" xfId="0" applyFill="1" applyBorder="1"/>
    <xf numFmtId="0" fontId="0" fillId="0" borderId="28" xfId="0" applyBorder="1"/>
    <xf numFmtId="0" fontId="0" fillId="0" borderId="0" xfId="0" applyBorder="1"/>
    <xf numFmtId="0" fontId="0" fillId="0" borderId="29" xfId="0" applyBorder="1" applyAlignment="1"/>
    <xf numFmtId="0" fontId="0" fillId="0" borderId="37" xfId="0" applyBorder="1" applyAlignment="1"/>
    <xf numFmtId="0" fontId="0" fillId="0" borderId="30" xfId="0" applyBorder="1" applyAlignment="1"/>
    <xf numFmtId="0" fontId="0" fillId="0" borderId="5" xfId="0" applyBorder="1"/>
    <xf numFmtId="166" fontId="0" fillId="5" borderId="11" xfId="0" applyNumberFormat="1" applyFill="1" applyBorder="1"/>
    <xf numFmtId="166" fontId="0" fillId="4" borderId="11" xfId="0" applyNumberFormat="1" applyFill="1" applyBorder="1"/>
    <xf numFmtId="166" fontId="0" fillId="2" borderId="11" xfId="0" applyNumberFormat="1" applyFill="1" applyBorder="1"/>
    <xf numFmtId="166" fontId="0" fillId="3" borderId="11" xfId="0" applyNumberFormat="1" applyFill="1" applyBorder="1"/>
    <xf numFmtId="166" fontId="0" fillId="6" borderId="26" xfId="0" applyNumberFormat="1" applyFill="1" applyBorder="1"/>
    <xf numFmtId="166" fontId="0" fillId="0" borderId="6" xfId="0" applyNumberFormat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6" borderId="15" xfId="0" applyNumberFormat="1" applyFill="1" applyBorder="1"/>
    <xf numFmtId="166" fontId="0" fillId="5" borderId="12" xfId="0" applyNumberFormat="1" applyFill="1" applyBorder="1"/>
    <xf numFmtId="166" fontId="0" fillId="4" borderId="12" xfId="0" applyNumberFormat="1" applyFill="1" applyBorder="1"/>
    <xf numFmtId="166" fontId="0" fillId="2" borderId="12" xfId="0" applyNumberFormat="1" applyFill="1" applyBorder="1"/>
    <xf numFmtId="166" fontId="0" fillId="3" borderId="12" xfId="0" applyNumberFormat="1" applyFill="1" applyBorder="1"/>
    <xf numFmtId="166" fontId="0" fillId="6" borderId="27" xfId="0" applyNumberFormat="1" applyFill="1" applyBorder="1"/>
    <xf numFmtId="166" fontId="0" fillId="0" borderId="34" xfId="0" applyNumberFormat="1" applyBorder="1"/>
    <xf numFmtId="166" fontId="0" fillId="0" borderId="28" xfId="0" applyNumberFormat="1" applyBorder="1"/>
    <xf numFmtId="1" fontId="0" fillId="0" borderId="0" xfId="0" applyNumberFormat="1"/>
    <xf numFmtId="0" fontId="7" fillId="0" borderId="1" xfId="1" applyFont="1" applyBorder="1" applyAlignment="1">
      <alignment horizontal="center" vertical="top"/>
    </xf>
    <xf numFmtId="0" fontId="9" fillId="0" borderId="18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4"/>
    <xf numFmtId="164" fontId="4" fillId="0" borderId="0" xfId="4" applyNumberFormat="1"/>
    <xf numFmtId="164" fontId="16" fillId="0" borderId="0" xfId="0" applyNumberFormat="1" applyFont="1" applyAlignment="1">
      <alignment horizontal="left" vertical="center"/>
    </xf>
    <xf numFmtId="164" fontId="6" fillId="0" borderId="0" xfId="4" applyNumberFormat="1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/>
    <xf numFmtId="169" fontId="0" fillId="0" borderId="0" xfId="0" applyNumberFormat="1"/>
    <xf numFmtId="164" fontId="0" fillId="0" borderId="0" xfId="0" applyNumberFormat="1"/>
    <xf numFmtId="164" fontId="6" fillId="0" borderId="14" xfId="1" applyNumberFormat="1" applyFont="1" applyBorder="1" applyAlignment="1">
      <alignment horizontal="center" vertical="top"/>
    </xf>
    <xf numFmtId="164" fontId="6" fillId="0" borderId="16" xfId="1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164" fontId="6" fillId="0" borderId="0" xfId="0" applyNumberFormat="1" applyFont="1"/>
    <xf numFmtId="0" fontId="19" fillId="0" borderId="0" xfId="0" applyFont="1" applyAlignment="1">
      <alignment vertical="top" wrapText="1"/>
    </xf>
    <xf numFmtId="0" fontId="6" fillId="0" borderId="0" xfId="0" applyFont="1" applyAlignment="1">
      <alignment horizontal="right" vertical="center" wrapText="1"/>
    </xf>
    <xf numFmtId="0" fontId="20" fillId="0" borderId="0" xfId="0" applyFont="1"/>
    <xf numFmtId="2" fontId="0" fillId="0" borderId="0" xfId="0" applyNumberFormat="1"/>
    <xf numFmtId="4" fontId="0" fillId="0" borderId="0" xfId="0" applyNumberFormat="1"/>
    <xf numFmtId="0" fontId="7" fillId="0" borderId="3" xfId="1" applyFont="1" applyBorder="1" applyAlignment="1">
      <alignment vertical="top"/>
    </xf>
    <xf numFmtId="0" fontId="7" fillId="0" borderId="8" xfId="1" applyFont="1" applyBorder="1" applyAlignment="1">
      <alignment vertical="top"/>
    </xf>
    <xf numFmtId="0" fontId="6" fillId="0" borderId="9" xfId="1" applyFont="1" applyBorder="1" applyAlignment="1">
      <alignment horizontal="right" vertical="top"/>
    </xf>
    <xf numFmtId="0" fontId="6" fillId="0" borderId="10" xfId="1" applyFont="1" applyBorder="1" applyAlignment="1">
      <alignment horizontal="right" vertical="top"/>
    </xf>
    <xf numFmtId="164" fontId="6" fillId="0" borderId="7" xfId="0" applyNumberFormat="1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6" fillId="3" borderId="8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21" fillId="0" borderId="0" xfId="4" applyFont="1"/>
    <xf numFmtId="0" fontId="4" fillId="0" borderId="24" xfId="4" applyBorder="1"/>
    <xf numFmtId="0" fontId="4" fillId="0" borderId="0" xfId="4" applyBorder="1"/>
    <xf numFmtId="0" fontId="4" fillId="0" borderId="38" xfId="4" applyBorder="1"/>
    <xf numFmtId="0" fontId="4" fillId="0" borderId="39" xfId="4" applyBorder="1"/>
    <xf numFmtId="0" fontId="4" fillId="0" borderId="40" xfId="4" applyBorder="1"/>
    <xf numFmtId="0" fontId="4" fillId="0" borderId="41" xfId="4" applyBorder="1"/>
    <xf numFmtId="0" fontId="4" fillId="0" borderId="5" xfId="4" applyBorder="1"/>
    <xf numFmtId="0" fontId="4" fillId="0" borderId="10" xfId="4" applyBorder="1"/>
    <xf numFmtId="0" fontId="4" fillId="0" borderId="6" xfId="4" applyBorder="1"/>
    <xf numFmtId="0" fontId="4" fillId="0" borderId="25" xfId="4" applyBorder="1"/>
    <xf numFmtId="0" fontId="4" fillId="0" borderId="0" xfId="4" applyAlignment="1">
      <alignment horizontal="right"/>
    </xf>
    <xf numFmtId="0" fontId="15" fillId="0" borderId="0" xfId="4" applyFont="1"/>
    <xf numFmtId="0" fontId="22" fillId="0" borderId="0" xfId="4" applyFont="1"/>
    <xf numFmtId="0" fontId="14" fillId="7" borderId="0" xfId="3"/>
    <xf numFmtId="0" fontId="5" fillId="0" borderId="0" xfId="1"/>
    <xf numFmtId="0" fontId="22" fillId="0" borderId="0" xfId="1" applyFont="1"/>
    <xf numFmtId="0" fontId="4" fillId="0" borderId="43" xfId="4" applyBorder="1"/>
    <xf numFmtId="0" fontId="4" fillId="0" borderId="11" xfId="4" applyBorder="1"/>
    <xf numFmtId="0" fontId="4" fillId="0" borderId="42" xfId="4" applyBorder="1"/>
    <xf numFmtId="0" fontId="5" fillId="0" borderId="42" xfId="1" applyBorder="1"/>
    <xf numFmtId="0" fontId="3" fillId="0" borderId="0" xfId="4" applyFont="1"/>
    <xf numFmtId="170" fontId="0" fillId="0" borderId="0" xfId="0" applyNumberFormat="1"/>
    <xf numFmtId="171" fontId="0" fillId="0" borderId="0" xfId="0" applyNumberFormat="1"/>
    <xf numFmtId="0" fontId="0" fillId="0" borderId="37" xfId="0" applyBorder="1"/>
    <xf numFmtId="0" fontId="0" fillId="0" borderId="21" xfId="0" applyBorder="1"/>
    <xf numFmtId="0" fontId="0" fillId="0" borderId="38" xfId="0" applyBorder="1"/>
    <xf numFmtId="0" fontId="0" fillId="0" borderId="40" xfId="0" applyBorder="1"/>
    <xf numFmtId="0" fontId="0" fillId="0" borderId="44" xfId="0" applyBorder="1"/>
    <xf numFmtId="0" fontId="0" fillId="0" borderId="45" xfId="0" applyBorder="1"/>
    <xf numFmtId="6" fontId="0" fillId="0" borderId="44" xfId="0" applyNumberFormat="1" applyBorder="1"/>
    <xf numFmtId="6" fontId="0" fillId="0" borderId="0" xfId="0" applyNumberFormat="1" applyBorder="1"/>
    <xf numFmtId="6" fontId="0" fillId="0" borderId="5" xfId="0" applyNumberFormat="1" applyBorder="1"/>
    <xf numFmtId="0" fontId="0" fillId="0" borderId="29" xfId="0" applyBorder="1"/>
    <xf numFmtId="0" fontId="0" fillId="0" borderId="24" xfId="0" applyBorder="1"/>
    <xf numFmtId="0" fontId="0" fillId="0" borderId="31" xfId="0" applyBorder="1"/>
    <xf numFmtId="0" fontId="0" fillId="0" borderId="10" xfId="0" applyBorder="1"/>
    <xf numFmtId="0" fontId="0" fillId="0" borderId="37" xfId="0" applyBorder="1" applyAlignment="1">
      <alignment vertical="center"/>
    </xf>
    <xf numFmtId="0" fontId="0" fillId="9" borderId="44" xfId="0" applyFill="1" applyBorder="1"/>
    <xf numFmtId="0" fontId="0" fillId="9" borderId="0" xfId="0" applyFill="1"/>
    <xf numFmtId="0" fontId="13" fillId="0" borderId="44" xfId="0" applyFont="1" applyBorder="1"/>
    <xf numFmtId="0" fontId="13" fillId="9" borderId="44" xfId="0" applyFont="1" applyFill="1" applyBorder="1"/>
    <xf numFmtId="0" fontId="13" fillId="9" borderId="0" xfId="0" applyFont="1" applyFill="1"/>
    <xf numFmtId="0" fontId="13" fillId="0" borderId="0" xfId="0" applyFont="1"/>
    <xf numFmtId="0" fontId="13" fillId="0" borderId="37" xfId="0" applyFont="1" applyBorder="1"/>
    <xf numFmtId="0" fontId="13" fillId="0" borderId="29" xfId="0" applyFont="1" applyBorder="1"/>
    <xf numFmtId="0" fontId="24" fillId="0" borderId="0" xfId="0" applyFont="1"/>
    <xf numFmtId="0" fontId="25" fillId="0" borderId="0" xfId="0" applyFont="1"/>
    <xf numFmtId="0" fontId="18" fillId="0" borderId="38" xfId="0" applyFont="1" applyBorder="1"/>
    <xf numFmtId="0" fontId="18" fillId="0" borderId="24" xfId="0" applyFont="1" applyBorder="1"/>
    <xf numFmtId="0" fontId="18" fillId="0" borderId="37" xfId="0" applyFont="1" applyBorder="1"/>
    <xf numFmtId="0" fontId="18" fillId="0" borderId="21" xfId="0" applyFont="1" applyBorder="1"/>
    <xf numFmtId="0" fontId="18" fillId="0" borderId="29" xfId="0" applyFont="1" applyBorder="1"/>
    <xf numFmtId="0" fontId="0" fillId="2" borderId="24" xfId="0" applyFill="1" applyBorder="1"/>
    <xf numFmtId="0" fontId="0" fillId="2" borderId="10" xfId="0" applyFill="1" applyBorder="1"/>
    <xf numFmtId="0" fontId="0" fillId="2" borderId="29" xfId="0" applyFill="1" applyBorder="1"/>
    <xf numFmtId="0" fontId="0" fillId="3" borderId="31" xfId="0" applyFill="1" applyBorder="1"/>
    <xf numFmtId="0" fontId="0" fillId="3" borderId="24" xfId="0" applyFill="1" applyBorder="1"/>
    <xf numFmtId="0" fontId="0" fillId="3" borderId="10" xfId="0" applyFill="1" applyBorder="1"/>
    <xf numFmtId="0" fontId="0" fillId="2" borderId="0" xfId="0" applyFill="1"/>
    <xf numFmtId="0" fontId="28" fillId="0" borderId="0" xfId="0" applyFont="1"/>
    <xf numFmtId="10" fontId="28" fillId="0" borderId="0" xfId="0" applyNumberFormat="1" applyFont="1"/>
    <xf numFmtId="10" fontId="29" fillId="8" borderId="0" xfId="5" applyNumberFormat="1" applyFont="1"/>
    <xf numFmtId="10" fontId="30" fillId="7" borderId="0" xfId="3" applyNumberFormat="1" applyFont="1"/>
    <xf numFmtId="0" fontId="17" fillId="0" borderId="0" xfId="0" applyFont="1"/>
    <xf numFmtId="0" fontId="31" fillId="0" borderId="0" xfId="0" applyFont="1"/>
    <xf numFmtId="2" fontId="18" fillId="0" borderId="0" xfId="0" applyNumberFormat="1" applyFont="1"/>
    <xf numFmtId="2" fontId="24" fillId="0" borderId="0" xfId="0" applyNumberFormat="1" applyFont="1"/>
    <xf numFmtId="2" fontId="0" fillId="0" borderId="29" xfId="0" applyNumberFormat="1" applyBorder="1"/>
    <xf numFmtId="0" fontId="0" fillId="0" borderId="37" xfId="0" applyFill="1" applyBorder="1"/>
    <xf numFmtId="0" fontId="13" fillId="0" borderId="37" xfId="0" applyFont="1" applyFill="1" applyBorder="1"/>
    <xf numFmtId="0" fontId="32" fillId="0" borderId="0" xfId="0" applyFont="1"/>
    <xf numFmtId="0" fontId="33" fillId="0" borderId="0" xfId="0" applyFont="1"/>
    <xf numFmtId="1" fontId="20" fillId="0" borderId="0" xfId="0" applyNumberFormat="1" applyFont="1"/>
    <xf numFmtId="1" fontId="13" fillId="0" borderId="0" xfId="0" applyNumberFormat="1" applyFont="1"/>
    <xf numFmtId="0" fontId="2" fillId="0" borderId="0" xfId="4" applyFont="1"/>
    <xf numFmtId="0" fontId="4" fillId="10" borderId="0" xfId="4" applyFill="1"/>
    <xf numFmtId="0" fontId="4" fillId="11" borderId="0" xfId="4" applyFill="1"/>
    <xf numFmtId="0" fontId="4" fillId="12" borderId="0" xfId="4" applyFill="1"/>
    <xf numFmtId="0" fontId="4" fillId="0" borderId="0" xfId="4" applyFill="1"/>
    <xf numFmtId="0" fontId="2" fillId="10" borderId="0" xfId="4" applyFont="1" applyFill="1"/>
    <xf numFmtId="0" fontId="2" fillId="13" borderId="0" xfId="4" applyFont="1" applyFill="1"/>
    <xf numFmtId="172" fontId="0" fillId="0" borderId="0" xfId="0" applyNumberFormat="1"/>
    <xf numFmtId="0" fontId="1" fillId="0" borderId="0" xfId="4" applyFont="1"/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1" applyFont="1" applyBorder="1" applyAlignment="1">
      <alignment horizontal="left" vertical="top"/>
    </xf>
    <xf numFmtId="0" fontId="7" fillId="0" borderId="12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3" borderId="8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7" fillId="0" borderId="8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7" fillId="0" borderId="3" xfId="1" applyFont="1" applyBorder="1" applyAlignment="1">
      <alignment horizontal="center" vertical="top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0" borderId="23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6" fontId="0" fillId="0" borderId="9" xfId="0" applyNumberFormat="1" applyBorder="1" applyAlignment="1">
      <alignment horizontal="right" vertical="center"/>
    </xf>
    <xf numFmtId="6" fontId="0" fillId="0" borderId="24" xfId="0" applyNumberFormat="1" applyBorder="1" applyAlignment="1">
      <alignment horizontal="right" vertical="center"/>
    </xf>
    <xf numFmtId="6" fontId="0" fillId="0" borderId="10" xfId="0" applyNumberFormat="1" applyBorder="1" applyAlignment="1">
      <alignment horizontal="right" vertical="center"/>
    </xf>
    <xf numFmtId="6" fontId="0" fillId="0" borderId="9" xfId="0" applyNumberFormat="1" applyBorder="1" applyAlignment="1">
      <alignment horizontal="center" vertical="center"/>
    </xf>
    <xf numFmtId="6" fontId="0" fillId="0" borderId="24" xfId="0" applyNumberFormat="1" applyBorder="1" applyAlignment="1">
      <alignment horizontal="center" vertical="center"/>
    </xf>
    <xf numFmtId="6" fontId="0" fillId="0" borderId="29" xfId="0" applyNumberFormat="1" applyBorder="1" applyAlignment="1">
      <alignment horizontal="center" vertical="center"/>
    </xf>
    <xf numFmtId="6" fontId="0" fillId="0" borderId="2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2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4" applyAlignment="1">
      <alignment horizontal="center" vertical="center"/>
    </xf>
  </cellXfs>
  <cellStyles count="6">
    <cellStyle name="Bad" xfId="5" builtinId="27"/>
    <cellStyle name="Good" xfId="3" builtinId="26"/>
    <cellStyle name="Hyperlink" xfId="2" builtinId="8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Costs1!$F$56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Costs1!$F$57:$F$68</c15:sqref>
                  </c15:fullRef>
                </c:ext>
              </c:extLst>
              <c:f>Costs1!$F$57:$F$64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1-4478-9BB0-0D3C370C7411}"/>
            </c:ext>
          </c:extLst>
        </c:ser>
        <c:ser>
          <c:idx val="4"/>
          <c:order val="3"/>
          <c:tx>
            <c:strRef>
              <c:f>Costs1!$I$56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Costs1!$I$57:$I$68</c15:sqref>
                  </c15:fullRef>
                </c:ext>
              </c:extLst>
              <c:f>Costs1!$I$57:$I$64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1-4478-9BB0-0D3C370C7411}"/>
            </c:ext>
          </c:extLst>
        </c:ser>
        <c:ser>
          <c:idx val="3"/>
          <c:order val="4"/>
          <c:tx>
            <c:strRef>
              <c:f>Costs1!$H$56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041-4478-9BB0-0D3C370C7411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041-4478-9BB0-0D3C370C7411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Costs1!$H$57:$H$68</c15:sqref>
                  </c15:fullRef>
                </c:ext>
              </c:extLst>
              <c:f>Costs1!$H$57:$H$64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1-4478-9BB0-0D3C370C74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Costs1!$J$56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Costs1!$A$57:$E$68</c15:sqref>
                        </c15:fullRef>
                        <c15:formulaRef>
                          <c15:sqref>Costs1!$A$57:$E$64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Costs1!$J$57:$J$68</c15:sqref>
                        </c15:fullRef>
                        <c15:formulaRef>
                          <c15:sqref>Costs1!$J$57:$J$64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041-4478-9BB0-0D3C370C741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Costs1!$G$56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Costs1!$A$57:$E$68</c15:sqref>
                        </c15:fullRef>
                        <c15:formulaRef>
                          <c15:sqref>Costs1!$A$57:$E$64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Costs1!$G$57:$G$68</c15:sqref>
                        </c15:fullRef>
                        <c15:formulaRef>
                          <c15:sqref>Costs1!$G$57:$G$64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41-4478-9BB0-0D3C370C7411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Costs1!$H$56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Costs1!$H$57:$H$68</c15:sqref>
                  </c15:fullRef>
                </c:ext>
              </c:extLst>
              <c:f>Costs1!$H$65:$H$68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5A-A748-924825AB2BDE}"/>
            </c:ext>
          </c:extLst>
        </c:ser>
        <c:ser>
          <c:idx val="4"/>
          <c:order val="1"/>
          <c:tx>
            <c:strRef>
              <c:f>Costs1!$I$56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Costs1!$I$57:$I$68</c15:sqref>
                  </c15:fullRef>
                </c:ext>
              </c:extLst>
              <c:f>Costs1!$I$65:$I$68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4-475A-A748-924825AB2BDE}"/>
            </c:ext>
          </c:extLst>
        </c:ser>
        <c:ser>
          <c:idx val="1"/>
          <c:order val="2"/>
          <c:tx>
            <c:strRef>
              <c:f>Costs1!$F$56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5D4-475A-A748-924825AB2BDE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5D4-475A-A748-924825AB2BDE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5D4-475A-A748-924825AB2BDE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Costs1!$F$57:$F$68</c15:sqref>
                  </c15:fullRef>
                </c:ext>
              </c:extLst>
              <c:f>Costs1!$F$65:$F$68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5A-A748-924825AB2BDE}"/>
            </c:ext>
          </c:extLst>
        </c:ser>
        <c:ser>
          <c:idx val="2"/>
          <c:order val="3"/>
          <c:tx>
            <c:strRef>
              <c:f>Costs1!$G$56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5D4-475A-A748-924825AB2BDE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Costs1!$G$57:$G$68</c15:sqref>
                  </c15:fullRef>
                </c:ext>
              </c:extLst>
              <c:f>Costs1!$G$65:$G$68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4-475A-A748-924825AB2BDE}"/>
            </c:ext>
          </c:extLst>
        </c:ser>
        <c:ser>
          <c:idx val="5"/>
          <c:order val="4"/>
          <c:tx>
            <c:strRef>
              <c:f>Costs1!$J$56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5D4-475A-A748-924825AB2BDE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Costs1!$J$57:$J$68</c15:sqref>
                  </c15:fullRef>
                </c:ext>
              </c:extLst>
              <c:f>Costs1!$J$65:$J$68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5A-A748-924825AB2BD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Costs1!$H$56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Costs1!$H$57:$H$68</c15:sqref>
                  </c15:fullRef>
                </c:ext>
              </c:extLst>
              <c:f>Costs1!$H$65:$H$68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5-4694-95D5-EBF6AE551E96}"/>
            </c:ext>
          </c:extLst>
        </c:ser>
        <c:ser>
          <c:idx val="4"/>
          <c:order val="1"/>
          <c:tx>
            <c:strRef>
              <c:f>Costs1!$I$56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Costs1!$I$57:$I$68</c15:sqref>
                  </c15:fullRef>
                </c:ext>
              </c:extLst>
              <c:f>Costs1!$I$65:$I$68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5-4694-95D5-EBF6AE551E96}"/>
            </c:ext>
          </c:extLst>
        </c:ser>
        <c:ser>
          <c:idx val="1"/>
          <c:order val="2"/>
          <c:tx>
            <c:strRef>
              <c:f>Costs1!$F$56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Costs1!$F$57:$F$68</c15:sqref>
                  </c15:fullRef>
                </c:ext>
              </c:extLst>
              <c:f>Costs1!$F$65:$F$68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A5-4694-95D5-EBF6AE551E96}"/>
            </c:ext>
          </c:extLst>
        </c:ser>
        <c:ser>
          <c:idx val="2"/>
          <c:order val="3"/>
          <c:tx>
            <c:strRef>
              <c:f>Costs1!$G$56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397178116616453E-2"/>
                  <c:y val="-9.7612017994787734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A5-4694-95D5-EBF6AE551E96}"/>
                </c:ext>
              </c:extLst>
            </c:dLbl>
            <c:dLbl>
              <c:idx val="1"/>
              <c:layout>
                <c:manualLayout>
                  <c:x val="3.3504941134488417E-2"/>
                  <c:y val="-0.1001952670487820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FA5-4694-95D5-EBF6AE551E96}"/>
                </c:ext>
              </c:extLst>
            </c:dLbl>
            <c:dLbl>
              <c:idx val="2"/>
              <c:layout>
                <c:manualLayout>
                  <c:x val="2.004515059757635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FA5-4694-95D5-EBF6AE551E96}"/>
                </c:ext>
              </c:extLst>
            </c:dLbl>
            <c:dLbl>
              <c:idx val="3"/>
              <c:layout>
                <c:manualLayout>
                  <c:x val="2.108742613208145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A5-4694-95D5-EBF6AE551E96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Costs1!$G$57:$G$68</c15:sqref>
                  </c15:fullRef>
                </c:ext>
              </c:extLst>
              <c:f>Costs1!$G$65:$G$68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A5-4694-95D5-EBF6AE551E96}"/>
            </c:ext>
          </c:extLst>
        </c:ser>
        <c:ser>
          <c:idx val="5"/>
          <c:order val="4"/>
          <c:tx>
            <c:strRef>
              <c:f>Costs1!$J$56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618902076962246E-2"/>
                  <c:y val="6.20376814119665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FA5-4694-95D5-EBF6AE551E96}"/>
                </c:ext>
              </c:extLst>
            </c:dLbl>
            <c:dLbl>
              <c:idx val="1"/>
              <c:layout>
                <c:manualLayout>
                  <c:x val="2.1335598007905011E-2"/>
                  <c:y val="-3.84633624754192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FA5-4694-95D5-EBF6AE551E96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Costs1!$J$57:$J$68</c15:sqref>
                  </c15:fullRef>
                </c:ext>
              </c:extLst>
              <c:f>Costs1!$J$65:$J$68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A5-4694-95D5-EBF6AE551E9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Costs1!$F$56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0D-44C8-8233-932B9DE2DB42}"/>
                </c:ext>
              </c:extLst>
            </c:dLbl>
            <c:dLbl>
              <c:idx val="7"/>
              <c:layout>
                <c:manualLayout>
                  <c:x val="1.7182135233415924E-3"/>
                  <c:y val="8.6886439700903384E-4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Costs1!$F$57:$F$68</c15:sqref>
                  </c15:fullRef>
                </c:ext>
              </c:extLst>
              <c:f>Costs1!$F$57:$F$64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B-4448-8342-5E43589DDA0B}"/>
            </c:ext>
          </c:extLst>
        </c:ser>
        <c:ser>
          <c:idx val="4"/>
          <c:order val="3"/>
          <c:tx>
            <c:strRef>
              <c:f>Costs1!$I$56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Costs1!$I$57:$I$68</c15:sqref>
                  </c15:fullRef>
                </c:ext>
              </c:extLst>
              <c:f>Costs1!$I$57:$I$64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B-4448-8342-5E43589DDA0B}"/>
            </c:ext>
          </c:extLst>
        </c:ser>
        <c:ser>
          <c:idx val="3"/>
          <c:order val="4"/>
          <c:tx>
            <c:strRef>
              <c:f>Costs1!$H$56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CB-4448-8342-5E43589DDA0B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FCB-4448-8342-5E43589DDA0B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FCB-4448-8342-5E43589DDA0B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CB-4448-8342-5E43589DDA0B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FCB-4448-8342-5E43589DDA0B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FCB-4448-8342-5E43589DDA0B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FCB-4448-8342-5E43589DDA0B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CB-4448-8342-5E43589DDA0B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Costs1!$A$57:$E$68</c15:sqref>
                  </c15:fullRef>
                </c:ext>
              </c:extLst>
              <c:f>Costs1!$A$57:$E$64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Costs1!$H$57:$H$68</c15:sqref>
                  </c15:fullRef>
                </c:ext>
              </c:extLst>
              <c:f>Costs1!$H$57:$H$64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CB-4448-8342-5E43589DDA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Costs1!$J$56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Costs1!$A$57:$E$68</c15:sqref>
                        </c15:fullRef>
                        <c15:formulaRef>
                          <c15:sqref>Costs1!$A$57:$E$64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Costs1!$J$57:$J$68</c15:sqref>
                        </c15:fullRef>
                        <c15:formulaRef>
                          <c15:sqref>Costs1!$J$57:$J$64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FCB-4448-8342-5E43589DDA0B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Costs1!$G$56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Costs1!$A$57:$E$68</c15:sqref>
                        </c15:fullRef>
                        <c15:formulaRef>
                          <c15:sqref>Costs1!$A$57:$E$64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Costs1!$G$57:$G$68</c15:sqref>
                        </c15:fullRef>
                        <c15:formulaRef>
                          <c15:sqref>Costs1!$G$57:$G$64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CB-4448-8342-5E43589DDA0B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Costs2!$F$56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Costs2!$F$57:$F$68</c15:sqref>
                  </c15:fullRef>
                </c:ext>
              </c:extLst>
              <c:f>Costs2!$F$57:$F$64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4990-806D-74257F63E529}"/>
            </c:ext>
          </c:extLst>
        </c:ser>
        <c:ser>
          <c:idx val="4"/>
          <c:order val="3"/>
          <c:tx>
            <c:strRef>
              <c:f>Costs2!$I$56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Costs2!$I$57:$I$68</c15:sqref>
                  </c15:fullRef>
                </c:ext>
              </c:extLst>
              <c:f>Costs2!$I$57:$I$64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4990-806D-74257F63E529}"/>
            </c:ext>
          </c:extLst>
        </c:ser>
        <c:ser>
          <c:idx val="3"/>
          <c:order val="4"/>
          <c:tx>
            <c:strRef>
              <c:f>Costs2!$H$56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C1-4990-806D-74257F63E529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C1-4990-806D-74257F63E529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Costs2!$H$57:$H$68</c15:sqref>
                  </c15:fullRef>
                </c:ext>
              </c:extLst>
              <c:f>Costs2!$H$57:$H$64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1-4990-806D-74257F63E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Costs2!$J$56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Costs2!$A$57:$E$68</c15:sqref>
                        </c15:fullRef>
                        <c15:formulaRef>
                          <c15:sqref>Costs2!$A$57:$E$64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Costs2!$J$57:$J$68</c15:sqref>
                        </c15:fullRef>
                        <c15:formulaRef>
                          <c15:sqref>Costs2!$J$57:$J$64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4C1-4990-806D-74257F63E529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Costs2!$G$56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Costs2!$A$57:$E$68</c15:sqref>
                        </c15:fullRef>
                        <c15:formulaRef>
                          <c15:sqref>Costs2!$A$57:$E$64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Costs2!$G$57:$G$68</c15:sqref>
                        </c15:fullRef>
                        <c15:formulaRef>
                          <c15:sqref>Costs2!$G$57:$G$64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C1-4990-806D-74257F63E529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Costs2!$H$56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Costs2!$H$57:$H$68</c15:sqref>
                  </c15:fullRef>
                </c:ext>
              </c:extLst>
              <c:f>Costs2!$H$65:$H$68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9-4490-AC36-7EECC58715B5}"/>
            </c:ext>
          </c:extLst>
        </c:ser>
        <c:ser>
          <c:idx val="4"/>
          <c:order val="1"/>
          <c:tx>
            <c:strRef>
              <c:f>Costs2!$I$56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Costs2!$I$57:$I$68</c15:sqref>
                  </c15:fullRef>
                </c:ext>
              </c:extLst>
              <c:f>Costs2!$I$65:$I$68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9-4490-AC36-7EECC58715B5}"/>
            </c:ext>
          </c:extLst>
        </c:ser>
        <c:ser>
          <c:idx val="1"/>
          <c:order val="2"/>
          <c:tx>
            <c:strRef>
              <c:f>Costs2!$F$56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B9-4490-AC36-7EECC58715B5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B9-4490-AC36-7EECC58715B5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B9-4490-AC36-7EECC58715B5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Costs2!$F$57:$F$68</c15:sqref>
                  </c15:fullRef>
                </c:ext>
              </c:extLst>
              <c:f>Costs2!$F$65:$F$68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B9-4490-AC36-7EECC58715B5}"/>
            </c:ext>
          </c:extLst>
        </c:ser>
        <c:ser>
          <c:idx val="2"/>
          <c:order val="3"/>
          <c:tx>
            <c:strRef>
              <c:f>Costs2!$G$56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B9-4490-AC36-7EECC58715B5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Costs2!$G$57:$G$68</c15:sqref>
                  </c15:fullRef>
                </c:ext>
              </c:extLst>
              <c:f>Costs2!$G$65:$G$68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B9-4490-AC36-7EECC58715B5}"/>
            </c:ext>
          </c:extLst>
        </c:ser>
        <c:ser>
          <c:idx val="5"/>
          <c:order val="4"/>
          <c:tx>
            <c:strRef>
              <c:f>Costs2!$J$56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B9-4490-AC36-7EECC58715B5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Costs2!$J$57:$J$68</c15:sqref>
                  </c15:fullRef>
                </c:ext>
              </c:extLst>
              <c:f>Costs2!$J$65:$J$68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B9-4490-AC36-7EECC58715B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Costs2!$H$56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Costs2!$H$57:$H$68</c15:sqref>
                  </c15:fullRef>
                </c:ext>
              </c:extLst>
              <c:f>Costs2!$H$65:$H$68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E-4198-BA0E-478AF2F1EAEA}"/>
            </c:ext>
          </c:extLst>
        </c:ser>
        <c:ser>
          <c:idx val="4"/>
          <c:order val="1"/>
          <c:tx>
            <c:strRef>
              <c:f>Costs2!$I$56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Costs2!$I$57:$I$68</c15:sqref>
                  </c15:fullRef>
                </c:ext>
              </c:extLst>
              <c:f>Costs2!$I$65:$I$68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E-4198-BA0E-478AF2F1EAEA}"/>
            </c:ext>
          </c:extLst>
        </c:ser>
        <c:ser>
          <c:idx val="1"/>
          <c:order val="2"/>
          <c:tx>
            <c:strRef>
              <c:f>Costs2!$F$56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Costs2!$F$57:$F$68</c15:sqref>
                  </c15:fullRef>
                </c:ext>
              </c:extLst>
              <c:f>Costs2!$F$65:$F$68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E-4198-BA0E-478AF2F1EAEA}"/>
            </c:ext>
          </c:extLst>
        </c:ser>
        <c:ser>
          <c:idx val="2"/>
          <c:order val="3"/>
          <c:tx>
            <c:strRef>
              <c:f>Costs2!$G$56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397178116616453E-2"/>
                  <c:y val="-9.7612017994787734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1E-4198-BA0E-478AF2F1EAEA}"/>
                </c:ext>
              </c:extLst>
            </c:dLbl>
            <c:dLbl>
              <c:idx val="1"/>
              <c:layout>
                <c:manualLayout>
                  <c:x val="3.3504941134488417E-2"/>
                  <c:y val="-0.1001952670487820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1E-4198-BA0E-478AF2F1EAEA}"/>
                </c:ext>
              </c:extLst>
            </c:dLbl>
            <c:dLbl>
              <c:idx val="2"/>
              <c:layout>
                <c:manualLayout>
                  <c:x val="2.004515059757635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1E-4198-BA0E-478AF2F1EAEA}"/>
                </c:ext>
              </c:extLst>
            </c:dLbl>
            <c:dLbl>
              <c:idx val="3"/>
              <c:layout>
                <c:manualLayout>
                  <c:x val="2.108742613208145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Costs2!$G$57:$G$68</c15:sqref>
                  </c15:fullRef>
                </c:ext>
              </c:extLst>
              <c:f>Costs2!$G$65:$G$68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E-4198-BA0E-478AF2F1EAEA}"/>
            </c:ext>
          </c:extLst>
        </c:ser>
        <c:ser>
          <c:idx val="5"/>
          <c:order val="4"/>
          <c:tx>
            <c:strRef>
              <c:f>Costs2!$J$56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618902076962246E-2"/>
                  <c:y val="6.20376814119665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1E-4198-BA0E-478AF2F1EAEA}"/>
                </c:ext>
              </c:extLst>
            </c:dLbl>
            <c:dLbl>
              <c:idx val="1"/>
              <c:layout>
                <c:manualLayout>
                  <c:x val="2.1335598007905011E-2"/>
                  <c:y val="-3.84633624754192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Costs2!$A$65:$E$68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P1U</c:v>
                  </c:pt>
                  <c:pt idx="2">
                    <c:v>P2U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Costs2!$J$57:$J$68</c15:sqref>
                  </c15:fullRef>
                </c:ext>
              </c:extLst>
              <c:f>Costs2!$J$65:$J$68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E-4198-BA0E-478AF2F1EA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Costs2!$F$56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90-4841-BFDE-189DEE35EBF3}"/>
                </c:ext>
              </c:extLst>
            </c:dLbl>
            <c:dLbl>
              <c:idx val="7"/>
              <c:layout>
                <c:manualLayout>
                  <c:x val="1.7182135233415892E-2"/>
                  <c:y val="-8.9378842525788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Costs2!$F$57:$F$68</c15:sqref>
                  </c15:fullRef>
                </c:ext>
              </c:extLst>
              <c:f>Costs2!$F$57:$F$64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90-4841-BFDE-189DEE35EBF3}"/>
            </c:ext>
          </c:extLst>
        </c:ser>
        <c:ser>
          <c:idx val="4"/>
          <c:order val="3"/>
          <c:tx>
            <c:strRef>
              <c:f>Costs2!$I$56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Costs2!$I$57:$I$68</c15:sqref>
                  </c15:fullRef>
                </c:ext>
              </c:extLst>
              <c:f>Costs2!$I$57:$I$64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90-4841-BFDE-189DEE35EBF3}"/>
            </c:ext>
          </c:extLst>
        </c:ser>
        <c:ser>
          <c:idx val="3"/>
          <c:order val="4"/>
          <c:tx>
            <c:strRef>
              <c:f>Costs2!$H$56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890-4841-BFDE-189DEE35EBF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890-4841-BFDE-189DEE35EBF3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890-4841-BFDE-189DEE35EBF3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890-4841-BFDE-189DEE35EBF3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890-4841-BFDE-189DEE35EBF3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890-4841-BFDE-189DEE35EBF3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890-4841-BFDE-189DEE35EBF3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Costs2!$A$57:$E$68</c15:sqref>
                  </c15:fullRef>
                </c:ext>
              </c:extLst>
              <c:f>Costs2!$A$57:$E$64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P1aL</c:v>
                  </c:pt>
                  <c:pt idx="4">
                    <c:v>P1bL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Costs2!$H$57:$H$68</c15:sqref>
                  </c15:fullRef>
                </c:ext>
              </c:extLst>
              <c:f>Costs2!$H$57:$H$64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890-4841-BFDE-189DEE35EB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Costs2!$J$56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Costs2!$A$57:$E$68</c15:sqref>
                        </c15:fullRef>
                        <c15:formulaRef>
                          <c15:sqref>Costs2!$A$57:$E$64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Costs2!$J$57:$J$68</c15:sqref>
                        </c15:fullRef>
                        <c15:formulaRef>
                          <c15:sqref>Costs2!$J$57:$J$64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2890-4841-BFDE-189DEE35EBF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Costs2!$G$56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Costs2!$A$57:$E$68</c15:sqref>
                        </c15:fullRef>
                        <c15:formulaRef>
                          <c15:sqref>Costs2!$A$57:$E$64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P1aL</c:v>
                        </c:pt>
                        <c:pt idx="4">
                          <c:v>P1bL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Costs2!$G$57:$G$68</c15:sqref>
                        </c15:fullRef>
                        <c15:formulaRef>
                          <c15:sqref>Costs2!$G$57:$G$64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890-4841-BFDE-189DEE35EBF3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cat>
            <c:strRef>
              <c:f>Summary!$S$2:$S$8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Summary!$T$2:$T$8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08FB-4AE6-9B22-6CE5E660A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9309120"/>
        <c:axId val="1093062440"/>
      </c:barChart>
      <c:radarChart>
        <c:radarStyle val="marker"/>
        <c:varyColors val="0"/>
        <c:ser>
          <c:idx val="0"/>
          <c:order val="0"/>
          <c:tx>
            <c:strRef>
              <c:f>Summary!$O$1</c:f>
              <c:strCache>
                <c:ptCount val="1"/>
                <c:pt idx="0">
                  <c:v>NB-IoT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Summary!$O$2:$O$7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B-4AE6-9B22-6CE5E660AD03}"/>
            </c:ext>
          </c:extLst>
        </c:ser>
        <c:ser>
          <c:idx val="1"/>
          <c:order val="1"/>
          <c:tx>
            <c:strRef>
              <c:f>Summary!$P$1</c:f>
              <c:strCache>
                <c:ptCount val="1"/>
                <c:pt idx="0">
                  <c:v>LoRaWAN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Summary!$P$2:$P$7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FB-4AE6-9B22-6CE5E660AD03}"/>
            </c:ext>
          </c:extLst>
        </c:ser>
        <c:ser>
          <c:idx val="2"/>
          <c:order val="2"/>
          <c:tx>
            <c:strRef>
              <c:f>Summary!$Q$1</c:f>
              <c:strCache>
                <c:ptCount val="1"/>
                <c:pt idx="0">
                  <c:v>TS-UNB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Summary!$Q$2:$Q$7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FB-4AE6-9B22-6CE5E660A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30120"/>
        <c:axId val="504227824"/>
      </c:radarChart>
      <c:catAx>
        <c:axId val="50423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27824"/>
        <c:crosses val="autoZero"/>
        <c:auto val="1"/>
        <c:lblAlgn val="ctr"/>
        <c:lblOffset val="100"/>
        <c:noMultiLvlLbl val="0"/>
      </c:catAx>
      <c:valAx>
        <c:axId val="504227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4230120"/>
        <c:crosses val="autoZero"/>
        <c:crossBetween val="between"/>
        <c:majorUnit val="1"/>
      </c:valAx>
      <c:valAx>
        <c:axId val="1093062440"/>
        <c:scaling>
          <c:orientation val="minMax"/>
          <c:max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1099309120"/>
        <c:crosses val="max"/>
        <c:crossBetween val="midCat"/>
      </c:valAx>
      <c:catAx>
        <c:axId val="1099309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62440"/>
        <c:crossesAt val="0.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3</xdr:col>
      <xdr:colOff>190500</xdr:colOff>
      <xdr:row>28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22</xdr:row>
      <xdr:rowOff>95250</xdr:rowOff>
    </xdr:from>
    <xdr:to>
      <xdr:col>4</xdr:col>
      <xdr:colOff>523876</xdr:colOff>
      <xdr:row>25</xdr:row>
      <xdr:rowOff>95250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872" t="35779" r="47443" b="51667"/>
        <a:stretch/>
      </xdr:blipFill>
      <xdr:spPr>
        <a:xfrm>
          <a:off x="2314575" y="3524250"/>
          <a:ext cx="904876" cy="57150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16</xdr:row>
      <xdr:rowOff>66675</xdr:rowOff>
    </xdr:from>
    <xdr:to>
      <xdr:col>8</xdr:col>
      <xdr:colOff>152400</xdr:colOff>
      <xdr:row>18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33675"/>
          <a:ext cx="5048250" cy="4572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171450</xdr:colOff>
      <xdr:row>31</xdr:row>
      <xdr:rowOff>104775</xdr:rowOff>
    </xdr:from>
    <xdr:to>
      <xdr:col>4</xdr:col>
      <xdr:colOff>542925</xdr:colOff>
      <xdr:row>33</xdr:row>
      <xdr:rowOff>152400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477" t="11509" r="30594" b="79076"/>
        <a:stretch/>
      </xdr:blipFill>
      <xdr:spPr>
        <a:xfrm>
          <a:off x="171450" y="4867275"/>
          <a:ext cx="307657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</xdr:row>
      <xdr:rowOff>9525</xdr:rowOff>
    </xdr:from>
    <xdr:to>
      <xdr:col>12</xdr:col>
      <xdr:colOff>76200</xdr:colOff>
      <xdr:row>5</xdr:row>
      <xdr:rowOff>85725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395" t="3108" r="38489" b="84459"/>
        <a:stretch/>
      </xdr:blipFill>
      <xdr:spPr>
        <a:xfrm>
          <a:off x="6391275" y="533400"/>
          <a:ext cx="1590675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257925" y="1427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70</xdr:row>
      <xdr:rowOff>73269</xdr:rowOff>
    </xdr:from>
    <xdr:to>
      <xdr:col>13</xdr:col>
      <xdr:colOff>0</xdr:colOff>
      <xdr:row>92</xdr:row>
      <xdr:rowOff>2931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92</xdr:row>
      <xdr:rowOff>125505</xdr:rowOff>
    </xdr:from>
    <xdr:to>
      <xdr:col>12</xdr:col>
      <xdr:colOff>608134</xdr:colOff>
      <xdr:row>112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112</xdr:row>
      <xdr:rowOff>190498</xdr:rowOff>
    </xdr:from>
    <xdr:to>
      <xdr:col>12</xdr:col>
      <xdr:colOff>608134</xdr:colOff>
      <xdr:row>136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140</xdr:row>
      <xdr:rowOff>0</xdr:rowOff>
    </xdr:from>
    <xdr:to>
      <xdr:col>12</xdr:col>
      <xdr:colOff>606668</xdr:colOff>
      <xdr:row>162</xdr:row>
      <xdr:rowOff>131884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153150" y="13492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70</xdr:row>
      <xdr:rowOff>73269</xdr:rowOff>
    </xdr:from>
    <xdr:to>
      <xdr:col>13</xdr:col>
      <xdr:colOff>0</xdr:colOff>
      <xdr:row>92</xdr:row>
      <xdr:rowOff>2931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92</xdr:row>
      <xdr:rowOff>125505</xdr:rowOff>
    </xdr:from>
    <xdr:to>
      <xdr:col>12</xdr:col>
      <xdr:colOff>608134</xdr:colOff>
      <xdr:row>112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112</xdr:row>
      <xdr:rowOff>190498</xdr:rowOff>
    </xdr:from>
    <xdr:to>
      <xdr:col>12</xdr:col>
      <xdr:colOff>608134</xdr:colOff>
      <xdr:row>136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140</xdr:row>
      <xdr:rowOff>0</xdr:rowOff>
    </xdr:from>
    <xdr:to>
      <xdr:col>12</xdr:col>
      <xdr:colOff>606668</xdr:colOff>
      <xdr:row>161</xdr:row>
      <xdr:rowOff>120162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185737</xdr:colOff>
      <xdr:row>14</xdr:row>
      <xdr:rowOff>47630</xdr:rowOff>
    </xdr:from>
    <xdr:to>
      <xdr:col>22</xdr:col>
      <xdr:colOff>0</xdr:colOff>
      <xdr:row>33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fluence.vaisala.com/confluence/display/DMU801/Transferred+data+volum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fluence.vaisala.com/confluence/display/DMU801/Transferred+data+volum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2" sqref="K12"/>
    </sheetView>
  </sheetViews>
  <sheetFormatPr defaultRowHeight="15.75" x14ac:dyDescent="0.25"/>
  <cols>
    <col min="1" max="1" width="12.5703125" style="15" bestFit="1" customWidth="1"/>
    <col min="2" max="2" width="8.42578125" style="15" bestFit="1" customWidth="1"/>
    <col min="3" max="3" width="8.7109375" style="15" bestFit="1" customWidth="1"/>
    <col min="4" max="4" width="10.140625" style="15" bestFit="1" customWidth="1"/>
    <col min="5" max="5" width="10.140625" style="15" customWidth="1"/>
    <col min="6" max="6" width="10.28515625" style="15" customWidth="1"/>
    <col min="7" max="10" width="9.140625" style="15"/>
    <col min="11" max="11" width="10.85546875" style="15" bestFit="1" customWidth="1"/>
    <col min="12" max="16384" width="9.140625" style="15"/>
  </cols>
  <sheetData>
    <row r="1" spans="1:13" x14ac:dyDescent="0.25">
      <c r="A1" s="208" t="s">
        <v>0</v>
      </c>
      <c r="B1" s="206" t="s">
        <v>32</v>
      </c>
      <c r="C1" s="207"/>
      <c r="D1" s="207"/>
      <c r="E1" s="118"/>
      <c r="F1" s="86"/>
      <c r="I1" s="15" t="s">
        <v>33</v>
      </c>
    </row>
    <row r="2" spans="1:13" x14ac:dyDescent="0.25">
      <c r="A2" s="208"/>
      <c r="B2" s="210" t="s">
        <v>212</v>
      </c>
      <c r="C2" s="210"/>
      <c r="D2" s="117" t="s">
        <v>213</v>
      </c>
      <c r="E2" s="83" t="s">
        <v>2</v>
      </c>
      <c r="F2" s="87"/>
      <c r="G2" s="1">
        <v>8</v>
      </c>
      <c r="H2" s="1" t="s">
        <v>3</v>
      </c>
      <c r="I2" s="1">
        <v>2717</v>
      </c>
      <c r="J2" s="1" t="s">
        <v>4</v>
      </c>
    </row>
    <row r="3" spans="1:13" ht="16.5" thickBot="1" x14ac:dyDescent="0.3">
      <c r="A3" s="209"/>
      <c r="B3" s="22" t="s">
        <v>30</v>
      </c>
      <c r="C3" s="22" t="s">
        <v>31</v>
      </c>
      <c r="D3" s="22" t="s">
        <v>30</v>
      </c>
      <c r="E3" s="22" t="s">
        <v>30</v>
      </c>
      <c r="G3" s="1"/>
      <c r="H3" s="1"/>
      <c r="I3" s="1"/>
      <c r="J3" s="1"/>
    </row>
    <row r="4" spans="1:13" x14ac:dyDescent="0.25">
      <c r="A4" s="23" t="s">
        <v>5</v>
      </c>
      <c r="B4" s="21">
        <f>B6*20</f>
        <v>1555.4214206845786</v>
      </c>
      <c r="C4" s="21">
        <f>C6*20</f>
        <v>624.33566433566432</v>
      </c>
      <c r="D4" s="102">
        <f>I7*G2/G4</f>
        <v>346.66666666666669</v>
      </c>
      <c r="E4" s="102">
        <f>I6*G2/G4</f>
        <v>272</v>
      </c>
      <c r="G4" s="1">
        <v>3</v>
      </c>
      <c r="H4" s="1" t="s">
        <v>6</v>
      </c>
      <c r="I4" s="1">
        <v>26413</v>
      </c>
      <c r="J4" s="1" t="s">
        <v>7</v>
      </c>
      <c r="K4" s="17"/>
      <c r="L4" s="17"/>
      <c r="M4" s="17"/>
    </row>
    <row r="5" spans="1:13" x14ac:dyDescent="0.25">
      <c r="A5" s="24" t="s">
        <v>8</v>
      </c>
      <c r="B5" s="20">
        <f>B6*4</f>
        <v>311.0842841369157</v>
      </c>
      <c r="C5" s="20">
        <f>C6*4</f>
        <v>124.86713286713287</v>
      </c>
      <c r="D5" s="103">
        <f>G2*I7/G5</f>
        <v>69.333333333333329</v>
      </c>
      <c r="E5" s="103">
        <f>G2*I6/G5</f>
        <v>54.4</v>
      </c>
      <c r="G5" s="1">
        <v>15</v>
      </c>
      <c r="H5" s="1" t="s">
        <v>9</v>
      </c>
      <c r="I5" s="1">
        <v>10602</v>
      </c>
      <c r="J5" s="1" t="s">
        <v>7</v>
      </c>
    </row>
    <row r="6" spans="1:13" x14ac:dyDescent="0.25">
      <c r="A6" s="24" t="s">
        <v>10</v>
      </c>
      <c r="B6" s="20">
        <f>I4/I2*G2</f>
        <v>77.771071034228925</v>
      </c>
      <c r="C6" s="20">
        <f>I5/I2*G2</f>
        <v>31.216783216783217</v>
      </c>
      <c r="D6" s="103">
        <f>G2*I7/G6</f>
        <v>17.333333333333332</v>
      </c>
      <c r="E6" s="103">
        <f>G2*I6/G6</f>
        <v>13.6</v>
      </c>
      <c r="G6" s="1">
        <v>60</v>
      </c>
      <c r="H6" s="1" t="s">
        <v>6</v>
      </c>
      <c r="I6" s="1">
        <v>102</v>
      </c>
      <c r="J6" s="1"/>
    </row>
    <row r="7" spans="1:13" x14ac:dyDescent="0.25">
      <c r="A7" s="24" t="s">
        <v>11</v>
      </c>
      <c r="B7" s="20">
        <f>B6/10</f>
        <v>7.7771071034228925</v>
      </c>
      <c r="C7" s="20">
        <f>C6/10</f>
        <v>3.1216783216783215</v>
      </c>
      <c r="D7" s="103">
        <f>G2*I7/G7</f>
        <v>1.7333333333333334</v>
      </c>
      <c r="E7" s="103">
        <f>G2*I6/G7</f>
        <v>1.36</v>
      </c>
      <c r="G7" s="1">
        <v>600</v>
      </c>
      <c r="H7" s="1"/>
      <c r="I7" s="1">
        <v>130</v>
      </c>
      <c r="J7" s="1"/>
    </row>
    <row r="9" spans="1:13" x14ac:dyDescent="0.25">
      <c r="A9" s="19" t="s">
        <v>25</v>
      </c>
    </row>
  </sheetData>
  <mergeCells count="3">
    <mergeCell ref="B1:D1"/>
    <mergeCell ref="A1:A3"/>
    <mergeCell ref="B2:C2"/>
  </mergeCells>
  <hyperlinks>
    <hyperlink ref="A9" r:id="rId1"/>
  </hyperlinks>
  <pageMargins left="0.7" right="0.7" top="0.75" bottom="0.75" header="0.3" footer="0.3"/>
  <pageSetup orientation="portrait" verticalDpi="1200" r:id="rId2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RowHeight="24" customHeight="1" x14ac:dyDescent="0.25"/>
  <cols>
    <col min="1" max="1" width="18.85546875" style="16" customWidth="1"/>
    <col min="2" max="2" width="8.85546875" style="15" customWidth="1"/>
    <col min="3" max="3" width="6.42578125" style="15" customWidth="1"/>
    <col min="4" max="4" width="9.140625" style="15" customWidth="1"/>
    <col min="5" max="5" width="6.7109375" style="15" customWidth="1"/>
    <col min="6" max="9" width="9.140625" style="15" customWidth="1"/>
    <col min="10" max="10" width="9.85546875" style="15" customWidth="1"/>
    <col min="11" max="16384" width="9.140625" style="15"/>
  </cols>
  <sheetData>
    <row r="1" spans="1:8" ht="15.75" x14ac:dyDescent="0.25">
      <c r="A1" s="3" t="s">
        <v>12</v>
      </c>
      <c r="B1" s="211" t="s">
        <v>212</v>
      </c>
      <c r="C1" s="211"/>
      <c r="D1" s="211" t="s">
        <v>213</v>
      </c>
      <c r="E1" s="211"/>
      <c r="F1" s="211" t="s">
        <v>2</v>
      </c>
      <c r="G1" s="211"/>
    </row>
    <row r="2" spans="1:8" ht="15.75" x14ac:dyDescent="0.25">
      <c r="A2" s="4" t="s">
        <v>13</v>
      </c>
      <c r="B2" s="5">
        <v>8000</v>
      </c>
      <c r="C2" s="6" t="s">
        <v>14</v>
      </c>
      <c r="D2" s="7">
        <v>3600</v>
      </c>
      <c r="E2" s="8" t="s">
        <v>14</v>
      </c>
      <c r="F2" s="7">
        <v>3600</v>
      </c>
      <c r="G2" s="8" t="s">
        <v>14</v>
      </c>
    </row>
    <row r="3" spans="1:8" ht="15.75" x14ac:dyDescent="0.25">
      <c r="A3" s="9" t="s">
        <v>20</v>
      </c>
      <c r="B3" s="10">
        <v>1</v>
      </c>
      <c r="C3" s="11" t="s">
        <v>15</v>
      </c>
      <c r="D3" s="12">
        <f>D2*H3/(365*24)</f>
        <v>1.2328767123287671E-2</v>
      </c>
      <c r="E3" s="13" t="s">
        <v>15</v>
      </c>
      <c r="F3" s="12">
        <f>F2*J3/(365*24)</f>
        <v>0</v>
      </c>
      <c r="G3" s="13" t="s">
        <v>15</v>
      </c>
      <c r="H3" s="15">
        <v>0.03</v>
      </c>
    </row>
    <row r="4" spans="1:8" ht="31.5" x14ac:dyDescent="0.25">
      <c r="A4" s="9" t="s">
        <v>16</v>
      </c>
      <c r="B4" s="10">
        <v>0.2</v>
      </c>
      <c r="C4" s="14" t="s">
        <v>15</v>
      </c>
      <c r="D4" s="212" t="s">
        <v>17</v>
      </c>
      <c r="E4" s="213"/>
      <c r="F4" s="212" t="s">
        <v>17</v>
      </c>
      <c r="G4" s="213"/>
    </row>
    <row r="5" spans="1:8" ht="15.75" x14ac:dyDescent="0.25">
      <c r="A5" s="9" t="s">
        <v>18</v>
      </c>
      <c r="B5" s="119"/>
      <c r="C5" s="14"/>
      <c r="D5" s="14">
        <f>1.5+4.5+0.9+0.4</f>
        <v>7.3000000000000007</v>
      </c>
      <c r="E5" s="14" t="s">
        <v>19</v>
      </c>
      <c r="F5" s="120"/>
      <c r="G5" s="121"/>
    </row>
    <row r="6" spans="1:8" ht="15.75" x14ac:dyDescent="0.25"/>
    <row r="7" spans="1:8" ht="15.75" x14ac:dyDescent="0.25"/>
    <row r="8" spans="1:8" ht="15.75" x14ac:dyDescent="0.25"/>
    <row r="9" spans="1:8" ht="15.75" x14ac:dyDescent="0.25"/>
  </sheetData>
  <mergeCells count="5">
    <mergeCell ref="F1:G1"/>
    <mergeCell ref="F4:G4"/>
    <mergeCell ref="B1:C1"/>
    <mergeCell ref="D1:E1"/>
    <mergeCell ref="D4:E4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zoomScale="85" zoomScaleNormal="85" workbookViewId="0">
      <selection activeCell="I18" sqref="I18"/>
    </sheetView>
  </sheetViews>
  <sheetFormatPr defaultRowHeight="15.75" x14ac:dyDescent="0.25"/>
  <cols>
    <col min="1" max="1" width="12.5703125" style="15" bestFit="1" customWidth="1"/>
    <col min="2" max="2" width="8.5703125" style="15" bestFit="1" customWidth="1"/>
    <col min="3" max="3" width="12.5703125" style="15" bestFit="1" customWidth="1"/>
    <col min="4" max="4" width="11.42578125" style="15" customWidth="1"/>
    <col min="5" max="5" width="12.5703125" style="15" bestFit="1" customWidth="1"/>
    <col min="6" max="6" width="5.7109375" style="15" bestFit="1" customWidth="1"/>
    <col min="7" max="7" width="13.7109375" style="15" customWidth="1"/>
    <col min="10" max="10" width="9.28515625" style="15" bestFit="1" customWidth="1"/>
    <col min="11" max="11" width="9.140625" style="15"/>
    <col min="12" max="12" width="9.28515625" style="15" bestFit="1" customWidth="1"/>
    <col min="13" max="13" width="9.140625" style="15"/>
    <col min="14" max="14" width="13.7109375" style="15" bestFit="1" customWidth="1"/>
    <col min="15" max="15" width="13.7109375" style="15" customWidth="1"/>
    <col min="16" max="16" width="2" style="15" bestFit="1" customWidth="1"/>
    <col min="17" max="17" width="6.140625" style="15" bestFit="1" customWidth="1"/>
    <col min="18" max="18" width="6.140625" style="15" customWidth="1"/>
    <col min="19" max="19" width="11.42578125" style="15" bestFit="1" customWidth="1"/>
    <col min="20" max="20" width="9.140625" style="15"/>
    <col min="21" max="21" width="15" style="15" bestFit="1" customWidth="1"/>
    <col min="22" max="16384" width="9.140625" style="15"/>
  </cols>
  <sheetData>
    <row r="1" spans="1:22" x14ac:dyDescent="0.25">
      <c r="A1" s="2" t="s">
        <v>0</v>
      </c>
      <c r="B1" s="215" t="s">
        <v>212</v>
      </c>
      <c r="C1" s="217"/>
      <c r="D1" s="214" t="s">
        <v>213</v>
      </c>
      <c r="E1" s="215"/>
      <c r="F1" s="113" t="s">
        <v>2</v>
      </c>
      <c r="G1" s="112"/>
      <c r="J1" s="1">
        <v>8</v>
      </c>
      <c r="K1" s="1" t="s">
        <v>3</v>
      </c>
      <c r="L1" s="1">
        <v>2717</v>
      </c>
      <c r="M1" s="1" t="s">
        <v>4</v>
      </c>
      <c r="N1" s="15">
        <f>L6*(J6/J2)*60*24*30</f>
        <v>88128000</v>
      </c>
      <c r="O1" s="15">
        <f>L7*(J6/J2)*60*24*30</f>
        <v>112320000</v>
      </c>
      <c r="P1" s="18" t="s">
        <v>22</v>
      </c>
      <c r="Q1" s="15">
        <f t="shared" ref="Q1:R4" si="0">ROUND(N1/1000000,1)</f>
        <v>88.1</v>
      </c>
      <c r="R1" s="106">
        <f t="shared" si="0"/>
        <v>112.3</v>
      </c>
      <c r="S1" s="15" t="s">
        <v>26</v>
      </c>
      <c r="T1" s="15" t="s">
        <v>2</v>
      </c>
      <c r="U1" s="15" t="s">
        <v>28</v>
      </c>
      <c r="V1" s="15" t="s">
        <v>30</v>
      </c>
    </row>
    <row r="2" spans="1:22" x14ac:dyDescent="0.25">
      <c r="A2" s="216" t="s">
        <v>5</v>
      </c>
      <c r="B2" s="40">
        <f t="shared" ref="B2:B9" si="1">N6/1000000</f>
        <v>503.95654030180339</v>
      </c>
      <c r="C2" s="41" t="s">
        <v>26</v>
      </c>
      <c r="D2" s="116">
        <f>O1/1000000</f>
        <v>112.32</v>
      </c>
      <c r="E2" s="41" t="s">
        <v>26</v>
      </c>
      <c r="F2" s="114">
        <f>N1/1000000</f>
        <v>88.128</v>
      </c>
      <c r="G2" s="41" t="s">
        <v>26</v>
      </c>
      <c r="J2" s="1">
        <v>3</v>
      </c>
      <c r="K2" s="1" t="s">
        <v>6</v>
      </c>
      <c r="L2" s="1">
        <v>26413</v>
      </c>
      <c r="M2" s="1" t="s">
        <v>7</v>
      </c>
      <c r="N2" s="15">
        <f>L6*(J6/J4)*60*24*30</f>
        <v>17625600</v>
      </c>
      <c r="O2" s="15">
        <f>L7*(J6/J4)*60*24*30</f>
        <v>22464000</v>
      </c>
      <c r="P2" s="18" t="s">
        <v>22</v>
      </c>
      <c r="Q2" s="15">
        <f t="shared" si="0"/>
        <v>17.600000000000001</v>
      </c>
      <c r="R2" s="106">
        <f t="shared" si="0"/>
        <v>22.5</v>
      </c>
      <c r="S2" s="15" t="s">
        <v>26</v>
      </c>
      <c r="T2" s="15" t="s">
        <v>2</v>
      </c>
      <c r="U2" s="15" t="s">
        <v>27</v>
      </c>
      <c r="V2" s="15" t="s">
        <v>30</v>
      </c>
    </row>
    <row r="3" spans="1:22" x14ac:dyDescent="0.25">
      <c r="A3" s="216"/>
      <c r="B3" s="40">
        <f t="shared" si="1"/>
        <v>202.28475524475527</v>
      </c>
      <c r="C3" s="41" t="s">
        <v>26</v>
      </c>
      <c r="D3" s="104"/>
      <c r="E3" s="42"/>
      <c r="F3" s="115"/>
      <c r="G3" s="42"/>
      <c r="J3" s="1"/>
      <c r="K3" s="1"/>
      <c r="L3" s="1"/>
      <c r="M3" s="1"/>
      <c r="N3" s="15">
        <f>L6*(J6/J6)*60*24*30</f>
        <v>4406400</v>
      </c>
      <c r="O3" s="15">
        <f>L7*(J6/J6)*60*24*30</f>
        <v>5616000</v>
      </c>
      <c r="P3" s="18" t="s">
        <v>22</v>
      </c>
      <c r="Q3" s="15">
        <f t="shared" si="0"/>
        <v>4.4000000000000004</v>
      </c>
      <c r="R3" s="106">
        <f t="shared" si="0"/>
        <v>5.6</v>
      </c>
      <c r="S3" s="15" t="s">
        <v>26</v>
      </c>
      <c r="T3" s="15" t="s">
        <v>2</v>
      </c>
      <c r="U3" s="15" t="s">
        <v>24</v>
      </c>
      <c r="V3" s="15" t="s">
        <v>30</v>
      </c>
    </row>
    <row r="4" spans="1:22" x14ac:dyDescent="0.25">
      <c r="A4" s="216" t="s">
        <v>8</v>
      </c>
      <c r="B4" s="40">
        <f t="shared" si="1"/>
        <v>100.79130806036069</v>
      </c>
      <c r="C4" s="41" t="s">
        <v>26</v>
      </c>
      <c r="D4" s="116">
        <f>O2/1000000</f>
        <v>22.463999999999999</v>
      </c>
      <c r="E4" s="41" t="s">
        <v>26</v>
      </c>
      <c r="F4" s="114">
        <f>N2/1000000</f>
        <v>17.625599999999999</v>
      </c>
      <c r="G4" s="41" t="s">
        <v>26</v>
      </c>
      <c r="J4" s="1">
        <v>15</v>
      </c>
      <c r="K4" s="1" t="s">
        <v>9</v>
      </c>
      <c r="L4" s="1">
        <v>10602</v>
      </c>
      <c r="M4" s="1" t="s">
        <v>7</v>
      </c>
      <c r="N4" s="15">
        <f>L6*(J6/J8)*60*24*30</f>
        <v>440640.00000000012</v>
      </c>
      <c r="O4" s="15">
        <f>L7*(J6/J8)*60*24*30</f>
        <v>561600</v>
      </c>
      <c r="P4" s="18" t="s">
        <v>22</v>
      </c>
      <c r="Q4" s="15">
        <f t="shared" si="0"/>
        <v>0.4</v>
      </c>
      <c r="R4" s="106">
        <f t="shared" si="0"/>
        <v>0.6</v>
      </c>
      <c r="S4" s="15" t="s">
        <v>26</v>
      </c>
      <c r="T4" s="15" t="s">
        <v>2</v>
      </c>
      <c r="U4" s="15" t="s">
        <v>29</v>
      </c>
      <c r="V4" s="15" t="s">
        <v>30</v>
      </c>
    </row>
    <row r="5" spans="1:22" x14ac:dyDescent="0.25">
      <c r="A5" s="216"/>
      <c r="B5" s="40">
        <f t="shared" si="1"/>
        <v>40.456951048951055</v>
      </c>
      <c r="C5" s="41" t="s">
        <v>26</v>
      </c>
      <c r="D5" s="104"/>
      <c r="E5" s="42"/>
      <c r="F5" s="115"/>
      <c r="G5" s="42"/>
      <c r="J5" s="1"/>
      <c r="K5" s="1"/>
      <c r="L5" s="1"/>
      <c r="M5" s="1"/>
    </row>
    <row r="6" spans="1:22" x14ac:dyDescent="0.25">
      <c r="A6" s="216" t="s">
        <v>10</v>
      </c>
      <c r="B6" s="40">
        <f t="shared" si="1"/>
        <v>25.197827015090173</v>
      </c>
      <c r="C6" s="41" t="s">
        <v>26</v>
      </c>
      <c r="D6" s="116">
        <f>O3/1000000</f>
        <v>5.6159999999999997</v>
      </c>
      <c r="E6" s="41" t="s">
        <v>26</v>
      </c>
      <c r="F6" s="114">
        <f>N3/1000000</f>
        <v>4.4063999999999997</v>
      </c>
      <c r="G6" s="41" t="s">
        <v>26</v>
      </c>
      <c r="J6" s="1">
        <v>60</v>
      </c>
      <c r="K6" s="1" t="s">
        <v>6</v>
      </c>
      <c r="L6" s="1">
        <v>102</v>
      </c>
      <c r="M6" s="1" t="s">
        <v>7</v>
      </c>
      <c r="N6" s="15">
        <f>C13/(L1/L2)*(J6/J2)</f>
        <v>503956540.30180341</v>
      </c>
      <c r="P6" s="18" t="s">
        <v>22</v>
      </c>
      <c r="Q6" s="15">
        <f>ROUND(N6/1000000,1)</f>
        <v>504</v>
      </c>
      <c r="S6" s="15" t="s">
        <v>26</v>
      </c>
      <c r="T6" s="15" t="s">
        <v>1</v>
      </c>
      <c r="U6" s="15" t="s">
        <v>28</v>
      </c>
      <c r="V6" s="15" t="s">
        <v>30</v>
      </c>
    </row>
    <row r="7" spans="1:22" x14ac:dyDescent="0.25">
      <c r="A7" s="216"/>
      <c r="B7" s="40">
        <f t="shared" si="1"/>
        <v>10.114237762237764</v>
      </c>
      <c r="C7" s="41" t="s">
        <v>26</v>
      </c>
      <c r="D7" s="104"/>
      <c r="E7" s="42"/>
      <c r="F7" s="115"/>
      <c r="G7" s="42"/>
      <c r="J7" s="1"/>
      <c r="K7" s="1"/>
      <c r="L7" s="1">
        <v>130</v>
      </c>
      <c r="M7" s="1" t="s">
        <v>7</v>
      </c>
      <c r="N7" s="15">
        <f>C13/(L1/L4)*(J6/J2)</f>
        <v>202284755.24475527</v>
      </c>
      <c r="P7" s="18" t="s">
        <v>22</v>
      </c>
      <c r="Q7" s="15">
        <f t="shared" ref="Q7:Q13" si="2">ROUND(N7/1000000,1)</f>
        <v>202.3</v>
      </c>
      <c r="S7" s="15" t="s">
        <v>26</v>
      </c>
      <c r="T7" s="15" t="s">
        <v>1</v>
      </c>
      <c r="U7" s="15" t="s">
        <v>28</v>
      </c>
      <c r="V7" s="15" t="s">
        <v>31</v>
      </c>
    </row>
    <row r="8" spans="1:22" x14ac:dyDescent="0.25">
      <c r="A8" s="216" t="s">
        <v>11</v>
      </c>
      <c r="B8" s="40">
        <f t="shared" si="1"/>
        <v>2.5197827015090173</v>
      </c>
      <c r="C8" s="41" t="s">
        <v>26</v>
      </c>
      <c r="D8" s="116">
        <f>O4/1000000</f>
        <v>0.56159999999999999</v>
      </c>
      <c r="E8" s="41" t="s">
        <v>26</v>
      </c>
      <c r="F8" s="114">
        <f>N4/1000000</f>
        <v>0.44064000000000014</v>
      </c>
      <c r="G8" s="41" t="s">
        <v>26</v>
      </c>
      <c r="J8" s="1">
        <v>600</v>
      </c>
      <c r="K8" s="1"/>
      <c r="L8" s="1"/>
      <c r="M8" s="1"/>
      <c r="N8" s="15">
        <f>C13/(L1/L2)*(J6/J4)</f>
        <v>100791308.06036068</v>
      </c>
      <c r="P8" s="18" t="s">
        <v>22</v>
      </c>
      <c r="Q8" s="15">
        <f t="shared" si="2"/>
        <v>100.8</v>
      </c>
      <c r="S8" s="15" t="s">
        <v>26</v>
      </c>
      <c r="T8" s="15" t="s">
        <v>1</v>
      </c>
      <c r="U8" s="15" t="s">
        <v>27</v>
      </c>
      <c r="V8" s="15" t="s">
        <v>30</v>
      </c>
    </row>
    <row r="9" spans="1:22" x14ac:dyDescent="0.25">
      <c r="A9" s="216"/>
      <c r="B9" s="40">
        <f t="shared" si="1"/>
        <v>1.0114237762237763</v>
      </c>
      <c r="C9" s="43" t="s">
        <v>26</v>
      </c>
      <c r="D9" s="105"/>
      <c r="E9" s="42"/>
      <c r="F9" s="115"/>
      <c r="G9" s="42"/>
      <c r="J9" s="1"/>
      <c r="K9" s="1"/>
      <c r="L9" s="1"/>
      <c r="M9" s="1"/>
      <c r="N9" s="15">
        <f>C13/(L1/L4)*(J6/J4)</f>
        <v>40456951.048951052</v>
      </c>
      <c r="P9" s="18" t="s">
        <v>22</v>
      </c>
      <c r="Q9" s="15">
        <f t="shared" si="2"/>
        <v>40.5</v>
      </c>
      <c r="S9" s="15" t="s">
        <v>26</v>
      </c>
      <c r="T9" s="15" t="s">
        <v>1</v>
      </c>
      <c r="U9" s="15" t="s">
        <v>27</v>
      </c>
      <c r="V9" s="15" t="s">
        <v>31</v>
      </c>
    </row>
    <row r="10" spans="1:22" x14ac:dyDescent="0.25">
      <c r="N10" s="15">
        <f>C13/(L1/L2)</f>
        <v>25197827.015090171</v>
      </c>
      <c r="P10" s="18" t="s">
        <v>22</v>
      </c>
      <c r="Q10" s="15">
        <f t="shared" si="2"/>
        <v>25.2</v>
      </c>
      <c r="S10" s="15" t="s">
        <v>26</v>
      </c>
      <c r="T10" s="15" t="s">
        <v>1</v>
      </c>
      <c r="U10" s="15" t="s">
        <v>24</v>
      </c>
      <c r="V10" s="15" t="s">
        <v>30</v>
      </c>
    </row>
    <row r="11" spans="1:22" x14ac:dyDescent="0.25">
      <c r="A11" s="19" t="s">
        <v>25</v>
      </c>
      <c r="N11" s="15">
        <f>C13/(L1/L4)*(J6/J6)</f>
        <v>10114237.762237763</v>
      </c>
      <c r="P11" s="18" t="s">
        <v>22</v>
      </c>
      <c r="Q11" s="15">
        <f t="shared" si="2"/>
        <v>10.1</v>
      </c>
      <c r="S11" s="15" t="s">
        <v>26</v>
      </c>
      <c r="T11" s="15" t="s">
        <v>1</v>
      </c>
      <c r="U11" s="15" t="s">
        <v>24</v>
      </c>
      <c r="V11" s="15" t="s">
        <v>31</v>
      </c>
    </row>
    <row r="12" spans="1:22" x14ac:dyDescent="0.25">
      <c r="N12" s="15">
        <f>C13/(L1/L2)*(J6/J8)</f>
        <v>2519782.7015090175</v>
      </c>
      <c r="P12" s="18" t="s">
        <v>22</v>
      </c>
      <c r="Q12" s="15">
        <f>ROUND(N12/1000000,1)</f>
        <v>2.5</v>
      </c>
      <c r="S12" s="15" t="s">
        <v>26</v>
      </c>
      <c r="T12" s="15" t="s">
        <v>1</v>
      </c>
      <c r="U12" s="15" t="s">
        <v>29</v>
      </c>
      <c r="V12" s="15" t="s">
        <v>30</v>
      </c>
    </row>
    <row r="13" spans="1:22" x14ac:dyDescent="0.25">
      <c r="A13" s="15" t="s">
        <v>21</v>
      </c>
      <c r="C13" s="15">
        <f>60*60*24*30</f>
        <v>2592000</v>
      </c>
      <c r="N13" s="15">
        <f>C13/(L1/L4)*(J6/J8)</f>
        <v>1011423.7762237764</v>
      </c>
      <c r="Q13" s="15">
        <f t="shared" si="2"/>
        <v>1</v>
      </c>
      <c r="S13" s="15" t="s">
        <v>26</v>
      </c>
      <c r="T13" s="15" t="s">
        <v>1</v>
      </c>
      <c r="U13" s="15" t="s">
        <v>29</v>
      </c>
      <c r="V13" s="15" t="s">
        <v>31</v>
      </c>
    </row>
  </sheetData>
  <mergeCells count="6">
    <mergeCell ref="D1:E1"/>
    <mergeCell ref="A8:A9"/>
    <mergeCell ref="B1:C1"/>
    <mergeCell ref="A2:A3"/>
    <mergeCell ref="A4:A5"/>
    <mergeCell ref="A6:A7"/>
  </mergeCells>
  <hyperlinks>
    <hyperlink ref="A11" r:id="rId1"/>
  </hyperlinks>
  <pageMargins left="0.7" right="0.7" top="0.75" bottom="0.75" header="0.3" footer="0.3"/>
  <pageSetup orientation="portrait" verticalDpi="1200" r:id="rId2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J133"/>
  <sheetViews>
    <sheetView tabSelected="1" topLeftCell="A100" workbookViewId="0">
      <selection activeCell="G132" sqref="G132"/>
    </sheetView>
  </sheetViews>
  <sheetFormatPr defaultRowHeight="12.75" x14ac:dyDescent="0.2"/>
  <cols>
    <col min="1" max="1" width="12.85546875" style="93" bestFit="1" customWidth="1"/>
    <col min="2" max="2" width="9.42578125" style="93" bestFit="1" customWidth="1"/>
    <col min="3" max="3" width="9.140625" style="93" bestFit="1" customWidth="1"/>
    <col min="4" max="9" width="9.140625" style="93"/>
    <col min="10" max="10" width="5.140625" style="93" customWidth="1"/>
    <col min="11" max="11" width="18.42578125" style="93" bestFit="1" customWidth="1"/>
    <col min="12" max="12" width="11.7109375" style="93" bestFit="1" customWidth="1"/>
    <col min="13" max="20" width="6.42578125" style="93" customWidth="1"/>
    <col min="21" max="25" width="9.140625" style="93"/>
    <col min="26" max="26" width="16.85546875" style="93" customWidth="1"/>
    <col min="27" max="10245" width="1.7109375" style="93" customWidth="1"/>
    <col min="10246" max="16384" width="9.140625" style="93"/>
  </cols>
  <sheetData>
    <row r="1" spans="1:114" x14ac:dyDescent="0.2">
      <c r="B1" s="93" t="s">
        <v>154</v>
      </c>
    </row>
    <row r="2" spans="1:114" ht="26.25" x14ac:dyDescent="0.4">
      <c r="A2" s="93" t="s">
        <v>236</v>
      </c>
      <c r="B2" s="93" t="s">
        <v>155</v>
      </c>
      <c r="K2" s="122" t="s">
        <v>225</v>
      </c>
      <c r="Z2" s="122" t="s">
        <v>348</v>
      </c>
    </row>
    <row r="3" spans="1:114" x14ac:dyDescent="0.2">
      <c r="A3" s="93">
        <v>0</v>
      </c>
      <c r="B3" s="93">
        <v>16</v>
      </c>
      <c r="C3" s="93">
        <v>32</v>
      </c>
      <c r="D3" s="93">
        <v>56</v>
      </c>
      <c r="E3" s="93">
        <v>88</v>
      </c>
      <c r="F3" s="93">
        <v>120</v>
      </c>
      <c r="G3" s="93">
        <v>152</v>
      </c>
      <c r="H3" s="93">
        <v>208</v>
      </c>
      <c r="I3" s="93">
        <v>256</v>
      </c>
      <c r="N3" s="133" t="s">
        <v>226</v>
      </c>
      <c r="Q3" s="133" t="s">
        <v>226</v>
      </c>
    </row>
    <row r="4" spans="1:114" x14ac:dyDescent="0.2">
      <c r="A4" s="93">
        <v>1</v>
      </c>
      <c r="B4" s="93">
        <v>24</v>
      </c>
      <c r="C4" s="93">
        <v>56</v>
      </c>
      <c r="D4" s="93">
        <v>88</v>
      </c>
      <c r="E4" s="93">
        <v>144</v>
      </c>
      <c r="F4" s="93">
        <v>176</v>
      </c>
      <c r="G4" s="93">
        <v>208</v>
      </c>
      <c r="H4" s="93">
        <v>256</v>
      </c>
      <c r="I4" s="93">
        <v>344</v>
      </c>
      <c r="K4" s="93" t="s">
        <v>228</v>
      </c>
      <c r="M4" s="127" t="s">
        <v>227</v>
      </c>
      <c r="N4" s="128">
        <v>15</v>
      </c>
      <c r="O4" s="130" t="s">
        <v>231</v>
      </c>
      <c r="P4" s="129"/>
      <c r="Q4" s="128">
        <v>3.75</v>
      </c>
      <c r="R4" s="129" t="s">
        <v>231</v>
      </c>
      <c r="S4" s="131"/>
      <c r="Z4" s="197" t="s">
        <v>349</v>
      </c>
      <c r="AA4" s="202" t="s">
        <v>350</v>
      </c>
      <c r="AB4" s="198"/>
      <c r="AC4" s="198"/>
      <c r="AD4" s="198"/>
      <c r="AE4" s="198"/>
      <c r="AF4" s="198"/>
      <c r="AG4" s="198"/>
      <c r="AH4" s="198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199"/>
      <c r="CH4" s="199"/>
      <c r="CI4" s="198"/>
      <c r="CJ4" s="198"/>
      <c r="CK4" s="198"/>
      <c r="CL4" s="198"/>
      <c r="CM4" s="198"/>
      <c r="CN4" s="198"/>
      <c r="CO4" s="198"/>
      <c r="CP4" s="198"/>
      <c r="CQ4" s="199"/>
      <c r="CR4" s="199"/>
      <c r="CS4" s="199"/>
      <c r="CT4" s="199"/>
      <c r="CU4" s="199"/>
      <c r="CV4" s="199"/>
      <c r="CW4" s="199"/>
      <c r="CX4" s="199"/>
      <c r="CY4" s="199"/>
      <c r="CZ4" s="199"/>
      <c r="DA4" s="199"/>
      <c r="DB4" s="199"/>
      <c r="DC4" s="199"/>
      <c r="DD4" s="199"/>
      <c r="DE4" s="199"/>
      <c r="DF4" s="199"/>
      <c r="DG4" s="199"/>
      <c r="DH4" s="199"/>
      <c r="DI4" s="199"/>
      <c r="DJ4" s="199"/>
    </row>
    <row r="5" spans="1:114" x14ac:dyDescent="0.2">
      <c r="A5" s="93">
        <v>2</v>
      </c>
      <c r="B5" s="93">
        <v>32</v>
      </c>
      <c r="C5" s="93">
        <v>72</v>
      </c>
      <c r="D5" s="93">
        <v>144</v>
      </c>
      <c r="E5" s="93">
        <v>176</v>
      </c>
      <c r="F5" s="93">
        <v>208</v>
      </c>
      <c r="G5" s="93">
        <v>256</v>
      </c>
      <c r="H5" s="93">
        <v>328</v>
      </c>
      <c r="I5" s="93">
        <v>424</v>
      </c>
      <c r="K5" s="93" t="s">
        <v>229</v>
      </c>
      <c r="M5" s="125" t="s">
        <v>230</v>
      </c>
      <c r="N5" s="126">
        <v>1</v>
      </c>
      <c r="O5" s="123">
        <v>8</v>
      </c>
      <c r="P5" s="124" t="s">
        <v>146</v>
      </c>
      <c r="Q5" s="126">
        <v>1</v>
      </c>
      <c r="R5" s="124">
        <v>32</v>
      </c>
      <c r="S5" s="132" t="s">
        <v>146</v>
      </c>
    </row>
    <row r="6" spans="1:114" x14ac:dyDescent="0.2">
      <c r="A6" s="93">
        <v>3</v>
      </c>
      <c r="B6" s="93">
        <v>40</v>
      </c>
      <c r="C6" s="93">
        <v>104</v>
      </c>
      <c r="D6" s="93">
        <v>176</v>
      </c>
      <c r="E6" s="93">
        <v>208</v>
      </c>
      <c r="F6" s="93">
        <v>256</v>
      </c>
      <c r="G6" s="93">
        <v>328</v>
      </c>
      <c r="H6" s="93">
        <v>440</v>
      </c>
      <c r="I6" s="93">
        <v>568</v>
      </c>
      <c r="M6" s="125"/>
      <c r="N6" s="126">
        <v>3</v>
      </c>
      <c r="O6" s="123">
        <v>4</v>
      </c>
      <c r="P6" s="124" t="s">
        <v>146</v>
      </c>
      <c r="Q6" s="126"/>
      <c r="R6" s="124"/>
      <c r="S6" s="132"/>
      <c r="Z6" s="197" t="s">
        <v>351</v>
      </c>
    </row>
    <row r="7" spans="1:114" x14ac:dyDescent="0.2">
      <c r="A7" s="93">
        <v>4</v>
      </c>
      <c r="B7" s="93">
        <v>56</v>
      </c>
      <c r="C7" s="93">
        <v>120</v>
      </c>
      <c r="D7" s="93">
        <v>208</v>
      </c>
      <c r="E7" s="93">
        <v>256</v>
      </c>
      <c r="F7" s="93">
        <v>328</v>
      </c>
      <c r="G7" s="93">
        <v>408</v>
      </c>
      <c r="H7" s="93">
        <v>552</v>
      </c>
      <c r="I7" s="93">
        <v>680</v>
      </c>
      <c r="M7" s="125"/>
      <c r="N7" s="126">
        <v>6</v>
      </c>
      <c r="O7" s="123">
        <v>2</v>
      </c>
      <c r="P7" s="124" t="s">
        <v>146</v>
      </c>
      <c r="Q7" s="126"/>
      <c r="R7" s="124"/>
      <c r="S7" s="132"/>
      <c r="Z7" s="197" t="s">
        <v>352</v>
      </c>
    </row>
    <row r="8" spans="1:114" x14ac:dyDescent="0.2">
      <c r="A8" s="93">
        <v>5</v>
      </c>
      <c r="B8" s="93">
        <v>72</v>
      </c>
      <c r="C8" s="93">
        <v>144</v>
      </c>
      <c r="D8" s="93">
        <v>224</v>
      </c>
      <c r="E8" s="93">
        <v>328</v>
      </c>
      <c r="F8" s="93">
        <v>424</v>
      </c>
      <c r="G8" s="93">
        <v>504</v>
      </c>
      <c r="H8" s="93">
        <v>680</v>
      </c>
      <c r="I8" s="93">
        <v>872</v>
      </c>
      <c r="M8" s="125"/>
      <c r="N8" s="126">
        <v>12</v>
      </c>
      <c r="O8" s="123">
        <v>1</v>
      </c>
      <c r="P8" s="124" t="s">
        <v>146</v>
      </c>
      <c r="Q8" s="126"/>
      <c r="R8" s="124"/>
      <c r="S8" s="132"/>
      <c r="Z8" s="197" t="s">
        <v>353</v>
      </c>
    </row>
    <row r="9" spans="1:114" x14ac:dyDescent="0.2">
      <c r="A9" s="93">
        <v>6</v>
      </c>
      <c r="B9" s="93">
        <v>88</v>
      </c>
      <c r="C9" s="93">
        <v>176</v>
      </c>
      <c r="D9" s="93">
        <v>256</v>
      </c>
      <c r="E9" s="93">
        <v>392</v>
      </c>
      <c r="F9" s="93">
        <v>504</v>
      </c>
      <c r="G9" s="93">
        <v>600</v>
      </c>
      <c r="H9" s="93">
        <v>808</v>
      </c>
      <c r="I9" s="93">
        <v>1000</v>
      </c>
      <c r="Z9" s="197" t="s">
        <v>354</v>
      </c>
    </row>
    <row r="10" spans="1:114" x14ac:dyDescent="0.2">
      <c r="A10" s="93">
        <v>7</v>
      </c>
      <c r="B10" s="93">
        <v>104</v>
      </c>
      <c r="C10" s="93">
        <v>224</v>
      </c>
      <c r="D10" s="93">
        <v>328</v>
      </c>
      <c r="E10" s="93">
        <v>472</v>
      </c>
      <c r="F10" s="93">
        <v>584</v>
      </c>
      <c r="G10" s="93">
        <v>712</v>
      </c>
      <c r="H10" s="93">
        <v>1000</v>
      </c>
      <c r="I10" s="93">
        <v>1224</v>
      </c>
      <c r="M10" s="93" t="s">
        <v>232</v>
      </c>
      <c r="N10" s="93" t="s">
        <v>233</v>
      </c>
      <c r="O10" s="93" t="s">
        <v>234</v>
      </c>
      <c r="Z10" s="197" t="s">
        <v>355</v>
      </c>
    </row>
    <row r="11" spans="1:114" x14ac:dyDescent="0.2">
      <c r="A11" s="93">
        <v>8</v>
      </c>
      <c r="B11" s="93">
        <v>120</v>
      </c>
      <c r="C11" s="93">
        <v>256</v>
      </c>
      <c r="D11" s="93">
        <v>392</v>
      </c>
      <c r="E11" s="93">
        <v>536</v>
      </c>
      <c r="F11" s="93">
        <v>680</v>
      </c>
      <c r="G11" s="93">
        <v>808</v>
      </c>
      <c r="H11" s="93">
        <v>1096</v>
      </c>
      <c r="I11" s="93">
        <v>1384</v>
      </c>
      <c r="K11" s="93" t="s">
        <v>239</v>
      </c>
      <c r="M11" s="93">
        <v>1000</v>
      </c>
      <c r="N11" s="93">
        <v>102</v>
      </c>
      <c r="O11" s="93">
        <v>102</v>
      </c>
      <c r="P11" s="93" t="s">
        <v>7</v>
      </c>
      <c r="Z11" s="197" t="s">
        <v>356</v>
      </c>
    </row>
    <row r="12" spans="1:114" x14ac:dyDescent="0.2">
      <c r="A12" s="93">
        <v>9</v>
      </c>
      <c r="B12" s="93">
        <v>136</v>
      </c>
      <c r="C12" s="93">
        <v>296</v>
      </c>
      <c r="D12" s="93">
        <v>456</v>
      </c>
      <c r="E12" s="93">
        <v>616</v>
      </c>
      <c r="F12" s="93">
        <v>776</v>
      </c>
      <c r="G12" s="93">
        <v>936</v>
      </c>
      <c r="H12" s="93">
        <v>1256</v>
      </c>
      <c r="I12" s="93">
        <v>1544</v>
      </c>
      <c r="K12" s="93" t="s">
        <v>238</v>
      </c>
      <c r="M12" s="93">
        <v>1045</v>
      </c>
      <c r="N12" s="93">
        <v>130</v>
      </c>
      <c r="O12" s="133" t="s">
        <v>240</v>
      </c>
      <c r="P12" s="93" t="s">
        <v>7</v>
      </c>
      <c r="Q12" s="93" t="s">
        <v>237</v>
      </c>
      <c r="Z12" s="197" t="s">
        <v>357</v>
      </c>
    </row>
    <row r="13" spans="1:114" x14ac:dyDescent="0.2">
      <c r="A13" s="93">
        <v>10</v>
      </c>
      <c r="B13" s="93">
        <v>144</v>
      </c>
      <c r="C13" s="93">
        <v>328</v>
      </c>
      <c r="D13" s="93">
        <v>504</v>
      </c>
      <c r="E13" s="93">
        <v>680</v>
      </c>
      <c r="F13" s="93">
        <v>872</v>
      </c>
      <c r="G13" s="93">
        <v>1000</v>
      </c>
      <c r="H13" s="93">
        <v>1384</v>
      </c>
      <c r="I13" s="93">
        <v>1736</v>
      </c>
      <c r="K13" s="93" t="s">
        <v>235</v>
      </c>
      <c r="M13" s="93">
        <v>1020</v>
      </c>
      <c r="N13" s="93">
        <v>105</v>
      </c>
      <c r="O13" s="93">
        <v>103</v>
      </c>
      <c r="P13" s="93" t="s">
        <v>7</v>
      </c>
      <c r="Q13" s="93" t="s">
        <v>241</v>
      </c>
      <c r="Z13" s="197" t="s">
        <v>358</v>
      </c>
    </row>
    <row r="14" spans="1:114" x14ac:dyDescent="0.2">
      <c r="A14" s="93">
        <v>11</v>
      </c>
      <c r="B14" s="93">
        <v>176</v>
      </c>
      <c r="C14" s="93">
        <v>376</v>
      </c>
      <c r="D14" s="93">
        <v>584</v>
      </c>
      <c r="E14" s="93">
        <v>776</v>
      </c>
      <c r="F14" s="93">
        <v>1000</v>
      </c>
      <c r="G14" s="93">
        <v>1192</v>
      </c>
      <c r="H14" s="93">
        <v>1608</v>
      </c>
      <c r="I14" s="93">
        <v>2024</v>
      </c>
      <c r="K14" s="93" t="s">
        <v>236</v>
      </c>
      <c r="M14" s="218">
        <v>13</v>
      </c>
      <c r="N14" s="218"/>
      <c r="O14" s="218"/>
      <c r="R14" s="93" t="s">
        <v>243</v>
      </c>
    </row>
    <row r="15" spans="1:114" x14ac:dyDescent="0.2">
      <c r="A15" s="93">
        <v>12</v>
      </c>
      <c r="B15" s="93">
        <v>208</v>
      </c>
      <c r="C15" s="93">
        <v>440</v>
      </c>
      <c r="D15" s="93">
        <v>680</v>
      </c>
      <c r="E15" s="93">
        <v>1000</v>
      </c>
      <c r="F15" s="93">
        <v>1128</v>
      </c>
      <c r="G15" s="93">
        <v>1352</v>
      </c>
      <c r="H15" s="93">
        <v>1800</v>
      </c>
      <c r="I15" s="93">
        <v>2280</v>
      </c>
      <c r="M15" s="93" t="s">
        <v>249</v>
      </c>
    </row>
    <row r="16" spans="1:114" x14ac:dyDescent="0.2">
      <c r="A16" s="93">
        <v>13</v>
      </c>
      <c r="B16" s="93">
        <v>224</v>
      </c>
      <c r="C16" s="93">
        <v>488</v>
      </c>
      <c r="D16" s="93">
        <v>744</v>
      </c>
      <c r="E16" s="93">
        <v>1032</v>
      </c>
      <c r="F16" s="93">
        <v>1256</v>
      </c>
      <c r="G16" s="93">
        <v>1544</v>
      </c>
      <c r="H16" s="93">
        <v>2024</v>
      </c>
      <c r="I16" s="93">
        <v>2536</v>
      </c>
    </row>
    <row r="17" spans="2:807 1227:1828 2427:3028 3627:3628 4227:4828 5427:6028 6627:6628 7227:7828 8427:9028 9627:10228" x14ac:dyDescent="0.2">
      <c r="K17" s="93" t="s">
        <v>255</v>
      </c>
      <c r="M17" s="93">
        <v>15</v>
      </c>
      <c r="N17" s="93" t="s">
        <v>226</v>
      </c>
    </row>
    <row r="18" spans="2:807 1227:1828 2427:3028 3627:3628 4227:4828 5427:6028 6627:6628 7227:7828 8427:9028 9627:10228" x14ac:dyDescent="0.2">
      <c r="B18" s="93" t="s">
        <v>156</v>
      </c>
      <c r="C18" s="93" t="s">
        <v>157</v>
      </c>
      <c r="D18" s="205" t="s">
        <v>389</v>
      </c>
      <c r="K18" s="93" t="s">
        <v>256</v>
      </c>
      <c r="M18" s="93">
        <v>12</v>
      </c>
    </row>
    <row r="19" spans="2:807 1227:1828 2427:3028 3627:3628 4227:4828 5427:6028 6627:6628 7227:7828 8427:9028 9627:10228" x14ac:dyDescent="0.2">
      <c r="B19" s="94">
        <v>40</v>
      </c>
      <c r="C19" s="94">
        <v>28</v>
      </c>
      <c r="D19" s="94">
        <v>26.7</v>
      </c>
      <c r="E19" s="94">
        <v>28</v>
      </c>
      <c r="F19" s="94">
        <v>28.8</v>
      </c>
      <c r="G19" s="94">
        <v>29.3</v>
      </c>
      <c r="H19" s="94">
        <v>29</v>
      </c>
      <c r="I19" s="94">
        <v>28</v>
      </c>
      <c r="K19" s="93" t="s">
        <v>257</v>
      </c>
      <c r="M19" s="93">
        <f>IF(AND(M17=N4,M18=N5),O5,IF(AND(M17=N4,M18=N6),O6,IF(AND(M17=N4,M18=N7),O7,IF(AND(M17=N4,M18=N8),O8,IF(M17=Q4,R5,0)))))</f>
        <v>1</v>
      </c>
      <c r="N19" s="93" t="s">
        <v>146</v>
      </c>
      <c r="Y19" s="197" t="s">
        <v>96</v>
      </c>
      <c r="Z19" s="197" t="s">
        <v>337</v>
      </c>
      <c r="AA19" s="200"/>
      <c r="AB19" s="201"/>
      <c r="AC19" s="201"/>
      <c r="BE19" s="200"/>
      <c r="CI19" s="200"/>
      <c r="CJ19" s="201"/>
      <c r="CK19" s="201"/>
      <c r="DM19" s="200"/>
      <c r="DN19" s="201"/>
      <c r="DO19" s="201"/>
      <c r="EQ19" s="200"/>
      <c r="ER19" s="201"/>
      <c r="ES19" s="201"/>
      <c r="FU19" s="200"/>
      <c r="FV19" s="201"/>
      <c r="FW19" s="201"/>
      <c r="GY19" s="200"/>
      <c r="GZ19" s="201"/>
      <c r="HA19" s="201"/>
      <c r="IC19" s="200"/>
      <c r="ID19" s="201"/>
      <c r="IE19" s="201"/>
      <c r="JG19" s="200"/>
      <c r="JH19" s="201"/>
      <c r="JI19" s="201"/>
      <c r="KK19" s="200"/>
      <c r="KL19" s="201"/>
      <c r="KM19" s="201"/>
      <c r="LO19" s="200"/>
      <c r="LP19" s="201"/>
      <c r="LQ19" s="201"/>
      <c r="MS19" s="200"/>
      <c r="NW19" s="200"/>
      <c r="NX19" s="201"/>
      <c r="NY19" s="201"/>
      <c r="PA19" s="200"/>
      <c r="PB19" s="201"/>
      <c r="PC19" s="201"/>
      <c r="QE19" s="200"/>
      <c r="QF19" s="201"/>
      <c r="QG19" s="201"/>
      <c r="RI19" s="200"/>
      <c r="RJ19" s="201"/>
      <c r="RK19" s="201"/>
      <c r="SM19" s="200"/>
      <c r="TQ19" s="200"/>
      <c r="TR19" s="201"/>
      <c r="TS19" s="201"/>
      <c r="UU19" s="200"/>
      <c r="UV19" s="201"/>
      <c r="UW19" s="201"/>
      <c r="VY19" s="200"/>
      <c r="VZ19" s="201"/>
      <c r="WA19" s="201"/>
      <c r="XC19" s="200"/>
      <c r="XD19" s="201"/>
      <c r="XE19" s="201"/>
      <c r="YG19" s="200"/>
      <c r="ZK19" s="200"/>
      <c r="ZL19" s="201"/>
      <c r="ZM19" s="201"/>
      <c r="AAO19" s="200"/>
      <c r="AAP19" s="201"/>
      <c r="AAQ19" s="201"/>
      <c r="ABS19" s="200"/>
      <c r="ABT19" s="201"/>
      <c r="ABU19" s="201"/>
      <c r="ACW19" s="200"/>
      <c r="ACX19" s="201"/>
    </row>
    <row r="20" spans="2:807 1227:1828 2427:3028 3627:3628 4227:4828 5427:6028 6627:6628 7227:7828 8427:9028 9627:10228" x14ac:dyDescent="0.2">
      <c r="B20" s="94">
        <v>48</v>
      </c>
      <c r="C20" s="94">
        <v>40</v>
      </c>
      <c r="D20" s="94">
        <v>37.299999999999997</v>
      </c>
      <c r="E20" s="94">
        <v>42</v>
      </c>
      <c r="F20" s="94">
        <v>40</v>
      </c>
      <c r="G20" s="94">
        <v>38.700000000000003</v>
      </c>
      <c r="H20" s="94">
        <v>35</v>
      </c>
      <c r="I20" s="94">
        <v>36.799999999999997</v>
      </c>
      <c r="Z20" s="197" t="s">
        <v>310</v>
      </c>
      <c r="AB20" s="200"/>
      <c r="BF20" s="200"/>
      <c r="CJ20" s="200"/>
      <c r="DN20" s="200"/>
      <c r="ER20" s="200"/>
      <c r="FV20" s="200"/>
      <c r="GZ20" s="200"/>
      <c r="ID20" s="200"/>
      <c r="JH20" s="200"/>
      <c r="KL20" s="200"/>
      <c r="LP20" s="200"/>
      <c r="MT20" s="200"/>
      <c r="NX20" s="200"/>
      <c r="PB20" s="200"/>
      <c r="QF20" s="200"/>
      <c r="RJ20" s="200"/>
      <c r="SN20" s="200"/>
      <c r="TR20" s="200"/>
      <c r="UV20" s="200"/>
      <c r="VZ20" s="200"/>
      <c r="XD20" s="200"/>
      <c r="YH20" s="200"/>
      <c r="ZL20" s="200"/>
      <c r="AAP20" s="200"/>
      <c r="ABT20" s="200"/>
      <c r="ACX20" s="200"/>
    </row>
    <row r="21" spans="2:807 1227:1828 2427:3028 3627:3628 4227:4828 5427:6028 6627:6628 7227:7828 8427:9028 9627:10228" x14ac:dyDescent="0.2">
      <c r="B21" s="94">
        <v>56</v>
      </c>
      <c r="C21" s="94">
        <v>48</v>
      </c>
      <c r="D21" s="94">
        <v>56</v>
      </c>
      <c r="E21" s="94">
        <v>50</v>
      </c>
      <c r="F21" s="94">
        <v>46.4</v>
      </c>
      <c r="G21" s="94">
        <v>46.7</v>
      </c>
      <c r="H21" s="94">
        <v>44</v>
      </c>
      <c r="I21" s="94">
        <v>44.8</v>
      </c>
      <c r="K21" s="134" t="s">
        <v>250</v>
      </c>
    </row>
    <row r="22" spans="2:807 1227:1828 2427:3028 3627:3628 4227:4828 5427:6028 6627:6628 7227:7828 8427:9028 9627:10228" x14ac:dyDescent="0.2">
      <c r="B22" s="94">
        <v>64</v>
      </c>
      <c r="C22" s="94">
        <v>64</v>
      </c>
      <c r="D22" s="94">
        <v>66.7</v>
      </c>
      <c r="E22" s="94">
        <v>58</v>
      </c>
      <c r="F22" s="94">
        <v>56</v>
      </c>
      <c r="G22" s="94">
        <v>58.7</v>
      </c>
      <c r="H22" s="94">
        <v>58</v>
      </c>
      <c r="I22" s="94">
        <v>59.2</v>
      </c>
      <c r="K22" s="93" t="s">
        <v>244</v>
      </c>
      <c r="L22" s="93" t="s">
        <v>253</v>
      </c>
      <c r="M22" s="93">
        <f ca="1">ROUNDUP(8*($M$13+(2+2))/(INDIRECT("B" &amp; $M$14+3)),0)</f>
        <v>37</v>
      </c>
      <c r="N22" s="93">
        <f ca="1">ROUNDUP(8*($M$13+(2+2))/(INDIRECT("C" &amp; $M$14+3)),0)</f>
        <v>17</v>
      </c>
      <c r="O22" s="93">
        <f ca="1">ROUNDUP(8*($M$13+(2+2))/(INDIRECT("D" &amp; $M$14+3)),0)</f>
        <v>12</v>
      </c>
      <c r="P22" s="93">
        <f ca="1">ROUNDUP(8*($M$13+(2+2))/(INDIRECT("E" &amp; $M$14+3)),0)</f>
        <v>8</v>
      </c>
      <c r="Q22" s="93">
        <f ca="1">ROUNDUP(8*($M$13+(2+2))/(INDIRECT("F" &amp; $M$14+3)),0)</f>
        <v>7</v>
      </c>
      <c r="R22" s="93">
        <f ca="1">ROUNDUP(8*($M$13+(2+2))/(INDIRECT("G" &amp; $M$14+3)),0)</f>
        <v>6</v>
      </c>
      <c r="S22" s="93">
        <f ca="1">ROUNDUP(8*($M$13+(2+2))/(INDIRECT("H" &amp; $M$14+3)),0)</f>
        <v>5</v>
      </c>
      <c r="T22" s="93">
        <f ca="1">ROUNDUP(8*($M$13+(2+2))/(INDIRECT("I" &amp; $M$14+3)),0)</f>
        <v>4</v>
      </c>
      <c r="Y22" s="197" t="s">
        <v>97</v>
      </c>
      <c r="Z22" s="197" t="s">
        <v>337</v>
      </c>
      <c r="AA22" s="200"/>
      <c r="AB22" s="201"/>
      <c r="AC22" s="201"/>
      <c r="BD22" s="201"/>
      <c r="BE22" s="201"/>
      <c r="BF22" s="201"/>
      <c r="BG22" s="201"/>
      <c r="BH22" s="201"/>
      <c r="BI22" s="201"/>
      <c r="BJ22" s="201"/>
      <c r="BK22" s="201"/>
      <c r="BL22" s="201"/>
      <c r="BM22" s="201"/>
      <c r="BN22" s="201"/>
      <c r="BO22" s="201"/>
      <c r="BP22" s="201"/>
      <c r="BQ22" s="201"/>
      <c r="BR22" s="201"/>
      <c r="BS22" s="201"/>
      <c r="BT22" s="201"/>
      <c r="BU22" s="201"/>
      <c r="BV22" s="201"/>
      <c r="BW22" s="201"/>
      <c r="BX22" s="201"/>
      <c r="BY22" s="201"/>
      <c r="BZ22" s="201"/>
      <c r="CA22" s="201"/>
      <c r="CB22" s="201"/>
      <c r="CC22" s="201"/>
      <c r="CD22" s="201"/>
      <c r="CE22" s="201"/>
      <c r="CF22" s="201"/>
      <c r="CG22" s="201"/>
      <c r="CH22" s="201"/>
      <c r="CI22" s="201"/>
      <c r="CJ22" s="201"/>
      <c r="CK22" s="201"/>
      <c r="CL22" s="201"/>
      <c r="CM22" s="201"/>
      <c r="CN22" s="201"/>
      <c r="CO22" s="201"/>
      <c r="CP22" s="201"/>
      <c r="CQ22" s="201"/>
      <c r="CR22" s="201"/>
      <c r="CS22" s="201"/>
      <c r="CT22" s="201"/>
      <c r="CU22" s="201"/>
      <c r="CV22" s="201"/>
      <c r="CW22" s="201"/>
      <c r="CX22" s="201"/>
      <c r="CY22" s="201"/>
      <c r="CZ22" s="201"/>
      <c r="DA22" s="201"/>
      <c r="DB22" s="201"/>
      <c r="DC22" s="201"/>
      <c r="DD22" s="201"/>
      <c r="DE22" s="201"/>
      <c r="DF22" s="201"/>
      <c r="DG22" s="201"/>
      <c r="DH22" s="201"/>
      <c r="DI22" s="201"/>
      <c r="DJ22" s="201"/>
      <c r="DK22" s="201"/>
      <c r="DL22" s="201"/>
      <c r="DM22" s="201"/>
      <c r="DN22" s="201"/>
      <c r="DO22" s="201"/>
      <c r="DP22" s="201"/>
      <c r="DQ22" s="201"/>
      <c r="DR22" s="201"/>
      <c r="DS22" s="201"/>
      <c r="DT22" s="201"/>
      <c r="DU22" s="201"/>
      <c r="DV22" s="201"/>
      <c r="DW22" s="201"/>
      <c r="DX22" s="201"/>
      <c r="DY22" s="201"/>
      <c r="DZ22" s="201"/>
      <c r="EA22" s="201"/>
      <c r="EB22" s="201"/>
      <c r="EC22" s="201"/>
      <c r="ED22" s="201"/>
      <c r="EE22" s="201"/>
      <c r="EF22" s="201"/>
      <c r="EG22" s="201"/>
      <c r="EH22" s="201"/>
      <c r="EI22" s="201"/>
      <c r="EJ22" s="201"/>
      <c r="EK22" s="201"/>
      <c r="EL22" s="201"/>
      <c r="EM22" s="201"/>
      <c r="EN22" s="201"/>
      <c r="EO22" s="201"/>
      <c r="EP22" s="201"/>
      <c r="EQ22" s="201"/>
      <c r="ER22" s="201"/>
      <c r="ES22" s="201"/>
      <c r="ET22" s="201"/>
      <c r="FU22" s="200"/>
      <c r="FV22" s="201"/>
      <c r="FW22" s="201"/>
      <c r="GX22" s="201"/>
      <c r="GY22" s="201"/>
      <c r="GZ22" s="201"/>
      <c r="HA22" s="201"/>
      <c r="HB22" s="201"/>
      <c r="HC22" s="201"/>
      <c r="HD22" s="201"/>
      <c r="HE22" s="201"/>
      <c r="HF22" s="201"/>
      <c r="HG22" s="201"/>
      <c r="HH22" s="201"/>
      <c r="HI22" s="201"/>
      <c r="HJ22" s="201"/>
      <c r="HK22" s="201"/>
      <c r="HL22" s="201"/>
      <c r="HM22" s="201"/>
      <c r="HN22" s="201"/>
      <c r="HO22" s="201"/>
      <c r="HP22" s="201"/>
      <c r="HQ22" s="201"/>
      <c r="HR22" s="201"/>
      <c r="HS22" s="201"/>
      <c r="HT22" s="201"/>
      <c r="HU22" s="201"/>
      <c r="HV22" s="201"/>
      <c r="HW22" s="201"/>
      <c r="HX22" s="201"/>
      <c r="HY22" s="201"/>
      <c r="HZ22" s="201"/>
      <c r="IA22" s="201"/>
      <c r="IB22" s="201"/>
      <c r="IC22" s="201"/>
      <c r="ID22" s="201"/>
      <c r="IE22" s="201"/>
      <c r="IF22" s="201"/>
      <c r="IG22" s="201"/>
      <c r="IH22" s="201"/>
      <c r="II22" s="201"/>
      <c r="IJ22" s="201"/>
      <c r="IK22" s="201"/>
      <c r="IL22" s="201"/>
      <c r="IM22" s="201"/>
      <c r="IN22" s="201"/>
      <c r="IO22" s="201"/>
      <c r="IP22" s="201"/>
      <c r="IQ22" s="201"/>
      <c r="IR22" s="201"/>
      <c r="IS22" s="201"/>
      <c r="IT22" s="201"/>
      <c r="IU22" s="201"/>
      <c r="IV22" s="201"/>
      <c r="IW22" s="201"/>
      <c r="IX22" s="201"/>
      <c r="IY22" s="201"/>
      <c r="IZ22" s="201"/>
      <c r="JA22" s="201"/>
      <c r="JB22" s="201"/>
      <c r="JC22" s="201"/>
      <c r="JD22" s="201"/>
      <c r="JE22" s="201"/>
      <c r="JF22" s="201"/>
      <c r="JG22" s="201"/>
      <c r="JH22" s="201"/>
      <c r="JI22" s="201"/>
      <c r="JJ22" s="201"/>
      <c r="JK22" s="201"/>
      <c r="JL22" s="201"/>
      <c r="JM22" s="201"/>
      <c r="JN22" s="201"/>
      <c r="JO22" s="201"/>
      <c r="JP22" s="201"/>
      <c r="JQ22" s="201"/>
      <c r="JR22" s="201"/>
      <c r="JS22" s="201"/>
      <c r="JT22" s="201"/>
      <c r="JU22" s="201"/>
      <c r="JV22" s="201"/>
      <c r="JW22" s="201"/>
      <c r="JX22" s="201"/>
      <c r="JY22" s="201"/>
      <c r="JZ22" s="201"/>
      <c r="KA22" s="201"/>
      <c r="KB22" s="201"/>
      <c r="KC22" s="201"/>
      <c r="KD22" s="201"/>
      <c r="KE22" s="201"/>
      <c r="KF22" s="201"/>
      <c r="KG22" s="201"/>
      <c r="KH22" s="201"/>
      <c r="KI22" s="201"/>
      <c r="KJ22" s="201"/>
      <c r="KK22" s="201"/>
      <c r="KL22" s="201"/>
      <c r="KM22" s="201"/>
      <c r="KN22" s="201"/>
      <c r="LO22" s="200"/>
      <c r="LP22" s="201"/>
      <c r="LQ22" s="201"/>
      <c r="MR22" s="201"/>
      <c r="MS22" s="201"/>
      <c r="MT22" s="201"/>
      <c r="MU22" s="201"/>
      <c r="MV22" s="201"/>
      <c r="MW22" s="201"/>
      <c r="MX22" s="201"/>
      <c r="MY22" s="201"/>
      <c r="MZ22" s="201"/>
      <c r="NA22" s="201"/>
      <c r="NB22" s="201"/>
      <c r="NC22" s="201"/>
      <c r="ND22" s="201"/>
      <c r="NE22" s="201"/>
      <c r="NF22" s="201"/>
      <c r="NG22" s="201"/>
      <c r="NH22" s="201"/>
      <c r="NI22" s="201"/>
      <c r="NJ22" s="201"/>
      <c r="NK22" s="201"/>
      <c r="NL22" s="201"/>
      <c r="NM22" s="201"/>
      <c r="NN22" s="201"/>
      <c r="NO22" s="201"/>
      <c r="NP22" s="201"/>
      <c r="NQ22" s="201"/>
      <c r="NR22" s="201"/>
      <c r="NS22" s="201"/>
      <c r="NT22" s="201"/>
      <c r="NU22" s="201"/>
      <c r="NV22" s="201"/>
      <c r="NW22" s="201"/>
      <c r="NX22" s="201"/>
      <c r="NY22" s="201"/>
      <c r="NZ22" s="201"/>
      <c r="OA22" s="201"/>
      <c r="OB22" s="201"/>
      <c r="OC22" s="201"/>
      <c r="OD22" s="201"/>
      <c r="OE22" s="201"/>
      <c r="OF22" s="201"/>
      <c r="OG22" s="201"/>
      <c r="OH22" s="201"/>
      <c r="OI22" s="201"/>
      <c r="OJ22" s="201"/>
      <c r="OK22" s="201"/>
      <c r="OL22" s="201"/>
      <c r="OM22" s="201"/>
      <c r="ON22" s="201"/>
      <c r="OO22" s="201"/>
      <c r="OP22" s="201"/>
      <c r="OQ22" s="201"/>
      <c r="OR22" s="201"/>
      <c r="OS22" s="201"/>
      <c r="OT22" s="201"/>
      <c r="OU22" s="201"/>
      <c r="OV22" s="201"/>
      <c r="OW22" s="201"/>
      <c r="OX22" s="201"/>
      <c r="OY22" s="201"/>
      <c r="OZ22" s="201"/>
      <c r="PA22" s="201"/>
      <c r="PB22" s="201"/>
      <c r="PC22" s="201"/>
      <c r="PD22" s="201"/>
      <c r="PE22" s="201"/>
      <c r="PF22" s="201"/>
      <c r="PG22" s="201"/>
      <c r="PH22" s="201"/>
      <c r="PI22" s="201"/>
      <c r="PJ22" s="201"/>
      <c r="PK22" s="201"/>
      <c r="PL22" s="201"/>
      <c r="PM22" s="201"/>
      <c r="PN22" s="201"/>
      <c r="PO22" s="201"/>
      <c r="PP22" s="201"/>
      <c r="PQ22" s="201"/>
      <c r="PR22" s="201"/>
      <c r="PS22" s="201"/>
      <c r="PT22" s="201"/>
      <c r="PU22" s="201"/>
      <c r="PV22" s="201"/>
      <c r="PW22" s="201"/>
      <c r="PX22" s="201"/>
      <c r="PY22" s="201"/>
      <c r="PZ22" s="201"/>
      <c r="QA22" s="201"/>
      <c r="QB22" s="201"/>
      <c r="QC22" s="201"/>
      <c r="QD22" s="201"/>
      <c r="QE22" s="201"/>
      <c r="QF22" s="201"/>
      <c r="QG22" s="201"/>
      <c r="QH22" s="201"/>
      <c r="RI22" s="200"/>
      <c r="RJ22" s="201"/>
      <c r="RK22" s="201"/>
      <c r="SL22" s="201"/>
      <c r="SM22" s="201"/>
      <c r="SN22" s="201"/>
      <c r="SO22" s="201"/>
      <c r="SP22" s="201"/>
      <c r="SQ22" s="201"/>
      <c r="SR22" s="201"/>
      <c r="SS22" s="201"/>
      <c r="ST22" s="201"/>
      <c r="SU22" s="201"/>
      <c r="SV22" s="201"/>
      <c r="SW22" s="201"/>
      <c r="SX22" s="201"/>
      <c r="SY22" s="201"/>
      <c r="SZ22" s="201"/>
      <c r="TA22" s="201"/>
      <c r="TB22" s="201"/>
      <c r="TC22" s="201"/>
      <c r="TD22" s="201"/>
      <c r="TE22" s="201"/>
      <c r="TF22" s="201"/>
      <c r="TG22" s="201"/>
      <c r="TH22" s="201"/>
      <c r="TI22" s="201"/>
      <c r="TJ22" s="201"/>
      <c r="TK22" s="201"/>
      <c r="TL22" s="201"/>
      <c r="TM22" s="201"/>
      <c r="TN22" s="201"/>
      <c r="TO22" s="201"/>
      <c r="TP22" s="201"/>
      <c r="TQ22" s="201"/>
      <c r="TR22" s="201"/>
      <c r="TS22" s="201"/>
      <c r="TT22" s="201"/>
      <c r="TU22" s="201"/>
      <c r="TV22" s="201"/>
      <c r="TW22" s="201"/>
      <c r="TX22" s="201"/>
      <c r="TY22" s="201"/>
      <c r="TZ22" s="201"/>
      <c r="UA22" s="201"/>
      <c r="UB22" s="201"/>
      <c r="UC22" s="201"/>
      <c r="UD22" s="201"/>
      <c r="UE22" s="201"/>
      <c r="UF22" s="201"/>
      <c r="UG22" s="201"/>
      <c r="UH22" s="201"/>
      <c r="UI22" s="201"/>
      <c r="UJ22" s="201"/>
      <c r="UK22" s="201"/>
      <c r="UL22" s="201"/>
      <c r="UM22" s="201"/>
      <c r="UN22" s="201"/>
      <c r="UO22" s="201"/>
      <c r="UP22" s="201"/>
      <c r="UQ22" s="201"/>
      <c r="UR22" s="201"/>
      <c r="US22" s="201"/>
      <c r="UT22" s="201"/>
      <c r="UU22" s="201"/>
      <c r="UV22" s="201"/>
      <c r="UW22" s="201"/>
      <c r="UX22" s="201"/>
      <c r="UY22" s="201"/>
      <c r="UZ22" s="201"/>
      <c r="VA22" s="201"/>
      <c r="VB22" s="201"/>
      <c r="VC22" s="201"/>
      <c r="VD22" s="201"/>
      <c r="VE22" s="201"/>
      <c r="VF22" s="201"/>
      <c r="VG22" s="201"/>
      <c r="VH22" s="201"/>
      <c r="VI22" s="201"/>
      <c r="VJ22" s="201"/>
      <c r="VK22" s="201"/>
      <c r="VL22" s="201"/>
      <c r="VM22" s="201"/>
      <c r="VN22" s="201"/>
      <c r="VO22" s="201"/>
      <c r="VP22" s="201"/>
      <c r="VQ22" s="201"/>
      <c r="VR22" s="201"/>
      <c r="VS22" s="201"/>
      <c r="VT22" s="201"/>
      <c r="VU22" s="201"/>
      <c r="VV22" s="201"/>
      <c r="VW22" s="201"/>
      <c r="VX22" s="201"/>
      <c r="VY22" s="201"/>
      <c r="VZ22" s="201"/>
      <c r="WA22" s="201"/>
      <c r="WB22" s="201"/>
      <c r="XC22" s="200"/>
      <c r="XD22" s="201"/>
      <c r="XE22" s="201"/>
      <c r="YF22" s="201"/>
      <c r="YG22" s="201"/>
      <c r="YH22" s="201"/>
      <c r="YI22" s="201"/>
      <c r="YJ22" s="201"/>
      <c r="YK22" s="201"/>
      <c r="YL22" s="201"/>
      <c r="YM22" s="201"/>
      <c r="YN22" s="201"/>
      <c r="YO22" s="201"/>
      <c r="YP22" s="201"/>
      <c r="YQ22" s="201"/>
      <c r="YR22" s="201"/>
      <c r="YS22" s="201"/>
      <c r="YT22" s="201"/>
      <c r="YU22" s="201"/>
      <c r="YV22" s="201"/>
      <c r="YW22" s="201"/>
      <c r="YX22" s="201"/>
      <c r="YY22" s="201"/>
      <c r="YZ22" s="201"/>
      <c r="ZA22" s="201"/>
      <c r="ZB22" s="201"/>
      <c r="ZC22" s="201"/>
      <c r="ZD22" s="201"/>
      <c r="ZE22" s="201"/>
      <c r="ZF22" s="201"/>
      <c r="ZG22" s="201"/>
      <c r="ZH22" s="201"/>
      <c r="ZI22" s="201"/>
      <c r="ZJ22" s="201"/>
      <c r="ZK22" s="201"/>
      <c r="ZL22" s="201"/>
      <c r="ZM22" s="201"/>
      <c r="ZN22" s="201"/>
      <c r="ZO22" s="201"/>
      <c r="ZP22" s="201"/>
      <c r="ZQ22" s="201"/>
      <c r="ZR22" s="201"/>
      <c r="ZS22" s="201"/>
      <c r="ZT22" s="201"/>
      <c r="ZU22" s="201"/>
      <c r="ZV22" s="201"/>
      <c r="ZW22" s="201"/>
      <c r="ZX22" s="201"/>
      <c r="ZY22" s="201"/>
      <c r="ZZ22" s="201"/>
      <c r="AAA22" s="201"/>
      <c r="AAB22" s="201"/>
      <c r="AAC22" s="201"/>
      <c r="AAD22" s="201"/>
      <c r="AAE22" s="201"/>
      <c r="AAF22" s="201"/>
      <c r="AAG22" s="201"/>
      <c r="AAH22" s="201"/>
      <c r="AAI22" s="201"/>
      <c r="AAJ22" s="201"/>
      <c r="AAK22" s="201"/>
      <c r="AAL22" s="201"/>
      <c r="AAM22" s="201"/>
      <c r="AAN22" s="201"/>
      <c r="AAO22" s="201"/>
      <c r="AAP22" s="201"/>
      <c r="AAQ22" s="201"/>
      <c r="AAR22" s="201"/>
      <c r="AAS22" s="201"/>
      <c r="AAT22" s="201"/>
      <c r="AAU22" s="201"/>
      <c r="AAV22" s="201"/>
      <c r="AAW22" s="201"/>
      <c r="AAX22" s="201"/>
      <c r="AAY22" s="201"/>
      <c r="AAZ22" s="201"/>
      <c r="ABA22" s="201"/>
      <c r="ABB22" s="201"/>
      <c r="ABC22" s="201"/>
      <c r="ABD22" s="201"/>
      <c r="ABE22" s="201"/>
      <c r="ABF22" s="201"/>
      <c r="ABG22" s="201"/>
      <c r="ABH22" s="201"/>
      <c r="ABI22" s="201"/>
      <c r="ABJ22" s="201"/>
      <c r="ABK22" s="201"/>
      <c r="ABL22" s="201"/>
      <c r="ABM22" s="201"/>
      <c r="ABN22" s="201"/>
      <c r="ABO22" s="201"/>
      <c r="ABP22" s="201"/>
      <c r="ABQ22" s="201"/>
      <c r="ABR22" s="201"/>
      <c r="ABS22" s="201"/>
      <c r="ABT22" s="201"/>
      <c r="ABU22" s="201"/>
      <c r="ABV22" s="201"/>
      <c r="ACW22" s="200"/>
      <c r="ACX22" s="201"/>
    </row>
    <row r="23" spans="2:807 1227:1828 2427:3028 3627:3628 4227:4828 5427:6028 6627:6628 7227:7828 8427:9028 9627:10228" x14ac:dyDescent="0.2">
      <c r="B23" s="94">
        <v>80</v>
      </c>
      <c r="C23" s="94">
        <v>72</v>
      </c>
      <c r="D23" s="94">
        <v>77.3</v>
      </c>
      <c r="E23" s="94">
        <v>70</v>
      </c>
      <c r="F23" s="94">
        <v>70.400000000000006</v>
      </c>
      <c r="G23" s="94">
        <v>72</v>
      </c>
      <c r="H23" s="94">
        <v>72</v>
      </c>
      <c r="I23" s="94">
        <v>70.400000000000006</v>
      </c>
      <c r="K23" s="93" t="s">
        <v>248</v>
      </c>
      <c r="M23" s="93">
        <f ca="1">$M$13*8-FLOOR($M$13*8/(INDIRECT("B" &amp; $M$14+3)),1)*(INDIRECT("B" &amp; $M$14+3))</f>
        <v>96</v>
      </c>
      <c r="N23" s="93">
        <f ca="1">$M$13*8-FLOOR($M$13*8/(INDIRECT("C" &amp; $M$14+3)),1)*(INDIRECT("C" &amp; $M$14+3))</f>
        <v>352</v>
      </c>
      <c r="O23" s="93">
        <f ca="1">$M$13*8-FLOOR($M$13*8/(INDIRECT("D" &amp; $M$14+3)),1)*(INDIRECT("D" &amp; $M$14+3))</f>
        <v>720</v>
      </c>
      <c r="P23" s="93">
        <f ca="1">$M$13*8-FLOOR($M$13*8/(INDIRECT("E" &amp; $M$14+3)),1)*(INDIRECT("E" &amp; $M$14+3))</f>
        <v>936</v>
      </c>
      <c r="Q23" s="93">
        <f ca="1">$M$13*8-FLOOR($M$13*8/(INDIRECT("F" &amp; $M$14+3)),1)*(INDIRECT("F" &amp; $M$14+3))</f>
        <v>624</v>
      </c>
      <c r="R23" s="93">
        <f ca="1">$M$13*8-FLOOR($M$13*8/(INDIRECT("G" &amp; $M$14+3)),1)*(INDIRECT("G" &amp; $M$14+3))</f>
        <v>440</v>
      </c>
      <c r="S23" s="93">
        <f ca="1">$M$13*8-FLOOR($M$13*8/(INDIRECT("H" &amp; $M$14+3)),1)*(INDIRECT("H" &amp; $M$14+3))</f>
        <v>64</v>
      </c>
      <c r="T23" s="93">
        <f ca="1">$M$13*8-FLOOR($M$13*8/(INDIRECT("I" &amp; $M$14+3)),1)*(INDIRECT("I" &amp; $M$14+3))</f>
        <v>552</v>
      </c>
      <c r="Z23" s="197" t="s">
        <v>310</v>
      </c>
      <c r="AB23" s="200"/>
      <c r="BD23" s="201"/>
      <c r="BE23" s="201"/>
      <c r="BF23" s="201"/>
      <c r="BG23" s="201"/>
      <c r="BH23" s="201"/>
      <c r="BI23" s="201"/>
      <c r="BJ23" s="201"/>
      <c r="BK23" s="201"/>
      <c r="BL23" s="201"/>
      <c r="BM23" s="201"/>
      <c r="BN23" s="201"/>
      <c r="BO23" s="201"/>
      <c r="BP23" s="201"/>
      <c r="BQ23" s="201"/>
      <c r="BR23" s="201"/>
      <c r="BS23" s="201"/>
      <c r="BT23" s="201"/>
      <c r="BU23" s="201"/>
      <c r="BV23" s="201"/>
      <c r="BW23" s="201"/>
      <c r="BX23" s="201"/>
      <c r="BY23" s="201"/>
      <c r="BZ23" s="201"/>
      <c r="CA23" s="201"/>
      <c r="CB23" s="201"/>
      <c r="CC23" s="201"/>
      <c r="CD23" s="201"/>
      <c r="CE23" s="201"/>
      <c r="CF23" s="201"/>
      <c r="CG23" s="201"/>
      <c r="CH23" s="201"/>
      <c r="CI23" s="201"/>
      <c r="CJ23" s="201"/>
      <c r="CK23" s="201"/>
      <c r="CL23" s="201"/>
      <c r="CM23" s="201"/>
      <c r="CN23" s="201"/>
      <c r="CO23" s="201"/>
      <c r="CP23" s="201"/>
      <c r="CQ23" s="201"/>
      <c r="CR23" s="201"/>
      <c r="CS23" s="201"/>
      <c r="CT23" s="201"/>
      <c r="CU23" s="201"/>
      <c r="CV23" s="201"/>
      <c r="CW23" s="201"/>
      <c r="CX23" s="201"/>
      <c r="CY23" s="201"/>
      <c r="CZ23" s="201"/>
      <c r="DA23" s="201"/>
      <c r="DB23" s="201"/>
      <c r="DC23" s="201"/>
      <c r="DD23" s="201"/>
      <c r="DE23" s="201"/>
      <c r="DF23" s="201"/>
      <c r="DG23" s="201"/>
      <c r="DH23" s="201"/>
      <c r="DI23" s="201"/>
      <c r="DJ23" s="201"/>
      <c r="DK23" s="201"/>
      <c r="DL23" s="201"/>
      <c r="DM23" s="201"/>
      <c r="DN23" s="201"/>
      <c r="DO23" s="201"/>
      <c r="DP23" s="201"/>
      <c r="DQ23" s="201"/>
      <c r="DR23" s="201"/>
      <c r="DS23" s="201"/>
      <c r="DT23" s="201"/>
      <c r="DU23" s="201"/>
      <c r="DV23" s="201"/>
      <c r="DW23" s="201"/>
      <c r="DX23" s="201"/>
      <c r="DY23" s="201"/>
      <c r="DZ23" s="201"/>
      <c r="EA23" s="201"/>
      <c r="EB23" s="201"/>
      <c r="EC23" s="201"/>
      <c r="ED23" s="201"/>
      <c r="EE23" s="201"/>
      <c r="EF23" s="201"/>
      <c r="EG23" s="201"/>
      <c r="EH23" s="201"/>
      <c r="EI23" s="201"/>
      <c r="EJ23" s="201"/>
      <c r="EK23" s="201"/>
      <c r="EL23" s="201"/>
      <c r="EM23" s="201"/>
      <c r="EN23" s="201"/>
      <c r="EO23" s="201"/>
      <c r="EP23" s="201"/>
      <c r="EQ23" s="201"/>
      <c r="ER23" s="201"/>
      <c r="ES23" s="201"/>
      <c r="ET23" s="201"/>
      <c r="FV23" s="200"/>
      <c r="GX23" s="201"/>
      <c r="GY23" s="201"/>
      <c r="GZ23" s="201"/>
      <c r="HA23" s="201"/>
      <c r="HB23" s="201"/>
      <c r="HC23" s="201"/>
      <c r="HD23" s="201"/>
      <c r="HE23" s="201"/>
      <c r="HF23" s="201"/>
      <c r="HG23" s="201"/>
      <c r="HH23" s="201"/>
      <c r="HI23" s="201"/>
      <c r="HJ23" s="201"/>
      <c r="HK23" s="201"/>
      <c r="HL23" s="201"/>
      <c r="HM23" s="201"/>
      <c r="HN23" s="201"/>
      <c r="HO23" s="201"/>
      <c r="HP23" s="201"/>
      <c r="HQ23" s="201"/>
      <c r="HR23" s="201"/>
      <c r="HS23" s="201"/>
      <c r="HT23" s="201"/>
      <c r="HU23" s="201"/>
      <c r="HV23" s="201"/>
      <c r="HW23" s="201"/>
      <c r="HX23" s="201"/>
      <c r="HY23" s="201"/>
      <c r="HZ23" s="201"/>
      <c r="IA23" s="201"/>
      <c r="IB23" s="201"/>
      <c r="IC23" s="201"/>
      <c r="ID23" s="201"/>
      <c r="IE23" s="201"/>
      <c r="IF23" s="201"/>
      <c r="IG23" s="201"/>
      <c r="IH23" s="201"/>
      <c r="II23" s="201"/>
      <c r="IJ23" s="201"/>
      <c r="IK23" s="201"/>
      <c r="IL23" s="201"/>
      <c r="IM23" s="201"/>
      <c r="IN23" s="201"/>
      <c r="IO23" s="201"/>
      <c r="IP23" s="201"/>
      <c r="IQ23" s="201"/>
      <c r="IR23" s="201"/>
      <c r="IS23" s="201"/>
      <c r="IT23" s="201"/>
      <c r="IU23" s="201"/>
      <c r="IV23" s="201"/>
      <c r="IW23" s="201"/>
      <c r="IX23" s="201"/>
      <c r="IY23" s="201"/>
      <c r="IZ23" s="201"/>
      <c r="JA23" s="201"/>
      <c r="JB23" s="201"/>
      <c r="JC23" s="201"/>
      <c r="JD23" s="201"/>
      <c r="JE23" s="201"/>
      <c r="JF23" s="201"/>
      <c r="JG23" s="201"/>
      <c r="JH23" s="201"/>
      <c r="JI23" s="201"/>
      <c r="JJ23" s="201"/>
      <c r="JK23" s="201"/>
      <c r="JL23" s="201"/>
      <c r="JM23" s="201"/>
      <c r="JN23" s="201"/>
      <c r="JO23" s="201"/>
      <c r="JP23" s="201"/>
      <c r="JQ23" s="201"/>
      <c r="JR23" s="201"/>
      <c r="JS23" s="201"/>
      <c r="JT23" s="201"/>
      <c r="JU23" s="201"/>
      <c r="JV23" s="201"/>
      <c r="JW23" s="201"/>
      <c r="JX23" s="201"/>
      <c r="JY23" s="201"/>
      <c r="JZ23" s="201"/>
      <c r="KA23" s="201"/>
      <c r="KB23" s="201"/>
      <c r="KC23" s="201"/>
      <c r="KD23" s="201"/>
      <c r="KE23" s="201"/>
      <c r="KF23" s="201"/>
      <c r="KG23" s="201"/>
      <c r="KH23" s="201"/>
      <c r="KI23" s="201"/>
      <c r="KJ23" s="201"/>
      <c r="KK23" s="201"/>
      <c r="KL23" s="201"/>
      <c r="KM23" s="201"/>
      <c r="KN23" s="201"/>
      <c r="LP23" s="200"/>
      <c r="MR23" s="201"/>
      <c r="MS23" s="201"/>
      <c r="MT23" s="201"/>
      <c r="MU23" s="201"/>
      <c r="MV23" s="201"/>
      <c r="MW23" s="201"/>
      <c r="MX23" s="201"/>
      <c r="MY23" s="201"/>
      <c r="MZ23" s="201"/>
      <c r="NA23" s="201"/>
      <c r="NB23" s="201"/>
      <c r="NC23" s="201"/>
      <c r="ND23" s="201"/>
      <c r="NE23" s="201"/>
      <c r="NF23" s="201"/>
      <c r="NG23" s="201"/>
      <c r="NH23" s="201"/>
      <c r="NI23" s="201"/>
      <c r="NJ23" s="201"/>
      <c r="NK23" s="201"/>
      <c r="NL23" s="201"/>
      <c r="NM23" s="201"/>
      <c r="NN23" s="201"/>
      <c r="NO23" s="201"/>
      <c r="NP23" s="201"/>
      <c r="NQ23" s="201"/>
      <c r="NR23" s="201"/>
      <c r="NS23" s="201"/>
      <c r="NT23" s="201"/>
      <c r="NU23" s="201"/>
      <c r="NV23" s="201"/>
      <c r="NW23" s="201"/>
      <c r="NX23" s="201"/>
      <c r="NY23" s="201"/>
      <c r="NZ23" s="201"/>
      <c r="OA23" s="201"/>
      <c r="OB23" s="201"/>
      <c r="OC23" s="201"/>
      <c r="OD23" s="201"/>
      <c r="OE23" s="201"/>
      <c r="OF23" s="201"/>
      <c r="OG23" s="201"/>
      <c r="OH23" s="201"/>
      <c r="OI23" s="201"/>
      <c r="OJ23" s="201"/>
      <c r="OK23" s="201"/>
      <c r="OL23" s="201"/>
      <c r="OM23" s="201"/>
      <c r="ON23" s="201"/>
      <c r="OO23" s="201"/>
      <c r="OP23" s="201"/>
      <c r="OQ23" s="201"/>
      <c r="OR23" s="201"/>
      <c r="OS23" s="201"/>
      <c r="OT23" s="201"/>
      <c r="OU23" s="201"/>
      <c r="OV23" s="201"/>
      <c r="OW23" s="201"/>
      <c r="OX23" s="201"/>
      <c r="OY23" s="201"/>
      <c r="OZ23" s="201"/>
      <c r="PA23" s="201"/>
      <c r="PB23" s="201"/>
      <c r="PC23" s="201"/>
      <c r="PD23" s="201"/>
      <c r="PE23" s="201"/>
      <c r="PF23" s="201"/>
      <c r="PG23" s="201"/>
      <c r="PH23" s="201"/>
      <c r="PI23" s="201"/>
      <c r="PJ23" s="201"/>
      <c r="PK23" s="201"/>
      <c r="PL23" s="201"/>
      <c r="PM23" s="201"/>
      <c r="PN23" s="201"/>
      <c r="PO23" s="201"/>
      <c r="PP23" s="201"/>
      <c r="PQ23" s="201"/>
      <c r="PR23" s="201"/>
      <c r="PS23" s="201"/>
      <c r="PT23" s="201"/>
      <c r="PU23" s="201"/>
      <c r="PV23" s="201"/>
      <c r="PW23" s="201"/>
      <c r="PX23" s="201"/>
      <c r="PY23" s="201"/>
      <c r="PZ23" s="201"/>
      <c r="QA23" s="201"/>
      <c r="QB23" s="201"/>
      <c r="QC23" s="201"/>
      <c r="QD23" s="201"/>
      <c r="QE23" s="201"/>
      <c r="QF23" s="201"/>
      <c r="QG23" s="201"/>
      <c r="QH23" s="201"/>
      <c r="RJ23" s="200"/>
      <c r="SL23" s="201"/>
      <c r="SM23" s="201"/>
      <c r="SN23" s="201"/>
      <c r="SO23" s="201"/>
      <c r="SP23" s="201"/>
      <c r="SQ23" s="201"/>
      <c r="SR23" s="201"/>
      <c r="SS23" s="201"/>
      <c r="ST23" s="201"/>
      <c r="SU23" s="201"/>
      <c r="SV23" s="201"/>
      <c r="SW23" s="201"/>
      <c r="SX23" s="201"/>
      <c r="SY23" s="201"/>
      <c r="SZ23" s="201"/>
      <c r="TA23" s="201"/>
      <c r="TB23" s="201"/>
      <c r="TC23" s="201"/>
      <c r="TD23" s="201"/>
      <c r="TE23" s="201"/>
      <c r="TF23" s="201"/>
      <c r="TG23" s="201"/>
      <c r="TH23" s="201"/>
      <c r="TI23" s="201"/>
      <c r="TJ23" s="201"/>
      <c r="TK23" s="201"/>
      <c r="TL23" s="201"/>
      <c r="TM23" s="201"/>
      <c r="TN23" s="201"/>
      <c r="TO23" s="201"/>
      <c r="TP23" s="201"/>
      <c r="TQ23" s="201"/>
      <c r="TR23" s="201"/>
      <c r="TS23" s="201"/>
      <c r="TT23" s="201"/>
      <c r="TU23" s="201"/>
      <c r="TV23" s="201"/>
      <c r="TW23" s="201"/>
      <c r="TX23" s="201"/>
      <c r="TY23" s="201"/>
      <c r="TZ23" s="201"/>
      <c r="UA23" s="201"/>
      <c r="UB23" s="201"/>
      <c r="UC23" s="201"/>
      <c r="UD23" s="201"/>
      <c r="UE23" s="201"/>
      <c r="UF23" s="201"/>
      <c r="UG23" s="201"/>
      <c r="UH23" s="201"/>
      <c r="UI23" s="201"/>
      <c r="UJ23" s="201"/>
      <c r="UK23" s="201"/>
      <c r="UL23" s="201"/>
      <c r="UM23" s="201"/>
      <c r="UN23" s="201"/>
      <c r="UO23" s="201"/>
      <c r="UP23" s="201"/>
      <c r="UQ23" s="201"/>
      <c r="UR23" s="201"/>
      <c r="US23" s="201"/>
      <c r="UT23" s="201"/>
      <c r="UU23" s="201"/>
      <c r="UV23" s="201"/>
      <c r="UW23" s="201"/>
      <c r="UX23" s="201"/>
      <c r="UY23" s="201"/>
      <c r="UZ23" s="201"/>
      <c r="VA23" s="201"/>
      <c r="VB23" s="201"/>
      <c r="VC23" s="201"/>
      <c r="VD23" s="201"/>
      <c r="VE23" s="201"/>
      <c r="VF23" s="201"/>
      <c r="VG23" s="201"/>
      <c r="VH23" s="201"/>
      <c r="VI23" s="201"/>
      <c r="VJ23" s="201"/>
      <c r="VK23" s="201"/>
      <c r="VL23" s="201"/>
      <c r="VM23" s="201"/>
      <c r="VN23" s="201"/>
      <c r="VO23" s="201"/>
      <c r="VP23" s="201"/>
      <c r="VQ23" s="201"/>
      <c r="VR23" s="201"/>
      <c r="VS23" s="201"/>
      <c r="VT23" s="201"/>
      <c r="VU23" s="201"/>
      <c r="VV23" s="201"/>
      <c r="VW23" s="201"/>
      <c r="VX23" s="201"/>
      <c r="VY23" s="201"/>
      <c r="VZ23" s="201"/>
      <c r="WA23" s="201"/>
      <c r="WB23" s="201"/>
      <c r="XD23" s="200"/>
      <c r="YF23" s="201"/>
      <c r="YG23" s="201"/>
      <c r="YH23" s="201"/>
      <c r="YI23" s="201"/>
      <c r="YJ23" s="201"/>
      <c r="YK23" s="201"/>
      <c r="YL23" s="201"/>
      <c r="YM23" s="201"/>
      <c r="YN23" s="201"/>
      <c r="YO23" s="201"/>
      <c r="YP23" s="201"/>
      <c r="YQ23" s="201"/>
      <c r="YR23" s="201"/>
      <c r="YS23" s="201"/>
      <c r="YT23" s="201"/>
      <c r="YU23" s="201"/>
      <c r="YV23" s="201"/>
      <c r="YW23" s="201"/>
      <c r="YX23" s="201"/>
      <c r="YY23" s="201"/>
      <c r="YZ23" s="201"/>
      <c r="ZA23" s="201"/>
      <c r="ZB23" s="201"/>
      <c r="ZC23" s="201"/>
      <c r="ZD23" s="201"/>
      <c r="ZE23" s="201"/>
      <c r="ZF23" s="201"/>
      <c r="ZG23" s="201"/>
      <c r="ZH23" s="201"/>
      <c r="ZI23" s="201"/>
      <c r="ZJ23" s="201"/>
      <c r="ZK23" s="201"/>
      <c r="ZL23" s="201"/>
      <c r="ZM23" s="201"/>
      <c r="ZN23" s="201"/>
      <c r="ZO23" s="201"/>
      <c r="ZP23" s="201"/>
      <c r="ZQ23" s="201"/>
      <c r="ZR23" s="201"/>
      <c r="ZS23" s="201"/>
      <c r="ZT23" s="201"/>
      <c r="ZU23" s="201"/>
      <c r="ZV23" s="201"/>
      <c r="ZW23" s="201"/>
      <c r="ZX23" s="201"/>
      <c r="ZY23" s="201"/>
      <c r="ZZ23" s="201"/>
      <c r="AAA23" s="201"/>
      <c r="AAB23" s="201"/>
      <c r="AAC23" s="201"/>
      <c r="AAD23" s="201"/>
      <c r="AAE23" s="201"/>
      <c r="AAF23" s="201"/>
      <c r="AAG23" s="201"/>
      <c r="AAH23" s="201"/>
      <c r="AAI23" s="201"/>
      <c r="AAJ23" s="201"/>
      <c r="AAK23" s="201"/>
      <c r="AAL23" s="201"/>
      <c r="AAM23" s="201"/>
      <c r="AAN23" s="201"/>
      <c r="AAO23" s="201"/>
      <c r="AAP23" s="201"/>
      <c r="AAQ23" s="201"/>
      <c r="AAR23" s="201"/>
      <c r="AAS23" s="201"/>
      <c r="AAT23" s="201"/>
      <c r="AAU23" s="201"/>
      <c r="AAV23" s="201"/>
      <c r="AAW23" s="201"/>
      <c r="AAX23" s="201"/>
      <c r="AAY23" s="201"/>
      <c r="AAZ23" s="201"/>
      <c r="ABA23" s="201"/>
      <c r="ABB23" s="201"/>
      <c r="ABC23" s="201"/>
      <c r="ABD23" s="201"/>
      <c r="ABE23" s="201"/>
      <c r="ABF23" s="201"/>
      <c r="ABG23" s="201"/>
      <c r="ABH23" s="201"/>
      <c r="ABI23" s="201"/>
      <c r="ABJ23" s="201"/>
      <c r="ABK23" s="201"/>
      <c r="ABL23" s="201"/>
      <c r="ABM23" s="201"/>
      <c r="ABN23" s="201"/>
      <c r="ABO23" s="201"/>
      <c r="ABP23" s="201"/>
      <c r="ABQ23" s="201"/>
      <c r="ABR23" s="201"/>
      <c r="ABS23" s="201"/>
      <c r="ABT23" s="201"/>
      <c r="ABU23" s="201"/>
      <c r="ABV23" s="201"/>
      <c r="ACX23" s="200"/>
    </row>
    <row r="24" spans="2:807 1227:1828 2427:3028 3627:3628 4227:4828 5427:6028 6627:6628 7227:7828 8427:9028 9627:10228" x14ac:dyDescent="0.2">
      <c r="B24" s="94">
        <v>96</v>
      </c>
      <c r="C24" s="94">
        <v>84</v>
      </c>
      <c r="D24" s="94">
        <v>82.7</v>
      </c>
      <c r="E24" s="94">
        <v>88</v>
      </c>
      <c r="F24" s="94">
        <v>89.6</v>
      </c>
      <c r="G24" s="94">
        <v>88</v>
      </c>
      <c r="H24" s="94">
        <v>88</v>
      </c>
      <c r="I24" s="94">
        <v>89.6</v>
      </c>
      <c r="GW24" s="201"/>
      <c r="GX24" s="201"/>
      <c r="GY24" s="201"/>
      <c r="GZ24" s="201"/>
      <c r="HA24" s="201"/>
      <c r="HB24" s="201"/>
      <c r="HC24" s="201"/>
      <c r="HD24" s="201"/>
      <c r="HE24" s="201"/>
      <c r="HF24" s="201"/>
      <c r="HG24" s="201"/>
      <c r="HH24" s="201"/>
      <c r="HI24" s="201"/>
      <c r="HJ24" s="201"/>
      <c r="HK24" s="201"/>
      <c r="HL24" s="201"/>
      <c r="HM24" s="201"/>
      <c r="HN24" s="201"/>
      <c r="HO24" s="201"/>
      <c r="HP24" s="201"/>
      <c r="HQ24" s="201"/>
      <c r="HR24" s="201"/>
      <c r="HS24" s="201"/>
      <c r="HT24" s="201"/>
      <c r="HU24" s="201"/>
      <c r="HV24" s="201"/>
      <c r="HW24" s="201"/>
      <c r="HX24" s="201"/>
      <c r="HY24" s="201"/>
      <c r="HZ24" s="201"/>
      <c r="IA24" s="201"/>
      <c r="IB24" s="201"/>
      <c r="IC24" s="201"/>
      <c r="ID24" s="201"/>
      <c r="IE24" s="201"/>
      <c r="IF24" s="201"/>
      <c r="IG24" s="201"/>
      <c r="IH24" s="201"/>
    </row>
    <row r="25" spans="2:807 1227:1828 2427:3028 3627:3628 4227:4828 5427:6028 6627:6628 7227:7828 8427:9028 9627:10228" x14ac:dyDescent="0.2">
      <c r="B25" s="94">
        <v>112</v>
      </c>
      <c r="C25" s="94">
        <v>100</v>
      </c>
      <c r="D25" s="94">
        <v>93.3</v>
      </c>
      <c r="E25" s="94">
        <v>104</v>
      </c>
      <c r="F25" s="94">
        <v>105.6</v>
      </c>
      <c r="G25" s="94">
        <v>104</v>
      </c>
      <c r="H25" s="94">
        <v>104</v>
      </c>
      <c r="I25" s="94">
        <v>102.4</v>
      </c>
      <c r="K25" s="93" t="s">
        <v>247</v>
      </c>
      <c r="L25" s="93" t="s">
        <v>246</v>
      </c>
      <c r="M25" s="93">
        <v>1</v>
      </c>
      <c r="N25" s="93">
        <v>2</v>
      </c>
      <c r="O25" s="93">
        <v>3</v>
      </c>
      <c r="P25" s="93">
        <v>4</v>
      </c>
      <c r="Q25" s="93">
        <v>5</v>
      </c>
      <c r="R25" s="93">
        <v>6</v>
      </c>
      <c r="S25" s="93">
        <v>8</v>
      </c>
      <c r="T25" s="93">
        <v>10</v>
      </c>
      <c r="Y25" s="197" t="s">
        <v>98</v>
      </c>
      <c r="Z25" s="197" t="s">
        <v>337</v>
      </c>
      <c r="AA25" s="200"/>
      <c r="AB25" s="201"/>
      <c r="XC25" s="200"/>
      <c r="XD25" s="201"/>
      <c r="AUE25" s="200"/>
      <c r="AUF25" s="201"/>
      <c r="BRG25" s="200"/>
      <c r="BRH25" s="201"/>
      <c r="COI25" s="200"/>
      <c r="COJ25" s="201"/>
      <c r="DLK25" s="200"/>
      <c r="DLL25" s="201"/>
      <c r="EIM25" s="200"/>
      <c r="EIN25" s="201"/>
      <c r="FFO25" s="200"/>
      <c r="FFP25" s="201"/>
      <c r="GCQ25" s="200"/>
      <c r="GCR25" s="201"/>
      <c r="GZS25" s="200"/>
      <c r="GZT25" s="201"/>
      <c r="HWU25" s="200"/>
      <c r="HWV25" s="201"/>
      <c r="ITW25" s="200"/>
      <c r="ITX25" s="201"/>
      <c r="JQY25" s="200"/>
      <c r="JQZ25" s="201"/>
      <c r="KOA25" s="200"/>
      <c r="KOB25" s="201"/>
      <c r="LLC25" s="200"/>
      <c r="LLD25" s="201"/>
      <c r="MIE25" s="200"/>
      <c r="MIF25" s="201"/>
      <c r="NFG25" s="200"/>
      <c r="NFH25" s="201"/>
      <c r="OCI25" s="200"/>
      <c r="OCJ25" s="201"/>
    </row>
    <row r="26" spans="2:807 1227:1828 2427:3028 3627:3628 4227:4828 5427:6028 6627:6628 7227:7828 8427:9028 9627:10228" x14ac:dyDescent="0.2">
      <c r="B26" s="94">
        <v>128</v>
      </c>
      <c r="C26" s="94">
        <v>124</v>
      </c>
      <c r="D26" s="94">
        <v>117.3</v>
      </c>
      <c r="E26" s="94">
        <v>124</v>
      </c>
      <c r="F26" s="94">
        <v>121.6</v>
      </c>
      <c r="G26" s="94">
        <v>122.7</v>
      </c>
      <c r="H26" s="94">
        <v>128</v>
      </c>
      <c r="I26" s="94">
        <v>124.8</v>
      </c>
      <c r="K26" s="93" t="s">
        <v>242</v>
      </c>
      <c r="M26" s="93">
        <f ca="1">IF((ROUNDUP(8*($M$13+2)/(INDIRECT("B" &amp; $M$14+3)),0))=1,1,IF((INDIRECT("B" &amp; $M$14+3))-M$23&gt;=8*(2+2)*M$22,M$22,M$22+1))</f>
        <v>38</v>
      </c>
      <c r="N26" s="93">
        <f ca="1">IF((ROUNDUP(8*($M$13+2)/(INDIRECT("C" &amp; $M$14+3)),0))=1,1,IF((INDIRECT("C" &amp; $M$14+3))-N$23&gt;=8*(2+2)*N$22,N$22,N$22+1))</f>
        <v>18</v>
      </c>
      <c r="O26" s="93">
        <f ca="1">IF((ROUNDUP(8*($M$13+2)/(INDIRECT("D" &amp; $M$14+3)),0))=1,1,IF((INDIRECT("D" &amp; $M$14+3))-O$23&gt;=8*(2+2)*O$22,O$22,O$22+1))</f>
        <v>13</v>
      </c>
      <c r="P26" s="93">
        <f ca="1">IF((ROUNDUP(8*($M$13+2)/(INDIRECT("E" &amp; $M$14+3)),0))=1,1,IF((INDIRECT("E" &amp; $M$14+3))-P$23&gt;=8*(2+2)*P$22,P$22,P$22+1))</f>
        <v>9</v>
      </c>
      <c r="Q26" s="93">
        <f ca="1">IF((ROUNDUP(8*($M$13+2)/(INDIRECT("F" &amp; $M$14+3)),0))=1,1,IF((INDIRECT("F" &amp; $M$14+3))-Q$23&gt;=8*(2+2)*Q$22,Q$22,Q$22+1))</f>
        <v>7</v>
      </c>
      <c r="R26" s="93">
        <f ca="1">IF((ROUNDUP(8*($M$13+2)/(INDIRECT("G" &amp; $M$14+3)),0))=1,1,IF((INDIRECT("G" &amp; $M$14+3))-R$23&gt;=8*(2+2)*R$22,R$22,R$22+1))</f>
        <v>6</v>
      </c>
      <c r="S26" s="93">
        <f ca="1">IF((ROUNDUP(8*($M$13+2)/(INDIRECT("H" &amp; $M$14+3)),0))=1,1,IF((INDIRECT("H" &amp; $M$14+3))-S$23&gt;=8*(2+2)*S$22,S$22,S$22+1))</f>
        <v>5</v>
      </c>
      <c r="T26" s="136">
        <f ca="1">IF((ROUNDUP(8*($M$13+2)/(INDIRECT("I" &amp; $M$14+3)),0))=1,1,IF((INDIRECT("I" &amp; $M$14+3))-T$23&gt;=8*(2+2)*T$22,T$22,T$22+1))</f>
        <v>4</v>
      </c>
      <c r="Z26" s="197" t="s">
        <v>310</v>
      </c>
      <c r="AB26" s="200"/>
      <c r="XD26" s="200"/>
      <c r="AUF26" s="200"/>
      <c r="BRH26" s="200"/>
      <c r="COJ26" s="200"/>
      <c r="DLL26" s="200"/>
      <c r="EIN26" s="200"/>
      <c r="FFP26" s="200"/>
      <c r="GCR26" s="200"/>
      <c r="GZT26" s="200"/>
      <c r="HWV26" s="200"/>
      <c r="ITX26" s="200"/>
      <c r="JQZ26" s="200"/>
      <c r="KOB26" s="200"/>
      <c r="LLD26" s="200"/>
      <c r="MIF26" s="200"/>
      <c r="NFH26" s="200"/>
      <c r="OCJ26" s="200"/>
    </row>
    <row r="27" spans="2:807 1227:1828 2427:3028 3627:3628 4227:4828 5427:6028 6627:6628 7227:7828 8427:9028 9627:10228" x14ac:dyDescent="0.2">
      <c r="B27" s="94">
        <v>144</v>
      </c>
      <c r="C27" s="94">
        <v>140</v>
      </c>
      <c r="D27" s="94">
        <v>138.69999999999999</v>
      </c>
      <c r="E27" s="94">
        <v>140</v>
      </c>
      <c r="F27" s="94">
        <v>140.80000000000001</v>
      </c>
      <c r="G27" s="94">
        <v>138.69999999999999</v>
      </c>
      <c r="H27" s="94">
        <v>140</v>
      </c>
      <c r="I27" s="94">
        <v>140.80000000000001</v>
      </c>
      <c r="M27" s="135">
        <f ca="1">IF(M$23&gt;=(2+2)*8,M$22,M$22+1)</f>
        <v>37</v>
      </c>
      <c r="N27" s="135" t="s">
        <v>254</v>
      </c>
    </row>
    <row r="28" spans="2:807 1227:1828 2427:3028 3627:3628 4227:4828 5427:6028 6627:6628 7227:7828 8427:9028 9627:10228" x14ac:dyDescent="0.2">
      <c r="B28" s="94">
        <v>160</v>
      </c>
      <c r="C28" s="94">
        <v>160</v>
      </c>
      <c r="D28" s="94">
        <v>160</v>
      </c>
      <c r="E28" s="94">
        <v>160</v>
      </c>
      <c r="F28" s="94">
        <v>160</v>
      </c>
      <c r="G28" s="94">
        <v>160</v>
      </c>
      <c r="H28" s="94">
        <v>160</v>
      </c>
      <c r="I28" s="94">
        <v>156.80000000000001</v>
      </c>
      <c r="K28" s="143" t="s">
        <v>271</v>
      </c>
      <c r="L28" s="143" t="s">
        <v>272</v>
      </c>
      <c r="M28" s="93">
        <f ca="1">$M$19*M$25*M$26</f>
        <v>38</v>
      </c>
      <c r="N28" s="93">
        <f t="shared" ref="N28:S28" ca="1" si="0">$M$19*N$25*N$26</f>
        <v>36</v>
      </c>
      <c r="O28" s="93">
        <f t="shared" ca="1" si="0"/>
        <v>39</v>
      </c>
      <c r="P28" s="93">
        <f t="shared" ca="1" si="0"/>
        <v>36</v>
      </c>
      <c r="Q28" s="137">
        <f t="shared" ca="1" si="0"/>
        <v>35</v>
      </c>
      <c r="R28" s="93">
        <f t="shared" ca="1" si="0"/>
        <v>36</v>
      </c>
      <c r="S28" s="93">
        <f t="shared" ca="1" si="0"/>
        <v>40</v>
      </c>
      <c r="T28" s="141">
        <f ca="1">$M$19*T$25*T$26</f>
        <v>40</v>
      </c>
      <c r="U28" s="93" t="s">
        <v>146</v>
      </c>
      <c r="Y28" s="197" t="s">
        <v>99</v>
      </c>
      <c r="Z28" s="197" t="s">
        <v>337</v>
      </c>
      <c r="AA28" s="200"/>
      <c r="AB28" s="201"/>
    </row>
    <row r="29" spans="2:807 1227:1828 2427:3028 3627:3628 4227:4828 5427:6028 6627:6628 7227:7828 8427:9028 9627:10228" x14ac:dyDescent="0.2">
      <c r="B29" s="94">
        <v>168</v>
      </c>
      <c r="C29" s="94">
        <v>176</v>
      </c>
      <c r="D29" s="94">
        <v>176</v>
      </c>
      <c r="E29" s="94">
        <v>176</v>
      </c>
      <c r="F29" s="94">
        <v>179.2</v>
      </c>
      <c r="G29" s="94">
        <v>170.7</v>
      </c>
      <c r="H29" s="94">
        <v>176</v>
      </c>
      <c r="I29" s="94">
        <v>176</v>
      </c>
      <c r="K29" s="143" t="s">
        <v>269</v>
      </c>
      <c r="L29" s="143" t="s">
        <v>270</v>
      </c>
      <c r="M29" s="93">
        <f ca="1">1+1*M$26</f>
        <v>39</v>
      </c>
      <c r="N29" s="93">
        <f t="shared" ref="N29:S29" ca="1" si="1">(1+1)*N$26</f>
        <v>36</v>
      </c>
      <c r="O29" s="93">
        <f t="shared" ca="1" si="1"/>
        <v>26</v>
      </c>
      <c r="P29" s="93">
        <f ca="1">(1+1)*P$26</f>
        <v>18</v>
      </c>
      <c r="Q29" s="93">
        <f t="shared" ca="1" si="1"/>
        <v>14</v>
      </c>
      <c r="R29" s="93">
        <f t="shared" ca="1" si="1"/>
        <v>12</v>
      </c>
      <c r="S29" s="93">
        <f t="shared" ca="1" si="1"/>
        <v>10</v>
      </c>
      <c r="T29" s="139">
        <f ca="1">(1+1)*T$26</f>
        <v>8</v>
      </c>
      <c r="U29" s="93" t="s">
        <v>146</v>
      </c>
      <c r="V29" s="93" t="s">
        <v>266</v>
      </c>
      <c r="Z29" s="197" t="s">
        <v>310</v>
      </c>
      <c r="AB29" s="200"/>
    </row>
    <row r="30" spans="2:807 1227:1828 2427:3028 3627:3628 4227:4828 5427:6028 6627:6628 7227:7828 8427:9028 9627:10228" x14ac:dyDescent="0.2">
      <c r="B30" s="94">
        <v>200</v>
      </c>
      <c r="C30" s="94">
        <v>200</v>
      </c>
      <c r="D30" s="94">
        <v>202.7</v>
      </c>
      <c r="E30" s="94">
        <v>200</v>
      </c>
      <c r="F30" s="94">
        <v>204.8</v>
      </c>
      <c r="G30" s="94">
        <v>202.7</v>
      </c>
      <c r="H30" s="94">
        <v>204</v>
      </c>
      <c r="I30" s="94">
        <v>204.8</v>
      </c>
      <c r="K30" s="93" t="s">
        <v>267</v>
      </c>
      <c r="M30" s="93">
        <f ca="1">SUM(M$28:M$29)</f>
        <v>77</v>
      </c>
      <c r="N30" s="93">
        <f t="shared" ref="N30:T30" ca="1" si="2">SUM(N$28:N$29)</f>
        <v>72</v>
      </c>
      <c r="O30" s="93">
        <f t="shared" ca="1" si="2"/>
        <v>65</v>
      </c>
      <c r="P30" s="93">
        <f t="shared" ca="1" si="2"/>
        <v>54</v>
      </c>
      <c r="Q30" s="93">
        <f t="shared" ca="1" si="2"/>
        <v>49</v>
      </c>
      <c r="R30" s="93">
        <f t="shared" ca="1" si="2"/>
        <v>48</v>
      </c>
      <c r="S30" s="93">
        <f t="shared" ca="1" si="2"/>
        <v>50</v>
      </c>
      <c r="T30" s="140">
        <f t="shared" ca="1" si="2"/>
        <v>48</v>
      </c>
      <c r="GCQ30" s="203" t="s">
        <v>370</v>
      </c>
    </row>
    <row r="31" spans="2:807 1227:1828 2427:3028 3627:3628 4227:4828 5427:6028 6627:6628 7227:7828 8427:9028 9627:10228" x14ac:dyDescent="0.2">
      <c r="B31" s="94">
        <v>232</v>
      </c>
      <c r="C31" s="94">
        <v>232</v>
      </c>
      <c r="D31" s="94">
        <v>234.7</v>
      </c>
      <c r="E31" s="94">
        <v>256</v>
      </c>
      <c r="F31" s="94">
        <v>230.4</v>
      </c>
      <c r="G31" s="94">
        <v>229.3</v>
      </c>
      <c r="H31" s="94">
        <v>228</v>
      </c>
      <c r="I31" s="94">
        <v>230.4</v>
      </c>
      <c r="K31" s="135" t="s">
        <v>258</v>
      </c>
      <c r="L31" s="135"/>
      <c r="M31" s="135"/>
      <c r="N31" s="135"/>
      <c r="O31" s="135"/>
      <c r="P31" s="135"/>
      <c r="Q31" s="135">
        <f ca="1">(INDIRECT("F" &amp; $M$14+35))</f>
        <v>7</v>
      </c>
      <c r="AA31" s="203" t="s">
        <v>360</v>
      </c>
      <c r="BE31" s="203" t="s">
        <v>359</v>
      </c>
      <c r="CI31" s="203" t="s">
        <v>361</v>
      </c>
      <c r="DM31" s="203" t="s">
        <v>362</v>
      </c>
      <c r="EQ31" s="203" t="s">
        <v>363</v>
      </c>
      <c r="FU31" s="203" t="s">
        <v>364</v>
      </c>
      <c r="GY31" s="203" t="s">
        <v>365</v>
      </c>
      <c r="IC31" s="203" t="s">
        <v>366</v>
      </c>
      <c r="JG31" s="203" t="s">
        <v>367</v>
      </c>
      <c r="KK31" s="203" t="s">
        <v>368</v>
      </c>
      <c r="LO31" s="203" t="s">
        <v>369</v>
      </c>
      <c r="MS31" s="203" t="s">
        <v>370</v>
      </c>
      <c r="NW31" s="203" t="s">
        <v>371</v>
      </c>
      <c r="PA31" s="203" t="s">
        <v>372</v>
      </c>
      <c r="QE31" s="203" t="s">
        <v>373</v>
      </c>
      <c r="RI31" s="203" t="s">
        <v>374</v>
      </c>
      <c r="SM31" s="203" t="s">
        <v>375</v>
      </c>
      <c r="TQ31" s="203" t="s">
        <v>376</v>
      </c>
      <c r="UU31" s="203" t="s">
        <v>377</v>
      </c>
      <c r="VY31" s="203" t="s">
        <v>378</v>
      </c>
      <c r="XC31" s="203" t="s">
        <v>379</v>
      </c>
      <c r="YG31" s="203" t="s">
        <v>380</v>
      </c>
      <c r="ZK31" s="203" t="s">
        <v>381</v>
      </c>
      <c r="AAO31" s="203" t="s">
        <v>382</v>
      </c>
      <c r="ABS31" s="203" t="s">
        <v>383</v>
      </c>
      <c r="ACW31" s="203" t="s">
        <v>384</v>
      </c>
      <c r="AEA31" s="203" t="s">
        <v>385</v>
      </c>
      <c r="AUE31" s="203" t="s">
        <v>386</v>
      </c>
      <c r="BRG31" s="203" t="s">
        <v>387</v>
      </c>
      <c r="COI31" s="203" t="s">
        <v>366</v>
      </c>
      <c r="DLK31" s="203" t="s">
        <v>367</v>
      </c>
      <c r="EIM31" s="203" t="s">
        <v>368</v>
      </c>
      <c r="FFO31" s="203" t="s">
        <v>369</v>
      </c>
      <c r="GZS31" s="203" t="s">
        <v>371</v>
      </c>
      <c r="HWU31" s="203" t="s">
        <v>372</v>
      </c>
      <c r="ITW31" s="203" t="s">
        <v>373</v>
      </c>
      <c r="JQY31" s="203" t="s">
        <v>374</v>
      </c>
      <c r="KOA31" s="203" t="s">
        <v>375</v>
      </c>
      <c r="LLC31" s="203" t="s">
        <v>376</v>
      </c>
      <c r="MIE31" s="203" t="s">
        <v>377</v>
      </c>
      <c r="NFG31" s="203" t="s">
        <v>378</v>
      </c>
      <c r="OCI31" s="203" t="s">
        <v>388</v>
      </c>
    </row>
    <row r="32" spans="2:807 1227:1828 2427:3028 3627:3628 4227:4828 5427:6028 6627:6628 7227:7828 8427:9028 9627:10228" x14ac:dyDescent="0.2">
      <c r="B32" s="94">
        <v>248</v>
      </c>
      <c r="C32" s="94">
        <v>256</v>
      </c>
      <c r="D32" s="94">
        <v>256</v>
      </c>
      <c r="E32" s="94">
        <v>264</v>
      </c>
      <c r="F32" s="94">
        <v>256</v>
      </c>
      <c r="G32" s="94">
        <v>261.3</v>
      </c>
      <c r="H32" s="94">
        <v>256</v>
      </c>
      <c r="I32" s="94">
        <v>256</v>
      </c>
      <c r="K32" s="93" t="s">
        <v>259</v>
      </c>
      <c r="M32" s="93" t="s">
        <v>260</v>
      </c>
      <c r="O32" s="93" t="s">
        <v>261</v>
      </c>
      <c r="Q32" s="93" t="s">
        <v>262</v>
      </c>
      <c r="R32" s="93" t="s">
        <v>263</v>
      </c>
    </row>
    <row r="34" spans="2:20" x14ac:dyDescent="0.2">
      <c r="B34" s="93" t="s">
        <v>158</v>
      </c>
      <c r="C34" s="93" t="s">
        <v>157</v>
      </c>
      <c r="K34" s="134" t="s">
        <v>251</v>
      </c>
    </row>
    <row r="35" spans="2:20" x14ac:dyDescent="0.2">
      <c r="B35" s="94">
        <v>-3.3</v>
      </c>
      <c r="C35" s="94">
        <v>-6.3</v>
      </c>
      <c r="D35" s="94">
        <v>-7.2</v>
      </c>
      <c r="E35" s="94">
        <v>-7.5</v>
      </c>
      <c r="F35" s="94">
        <v>-5.9</v>
      </c>
      <c r="G35" s="94">
        <v>-6.5</v>
      </c>
      <c r="H35" s="94">
        <v>-7</v>
      </c>
      <c r="I35" s="94">
        <v>-7.6</v>
      </c>
      <c r="K35" s="93" t="s">
        <v>244</v>
      </c>
      <c r="L35" s="93" t="s">
        <v>245</v>
      </c>
      <c r="M35" s="93">
        <f ca="1">ROUNDUP(8*($N$13+(2+2))/(INDIRECT("B" &amp; $M$14+3)),0)</f>
        <v>4</v>
      </c>
      <c r="N35" s="93">
        <f ca="1">ROUNDUP(8*($N$13+(2+2))/(INDIRECT("C" &amp; $M$14+3)),0)</f>
        <v>2</v>
      </c>
      <c r="O35" s="93">
        <f ca="1">ROUNDUP(8*($N$13+(2+2))/(INDIRECT("D" &amp; $M$14+3)),0)</f>
        <v>2</v>
      </c>
      <c r="P35" s="93">
        <f ca="1">ROUNDUP(8*($N$13+(2+2))/(INDIRECT("E" &amp; $M$14+3)),0)</f>
        <v>1</v>
      </c>
      <c r="Q35" s="93">
        <f ca="1">ROUNDUP(8*($N$13+(2+2))/(INDIRECT("F" &amp; $M$14+3)),0)</f>
        <v>1</v>
      </c>
      <c r="R35" s="93">
        <f ca="1">ROUNDUP(8*($N$13+(2+2))/(INDIRECT("G" &amp; $M$14+3)),0)</f>
        <v>1</v>
      </c>
      <c r="S35" s="93">
        <f ca="1">ROUNDUP(8*($N$13+(2+2))/(INDIRECT("H" &amp; $M$14+3)),0)</f>
        <v>1</v>
      </c>
      <c r="T35" s="93">
        <f ca="1">ROUNDUP(8*($N$13+(2+2))/(INDIRECT("I" &amp; $M$14+3)),0)</f>
        <v>1</v>
      </c>
    </row>
    <row r="36" spans="2:20" x14ac:dyDescent="0.2">
      <c r="B36" s="94">
        <v>-2.5</v>
      </c>
      <c r="C36" s="94">
        <v>-3.2</v>
      </c>
      <c r="D36" s="94">
        <v>-4.0999999999999996</v>
      </c>
      <c r="E36" s="94">
        <v>-3.8</v>
      </c>
      <c r="F36" s="94">
        <v>-4.3</v>
      </c>
      <c r="G36" s="94">
        <v>-4</v>
      </c>
      <c r="H36" s="94">
        <v>-6</v>
      </c>
      <c r="I36" s="94">
        <v>-6.4</v>
      </c>
      <c r="K36" s="93" t="s">
        <v>248</v>
      </c>
      <c r="M36" s="93">
        <f ca="1">$N$13*8-FLOOR($N$13*8/(INDIRECT("B" &amp; $M$14+3)),1)*(INDIRECT("B" &amp; $M$14+3))</f>
        <v>168</v>
      </c>
      <c r="N36" s="93">
        <f ca="1">$N$13*8-FLOOR($N$13*8/(INDIRECT("C" &amp; $M$14+3)),1)*(INDIRECT("C" &amp; $M$14+3))</f>
        <v>352</v>
      </c>
      <c r="O36" s="93">
        <f ca="1">$N$13*8-FLOOR($N$13*8/(INDIRECT("D" &amp; $M$14+3)),1)*(INDIRECT("D" &amp; $M$14+3))</f>
        <v>96</v>
      </c>
      <c r="P36" s="93">
        <f ca="1">$N$13*8-FLOOR($N$13*8/(INDIRECT("E" &amp; $M$14+3)),1)*(INDIRECT("E" &amp; $M$14+3))</f>
        <v>840</v>
      </c>
      <c r="Q36" s="93">
        <f ca="1">$N$13*8-FLOOR($N$13*8/(INDIRECT("F" &amp; $M$14+3)),1)*(INDIRECT("F" &amp; $M$14+3))</f>
        <v>840</v>
      </c>
      <c r="R36" s="93">
        <f ca="1">$N$13*8-FLOOR($N$13*8/(INDIRECT("G" &amp; $M$14+3)),1)*(INDIRECT("G" &amp; $M$14+3))</f>
        <v>840</v>
      </c>
      <c r="S36" s="93">
        <f ca="1">$N$13*8-FLOOR($N$13*8/(INDIRECT("H" &amp; $M$14+3)),1)*(INDIRECT("H" &amp; $M$14+3))</f>
        <v>840</v>
      </c>
      <c r="T36" s="93">
        <f ca="1">$N$13*8-FLOOR($N$13*8/(INDIRECT("I" &amp; $M$14+3)),1)*(INDIRECT("I" &amp; $M$14+3))</f>
        <v>840</v>
      </c>
    </row>
    <row r="37" spans="2:20" x14ac:dyDescent="0.2">
      <c r="B37" s="94">
        <v>-0.9</v>
      </c>
      <c r="C37" s="94">
        <v>-2.2000000000000002</v>
      </c>
      <c r="D37" s="94">
        <v>-2.1</v>
      </c>
      <c r="E37" s="94">
        <v>-2.9</v>
      </c>
      <c r="F37" s="94">
        <v>-4</v>
      </c>
      <c r="G37" s="94">
        <v>-4</v>
      </c>
      <c r="H37" s="94">
        <v>-5.2</v>
      </c>
      <c r="I37" s="94">
        <v>-5.4</v>
      </c>
    </row>
    <row r="38" spans="2:20" x14ac:dyDescent="0.2">
      <c r="B38" s="94">
        <v>0</v>
      </c>
      <c r="C38" s="94">
        <v>-0.5</v>
      </c>
      <c r="D38" s="94">
        <v>-1.2</v>
      </c>
      <c r="E38" s="94">
        <v>-2.2000000000000002</v>
      </c>
      <c r="F38" s="94">
        <v>-3.1</v>
      </c>
      <c r="G38" s="94">
        <v>-3.2</v>
      </c>
      <c r="H38" s="94">
        <v>-4.2</v>
      </c>
      <c r="I38" s="94">
        <v>-4</v>
      </c>
      <c r="K38" s="93" t="s">
        <v>247</v>
      </c>
      <c r="L38" s="93" t="s">
        <v>246</v>
      </c>
      <c r="M38" s="93">
        <v>1</v>
      </c>
      <c r="N38" s="93">
        <v>2</v>
      </c>
      <c r="O38" s="93">
        <v>3</v>
      </c>
      <c r="P38" s="93">
        <v>4</v>
      </c>
      <c r="Q38" s="93">
        <v>5</v>
      </c>
      <c r="R38" s="93">
        <v>6</v>
      </c>
      <c r="S38" s="93">
        <v>8</v>
      </c>
      <c r="T38" s="93">
        <v>10</v>
      </c>
    </row>
    <row r="39" spans="2:20" x14ac:dyDescent="0.2">
      <c r="B39" s="94">
        <v>0.9</v>
      </c>
      <c r="C39" s="94">
        <v>-0.1</v>
      </c>
      <c r="D39" s="94">
        <v>-0.5</v>
      </c>
      <c r="E39" s="94">
        <v>-1.2</v>
      </c>
      <c r="F39" s="94">
        <v>-1.7</v>
      </c>
      <c r="G39" s="94">
        <v>-1.8</v>
      </c>
      <c r="H39" s="94">
        <v>-3.2</v>
      </c>
      <c r="I39" s="94">
        <v>-3.7</v>
      </c>
      <c r="K39" s="93" t="s">
        <v>242</v>
      </c>
      <c r="M39" s="93">
        <f ca="1">IF((ROUNDUP(8*($N$13+2)/(INDIRECT("B" &amp; $M$14+3)),0))=1,1,IF((INDIRECT("B" &amp; $M$14+3))-M$36&gt;=8*(2+2)*M$35,M$35,M$35+1))</f>
        <v>5</v>
      </c>
      <c r="N39" s="93">
        <f ca="1">IF((ROUNDUP(8*($N$13+2)/(INDIRECT("C" &amp; $M$14+3)),0))=1,1,IF((INDIRECT("C" &amp; $M$14+3))-N$36&gt;=8*(2+2)*N$35,N$35,N$35+1))</f>
        <v>2</v>
      </c>
      <c r="O39" s="93">
        <f ca="1">IF((ROUNDUP(8*($N$13+2)/(INDIRECT("D" &amp; $M$14+3)),0))=1,1,IF((INDIRECT("D" &amp; $M$14+3))-O$36&gt;=8*(2+2)*O$35,O$35,O$35+1))</f>
        <v>2</v>
      </c>
      <c r="P39" s="136">
        <f ca="1">IF((ROUNDUP(8*($N$13+2)/(INDIRECT("E" &amp; $M$14+3)),0))=1,1,IF((INDIRECT("E" &amp; $M$14+3))-P$36&gt;=8*(2+2)*P$35,P$35,P$35+1))</f>
        <v>1</v>
      </c>
      <c r="Q39" s="93">
        <f ca="1">IF((ROUNDUP(8*($N$13+2)/(INDIRECT("F" &amp; $M$14+3)),0))=1,1,IF((INDIRECT("F" &amp; $M$14+3))-Q$36&gt;=8*(2+2)*Q$35,Q$35,Q$35+1))</f>
        <v>1</v>
      </c>
      <c r="R39" s="93">
        <f ca="1">IF((ROUNDUP(8*($N$13+2)/(INDIRECT("G" &amp; $M$14+3)),0))=1,1,IF((INDIRECT("G" &amp; $M$14+3))-R$36&gt;=8*(2+2)*R$35,R$35,R$35+1))</f>
        <v>1</v>
      </c>
      <c r="S39" s="93">
        <f ca="1">IF((ROUNDUP(8*($N$13+2)/(INDIRECT("H" &amp; $M$14+3)),0))=1,1,IF((INDIRECT("H" &amp; $M$14+3))-S$36&gt;=8*(2+2)*S$35,S$35,S$35+1))</f>
        <v>1</v>
      </c>
      <c r="T39" s="93">
        <f ca="1">IF((ROUNDUP(8*($N$13+2)/(INDIRECT("I" &amp; $M$14+3)),0))=1,1,IF((INDIRECT("I" &amp; $M$14+3))-T$36&gt;=8*(2+2)*T$35,T$35,T$35+1))</f>
        <v>1</v>
      </c>
    </row>
    <row r="40" spans="2:20" x14ac:dyDescent="0.2">
      <c r="B40" s="94">
        <v>1.6</v>
      </c>
      <c r="C40" s="94">
        <v>0.5</v>
      </c>
      <c r="D40" s="94">
        <v>-0.1</v>
      </c>
      <c r="E40" s="94">
        <v>-0.4</v>
      </c>
      <c r="F40" s="94">
        <v>-0.9</v>
      </c>
      <c r="G40" s="94">
        <v>-1.4</v>
      </c>
      <c r="H40" s="94">
        <v>-2</v>
      </c>
      <c r="I40" s="94">
        <v>-2.6</v>
      </c>
    </row>
    <row r="41" spans="2:20" x14ac:dyDescent="0.2">
      <c r="B41" s="94">
        <v>2.7</v>
      </c>
      <c r="C41" s="94">
        <v>1.6</v>
      </c>
      <c r="D41" s="94">
        <v>0.6</v>
      </c>
      <c r="E41" s="94">
        <v>0.6</v>
      </c>
      <c r="F41" s="94">
        <v>0</v>
      </c>
      <c r="G41" s="94">
        <v>-0.6</v>
      </c>
      <c r="H41" s="94">
        <v>-1.3</v>
      </c>
      <c r="I41" s="94">
        <v>-2</v>
      </c>
      <c r="K41" s="143" t="s">
        <v>271</v>
      </c>
      <c r="L41" s="143" t="s">
        <v>272</v>
      </c>
      <c r="M41" s="93">
        <f t="shared" ref="M41:T41" ca="1" si="3">$M$19*M$38*M$39</f>
        <v>5</v>
      </c>
      <c r="N41" s="137">
        <f t="shared" ca="1" si="3"/>
        <v>4</v>
      </c>
      <c r="O41" s="93">
        <f t="shared" ca="1" si="3"/>
        <v>6</v>
      </c>
      <c r="P41" s="142">
        <f t="shared" ca="1" si="3"/>
        <v>4</v>
      </c>
      <c r="Q41" s="93">
        <f t="shared" ca="1" si="3"/>
        <v>5</v>
      </c>
      <c r="R41" s="93">
        <f t="shared" ca="1" si="3"/>
        <v>6</v>
      </c>
      <c r="S41" s="93">
        <f t="shared" ca="1" si="3"/>
        <v>8</v>
      </c>
      <c r="T41" s="93">
        <f t="shared" ca="1" si="3"/>
        <v>10</v>
      </c>
    </row>
    <row r="42" spans="2:20" x14ac:dyDescent="0.2">
      <c r="B42" s="94">
        <v>3.7</v>
      </c>
      <c r="C42" s="94">
        <v>2.7</v>
      </c>
      <c r="D42" s="94">
        <v>1.7</v>
      </c>
      <c r="E42" s="94">
        <v>1.8</v>
      </c>
      <c r="F42" s="94">
        <v>0.6</v>
      </c>
      <c r="G42" s="94">
        <v>0.4</v>
      </c>
      <c r="H42" s="94">
        <v>-0.1</v>
      </c>
      <c r="I42" s="94">
        <v>-0.8</v>
      </c>
      <c r="K42" s="143" t="s">
        <v>269</v>
      </c>
      <c r="L42" s="143" t="s">
        <v>270</v>
      </c>
      <c r="M42" s="93">
        <f ca="1">(1+1)*M$39</f>
        <v>10</v>
      </c>
      <c r="N42" s="93">
        <f t="shared" ref="N42:T42" ca="1" si="4">(1+1)*N$39</f>
        <v>4</v>
      </c>
      <c r="O42" s="93">
        <f t="shared" ca="1" si="4"/>
        <v>4</v>
      </c>
      <c r="P42" s="139">
        <f ca="1">(1+1)*P$39</f>
        <v>2</v>
      </c>
      <c r="Q42" s="93">
        <f t="shared" ca="1" si="4"/>
        <v>2</v>
      </c>
      <c r="R42" s="93">
        <f t="shared" ca="1" si="4"/>
        <v>2</v>
      </c>
      <c r="S42" s="93">
        <f t="shared" ca="1" si="4"/>
        <v>2</v>
      </c>
      <c r="T42" s="93">
        <f t="shared" ca="1" si="4"/>
        <v>2</v>
      </c>
    </row>
    <row r="43" spans="2:20" x14ac:dyDescent="0.2">
      <c r="B43" s="94">
        <v>4.2</v>
      </c>
      <c r="C43" s="94">
        <v>3.6</v>
      </c>
      <c r="D43" s="94">
        <v>2.8</v>
      </c>
      <c r="E43" s="94">
        <v>2.4</v>
      </c>
      <c r="F43" s="94">
        <v>2.1</v>
      </c>
      <c r="G43" s="94">
        <v>1.2</v>
      </c>
      <c r="H43" s="94">
        <v>0.7</v>
      </c>
      <c r="I43" s="94">
        <v>-0.1</v>
      </c>
      <c r="K43" s="93" t="s">
        <v>267</v>
      </c>
      <c r="M43" s="93">
        <f ca="1">SUM(M$41:M$42)</f>
        <v>15</v>
      </c>
      <c r="N43" s="93">
        <f t="shared" ref="N43:T43" ca="1" si="5">SUM(N$41:N$42)</f>
        <v>8</v>
      </c>
      <c r="O43" s="93">
        <f t="shared" ca="1" si="5"/>
        <v>10</v>
      </c>
      <c r="P43" s="140">
        <f t="shared" ca="1" si="5"/>
        <v>6</v>
      </c>
      <c r="Q43" s="93">
        <f t="shared" ca="1" si="5"/>
        <v>7</v>
      </c>
      <c r="R43" s="93">
        <f t="shared" ca="1" si="5"/>
        <v>8</v>
      </c>
      <c r="S43" s="93">
        <f t="shared" ca="1" si="5"/>
        <v>10</v>
      </c>
      <c r="T43" s="93">
        <f t="shared" ca="1" si="5"/>
        <v>12</v>
      </c>
    </row>
    <row r="44" spans="2:20" x14ac:dyDescent="0.2">
      <c r="B44" s="94">
        <v>5.0999999999999996</v>
      </c>
      <c r="C44" s="94">
        <v>4.5</v>
      </c>
      <c r="D44" s="94">
        <v>3.7</v>
      </c>
      <c r="E44" s="94">
        <v>3.3</v>
      </c>
      <c r="F44" s="94">
        <v>2.8</v>
      </c>
      <c r="G44" s="94">
        <v>2.2000000000000002</v>
      </c>
      <c r="H44" s="94">
        <v>1.6</v>
      </c>
      <c r="I44" s="94">
        <v>3.6</v>
      </c>
      <c r="K44" s="135" t="s">
        <v>258</v>
      </c>
      <c r="L44" s="135"/>
      <c r="M44" s="135"/>
      <c r="N44" s="135">
        <f ca="1">(INDIRECT("C" &amp; $M$14+35))</f>
        <v>9.3000000000000007</v>
      </c>
      <c r="O44" s="135"/>
      <c r="P44" s="138">
        <f ca="1">(INDIRECT("E" &amp; $M$14+35))</f>
        <v>8.8000000000000007</v>
      </c>
      <c r="Q44" s="135">
        <f ca="1">(INDIRECT("F" &amp; $M$14+35))</f>
        <v>7</v>
      </c>
    </row>
    <row r="45" spans="2:20" x14ac:dyDescent="0.2">
      <c r="B45" s="94">
        <v>5.5</v>
      </c>
      <c r="C45" s="94">
        <v>5.2</v>
      </c>
      <c r="D45" s="94">
        <v>4.5999999999999996</v>
      </c>
      <c r="E45" s="94">
        <v>4</v>
      </c>
      <c r="F45" s="94">
        <v>4</v>
      </c>
      <c r="G45" s="94">
        <v>2.9</v>
      </c>
      <c r="H45" s="94">
        <v>2.1</v>
      </c>
      <c r="I45" s="94">
        <v>4.5</v>
      </c>
      <c r="K45" s="93" t="s">
        <v>259</v>
      </c>
      <c r="M45" s="93" t="s">
        <v>260</v>
      </c>
      <c r="O45" s="93" t="s">
        <v>264</v>
      </c>
      <c r="Q45" s="93" t="s">
        <v>262</v>
      </c>
      <c r="R45" s="93" t="s">
        <v>265</v>
      </c>
    </row>
    <row r="46" spans="2:20" x14ac:dyDescent="0.2">
      <c r="B46" s="94">
        <v>6.8</v>
      </c>
      <c r="C46" s="94">
        <v>6.5</v>
      </c>
      <c r="D46" s="94">
        <v>6</v>
      </c>
      <c r="E46" s="94">
        <v>5.5</v>
      </c>
      <c r="F46" s="94">
        <v>4.9000000000000004</v>
      </c>
      <c r="G46" s="94">
        <v>3.9</v>
      </c>
      <c r="H46" s="94">
        <v>3.4</v>
      </c>
      <c r="I46" s="94">
        <v>5.6</v>
      </c>
    </row>
    <row r="47" spans="2:20" x14ac:dyDescent="0.2">
      <c r="B47" s="94">
        <v>8.4</v>
      </c>
      <c r="C47" s="94">
        <v>7.8</v>
      </c>
      <c r="D47" s="94">
        <v>7.2</v>
      </c>
      <c r="E47" s="94">
        <v>8</v>
      </c>
      <c r="F47" s="94">
        <v>5.7</v>
      </c>
      <c r="G47" s="94">
        <v>5.3</v>
      </c>
      <c r="H47" s="94">
        <v>4.4000000000000004</v>
      </c>
      <c r="I47" s="94">
        <v>6.9</v>
      </c>
      <c r="K47" s="134" t="s">
        <v>252</v>
      </c>
    </row>
    <row r="48" spans="2:20" x14ac:dyDescent="0.2">
      <c r="B48" s="94">
        <v>9.5</v>
      </c>
      <c r="C48" s="94">
        <v>9.3000000000000007</v>
      </c>
      <c r="D48" s="94">
        <v>8.5</v>
      </c>
      <c r="E48" s="94">
        <v>8.8000000000000007</v>
      </c>
      <c r="F48" s="94">
        <v>7</v>
      </c>
      <c r="G48" s="94">
        <v>7</v>
      </c>
      <c r="H48" s="94">
        <v>5.9</v>
      </c>
      <c r="I48" s="94">
        <v>8</v>
      </c>
      <c r="K48" s="93" t="s">
        <v>244</v>
      </c>
      <c r="L48" s="93" t="s">
        <v>245</v>
      </c>
      <c r="M48" s="93">
        <f ca="1">ROUNDUP(8*($O$13+(2+2))/(INDIRECT("B" &amp; $M$14+3)),0)</f>
        <v>4</v>
      </c>
      <c r="N48" s="93">
        <f ca="1">ROUNDUP(8*($O$13+(2+2))/(INDIRECT("C" &amp; $M$14+3)),0)</f>
        <v>2</v>
      </c>
      <c r="O48" s="93">
        <f ca="1">ROUNDUP(8*($O$13+(2+2))/(INDIRECT("D" &amp; $M$14+3)),0)</f>
        <v>2</v>
      </c>
      <c r="P48" s="93">
        <f ca="1">ROUNDUP(8*($O$13+(2+2))/(INDIRECT("E" &amp; $M$14+3)),0)</f>
        <v>1</v>
      </c>
      <c r="Q48" s="93">
        <f ca="1">ROUNDUP(8*($O$13+(2+2))/(INDIRECT("F" &amp; $M$14+3)),0)</f>
        <v>1</v>
      </c>
      <c r="R48" s="93">
        <f ca="1">ROUNDUP(8*($O$13+(2+2))/(INDIRECT("G" &amp; $M$14+3)),0)</f>
        <v>1</v>
      </c>
      <c r="S48" s="93">
        <f ca="1">ROUNDUP(8*($O$13+(2+2))/(INDIRECT("H" &amp; $M$14+3)),0)</f>
        <v>1</v>
      </c>
      <c r="T48" s="93">
        <f ca="1">ROUNDUP(8*($O$13+(2+2))/(INDIRECT("I" &amp; $M$14+3)),0)</f>
        <v>1</v>
      </c>
    </row>
    <row r="49" spans="2:20" x14ac:dyDescent="0.2">
      <c r="B49" s="94"/>
      <c r="C49" s="94"/>
      <c r="D49" s="94"/>
      <c r="E49" s="94"/>
      <c r="F49" s="94"/>
      <c r="G49" s="94"/>
      <c r="H49" s="94"/>
      <c r="I49" s="94"/>
      <c r="K49" s="93" t="s">
        <v>248</v>
      </c>
      <c r="M49" s="93">
        <f ca="1">$O$13*8-FLOOR($O$13*8/(INDIRECT("B" &amp; $M$14+3)),1)*(INDIRECT("B" &amp; $M$14+3))</f>
        <v>152</v>
      </c>
      <c r="N49" s="93">
        <f ca="1">$O$13*8-FLOOR($O$13*8/(INDIRECT("C" &amp; $M$14+3)),1)*(INDIRECT("C" &amp; $M$14+3))</f>
        <v>336</v>
      </c>
      <c r="O49" s="93">
        <f ca="1">$O$13*8-FLOOR($O$13*8/(INDIRECT("D" &amp; $M$14+3)),1)*(INDIRECT("D" &amp; $M$14+3))</f>
        <v>80</v>
      </c>
      <c r="P49" s="93">
        <f ca="1">$O$13*8-FLOOR($O$13*8/(INDIRECT("E" &amp; $M$14+3)),1)*(INDIRECT("E" &amp; $M$14+3))</f>
        <v>824</v>
      </c>
      <c r="Q49" s="93">
        <f ca="1">$O$13*8-FLOOR($O$13*8/(INDIRECT("F" &amp; $M$14+3)),1)*(INDIRECT("F" &amp; $M$14+3))</f>
        <v>824</v>
      </c>
      <c r="R49" s="93">
        <f ca="1">$O$13*8-FLOOR($O$13*8/(INDIRECT("G" &amp; $M$14+3)),1)*(INDIRECT("G" &amp; $M$14+3))</f>
        <v>824</v>
      </c>
      <c r="S49" s="93">
        <f ca="1">$O$13*8-FLOOR($O$13*8/(INDIRECT("H" &amp; $M$14+3)),1)*(INDIRECT("H" &amp; $M$14+3))</f>
        <v>824</v>
      </c>
      <c r="T49" s="93">
        <f ca="1">$O$13*8-FLOOR($O$13*8/(INDIRECT("I" &amp; $M$14+3)),1)*(INDIRECT("I" &amp; $M$14+3))</f>
        <v>824</v>
      </c>
    </row>
    <row r="50" spans="2:20" x14ac:dyDescent="0.2">
      <c r="B50" s="94"/>
      <c r="C50" s="94"/>
      <c r="D50" s="94"/>
      <c r="E50" s="94"/>
      <c r="F50" s="94"/>
      <c r="G50" s="94"/>
      <c r="H50" s="94"/>
      <c r="I50" s="94"/>
    </row>
    <row r="51" spans="2:20" x14ac:dyDescent="0.2">
      <c r="K51" s="93" t="s">
        <v>247</v>
      </c>
      <c r="L51" s="93" t="s">
        <v>246</v>
      </c>
      <c r="M51" s="93">
        <v>1</v>
      </c>
      <c r="N51" s="93">
        <v>2</v>
      </c>
      <c r="O51" s="93">
        <v>3</v>
      </c>
      <c r="P51" s="93">
        <v>4</v>
      </c>
      <c r="Q51" s="93">
        <v>5</v>
      </c>
      <c r="R51" s="93">
        <v>6</v>
      </c>
      <c r="S51" s="93">
        <v>8</v>
      </c>
      <c r="T51" s="93">
        <v>10</v>
      </c>
    </row>
    <row r="52" spans="2:20" x14ac:dyDescent="0.2">
      <c r="B52" s="93" t="s">
        <v>159</v>
      </c>
      <c r="K52" s="93" t="s">
        <v>242</v>
      </c>
      <c r="M52" s="93">
        <f ca="1">IF((ROUNDUP(8*($O$13+2)/(INDIRECT("B" &amp; $M$14+3)),0))=1,1,IF((INDIRECT("B" &amp; $M$14+3))-M$49&gt;=8*(2+2)*M$48,M$48,M$48+1))</f>
        <v>5</v>
      </c>
      <c r="N52" s="93">
        <f ca="1">IF((ROUNDUP(8*($O$13+2)/(INDIRECT("C" &amp; $M$14+3)),0))=1,1,IF((INDIRECT("C" &amp; $M$14+3))-N$49&gt;=8*(2+2)*N$48,N$48,N$48+1))</f>
        <v>2</v>
      </c>
      <c r="O52" s="93">
        <f ca="1">IF((ROUNDUP(8*($O$13+2)/(INDIRECT("D" &amp; $M$14+3)),0))=1,1,IF((INDIRECT("D" &amp; $M$14+3))-O$49&gt;=8*(2+2)*O$48,O$48,O$48+1))</f>
        <v>2</v>
      </c>
      <c r="P52" s="136">
        <f ca="1">IF((ROUNDUP(8*($O$13+2)/(INDIRECT("E" &amp; $M$14+3)),0))=1,1,IF((INDIRECT("E" &amp; $M$14+3))-P$49&gt;=8*(2+2)*P$48,P$48,P$48+1))</f>
        <v>1</v>
      </c>
      <c r="Q52" s="93">
        <f ca="1">IF((ROUNDUP(8*($O$13+2)/(INDIRECT("F" &amp; $M$14+3)),0))=1,1,IF((INDIRECT("F" &amp; $M$14+3))-Q$49&gt;=8*(2+2)*Q$48,Q$48,Q$48+1))</f>
        <v>1</v>
      </c>
      <c r="R52" s="93">
        <f ca="1">IF((ROUNDUP(8*($O$13+2)/(INDIRECT("G" &amp; $M$14+3)),0))=1,1,IF((INDIRECT("G" &amp; $M$14+3))-R$49&gt;=8*(2+2)*R$48,R$48,R$48+1))</f>
        <v>1</v>
      </c>
      <c r="S52" s="93">
        <f ca="1">IF((ROUNDUP(8*($O$13+2)/(INDIRECT("H" &amp; $M$14+3)),0))=1,1,IF((INDIRECT("H" &amp; $M$14+3))-S$49&gt;=8*(2+2)*S$48,S$48,S$48+1))</f>
        <v>1</v>
      </c>
      <c r="T52" s="93">
        <f ca="1">IF((ROUNDUP(8*($O$13+2)/(INDIRECT("I" &amp; $M$14+3)),0))=1,1,IF((INDIRECT("I" &amp; $M$14+3))-T$49&gt;=8*(2+2)*T$48,T$48,T$48+1))</f>
        <v>1</v>
      </c>
    </row>
    <row r="53" spans="2:20" ht="15.75" x14ac:dyDescent="0.25">
      <c r="B53" s="95">
        <v>147.69999999999999</v>
      </c>
      <c r="C53" s="96">
        <v>150.69999999999999</v>
      </c>
      <c r="D53" s="96">
        <v>151.6</v>
      </c>
      <c r="E53" s="96">
        <v>151.9</v>
      </c>
      <c r="F53" s="96">
        <v>150.30000000000001</v>
      </c>
      <c r="G53" s="96">
        <v>150.9</v>
      </c>
      <c r="H53" s="96">
        <v>151.4</v>
      </c>
      <c r="I53" s="96">
        <v>152</v>
      </c>
    </row>
    <row r="54" spans="2:20" ht="15.75" x14ac:dyDescent="0.25">
      <c r="B54" s="95">
        <v>146.9</v>
      </c>
      <c r="C54" s="96">
        <v>147.6</v>
      </c>
      <c r="D54" s="96">
        <v>148.5</v>
      </c>
      <c r="E54" s="96">
        <v>148.19999999999999</v>
      </c>
      <c r="F54" s="96">
        <v>148.69999999999999</v>
      </c>
      <c r="G54" s="96">
        <v>148.4</v>
      </c>
      <c r="H54" s="96">
        <v>150.4</v>
      </c>
      <c r="I54" s="96">
        <v>150.80000000000001</v>
      </c>
      <c r="K54" s="143" t="s">
        <v>271</v>
      </c>
      <c r="L54" s="143" t="s">
        <v>272</v>
      </c>
      <c r="M54" s="93">
        <f t="shared" ref="M54:T54" ca="1" si="6">$M$19*M$51*M$52</f>
        <v>5</v>
      </c>
      <c r="N54" s="137">
        <f t="shared" ca="1" si="6"/>
        <v>4</v>
      </c>
      <c r="O54" s="93">
        <f t="shared" ca="1" si="6"/>
        <v>6</v>
      </c>
      <c r="P54" s="142">
        <f t="shared" ca="1" si="6"/>
        <v>4</v>
      </c>
      <c r="Q54" s="93">
        <f t="shared" ca="1" si="6"/>
        <v>5</v>
      </c>
      <c r="R54" s="93">
        <f t="shared" ca="1" si="6"/>
        <v>6</v>
      </c>
      <c r="S54" s="93">
        <f t="shared" ca="1" si="6"/>
        <v>8</v>
      </c>
      <c r="T54" s="93">
        <f t="shared" ca="1" si="6"/>
        <v>10</v>
      </c>
    </row>
    <row r="55" spans="2:20" ht="15.75" x14ac:dyDescent="0.25">
      <c r="B55" s="95">
        <v>145.30000000000001</v>
      </c>
      <c r="C55" s="96">
        <v>146.6</v>
      </c>
      <c r="D55" s="96">
        <v>146.5</v>
      </c>
      <c r="E55" s="96">
        <v>147.30000000000001</v>
      </c>
      <c r="F55" s="96">
        <v>148.4</v>
      </c>
      <c r="G55" s="96">
        <v>148.4</v>
      </c>
      <c r="H55" s="96">
        <v>149.6</v>
      </c>
      <c r="I55" s="96">
        <v>149.80000000000001</v>
      </c>
      <c r="K55" s="143" t="s">
        <v>269</v>
      </c>
      <c r="L55" s="143" t="s">
        <v>270</v>
      </c>
      <c r="M55" s="93">
        <f t="shared" ref="M55:T55" ca="1" si="7">(1+1)*M$52</f>
        <v>10</v>
      </c>
      <c r="N55" s="93">
        <f t="shared" ca="1" si="7"/>
        <v>4</v>
      </c>
      <c r="O55" s="93">
        <f t="shared" ca="1" si="7"/>
        <v>4</v>
      </c>
      <c r="P55" s="139">
        <f t="shared" ca="1" si="7"/>
        <v>2</v>
      </c>
      <c r="Q55" s="93">
        <f t="shared" ca="1" si="7"/>
        <v>2</v>
      </c>
      <c r="R55" s="93">
        <f t="shared" ca="1" si="7"/>
        <v>2</v>
      </c>
      <c r="S55" s="93">
        <f t="shared" ca="1" si="7"/>
        <v>2</v>
      </c>
      <c r="T55" s="93">
        <f t="shared" ca="1" si="7"/>
        <v>2</v>
      </c>
    </row>
    <row r="56" spans="2:20" ht="15.75" x14ac:dyDescent="0.25">
      <c r="B56" s="95">
        <v>144.4</v>
      </c>
      <c r="C56" s="96">
        <v>144.9</v>
      </c>
      <c r="D56" s="96">
        <v>145.6</v>
      </c>
      <c r="E56" s="96">
        <v>146.6</v>
      </c>
      <c r="F56" s="96">
        <v>147.5</v>
      </c>
      <c r="G56" s="96">
        <v>147.6</v>
      </c>
      <c r="H56" s="96">
        <v>148.6</v>
      </c>
      <c r="I56" s="96">
        <v>148.4</v>
      </c>
      <c r="K56" s="93" t="s">
        <v>267</v>
      </c>
      <c r="M56" s="93">
        <f ca="1">SUM(M$54:M$55)</f>
        <v>15</v>
      </c>
      <c r="N56" s="93">
        <f t="shared" ref="N56:T56" ca="1" si="8">SUM(N$54:N$55)</f>
        <v>8</v>
      </c>
      <c r="O56" s="93">
        <f t="shared" ca="1" si="8"/>
        <v>10</v>
      </c>
      <c r="P56" s="140">
        <f t="shared" ca="1" si="8"/>
        <v>6</v>
      </c>
      <c r="Q56" s="93">
        <f t="shared" ca="1" si="8"/>
        <v>7</v>
      </c>
      <c r="R56" s="93">
        <f t="shared" ca="1" si="8"/>
        <v>8</v>
      </c>
      <c r="S56" s="93">
        <f t="shared" ca="1" si="8"/>
        <v>10</v>
      </c>
      <c r="T56" s="93">
        <f t="shared" ca="1" si="8"/>
        <v>12</v>
      </c>
    </row>
    <row r="57" spans="2:20" ht="15.75" x14ac:dyDescent="0.25">
      <c r="B57" s="95">
        <v>143.5</v>
      </c>
      <c r="C57" s="96">
        <v>144.5</v>
      </c>
      <c r="D57" s="96">
        <v>144.9</v>
      </c>
      <c r="E57" s="96">
        <v>145.6</v>
      </c>
      <c r="F57" s="96">
        <v>146.1</v>
      </c>
      <c r="G57" s="96">
        <v>146.19999999999999</v>
      </c>
      <c r="H57" s="96">
        <v>147.6</v>
      </c>
      <c r="I57" s="96">
        <v>148.1</v>
      </c>
      <c r="K57" s="135" t="s">
        <v>258</v>
      </c>
      <c r="L57" s="135"/>
      <c r="M57" s="135"/>
      <c r="N57" s="135">
        <f ca="1">(INDIRECT("C" &amp; $M$14+35))</f>
        <v>9.3000000000000007</v>
      </c>
      <c r="O57" s="135"/>
      <c r="P57" s="138">
        <f ca="1">(INDIRECT("E" &amp; $M$14+35))</f>
        <v>8.8000000000000007</v>
      </c>
      <c r="Q57" s="135">
        <f ca="1">(INDIRECT("F" &amp; $M$14+35))</f>
        <v>7</v>
      </c>
    </row>
    <row r="58" spans="2:20" ht="15.75" x14ac:dyDescent="0.25">
      <c r="B58" s="95">
        <v>142.80000000000001</v>
      </c>
      <c r="C58" s="96">
        <v>143.9</v>
      </c>
      <c r="D58" s="96">
        <v>144.5</v>
      </c>
      <c r="E58" s="96">
        <v>144.80000000000001</v>
      </c>
      <c r="F58" s="96">
        <v>145.30000000000001</v>
      </c>
      <c r="G58" s="96">
        <v>145.80000000000001</v>
      </c>
      <c r="H58" s="96">
        <v>146.4</v>
      </c>
      <c r="I58" s="96">
        <v>147</v>
      </c>
      <c r="K58" s="93" t="s">
        <v>259</v>
      </c>
      <c r="M58" s="93" t="s">
        <v>260</v>
      </c>
      <c r="O58" s="93" t="s">
        <v>264</v>
      </c>
      <c r="Q58" s="93" t="s">
        <v>262</v>
      </c>
      <c r="R58" s="93" t="s">
        <v>265</v>
      </c>
    </row>
    <row r="59" spans="2:20" ht="15.75" x14ac:dyDescent="0.25">
      <c r="B59" s="95">
        <v>141.69999999999999</v>
      </c>
      <c r="C59" s="96">
        <v>142.80000000000001</v>
      </c>
      <c r="D59" s="96">
        <v>143.80000000000001</v>
      </c>
      <c r="E59" s="96">
        <v>143.80000000000001</v>
      </c>
      <c r="F59" s="96">
        <v>144.4</v>
      </c>
      <c r="G59" s="96">
        <v>145</v>
      </c>
      <c r="H59" s="96">
        <v>145.69999999999999</v>
      </c>
      <c r="I59" s="96">
        <v>146.4</v>
      </c>
    </row>
    <row r="60" spans="2:20" ht="15.75" x14ac:dyDescent="0.25">
      <c r="B60" s="95">
        <v>140.69999999999999</v>
      </c>
      <c r="C60" s="96">
        <v>141.69999999999999</v>
      </c>
      <c r="D60" s="96">
        <v>142.69999999999999</v>
      </c>
      <c r="E60" s="96">
        <v>142.6</v>
      </c>
      <c r="F60" s="96">
        <v>143.80000000000001</v>
      </c>
      <c r="G60" s="96">
        <v>144</v>
      </c>
      <c r="H60" s="96">
        <v>144.5</v>
      </c>
      <c r="I60" s="96">
        <v>145.19999999999999</v>
      </c>
    </row>
    <row r="61" spans="2:20" ht="15.75" x14ac:dyDescent="0.25">
      <c r="B61" s="95">
        <v>140.19999999999999</v>
      </c>
      <c r="C61" s="96">
        <v>140.80000000000001</v>
      </c>
      <c r="D61" s="96">
        <v>141.6</v>
      </c>
      <c r="E61" s="96">
        <v>142</v>
      </c>
      <c r="F61" s="96">
        <v>142.30000000000001</v>
      </c>
      <c r="G61" s="96">
        <v>143.19999999999999</v>
      </c>
      <c r="H61" s="96">
        <v>143.69999999999999</v>
      </c>
      <c r="I61" s="96">
        <v>144.5</v>
      </c>
      <c r="K61" s="93" t="s">
        <v>268</v>
      </c>
    </row>
    <row r="62" spans="2:20" ht="15.75" x14ac:dyDescent="0.25">
      <c r="B62" s="95">
        <v>139.30000000000001</v>
      </c>
      <c r="C62" s="96">
        <v>139.9</v>
      </c>
      <c r="D62" s="96">
        <v>140.69999999999999</v>
      </c>
      <c r="E62" s="96">
        <v>141.1</v>
      </c>
      <c r="F62" s="96">
        <v>141.6</v>
      </c>
      <c r="G62" s="96">
        <v>142.19999999999999</v>
      </c>
      <c r="H62" s="96">
        <v>142.80000000000001</v>
      </c>
      <c r="I62" s="96">
        <v>143.69999999999999</v>
      </c>
    </row>
    <row r="63" spans="2:20" ht="15.75" x14ac:dyDescent="0.25">
      <c r="B63" s="95">
        <v>138.9</v>
      </c>
      <c r="C63" s="96">
        <v>139.19999999999999</v>
      </c>
      <c r="D63" s="96">
        <v>139.80000000000001</v>
      </c>
      <c r="E63" s="96">
        <v>140.4</v>
      </c>
      <c r="F63" s="96">
        <v>140.4</v>
      </c>
      <c r="G63" s="96">
        <v>141.5</v>
      </c>
      <c r="H63" s="96">
        <v>142.30000000000001</v>
      </c>
      <c r="I63" s="96">
        <v>142.69999999999999</v>
      </c>
      <c r="K63" s="143" t="s">
        <v>320</v>
      </c>
    </row>
    <row r="64" spans="2:20" ht="15.75" x14ac:dyDescent="0.25">
      <c r="B64" s="95">
        <v>137.6</v>
      </c>
      <c r="C64" s="96">
        <v>137.9</v>
      </c>
      <c r="D64" s="96">
        <v>138.4</v>
      </c>
      <c r="E64" s="96">
        <v>138.9</v>
      </c>
      <c r="F64" s="96">
        <v>139.5</v>
      </c>
      <c r="G64" s="96">
        <v>140.5</v>
      </c>
      <c r="H64" s="96">
        <v>141</v>
      </c>
      <c r="I64" s="96">
        <v>141.6</v>
      </c>
    </row>
    <row r="65" spans="2:9" ht="15.75" x14ac:dyDescent="0.25">
      <c r="B65" s="95">
        <v>136</v>
      </c>
      <c r="C65" s="96">
        <v>136.6</v>
      </c>
      <c r="D65" s="96">
        <v>137.19999999999999</v>
      </c>
      <c r="E65" s="96">
        <v>136.4</v>
      </c>
      <c r="F65" s="96">
        <v>138.69999999999999</v>
      </c>
      <c r="G65" s="96">
        <v>139.1</v>
      </c>
      <c r="H65" s="96">
        <v>140</v>
      </c>
      <c r="I65" s="96">
        <v>140.6</v>
      </c>
    </row>
    <row r="66" spans="2:9" ht="15.75" x14ac:dyDescent="0.25">
      <c r="B66" s="95">
        <v>134.9</v>
      </c>
      <c r="C66" s="96">
        <v>135.1</v>
      </c>
      <c r="D66" s="96">
        <v>135.9</v>
      </c>
      <c r="E66" s="96">
        <v>135.6</v>
      </c>
      <c r="F66" s="96">
        <v>137.4</v>
      </c>
      <c r="G66" s="96">
        <v>137.5</v>
      </c>
      <c r="H66" s="96">
        <v>138.6</v>
      </c>
      <c r="I66" s="96">
        <v>139.19999999999999</v>
      </c>
    </row>
    <row r="67" spans="2:9" ht="15.75" x14ac:dyDescent="0.25">
      <c r="B67" s="95"/>
      <c r="C67" s="96"/>
      <c r="D67" s="96"/>
      <c r="E67" s="96"/>
      <c r="F67" s="96"/>
      <c r="G67" s="96"/>
      <c r="H67" s="96"/>
      <c r="I67" s="96"/>
    </row>
    <row r="92" spans="2:9" x14ac:dyDescent="0.2">
      <c r="B92" s="93">
        <v>40</v>
      </c>
      <c r="C92" s="93">
        <v>28</v>
      </c>
      <c r="D92" s="93">
        <v>26.7</v>
      </c>
      <c r="E92" s="93">
        <v>28</v>
      </c>
      <c r="F92" s="93">
        <v>28.8</v>
      </c>
      <c r="G92" s="93">
        <v>29.3</v>
      </c>
      <c r="H92" s="93">
        <v>29</v>
      </c>
      <c r="I92" s="93">
        <v>28</v>
      </c>
    </row>
    <row r="93" spans="2:9" x14ac:dyDescent="0.2">
      <c r="B93" s="93">
        <v>48</v>
      </c>
      <c r="C93" s="93">
        <v>40</v>
      </c>
      <c r="D93" s="93">
        <v>37.299999999999997</v>
      </c>
      <c r="E93" s="93">
        <v>42</v>
      </c>
      <c r="F93" s="93">
        <v>40</v>
      </c>
      <c r="G93" s="93">
        <v>38.700000000000003</v>
      </c>
      <c r="H93" s="93">
        <v>35</v>
      </c>
      <c r="I93" s="93">
        <v>36.799999999999997</v>
      </c>
    </row>
    <row r="94" spans="2:9" x14ac:dyDescent="0.2">
      <c r="B94" s="93">
        <v>56</v>
      </c>
      <c r="C94" s="93">
        <v>48</v>
      </c>
      <c r="D94" s="93">
        <v>56</v>
      </c>
      <c r="E94" s="93">
        <v>50</v>
      </c>
      <c r="F94" s="93">
        <v>46.4</v>
      </c>
      <c r="G94" s="93">
        <v>46.7</v>
      </c>
      <c r="H94" s="93">
        <v>44</v>
      </c>
      <c r="I94" s="93">
        <v>44.8</v>
      </c>
    </row>
    <row r="95" spans="2:9" x14ac:dyDescent="0.2">
      <c r="B95" s="93">
        <v>64</v>
      </c>
      <c r="C95" s="93">
        <v>64</v>
      </c>
      <c r="D95" s="93">
        <v>66.7</v>
      </c>
      <c r="E95" s="93">
        <v>58</v>
      </c>
      <c r="F95" s="93">
        <v>56</v>
      </c>
      <c r="G95" s="93">
        <v>58.7</v>
      </c>
      <c r="H95" s="93">
        <v>58</v>
      </c>
      <c r="I95" s="93">
        <v>59.2</v>
      </c>
    </row>
    <row r="96" spans="2:9" x14ac:dyDescent="0.2">
      <c r="B96" s="93">
        <v>80</v>
      </c>
      <c r="C96" s="93">
        <v>72</v>
      </c>
      <c r="D96" s="93">
        <v>77.3</v>
      </c>
      <c r="E96" s="93">
        <v>70</v>
      </c>
      <c r="F96" s="93">
        <v>70.400000000000006</v>
      </c>
      <c r="G96" s="93">
        <v>72</v>
      </c>
      <c r="H96" s="93">
        <v>72</v>
      </c>
      <c r="I96" s="93">
        <v>70.400000000000006</v>
      </c>
    </row>
    <row r="97" spans="1:9" x14ac:dyDescent="0.2">
      <c r="B97" s="93">
        <v>96</v>
      </c>
      <c r="C97" s="93">
        <v>84</v>
      </c>
      <c r="D97" s="93">
        <v>82.7</v>
      </c>
      <c r="E97" s="93">
        <v>88</v>
      </c>
      <c r="F97" s="93">
        <v>89.6</v>
      </c>
      <c r="G97" s="93">
        <v>88</v>
      </c>
      <c r="H97" s="93">
        <v>88</v>
      </c>
      <c r="I97" s="93">
        <v>89.6</v>
      </c>
    </row>
    <row r="98" spans="1:9" x14ac:dyDescent="0.2">
      <c r="B98" s="93">
        <v>112</v>
      </c>
      <c r="C98" s="93">
        <v>100</v>
      </c>
      <c r="D98" s="93">
        <v>93.3</v>
      </c>
      <c r="E98" s="93">
        <v>104</v>
      </c>
      <c r="F98" s="93">
        <v>105.6</v>
      </c>
      <c r="G98" s="93">
        <v>104</v>
      </c>
      <c r="H98" s="93">
        <v>104</v>
      </c>
      <c r="I98" s="93">
        <v>102.4</v>
      </c>
    </row>
    <row r="99" spans="1:9" x14ac:dyDescent="0.2">
      <c r="B99" s="93">
        <v>128</v>
      </c>
      <c r="C99" s="93">
        <v>124</v>
      </c>
      <c r="D99" s="93">
        <v>117.3</v>
      </c>
      <c r="E99" s="93">
        <v>124</v>
      </c>
      <c r="F99" s="93">
        <v>121.6</v>
      </c>
      <c r="G99" s="93">
        <v>122.7</v>
      </c>
      <c r="H99" s="93">
        <v>128</v>
      </c>
      <c r="I99" s="93">
        <v>124.8</v>
      </c>
    </row>
    <row r="100" spans="1:9" x14ac:dyDescent="0.2">
      <c r="B100" s="93">
        <v>144</v>
      </c>
      <c r="C100" s="93">
        <v>140</v>
      </c>
      <c r="D100" s="93">
        <v>138.69999999999999</v>
      </c>
      <c r="E100" s="93">
        <v>140</v>
      </c>
      <c r="F100" s="93">
        <v>140.80000000000001</v>
      </c>
      <c r="G100" s="93">
        <v>138.69999999999999</v>
      </c>
      <c r="H100" s="93">
        <v>140</v>
      </c>
      <c r="I100" s="93">
        <v>140.80000000000001</v>
      </c>
    </row>
    <row r="101" spans="1:9" x14ac:dyDescent="0.2">
      <c r="B101" s="93">
        <v>160</v>
      </c>
      <c r="C101" s="93">
        <v>160</v>
      </c>
      <c r="D101" s="93">
        <v>160</v>
      </c>
      <c r="E101" s="93">
        <v>160</v>
      </c>
      <c r="F101" s="93">
        <v>160</v>
      </c>
      <c r="G101" s="93">
        <v>160</v>
      </c>
      <c r="H101" s="93">
        <v>160</v>
      </c>
      <c r="I101" s="93">
        <v>156.80000000000001</v>
      </c>
    </row>
    <row r="102" spans="1:9" x14ac:dyDescent="0.2">
      <c r="B102" s="93">
        <v>168</v>
      </c>
      <c r="C102" s="93">
        <v>176</v>
      </c>
      <c r="D102" s="93">
        <v>176</v>
      </c>
      <c r="E102" s="93">
        <v>176</v>
      </c>
      <c r="F102" s="93">
        <v>179.2</v>
      </c>
      <c r="G102" s="93">
        <v>170.7</v>
      </c>
      <c r="H102" s="93">
        <v>176</v>
      </c>
      <c r="I102" s="93">
        <v>176</v>
      </c>
    </row>
    <row r="103" spans="1:9" x14ac:dyDescent="0.2">
      <c r="B103" s="93">
        <v>200</v>
      </c>
      <c r="C103" s="93">
        <v>200</v>
      </c>
      <c r="D103" s="93">
        <v>202.7</v>
      </c>
      <c r="E103" s="93">
        <v>200</v>
      </c>
      <c r="F103" s="93">
        <v>204.8</v>
      </c>
      <c r="G103" s="93">
        <v>202.7</v>
      </c>
      <c r="H103" s="93">
        <v>204</v>
      </c>
      <c r="I103" s="93">
        <v>204.8</v>
      </c>
    </row>
    <row r="104" spans="1:9" x14ac:dyDescent="0.2">
      <c r="B104" s="93">
        <v>232</v>
      </c>
      <c r="C104" s="93">
        <v>232</v>
      </c>
      <c r="D104" s="93">
        <v>234.7</v>
      </c>
      <c r="E104" s="93">
        <v>256</v>
      </c>
      <c r="F104" s="93">
        <v>230.4</v>
      </c>
      <c r="G104" s="93">
        <v>229.3</v>
      </c>
      <c r="H104" s="93">
        <v>228</v>
      </c>
      <c r="I104" s="93">
        <v>230.4</v>
      </c>
    </row>
    <row r="105" spans="1:9" x14ac:dyDescent="0.2">
      <c r="B105" s="93">
        <v>248</v>
      </c>
      <c r="C105" s="93">
        <v>256</v>
      </c>
      <c r="D105" s="93">
        <v>256</v>
      </c>
      <c r="E105" s="93">
        <v>264</v>
      </c>
      <c r="F105" s="93">
        <v>256</v>
      </c>
      <c r="G105" s="93">
        <v>261.3</v>
      </c>
      <c r="H105" s="93">
        <v>256</v>
      </c>
      <c r="I105" s="93">
        <v>256</v>
      </c>
    </row>
    <row r="109" spans="1:9" x14ac:dyDescent="0.2">
      <c r="B109" s="93" t="s">
        <v>232</v>
      </c>
      <c r="C109" s="93" t="s">
        <v>390</v>
      </c>
      <c r="D109" s="93" t="s">
        <v>391</v>
      </c>
    </row>
    <row r="110" spans="1:9" x14ac:dyDescent="0.2">
      <c r="A110" s="271" t="s">
        <v>337</v>
      </c>
      <c r="B110" s="93">
        <v>40</v>
      </c>
      <c r="C110" s="93">
        <v>4</v>
      </c>
      <c r="D110" s="93">
        <v>4</v>
      </c>
    </row>
    <row r="111" spans="1:9" x14ac:dyDescent="0.2">
      <c r="A111" s="271"/>
      <c r="B111" s="93">
        <v>40</v>
      </c>
      <c r="C111" s="93">
        <v>4</v>
      </c>
      <c r="D111" s="93">
        <v>4</v>
      </c>
    </row>
    <row r="112" spans="1:9" x14ac:dyDescent="0.2">
      <c r="A112" s="271"/>
      <c r="B112" s="93">
        <v>40</v>
      </c>
      <c r="C112" s="93">
        <v>4</v>
      </c>
      <c r="D112" s="93">
        <v>4</v>
      </c>
    </row>
    <row r="113" spans="1:4" x14ac:dyDescent="0.2">
      <c r="A113" s="271"/>
      <c r="B113" s="93">
        <v>40</v>
      </c>
      <c r="C113" s="93">
        <v>4</v>
      </c>
      <c r="D113" s="93">
        <v>4</v>
      </c>
    </row>
    <row r="114" spans="1:4" x14ac:dyDescent="0.2">
      <c r="A114" s="271" t="s">
        <v>310</v>
      </c>
      <c r="B114" s="93">
        <v>7</v>
      </c>
      <c r="C114" s="93">
        <v>4</v>
      </c>
      <c r="D114" s="93">
        <v>4</v>
      </c>
    </row>
    <row r="115" spans="1:4" x14ac:dyDescent="0.2">
      <c r="A115" s="271"/>
      <c r="B115" s="93">
        <v>6</v>
      </c>
      <c r="C115" s="93">
        <v>3</v>
      </c>
      <c r="D115" s="93">
        <v>3</v>
      </c>
    </row>
    <row r="116" spans="1:4" x14ac:dyDescent="0.2">
      <c r="A116" s="271"/>
      <c r="B116" s="93">
        <v>8</v>
      </c>
      <c r="C116" s="93">
        <v>5</v>
      </c>
      <c r="D116" s="93">
        <v>5</v>
      </c>
    </row>
    <row r="117" spans="1:4" x14ac:dyDescent="0.2">
      <c r="A117" s="271"/>
      <c r="B117" s="93">
        <v>8</v>
      </c>
      <c r="C117" s="93">
        <v>5</v>
      </c>
      <c r="D117" s="93">
        <v>5</v>
      </c>
    </row>
    <row r="118" spans="1:4" x14ac:dyDescent="0.2">
      <c r="A118" s="271" t="s">
        <v>335</v>
      </c>
      <c r="B118" s="93">
        <v>2953</v>
      </c>
      <c r="C118" s="93">
        <v>2992</v>
      </c>
      <c r="D118" s="93">
        <v>2992</v>
      </c>
    </row>
    <row r="119" spans="1:4" x14ac:dyDescent="0.2">
      <c r="A119" s="271"/>
      <c r="B119" s="93">
        <v>12394</v>
      </c>
      <c r="C119" s="93">
        <v>12433</v>
      </c>
      <c r="D119" s="93">
        <v>12433</v>
      </c>
    </row>
    <row r="120" spans="1:4" x14ac:dyDescent="0.2">
      <c r="A120" s="271"/>
      <c r="B120" s="93">
        <v>40959</v>
      </c>
      <c r="C120" s="93">
        <v>40959</v>
      </c>
      <c r="D120" s="93">
        <v>40959</v>
      </c>
    </row>
    <row r="121" spans="1:4" x14ac:dyDescent="0.2">
      <c r="A121" s="271"/>
      <c r="B121" s="93">
        <v>40959</v>
      </c>
      <c r="C121" s="93">
        <v>40959</v>
      </c>
      <c r="D121" s="93">
        <v>40959</v>
      </c>
    </row>
    <row r="122" spans="1:4" x14ac:dyDescent="0.2">
      <c r="A122" s="271" t="s">
        <v>392</v>
      </c>
      <c r="B122" s="93">
        <v>3</v>
      </c>
      <c r="C122" s="93">
        <v>3</v>
      </c>
      <c r="D122" s="93">
        <v>3</v>
      </c>
    </row>
    <row r="123" spans="1:4" x14ac:dyDescent="0.2">
      <c r="A123" s="271"/>
      <c r="B123" s="93">
        <v>3</v>
      </c>
      <c r="C123" s="93">
        <v>3</v>
      </c>
      <c r="D123" s="93">
        <v>3</v>
      </c>
    </row>
    <row r="124" spans="1:4" x14ac:dyDescent="0.2">
      <c r="A124" s="271"/>
      <c r="B124" s="93">
        <v>3</v>
      </c>
      <c r="C124" s="93">
        <v>3</v>
      </c>
      <c r="D124" s="93">
        <v>3</v>
      </c>
    </row>
    <row r="125" spans="1:4" x14ac:dyDescent="0.2">
      <c r="A125" s="271"/>
      <c r="B125" s="93">
        <v>3</v>
      </c>
      <c r="C125" s="93">
        <v>3</v>
      </c>
      <c r="D125" s="93">
        <v>3</v>
      </c>
    </row>
    <row r="126" spans="1:4" x14ac:dyDescent="0.2">
      <c r="A126" s="271" t="s">
        <v>344</v>
      </c>
      <c r="B126" s="93">
        <v>2950</v>
      </c>
      <c r="C126" s="93">
        <v>2989</v>
      </c>
      <c r="D126" s="93">
        <v>2989</v>
      </c>
    </row>
    <row r="127" spans="1:4" x14ac:dyDescent="0.2">
      <c r="A127" s="271"/>
      <c r="B127" s="93">
        <v>12391</v>
      </c>
      <c r="C127" s="93">
        <v>12430</v>
      </c>
      <c r="D127" s="93">
        <v>12430</v>
      </c>
    </row>
    <row r="128" spans="1:4" x14ac:dyDescent="0.2">
      <c r="A128" s="271"/>
      <c r="B128" s="93">
        <v>40956</v>
      </c>
      <c r="C128" s="93">
        <v>40956</v>
      </c>
      <c r="D128" s="93">
        <v>40956</v>
      </c>
    </row>
    <row r="129" spans="1:4" x14ac:dyDescent="0.2">
      <c r="A129" s="271"/>
      <c r="B129" s="93">
        <v>40956</v>
      </c>
      <c r="C129" s="93">
        <v>40956</v>
      </c>
      <c r="D129" s="93">
        <v>40956</v>
      </c>
    </row>
    <row r="130" spans="1:4" x14ac:dyDescent="0.2">
      <c r="A130" s="271" t="s">
        <v>393</v>
      </c>
      <c r="B130" s="93">
        <v>0</v>
      </c>
      <c r="C130" s="93">
        <v>0</v>
      </c>
      <c r="D130" s="93">
        <v>0</v>
      </c>
    </row>
    <row r="131" spans="1:4" x14ac:dyDescent="0.2">
      <c r="A131" s="271"/>
      <c r="B131" s="93">
        <v>0</v>
      </c>
      <c r="C131" s="93">
        <v>0</v>
      </c>
      <c r="D131" s="93">
        <v>0</v>
      </c>
    </row>
    <row r="132" spans="1:4" x14ac:dyDescent="0.2">
      <c r="A132" s="271"/>
      <c r="B132" s="93">
        <v>18993</v>
      </c>
      <c r="C132" s="93">
        <v>19032</v>
      </c>
      <c r="D132" s="93">
        <v>19032</v>
      </c>
    </row>
    <row r="133" spans="1:4" x14ac:dyDescent="0.2">
      <c r="A133" s="271"/>
      <c r="B133" s="93">
        <v>558993</v>
      </c>
      <c r="C133" s="93">
        <v>559032</v>
      </c>
      <c r="D133" s="93">
        <v>559032</v>
      </c>
    </row>
  </sheetData>
  <mergeCells count="7">
    <mergeCell ref="A126:A129"/>
    <mergeCell ref="A130:A133"/>
    <mergeCell ref="M14:O14"/>
    <mergeCell ref="A110:A113"/>
    <mergeCell ref="A114:A117"/>
    <mergeCell ref="A118:A121"/>
    <mergeCell ref="A122:A125"/>
  </mergeCells>
  <dataValidations disablePrompts="1" count="2">
    <dataValidation type="list" allowBlank="1" showInputMessage="1" showErrorMessage="1" sqref="M17">
      <formula1>"15"</formula1>
    </dataValidation>
    <dataValidation type="list" allowBlank="1" showInputMessage="1" showErrorMessage="1" sqref="M18">
      <formula1>"1, 3, 6, 12"</formula1>
    </dataValidation>
  </dataValidation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7"/>
  <sheetViews>
    <sheetView topLeftCell="A103" workbookViewId="0">
      <selection activeCell="L30" sqref="L30"/>
    </sheetView>
  </sheetViews>
  <sheetFormatPr defaultRowHeight="15" x14ac:dyDescent="0.25"/>
  <cols>
    <col min="4" max="6" width="12" bestFit="1" customWidth="1"/>
    <col min="9" max="9" width="13.7109375" bestFit="1" customWidth="1"/>
    <col min="10" max="11" width="12.5703125" bestFit="1" customWidth="1"/>
    <col min="20" max="20" width="3.28515625" customWidth="1"/>
  </cols>
  <sheetData>
    <row r="2" spans="1:17" x14ac:dyDescent="0.25">
      <c r="A2" t="s">
        <v>314</v>
      </c>
      <c r="H2" s="82"/>
      <c r="I2" s="82"/>
      <c r="J2" s="82"/>
      <c r="K2" s="82"/>
      <c r="L2" s="82"/>
      <c r="M2" s="82"/>
    </row>
    <row r="3" spans="1:17" x14ac:dyDescent="0.25">
      <c r="C3" t="s">
        <v>12</v>
      </c>
      <c r="D3" s="88" t="s">
        <v>212</v>
      </c>
      <c r="E3" t="s">
        <v>213</v>
      </c>
      <c r="F3" s="88" t="s">
        <v>2</v>
      </c>
      <c r="H3" s="82"/>
      <c r="I3" s="82"/>
      <c r="J3" s="82"/>
      <c r="K3" s="82"/>
      <c r="L3" s="82"/>
      <c r="M3" s="82"/>
    </row>
    <row r="4" spans="1:17" x14ac:dyDescent="0.25">
      <c r="A4" t="s">
        <v>130</v>
      </c>
      <c r="D4" s="88">
        <v>1045</v>
      </c>
      <c r="E4" s="89">
        <v>130</v>
      </c>
      <c r="F4" s="88">
        <v>102</v>
      </c>
      <c r="G4" t="s">
        <v>7</v>
      </c>
      <c r="H4" s="82"/>
      <c r="I4" s="82"/>
      <c r="J4" s="82"/>
      <c r="K4" s="82"/>
      <c r="L4" s="82"/>
      <c r="M4" s="82"/>
    </row>
    <row r="5" spans="1:17" x14ac:dyDescent="0.25">
      <c r="H5" s="82"/>
      <c r="I5" s="82"/>
      <c r="J5" s="82"/>
      <c r="K5" s="82"/>
      <c r="L5" s="82"/>
      <c r="M5" s="82"/>
    </row>
    <row r="6" spans="1:17" x14ac:dyDescent="0.25">
      <c r="A6" t="s">
        <v>131</v>
      </c>
      <c r="D6" s="88" t="s">
        <v>132</v>
      </c>
      <c r="E6" s="88" t="s">
        <v>133</v>
      </c>
      <c r="H6" s="82"/>
      <c r="I6" s="82"/>
      <c r="J6" s="82"/>
      <c r="K6" s="82"/>
      <c r="L6" s="82"/>
      <c r="M6" s="82"/>
    </row>
    <row r="7" spans="1:17" x14ac:dyDescent="0.25">
      <c r="D7" s="88">
        <f>17*8</f>
        <v>136</v>
      </c>
      <c r="E7" s="88">
        <f>26</f>
        <v>26</v>
      </c>
      <c r="G7" t="s">
        <v>163</v>
      </c>
      <c r="H7" s="82"/>
      <c r="I7" s="82"/>
      <c r="J7" s="82"/>
      <c r="K7" s="82"/>
      <c r="L7" s="82"/>
      <c r="M7" s="82"/>
    </row>
    <row r="8" spans="1:17" x14ac:dyDescent="0.25">
      <c r="D8" s="219" t="s">
        <v>30</v>
      </c>
      <c r="E8" s="219"/>
      <c r="F8" s="219"/>
      <c r="H8" s="82"/>
      <c r="I8" s="82"/>
      <c r="J8" s="82"/>
      <c r="K8" s="82"/>
      <c r="L8" s="82"/>
      <c r="M8" s="82"/>
    </row>
    <row r="9" spans="1:17" x14ac:dyDescent="0.25">
      <c r="A9" t="s">
        <v>129</v>
      </c>
      <c r="D9" s="219">
        <v>245</v>
      </c>
      <c r="E9" s="219"/>
      <c r="F9" s="219"/>
      <c r="G9" t="s">
        <v>7</v>
      </c>
      <c r="H9" s="82"/>
      <c r="I9" s="82"/>
      <c r="J9" s="82"/>
      <c r="K9" s="82"/>
      <c r="L9" s="82"/>
      <c r="M9" s="82"/>
    </row>
    <row r="10" spans="1:17" x14ac:dyDescent="0.25">
      <c r="A10" t="s">
        <v>162</v>
      </c>
      <c r="D10" s="219">
        <v>8</v>
      </c>
      <c r="E10" s="219"/>
      <c r="F10" s="219"/>
      <c r="G10" t="s">
        <v>7</v>
      </c>
      <c r="H10" s="82"/>
      <c r="I10" s="82"/>
      <c r="J10" s="82"/>
      <c r="K10" s="82"/>
      <c r="L10" s="82"/>
      <c r="M10" s="82"/>
    </row>
    <row r="11" spans="1:17" x14ac:dyDescent="0.25">
      <c r="A11" t="s">
        <v>166</v>
      </c>
      <c r="D11" s="219">
        <v>160</v>
      </c>
      <c r="E11" s="219"/>
      <c r="F11" s="219"/>
      <c r="G11" t="s">
        <v>165</v>
      </c>
      <c r="H11" s="82"/>
      <c r="I11" s="82" t="s">
        <v>167</v>
      </c>
      <c r="J11" s="82"/>
      <c r="K11" s="82"/>
      <c r="L11" s="82"/>
      <c r="M11" s="82"/>
    </row>
    <row r="12" spans="1:17" x14ac:dyDescent="0.25">
      <c r="D12" s="89"/>
      <c r="E12" s="89"/>
      <c r="H12" s="82"/>
      <c r="I12" s="82"/>
      <c r="J12" s="82"/>
      <c r="K12" s="82"/>
      <c r="L12" s="82"/>
      <c r="M12" s="82"/>
    </row>
    <row r="13" spans="1:17" x14ac:dyDescent="0.25">
      <c r="A13" t="s">
        <v>136</v>
      </c>
      <c r="D13" s="219">
        <v>24</v>
      </c>
      <c r="E13" s="219"/>
      <c r="F13" s="219"/>
      <c r="H13" s="82"/>
      <c r="I13" s="82"/>
      <c r="J13" s="82"/>
      <c r="K13" s="82"/>
      <c r="L13" s="82"/>
      <c r="M13" s="82"/>
      <c r="Q13" t="s">
        <v>207</v>
      </c>
    </row>
    <row r="14" spans="1:17" x14ac:dyDescent="0.25">
      <c r="A14" t="s">
        <v>137</v>
      </c>
      <c r="D14" s="219">
        <f>D9-D11/8</f>
        <v>225</v>
      </c>
      <c r="E14" s="219"/>
      <c r="F14" s="219"/>
      <c r="G14" t="s">
        <v>140</v>
      </c>
      <c r="H14" s="82"/>
      <c r="I14" s="82"/>
      <c r="J14" s="82"/>
      <c r="K14" s="82"/>
      <c r="L14" s="82"/>
      <c r="M14" s="82"/>
      <c r="Q14">
        <f>ROUNDUP((F18+(D7-D11)/8),0)</f>
        <v>99</v>
      </c>
    </row>
    <row r="15" spans="1:17" x14ac:dyDescent="0.25">
      <c r="H15" s="82"/>
      <c r="I15" s="82"/>
      <c r="J15" s="82"/>
      <c r="K15" s="82"/>
      <c r="L15" s="82"/>
      <c r="M15" s="82"/>
    </row>
    <row r="16" spans="1:17" x14ac:dyDescent="0.25">
      <c r="A16" t="s">
        <v>141</v>
      </c>
      <c r="D16">
        <f>QUOTIENT(D4,D9)</f>
        <v>4</v>
      </c>
      <c r="E16">
        <f>QUOTIENT(F4,D9)</f>
        <v>0</v>
      </c>
      <c r="F16">
        <f>QUOTIENT(E4,D9)</f>
        <v>0</v>
      </c>
      <c r="G16" t="s">
        <v>139</v>
      </c>
      <c r="H16" s="82"/>
      <c r="I16" s="82"/>
      <c r="J16" s="82"/>
      <c r="K16" s="82"/>
      <c r="L16" s="82"/>
      <c r="M16" s="82"/>
    </row>
    <row r="17" spans="1:16" x14ac:dyDescent="0.25">
      <c r="A17" t="s">
        <v>142</v>
      </c>
      <c r="D17">
        <v>1</v>
      </c>
      <c r="E17">
        <v>1</v>
      </c>
      <c r="F17">
        <v>1</v>
      </c>
      <c r="H17" s="82"/>
      <c r="I17" s="82"/>
      <c r="J17" s="82"/>
      <c r="K17" s="82"/>
      <c r="L17" s="82"/>
      <c r="M17" s="82"/>
    </row>
    <row r="18" spans="1:16" x14ac:dyDescent="0.25">
      <c r="A18" t="s">
        <v>161</v>
      </c>
      <c r="D18">
        <f>D4-D16*D9</f>
        <v>65</v>
      </c>
      <c r="E18">
        <f>E4-D9*F16</f>
        <v>130</v>
      </c>
      <c r="F18">
        <f>F4-D9*E16</f>
        <v>102</v>
      </c>
      <c r="H18" s="82"/>
      <c r="I18" s="82"/>
      <c r="J18" s="82"/>
      <c r="K18" s="82"/>
      <c r="L18" s="82"/>
      <c r="M18" s="82"/>
      <c r="P18">
        <f>E4-D11/8</f>
        <v>110</v>
      </c>
    </row>
    <row r="19" spans="1:16" x14ac:dyDescent="0.25">
      <c r="A19" s="98" t="s">
        <v>164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82"/>
      <c r="M19" s="82"/>
    </row>
    <row r="20" spans="1:16" x14ac:dyDescent="0.25">
      <c r="A20" t="s">
        <v>138</v>
      </c>
      <c r="D20" s="99">
        <f>D18-D11/8</f>
        <v>45</v>
      </c>
      <c r="E20">
        <f>E18-D11/8</f>
        <v>110</v>
      </c>
      <c r="F20">
        <f>F18-D11/8</f>
        <v>82</v>
      </c>
      <c r="G20" t="s">
        <v>208</v>
      </c>
      <c r="H20" s="82"/>
      <c r="I20" s="82"/>
      <c r="J20" s="82"/>
      <c r="K20" s="82"/>
      <c r="L20" s="82"/>
      <c r="M20" s="82"/>
    </row>
    <row r="21" spans="1:16" x14ac:dyDescent="0.25">
      <c r="H21" s="82"/>
      <c r="I21" s="82"/>
      <c r="J21" s="82"/>
      <c r="K21" s="82"/>
      <c r="L21" s="82"/>
      <c r="M21" s="82"/>
    </row>
    <row r="22" spans="1:16" x14ac:dyDescent="0.25">
      <c r="A22" t="s">
        <v>316</v>
      </c>
      <c r="D22" s="221">
        <v>362.97</v>
      </c>
      <c r="E22" s="221"/>
      <c r="F22" s="221"/>
      <c r="G22" t="s">
        <v>146</v>
      </c>
    </row>
    <row r="23" spans="1:16" x14ac:dyDescent="0.25">
      <c r="A23" t="s">
        <v>317</v>
      </c>
      <c r="D23" s="221">
        <v>15.14</v>
      </c>
      <c r="E23" s="221"/>
      <c r="F23" s="221"/>
      <c r="G23" t="s">
        <v>146</v>
      </c>
    </row>
    <row r="24" spans="1:16" x14ac:dyDescent="0.25">
      <c r="A24" t="s">
        <v>319</v>
      </c>
      <c r="D24" s="221">
        <f>D22+D23*D14</f>
        <v>3769.4700000000003</v>
      </c>
      <c r="E24" s="221"/>
      <c r="F24" s="221"/>
      <c r="G24" t="s">
        <v>146</v>
      </c>
    </row>
    <row r="25" spans="1:16" x14ac:dyDescent="0.25">
      <c r="A25" t="s">
        <v>318</v>
      </c>
      <c r="D25" s="221">
        <v>105.8</v>
      </c>
      <c r="E25" s="221"/>
      <c r="F25" s="221"/>
      <c r="G25" t="s">
        <v>146</v>
      </c>
    </row>
    <row r="26" spans="1:16" x14ac:dyDescent="0.25">
      <c r="D26" s="92"/>
      <c r="E26" s="92"/>
      <c r="F26" s="92"/>
    </row>
    <row r="27" spans="1:16" x14ac:dyDescent="0.25">
      <c r="A27" t="s">
        <v>332</v>
      </c>
      <c r="D27" t="s">
        <v>169</v>
      </c>
      <c r="E27">
        <v>379</v>
      </c>
      <c r="G27" t="s">
        <v>171</v>
      </c>
    </row>
    <row r="28" spans="1:16" x14ac:dyDescent="0.25">
      <c r="A28" t="s">
        <v>331</v>
      </c>
      <c r="E28">
        <f>1/2380.371</f>
        <v>4.2010258064814263E-4</v>
      </c>
      <c r="G28" t="s">
        <v>172</v>
      </c>
    </row>
    <row r="29" spans="1:16" x14ac:dyDescent="0.25">
      <c r="A29" t="s">
        <v>340</v>
      </c>
      <c r="E29" s="110">
        <f>E27*E28*1000</f>
        <v>159.21887806564604</v>
      </c>
      <c r="G29" t="s">
        <v>146</v>
      </c>
    </row>
    <row r="31" spans="1:16" x14ac:dyDescent="0.25">
      <c r="A31" t="s">
        <v>143</v>
      </c>
      <c r="D31" s="168">
        <f>(D16+D17)*D22</f>
        <v>1814.8500000000001</v>
      </c>
      <c r="E31">
        <f>E17*D22</f>
        <v>362.97</v>
      </c>
      <c r="F31">
        <f>F17*D22</f>
        <v>362.97</v>
      </c>
      <c r="G31" t="s">
        <v>146</v>
      </c>
    </row>
    <row r="32" spans="1:16" x14ac:dyDescent="0.25">
      <c r="A32" t="s">
        <v>144</v>
      </c>
      <c r="D32" s="168">
        <f>D16*D14*D23+D20*D23</f>
        <v>14307.3</v>
      </c>
      <c r="E32">
        <f>E20*D23</f>
        <v>1665.4</v>
      </c>
      <c r="F32">
        <f>F20*D23</f>
        <v>1241.48</v>
      </c>
      <c r="G32" t="s">
        <v>146</v>
      </c>
      <c r="H32" s="82"/>
      <c r="I32" s="82"/>
      <c r="J32" s="82"/>
      <c r="K32" s="82"/>
      <c r="L32" s="82"/>
      <c r="M32" s="82"/>
    </row>
    <row r="33" spans="1:13" x14ac:dyDescent="0.25">
      <c r="A33" t="s">
        <v>150</v>
      </c>
      <c r="D33" s="168">
        <f>D31+D32</f>
        <v>16122.15</v>
      </c>
      <c r="E33">
        <f>F31+E32</f>
        <v>2028.3700000000001</v>
      </c>
      <c r="F33">
        <f>E31+F32</f>
        <v>1604.45</v>
      </c>
      <c r="G33" t="s">
        <v>146</v>
      </c>
      <c r="H33" s="196" t="s">
        <v>337</v>
      </c>
      <c r="I33" s="111"/>
      <c r="J33" s="82"/>
      <c r="K33" s="82"/>
      <c r="L33" s="82"/>
      <c r="M33" s="82"/>
    </row>
    <row r="34" spans="1:13" x14ac:dyDescent="0.25">
      <c r="D34" s="168"/>
      <c r="H34" s="82"/>
      <c r="I34" s="111"/>
      <c r="J34" s="82"/>
      <c r="K34" s="82"/>
      <c r="L34" s="82"/>
      <c r="M34" s="82"/>
    </row>
    <row r="35" spans="1:13" x14ac:dyDescent="0.25">
      <c r="A35" t="s">
        <v>315</v>
      </c>
      <c r="D35" s="189">
        <f>(D$16+D$17)*$D$25</f>
        <v>529</v>
      </c>
      <c r="E35" s="189">
        <f>(E$16+E$17)*$D$25</f>
        <v>105.8</v>
      </c>
      <c r="F35" s="189">
        <f>(F$16+F$17)*$D$25</f>
        <v>105.8</v>
      </c>
      <c r="H35" s="196" t="s">
        <v>310</v>
      </c>
      <c r="I35" s="111"/>
      <c r="J35" s="82"/>
      <c r="K35" s="82"/>
      <c r="L35" s="82"/>
      <c r="M35" s="82"/>
    </row>
    <row r="36" spans="1:13" x14ac:dyDescent="0.25">
      <c r="D36" s="189"/>
      <c r="E36" s="189"/>
      <c r="F36" s="189"/>
      <c r="H36" s="82"/>
      <c r="I36" s="111"/>
      <c r="J36" s="82"/>
      <c r="K36" s="82"/>
      <c r="L36" s="82"/>
      <c r="M36" s="82"/>
    </row>
    <row r="37" spans="1:13" x14ac:dyDescent="0.25">
      <c r="A37" t="s">
        <v>334</v>
      </c>
      <c r="D37" s="189">
        <f>((($D$13+D$20-1)+D16*(D13+D14-1))*($E$27-32)*$E$28)*1000</f>
        <v>154522.13121399982</v>
      </c>
      <c r="E37" s="189">
        <f>(($D$13+E$20-1)*($E$27-32)*$E$28)*1000</f>
        <v>19388.15419949243</v>
      </c>
      <c r="F37" s="189">
        <f>(($D$13+F$20-1)*($E$27-32)*$E$28)*1000</f>
        <v>15306.437525915078</v>
      </c>
      <c r="G37" t="s">
        <v>146</v>
      </c>
      <c r="H37" s="82"/>
      <c r="I37" s="111"/>
      <c r="J37" s="82"/>
      <c r="K37" s="82"/>
      <c r="L37" s="82"/>
      <c r="M37" s="82"/>
    </row>
    <row r="38" spans="1:13" x14ac:dyDescent="0.25">
      <c r="D38" s="188"/>
      <c r="E38" s="188"/>
      <c r="F38" s="188"/>
      <c r="H38" s="82"/>
      <c r="I38" s="111"/>
      <c r="J38" s="82"/>
      <c r="K38" s="82"/>
      <c r="L38" s="82"/>
      <c r="M38" s="82"/>
    </row>
    <row r="39" spans="1:13" x14ac:dyDescent="0.25">
      <c r="A39" t="s">
        <v>333</v>
      </c>
      <c r="C39" s="82" t="s">
        <v>170</v>
      </c>
      <c r="D39" s="82">
        <f>D40*1000</f>
        <v>170644.28121399981</v>
      </c>
      <c r="E39" s="82">
        <f>E40*1000</f>
        <v>21416.524199492429</v>
      </c>
      <c r="F39" s="82">
        <f>F40*1000</f>
        <v>16910.887525915081</v>
      </c>
      <c r="G39" t="s">
        <v>146</v>
      </c>
      <c r="H39" s="82"/>
      <c r="I39" s="111"/>
      <c r="J39" s="82"/>
      <c r="K39" s="82"/>
      <c r="L39" s="82"/>
      <c r="M39" s="82"/>
    </row>
    <row r="40" spans="1:13" x14ac:dyDescent="0.25">
      <c r="B40" s="82"/>
      <c r="C40" s="82"/>
      <c r="D40" s="82">
        <f>(D16*(D22+D14*D23)+D22+D20*D23)/1000+((D16*(D13+D14-1)+(D13+D20-1))*(E27-32)*E28)</f>
        <v>170.64428121399982</v>
      </c>
      <c r="E40" s="110">
        <f>(D22+E20*D23)/1000+((D13+E20-1)*(E27-32)*E28)</f>
        <v>21.416524199492429</v>
      </c>
      <c r="F40" s="82">
        <f>(D22+F20*D23)/1000+((D13+F20-1)*(E27-32)*E28)</f>
        <v>16.910887525915079</v>
      </c>
      <c r="G40" t="s">
        <v>172</v>
      </c>
      <c r="H40" s="82" t="s">
        <v>345</v>
      </c>
      <c r="I40" s="111"/>
      <c r="J40" s="82"/>
      <c r="K40" s="82"/>
      <c r="L40" s="82"/>
      <c r="M40" s="82"/>
    </row>
    <row r="41" spans="1:13" x14ac:dyDescent="0.25">
      <c r="B41" s="82"/>
      <c r="C41" s="82"/>
      <c r="D41" s="82"/>
      <c r="E41" s="110"/>
      <c r="F41" s="82"/>
      <c r="H41" s="82"/>
      <c r="I41" s="111"/>
      <c r="J41" s="82"/>
      <c r="K41" s="82"/>
      <c r="L41" s="82"/>
      <c r="M41" s="82"/>
    </row>
    <row r="42" spans="1:13" x14ac:dyDescent="0.25">
      <c r="A42" t="s">
        <v>338</v>
      </c>
      <c r="B42" s="82"/>
      <c r="C42" s="82"/>
      <c r="D42" s="82">
        <v>16384</v>
      </c>
      <c r="E42" s="110"/>
      <c r="F42" s="82"/>
      <c r="H42" s="82"/>
      <c r="I42" s="111"/>
      <c r="J42" s="82"/>
      <c r="K42" s="82"/>
      <c r="L42" s="82"/>
      <c r="M42" s="82"/>
    </row>
    <row r="43" spans="1:13" x14ac:dyDescent="0.25">
      <c r="A43" t="s">
        <v>336</v>
      </c>
      <c r="B43" s="82"/>
      <c r="C43" s="82"/>
      <c r="D43" s="110">
        <f>D42*E28*1000</f>
        <v>6882.9606813391692</v>
      </c>
      <c r="E43" s="110"/>
      <c r="F43" s="82"/>
      <c r="G43" t="s">
        <v>146</v>
      </c>
      <c r="J43" s="82"/>
      <c r="K43" s="82"/>
      <c r="L43" s="82"/>
      <c r="M43" s="82"/>
    </row>
    <row r="44" spans="1:13" x14ac:dyDescent="0.25">
      <c r="A44" t="s">
        <v>339</v>
      </c>
      <c r="B44" s="82"/>
      <c r="C44" s="82"/>
      <c r="D44" s="110">
        <f>D$37+$D$43</f>
        <v>161405.09189533899</v>
      </c>
      <c r="E44" s="110">
        <f>E$37+$D$43</f>
        <v>26271.114880831599</v>
      </c>
      <c r="F44" s="110">
        <f>F$37+$D$43</f>
        <v>22189.398207254249</v>
      </c>
      <c r="G44" t="s">
        <v>146</v>
      </c>
      <c r="H44" s="165" t="s">
        <v>335</v>
      </c>
      <c r="I44" s="82"/>
      <c r="J44" s="82"/>
      <c r="K44" s="82"/>
      <c r="L44" s="82"/>
      <c r="M44" s="82"/>
    </row>
    <row r="45" spans="1:13" x14ac:dyDescent="0.25">
      <c r="B45" s="82"/>
      <c r="C45" s="82"/>
      <c r="D45" s="110"/>
      <c r="E45" s="110"/>
      <c r="F45" s="110"/>
      <c r="H45" s="165"/>
      <c r="I45" s="82"/>
      <c r="J45" s="82"/>
      <c r="K45" s="82"/>
      <c r="L45" s="82"/>
      <c r="M45" s="82"/>
    </row>
    <row r="46" spans="1:13" x14ac:dyDescent="0.25">
      <c r="A46" t="s">
        <v>341</v>
      </c>
      <c r="B46" s="82"/>
      <c r="C46" t="s">
        <v>342</v>
      </c>
      <c r="D46" s="110"/>
      <c r="E46" s="110"/>
      <c r="F46" s="110"/>
      <c r="H46" s="165" t="s">
        <v>344</v>
      </c>
      <c r="I46" s="82"/>
      <c r="J46" s="82"/>
      <c r="K46" s="82"/>
      <c r="L46" s="82"/>
      <c r="M46" s="82"/>
    </row>
    <row r="47" spans="1:13" x14ac:dyDescent="0.25">
      <c r="C47" s="82" t="s">
        <v>96</v>
      </c>
      <c r="D47" s="110" t="s">
        <v>343</v>
      </c>
      <c r="E47" s="110" t="s">
        <v>343</v>
      </c>
      <c r="F47" s="110" t="s">
        <v>343</v>
      </c>
      <c r="H47" s="165"/>
      <c r="I47" s="82"/>
      <c r="J47" s="82"/>
      <c r="K47" s="82"/>
      <c r="L47" s="82"/>
      <c r="M47" s="82"/>
    </row>
    <row r="48" spans="1:13" x14ac:dyDescent="0.25">
      <c r="C48" s="82" t="s">
        <v>97</v>
      </c>
      <c r="D48" s="110" t="s">
        <v>343</v>
      </c>
      <c r="E48" s="110" t="s">
        <v>343</v>
      </c>
      <c r="F48" s="110" t="s">
        <v>343</v>
      </c>
      <c r="H48" s="165"/>
      <c r="I48" s="82" t="s">
        <v>346</v>
      </c>
      <c r="J48" s="82"/>
      <c r="K48" s="82"/>
      <c r="L48" s="82"/>
      <c r="M48" s="82"/>
    </row>
    <row r="49" spans="1:13" x14ac:dyDescent="0.25">
      <c r="C49" s="82" t="s">
        <v>98</v>
      </c>
      <c r="D49" s="110" t="s">
        <v>343</v>
      </c>
      <c r="E49" s="110">
        <f>60000-E$39</f>
        <v>38583.475800507571</v>
      </c>
      <c r="F49" s="110">
        <f>60000-F$39</f>
        <v>43089.112474084919</v>
      </c>
      <c r="G49" t="s">
        <v>146</v>
      </c>
      <c r="H49" s="165"/>
      <c r="I49" s="82"/>
      <c r="J49" s="82"/>
      <c r="K49" s="82"/>
      <c r="L49" s="82"/>
      <c r="M49" s="82"/>
    </row>
    <row r="50" spans="1:13" x14ac:dyDescent="0.25">
      <c r="B50" s="82"/>
      <c r="C50" s="82" t="s">
        <v>99</v>
      </c>
      <c r="D50" s="110">
        <f>600000-D$39</f>
        <v>429355.71878600016</v>
      </c>
      <c r="E50" s="110">
        <f>600000-E$39</f>
        <v>578583.47580050759</v>
      </c>
      <c r="F50" s="110">
        <f>600000-F$39</f>
        <v>583089.11247408495</v>
      </c>
      <c r="G50" t="s">
        <v>146</v>
      </c>
      <c r="H50" s="165"/>
      <c r="I50" s="82"/>
      <c r="J50" s="82"/>
      <c r="K50" s="82"/>
      <c r="L50" s="82"/>
      <c r="M50" s="82"/>
    </row>
    <row r="51" spans="1:13" x14ac:dyDescent="0.25">
      <c r="H51" s="82"/>
      <c r="I51" s="111"/>
      <c r="J51" s="82"/>
      <c r="K51" s="82"/>
      <c r="L51" s="82"/>
      <c r="M51" s="82"/>
    </row>
    <row r="52" spans="1:13" ht="23.25" x14ac:dyDescent="0.35">
      <c r="A52" s="38" t="s">
        <v>128</v>
      </c>
      <c r="D52" s="188"/>
      <c r="E52" s="189"/>
      <c r="F52" s="189"/>
      <c r="H52" s="82"/>
      <c r="I52" s="111"/>
      <c r="J52" s="82"/>
      <c r="K52" s="82"/>
      <c r="L52" s="82"/>
      <c r="M52" s="82"/>
    </row>
    <row r="53" spans="1:13" x14ac:dyDescent="0.25">
      <c r="H53" s="82"/>
      <c r="I53" s="82"/>
      <c r="J53" s="82"/>
      <c r="K53" s="82"/>
      <c r="L53" s="82"/>
      <c r="M53" s="82"/>
    </row>
    <row r="54" spans="1:13" x14ac:dyDescent="0.25">
      <c r="A54" t="s">
        <v>134</v>
      </c>
      <c r="D54" s="219">
        <v>24</v>
      </c>
      <c r="E54" s="219"/>
      <c r="F54" s="219"/>
      <c r="L54" s="82"/>
      <c r="M54" s="82"/>
    </row>
    <row r="55" spans="1:13" x14ac:dyDescent="0.25">
      <c r="A55" t="s">
        <v>135</v>
      </c>
      <c r="D55" s="220">
        <f>P75/COUNT(B75:M90)</f>
        <v>4.1666666666666664E-2</v>
      </c>
      <c r="E55" s="220"/>
      <c r="F55" s="220"/>
      <c r="L55" s="82"/>
      <c r="M55" s="82"/>
    </row>
    <row r="56" spans="1:13" x14ac:dyDescent="0.25">
      <c r="H56" s="82"/>
      <c r="I56" s="82"/>
      <c r="J56" s="82"/>
      <c r="K56" s="82"/>
      <c r="L56" s="82"/>
      <c r="M56" s="82"/>
    </row>
    <row r="57" spans="1:13" x14ac:dyDescent="0.25">
      <c r="A57" t="s">
        <v>145</v>
      </c>
      <c r="D57">
        <f>(D31+D32)/24</f>
        <v>671.75625000000002</v>
      </c>
      <c r="E57">
        <f>(E31+E32)/24</f>
        <v>84.515416666666667</v>
      </c>
      <c r="F57">
        <f>(F31+F32)/24</f>
        <v>66.85208333333334</v>
      </c>
      <c r="G57" t="s">
        <v>146</v>
      </c>
      <c r="H57" s="82"/>
      <c r="I57" s="204"/>
      <c r="J57" s="204"/>
      <c r="K57" s="204"/>
      <c r="L57" s="82"/>
      <c r="M57" s="82"/>
    </row>
    <row r="58" spans="1:13" x14ac:dyDescent="0.25">
      <c r="H58" s="82"/>
      <c r="I58" s="82"/>
      <c r="J58" s="82"/>
      <c r="K58" s="82"/>
      <c r="L58" s="82"/>
      <c r="M58" s="82"/>
    </row>
    <row r="59" spans="1:13" x14ac:dyDescent="0.25">
      <c r="A59" t="s">
        <v>149</v>
      </c>
      <c r="D59" s="219">
        <v>3600000</v>
      </c>
      <c r="E59" s="219"/>
      <c r="F59" s="219"/>
      <c r="G59" t="s">
        <v>146</v>
      </c>
      <c r="H59" s="82"/>
      <c r="I59" s="82"/>
      <c r="J59" s="82"/>
      <c r="K59" s="82"/>
      <c r="L59" s="82"/>
      <c r="M59" s="82"/>
    </row>
    <row r="60" spans="1:13" x14ac:dyDescent="0.25">
      <c r="A60" t="s">
        <v>151</v>
      </c>
      <c r="D60" s="219">
        <v>20000</v>
      </c>
      <c r="E60" s="219"/>
      <c r="F60" s="219"/>
      <c r="G60" t="s">
        <v>146</v>
      </c>
      <c r="H60" s="82"/>
      <c r="I60" s="82"/>
      <c r="J60" s="82"/>
      <c r="K60" s="82"/>
      <c r="L60" s="82"/>
      <c r="M60" s="82"/>
    </row>
    <row r="61" spans="1:13" x14ac:dyDescent="0.25">
      <c r="D61" s="88"/>
      <c r="E61" s="88"/>
      <c r="H61" s="82"/>
      <c r="I61" s="82"/>
      <c r="J61" s="82"/>
      <c r="K61" s="82"/>
      <c r="L61" s="82"/>
      <c r="M61" s="82"/>
    </row>
    <row r="62" spans="1:13" x14ac:dyDescent="0.25">
      <c r="B62" t="s">
        <v>100</v>
      </c>
      <c r="H62" s="82"/>
      <c r="I62" s="82"/>
      <c r="J62" s="82"/>
      <c r="K62" s="82"/>
      <c r="L62" s="82"/>
      <c r="M62" s="82"/>
    </row>
    <row r="63" spans="1:13" x14ac:dyDescent="0.25">
      <c r="A63" t="s">
        <v>152</v>
      </c>
      <c r="B63">
        <v>3000</v>
      </c>
      <c r="C63" t="s">
        <v>146</v>
      </c>
      <c r="D63" s="90">
        <f>D57*(D60/B63)/D60</f>
        <v>0.22391875</v>
      </c>
      <c r="E63" s="90">
        <f>E57*(D60/B63)/D60</f>
        <v>2.8171805555555558E-2</v>
      </c>
      <c r="F63" s="90">
        <f>F57*(D60/B63)/D60</f>
        <v>2.2284027777777781E-2</v>
      </c>
      <c r="H63" s="82"/>
      <c r="I63" s="82"/>
      <c r="J63" s="82"/>
      <c r="K63" s="82"/>
      <c r="L63" s="82"/>
      <c r="M63" s="82"/>
    </row>
    <row r="64" spans="1:13" x14ac:dyDescent="0.25">
      <c r="A64" t="s">
        <v>147</v>
      </c>
      <c r="B64">
        <v>15000</v>
      </c>
      <c r="C64" t="s">
        <v>146</v>
      </c>
      <c r="D64" s="90">
        <f>D57*(D60/B64)/D60</f>
        <v>4.4783749999999997E-2</v>
      </c>
      <c r="E64" s="90">
        <f>E57*(D60/B64)/D60</f>
        <v>5.6343611111111108E-3</v>
      </c>
      <c r="F64" s="90">
        <f>F57*(D60/B64)/D60</f>
        <v>4.4568055555555559E-3</v>
      </c>
      <c r="H64" s="82"/>
      <c r="I64" s="82"/>
      <c r="J64" s="82"/>
      <c r="K64" s="82"/>
      <c r="L64" s="82"/>
      <c r="M64" s="82"/>
    </row>
    <row r="65" spans="1:16" x14ac:dyDescent="0.25">
      <c r="A65" t="s">
        <v>148</v>
      </c>
      <c r="B65">
        <v>60000</v>
      </c>
      <c r="C65" t="s">
        <v>146</v>
      </c>
      <c r="D65" s="90">
        <f>D57*(D60/B65)/D60</f>
        <v>1.1195937499999999E-2</v>
      </c>
      <c r="E65" s="90">
        <f>E57*(D60/B65)/D60</f>
        <v>1.4085902777777777E-3</v>
      </c>
      <c r="F65" s="90">
        <f>F57*(D60/B65)/D60</f>
        <v>1.114201388888889E-3</v>
      </c>
      <c r="H65" s="82"/>
      <c r="I65" s="82"/>
      <c r="J65" s="82"/>
      <c r="K65" s="82"/>
      <c r="L65" s="82"/>
      <c r="M65" s="82"/>
    </row>
    <row r="66" spans="1:16" x14ac:dyDescent="0.25">
      <c r="B66">
        <v>600000</v>
      </c>
      <c r="C66" t="s">
        <v>146</v>
      </c>
      <c r="D66" s="90">
        <f>D57*(D60/B66)/D60</f>
        <v>1.1195937499999999E-3</v>
      </c>
      <c r="E66" s="90">
        <f>E57*(D60/B66)/D60</f>
        <v>1.4085902777777776E-4</v>
      </c>
      <c r="F66" s="90">
        <f>F57*(D60/B66)/D60</f>
        <v>1.114201388888889E-4</v>
      </c>
      <c r="H66" s="82"/>
      <c r="I66" s="82"/>
      <c r="J66" s="82"/>
      <c r="K66" s="82"/>
      <c r="L66" s="82"/>
      <c r="M66" s="82"/>
    </row>
    <row r="68" spans="1:16" x14ac:dyDescent="0.25">
      <c r="B68" t="s">
        <v>100</v>
      </c>
    </row>
    <row r="69" spans="1:16" x14ac:dyDescent="0.25">
      <c r="A69" t="s">
        <v>153</v>
      </c>
      <c r="B69">
        <v>3000</v>
      </c>
      <c r="C69" t="s">
        <v>146</v>
      </c>
      <c r="D69" s="90">
        <f>D33*(D59/B69)/D59</f>
        <v>5.3740500000000004</v>
      </c>
      <c r="E69" s="90">
        <f>E33*(D59/B69)/D59</f>
        <v>0.6761233333333333</v>
      </c>
      <c r="F69" s="90">
        <f>F33*(D59/B69)/D59</f>
        <v>0.53481666666666672</v>
      </c>
    </row>
    <row r="70" spans="1:16" x14ac:dyDescent="0.25">
      <c r="A70" t="s">
        <v>147</v>
      </c>
      <c r="B70">
        <v>15000</v>
      </c>
      <c r="C70" t="s">
        <v>146</v>
      </c>
      <c r="D70" s="90">
        <f>D33*(D59/B70)/D59</f>
        <v>1.07481</v>
      </c>
      <c r="E70" s="90">
        <f>E33*(D59/B70)/D59</f>
        <v>0.13522466666666669</v>
      </c>
      <c r="F70" s="90">
        <f>F33*(D59/B70)/D59</f>
        <v>0.10696333333333333</v>
      </c>
    </row>
    <row r="71" spans="1:16" x14ac:dyDescent="0.25">
      <c r="A71" t="s">
        <v>148</v>
      </c>
      <c r="B71">
        <v>60000</v>
      </c>
      <c r="C71" t="s">
        <v>146</v>
      </c>
      <c r="D71" s="90">
        <f>D33*(D59/B71)/D59</f>
        <v>0.26870250000000001</v>
      </c>
      <c r="E71" s="90">
        <f>E33*(D59/B71)/D59</f>
        <v>3.3806166666666672E-2</v>
      </c>
      <c r="F71" s="90">
        <f>F33*(D59/B71)/D59</f>
        <v>2.6740833333333332E-2</v>
      </c>
    </row>
    <row r="72" spans="1:16" x14ac:dyDescent="0.25">
      <c r="B72">
        <v>600000</v>
      </c>
      <c r="C72" t="s">
        <v>146</v>
      </c>
      <c r="D72" s="90">
        <f>D33*(D59/B72)/D59</f>
        <v>2.6870249999999998E-2</v>
      </c>
      <c r="E72" s="90">
        <f>E33*(D59/B72)/D59</f>
        <v>3.3806166666666671E-3</v>
      </c>
      <c r="F72" s="90">
        <f>F33*(D59/B72)/D59</f>
        <v>2.6740833333333334E-3</v>
      </c>
    </row>
    <row r="74" spans="1:16" x14ac:dyDescent="0.25">
      <c r="B74" s="82"/>
      <c r="O74" t="s">
        <v>126</v>
      </c>
      <c r="P74" t="s">
        <v>125</v>
      </c>
    </row>
    <row r="75" spans="1:16" x14ac:dyDescent="0.25">
      <c r="A75" t="s">
        <v>121</v>
      </c>
      <c r="B75" s="82">
        <v>5</v>
      </c>
      <c r="C75">
        <v>21</v>
      </c>
      <c r="D75">
        <v>13</v>
      </c>
      <c r="E75">
        <v>6</v>
      </c>
      <c r="F75">
        <v>22</v>
      </c>
      <c r="G75">
        <v>14</v>
      </c>
      <c r="H75">
        <v>1</v>
      </c>
      <c r="I75">
        <v>17</v>
      </c>
      <c r="J75">
        <v>9</v>
      </c>
      <c r="K75">
        <v>0</v>
      </c>
      <c r="L75">
        <v>16</v>
      </c>
      <c r="M75">
        <v>8</v>
      </c>
      <c r="O75">
        <v>0</v>
      </c>
      <c r="P75">
        <f t="array" ref="P75:P98">FREQUENCY(B75:M90,O75:O98)</f>
        <v>8</v>
      </c>
    </row>
    <row r="76" spans="1:16" x14ac:dyDescent="0.25">
      <c r="A76" t="s">
        <v>120</v>
      </c>
      <c r="B76" s="82">
        <v>4</v>
      </c>
      <c r="C76">
        <v>20</v>
      </c>
      <c r="D76">
        <v>12</v>
      </c>
      <c r="E76">
        <v>1</v>
      </c>
      <c r="F76">
        <v>17</v>
      </c>
      <c r="G76">
        <v>9</v>
      </c>
      <c r="H76">
        <v>0</v>
      </c>
      <c r="I76">
        <v>16</v>
      </c>
      <c r="J76">
        <v>8</v>
      </c>
      <c r="K76">
        <v>6</v>
      </c>
      <c r="L76">
        <v>22</v>
      </c>
      <c r="M76">
        <v>14</v>
      </c>
      <c r="O76">
        <v>1</v>
      </c>
      <c r="P76">
        <v>8</v>
      </c>
    </row>
    <row r="77" spans="1:16" x14ac:dyDescent="0.25">
      <c r="A77" t="s">
        <v>127</v>
      </c>
      <c r="B77" s="82">
        <v>4</v>
      </c>
      <c r="C77">
        <v>20</v>
      </c>
      <c r="D77">
        <v>12</v>
      </c>
      <c r="E77">
        <v>3</v>
      </c>
      <c r="F77">
        <v>19</v>
      </c>
      <c r="G77">
        <v>11</v>
      </c>
      <c r="H77">
        <v>6</v>
      </c>
      <c r="I77">
        <v>22</v>
      </c>
      <c r="J77">
        <v>14</v>
      </c>
      <c r="K77">
        <v>7</v>
      </c>
      <c r="L77">
        <v>23</v>
      </c>
      <c r="M77">
        <v>15</v>
      </c>
      <c r="O77">
        <v>2</v>
      </c>
      <c r="P77">
        <v>8</v>
      </c>
    </row>
    <row r="78" spans="1:16" x14ac:dyDescent="0.25">
      <c r="A78" t="s">
        <v>124</v>
      </c>
      <c r="B78" s="82">
        <v>6</v>
      </c>
      <c r="C78">
        <v>22</v>
      </c>
      <c r="D78">
        <v>14</v>
      </c>
      <c r="E78">
        <v>2</v>
      </c>
      <c r="F78">
        <v>18</v>
      </c>
      <c r="G78">
        <v>10</v>
      </c>
      <c r="H78">
        <v>7</v>
      </c>
      <c r="I78">
        <v>23</v>
      </c>
      <c r="J78">
        <v>15</v>
      </c>
      <c r="K78">
        <v>0</v>
      </c>
      <c r="L78">
        <v>16</v>
      </c>
      <c r="M78">
        <v>8</v>
      </c>
      <c r="O78">
        <v>3</v>
      </c>
      <c r="P78">
        <v>8</v>
      </c>
    </row>
    <row r="79" spans="1:16" x14ac:dyDescent="0.25">
      <c r="B79" s="82">
        <v>7</v>
      </c>
      <c r="C79">
        <v>23</v>
      </c>
      <c r="D79">
        <v>15</v>
      </c>
      <c r="E79">
        <v>4</v>
      </c>
      <c r="F79">
        <v>20</v>
      </c>
      <c r="G79">
        <v>12</v>
      </c>
      <c r="H79">
        <v>3</v>
      </c>
      <c r="I79">
        <v>19</v>
      </c>
      <c r="J79">
        <v>11</v>
      </c>
      <c r="K79">
        <v>2</v>
      </c>
      <c r="L79">
        <v>18</v>
      </c>
      <c r="M79">
        <v>10</v>
      </c>
      <c r="O79">
        <v>4</v>
      </c>
      <c r="P79">
        <v>8</v>
      </c>
    </row>
    <row r="80" spans="1:16" x14ac:dyDescent="0.25">
      <c r="B80" s="82">
        <v>3</v>
      </c>
      <c r="C80">
        <v>19</v>
      </c>
      <c r="D80">
        <v>11</v>
      </c>
      <c r="E80">
        <v>6</v>
      </c>
      <c r="F80">
        <v>22</v>
      </c>
      <c r="G80">
        <v>14</v>
      </c>
      <c r="H80">
        <v>2</v>
      </c>
      <c r="I80">
        <v>18</v>
      </c>
      <c r="J80">
        <v>10</v>
      </c>
      <c r="K80">
        <v>0</v>
      </c>
      <c r="L80">
        <v>16</v>
      </c>
      <c r="M80">
        <v>8</v>
      </c>
      <c r="O80">
        <v>5</v>
      </c>
      <c r="P80">
        <v>8</v>
      </c>
    </row>
    <row r="81" spans="2:16" x14ac:dyDescent="0.25">
      <c r="B81" s="82">
        <v>3</v>
      </c>
      <c r="C81">
        <v>19</v>
      </c>
      <c r="D81">
        <v>11</v>
      </c>
      <c r="E81">
        <v>1</v>
      </c>
      <c r="F81">
        <v>17</v>
      </c>
      <c r="G81">
        <v>9</v>
      </c>
      <c r="H81">
        <v>5</v>
      </c>
      <c r="I81">
        <v>21</v>
      </c>
      <c r="J81">
        <v>13</v>
      </c>
      <c r="K81">
        <v>7</v>
      </c>
      <c r="L81">
        <v>23</v>
      </c>
      <c r="M81">
        <v>15</v>
      </c>
      <c r="O81">
        <v>6</v>
      </c>
      <c r="P81">
        <v>8</v>
      </c>
    </row>
    <row r="82" spans="2:16" x14ac:dyDescent="0.25">
      <c r="B82" s="82">
        <v>0</v>
      </c>
      <c r="C82">
        <v>16</v>
      </c>
      <c r="D82">
        <v>8</v>
      </c>
      <c r="E82">
        <v>6</v>
      </c>
      <c r="F82">
        <v>22</v>
      </c>
      <c r="G82">
        <v>14</v>
      </c>
      <c r="H82">
        <v>3</v>
      </c>
      <c r="I82">
        <v>19</v>
      </c>
      <c r="J82">
        <v>11</v>
      </c>
      <c r="K82">
        <v>2</v>
      </c>
      <c r="L82">
        <v>18</v>
      </c>
      <c r="M82">
        <v>10</v>
      </c>
      <c r="O82">
        <v>7</v>
      </c>
      <c r="P82">
        <v>8</v>
      </c>
    </row>
    <row r="83" spans="2:16" x14ac:dyDescent="0.25">
      <c r="B83" s="82">
        <v>7</v>
      </c>
      <c r="C83">
        <v>23</v>
      </c>
      <c r="D83">
        <v>15</v>
      </c>
      <c r="E83">
        <v>4</v>
      </c>
      <c r="F83">
        <v>20</v>
      </c>
      <c r="G83">
        <v>12</v>
      </c>
      <c r="H83">
        <v>3</v>
      </c>
      <c r="I83">
        <v>19</v>
      </c>
      <c r="J83">
        <v>11</v>
      </c>
      <c r="K83">
        <v>2</v>
      </c>
      <c r="L83">
        <v>18</v>
      </c>
      <c r="M83">
        <v>10</v>
      </c>
      <c r="O83">
        <v>8</v>
      </c>
      <c r="P83">
        <v>8</v>
      </c>
    </row>
    <row r="84" spans="2:16" x14ac:dyDescent="0.25">
      <c r="B84" s="82">
        <v>7</v>
      </c>
      <c r="C84">
        <v>23</v>
      </c>
      <c r="D84">
        <v>15</v>
      </c>
      <c r="E84">
        <v>2</v>
      </c>
      <c r="F84">
        <v>18</v>
      </c>
      <c r="G84">
        <v>10</v>
      </c>
      <c r="H84">
        <v>5</v>
      </c>
      <c r="I84">
        <v>21</v>
      </c>
      <c r="J84">
        <v>13</v>
      </c>
      <c r="K84">
        <v>3</v>
      </c>
      <c r="L84">
        <v>19</v>
      </c>
      <c r="M84">
        <v>11</v>
      </c>
      <c r="O84">
        <v>9</v>
      </c>
      <c r="P84">
        <v>8</v>
      </c>
    </row>
    <row r="85" spans="2:16" x14ac:dyDescent="0.25">
      <c r="B85" s="82">
        <v>0</v>
      </c>
      <c r="C85">
        <v>16</v>
      </c>
      <c r="D85">
        <v>8</v>
      </c>
      <c r="E85">
        <v>5</v>
      </c>
      <c r="F85">
        <v>21</v>
      </c>
      <c r="G85">
        <v>13</v>
      </c>
      <c r="H85">
        <v>2</v>
      </c>
      <c r="I85">
        <v>18</v>
      </c>
      <c r="J85">
        <v>10</v>
      </c>
      <c r="K85">
        <v>1</v>
      </c>
      <c r="L85">
        <v>17</v>
      </c>
      <c r="M85">
        <v>9</v>
      </c>
      <c r="O85">
        <v>10</v>
      </c>
      <c r="P85">
        <v>8</v>
      </c>
    </row>
    <row r="86" spans="2:16" x14ac:dyDescent="0.25">
      <c r="B86" s="82">
        <v>1</v>
      </c>
      <c r="C86">
        <v>17</v>
      </c>
      <c r="D86">
        <v>9</v>
      </c>
      <c r="E86">
        <v>4</v>
      </c>
      <c r="F86">
        <v>20</v>
      </c>
      <c r="G86">
        <v>12</v>
      </c>
      <c r="H86">
        <v>5</v>
      </c>
      <c r="I86">
        <v>21</v>
      </c>
      <c r="J86">
        <v>13</v>
      </c>
      <c r="K86">
        <v>3</v>
      </c>
      <c r="L86">
        <v>19</v>
      </c>
      <c r="M86">
        <v>11</v>
      </c>
      <c r="O86">
        <v>11</v>
      </c>
      <c r="P86">
        <v>8</v>
      </c>
    </row>
    <row r="87" spans="2:16" x14ac:dyDescent="0.25">
      <c r="B87" s="82">
        <v>6</v>
      </c>
      <c r="C87">
        <v>22</v>
      </c>
      <c r="D87">
        <v>14</v>
      </c>
      <c r="E87">
        <v>0</v>
      </c>
      <c r="F87">
        <v>16</v>
      </c>
      <c r="G87">
        <v>8</v>
      </c>
      <c r="H87">
        <v>1</v>
      </c>
      <c r="I87">
        <v>17</v>
      </c>
      <c r="J87">
        <v>9</v>
      </c>
      <c r="K87">
        <v>5</v>
      </c>
      <c r="L87">
        <v>21</v>
      </c>
      <c r="M87">
        <v>13</v>
      </c>
      <c r="O87">
        <v>12</v>
      </c>
      <c r="P87">
        <v>8</v>
      </c>
    </row>
    <row r="88" spans="2:16" x14ac:dyDescent="0.25">
      <c r="B88" s="82">
        <v>7</v>
      </c>
      <c r="C88">
        <v>23</v>
      </c>
      <c r="D88">
        <v>15</v>
      </c>
      <c r="E88">
        <v>1</v>
      </c>
      <c r="F88">
        <v>17</v>
      </c>
      <c r="G88">
        <v>9</v>
      </c>
      <c r="H88">
        <v>4</v>
      </c>
      <c r="I88">
        <v>20</v>
      </c>
      <c r="J88">
        <v>12</v>
      </c>
      <c r="K88">
        <v>5</v>
      </c>
      <c r="L88">
        <v>21</v>
      </c>
      <c r="M88">
        <v>13</v>
      </c>
      <c r="O88">
        <v>13</v>
      </c>
      <c r="P88">
        <v>8</v>
      </c>
    </row>
    <row r="89" spans="2:16" x14ac:dyDescent="0.25">
      <c r="B89" s="82">
        <v>0</v>
      </c>
      <c r="C89">
        <v>16</v>
      </c>
      <c r="D89">
        <v>8</v>
      </c>
      <c r="E89">
        <v>2</v>
      </c>
      <c r="F89">
        <v>18</v>
      </c>
      <c r="G89">
        <v>10</v>
      </c>
      <c r="H89">
        <v>6</v>
      </c>
      <c r="I89">
        <v>22</v>
      </c>
      <c r="J89">
        <v>14</v>
      </c>
      <c r="K89">
        <v>4</v>
      </c>
      <c r="L89">
        <v>20</v>
      </c>
      <c r="M89">
        <v>12</v>
      </c>
      <c r="O89">
        <v>14</v>
      </c>
      <c r="P89">
        <v>8</v>
      </c>
    </row>
    <row r="90" spans="2:16" x14ac:dyDescent="0.25">
      <c r="B90" s="82">
        <v>4</v>
      </c>
      <c r="C90">
        <v>20</v>
      </c>
      <c r="D90">
        <v>12</v>
      </c>
      <c r="E90">
        <v>7</v>
      </c>
      <c r="F90">
        <v>23</v>
      </c>
      <c r="G90">
        <v>15</v>
      </c>
      <c r="H90">
        <v>5</v>
      </c>
      <c r="I90">
        <v>21</v>
      </c>
      <c r="J90">
        <v>13</v>
      </c>
      <c r="K90">
        <v>1</v>
      </c>
      <c r="L90">
        <v>17</v>
      </c>
      <c r="M90">
        <v>9</v>
      </c>
      <c r="O90">
        <v>15</v>
      </c>
      <c r="P90">
        <v>8</v>
      </c>
    </row>
    <row r="91" spans="2:16" x14ac:dyDescent="0.25">
      <c r="B91" s="82"/>
      <c r="O91">
        <v>16</v>
      </c>
      <c r="P91">
        <v>8</v>
      </c>
    </row>
    <row r="92" spans="2:16" x14ac:dyDescent="0.25">
      <c r="B92" s="82"/>
      <c r="O92">
        <v>17</v>
      </c>
      <c r="P92">
        <v>8</v>
      </c>
    </row>
    <row r="93" spans="2:16" x14ac:dyDescent="0.25">
      <c r="B93" s="82"/>
      <c r="O93">
        <v>18</v>
      </c>
      <c r="P93">
        <v>8</v>
      </c>
    </row>
    <row r="94" spans="2:16" x14ac:dyDescent="0.25">
      <c r="B94" s="82"/>
      <c r="O94">
        <v>19</v>
      </c>
      <c r="P94">
        <v>8</v>
      </c>
    </row>
    <row r="95" spans="2:16" x14ac:dyDescent="0.25">
      <c r="B95" s="82"/>
      <c r="O95">
        <v>20</v>
      </c>
      <c r="P95">
        <v>8</v>
      </c>
    </row>
    <row r="96" spans="2:16" x14ac:dyDescent="0.25">
      <c r="B96" s="82"/>
      <c r="O96">
        <v>21</v>
      </c>
      <c r="P96">
        <v>8</v>
      </c>
    </row>
    <row r="97" spans="1:16" x14ac:dyDescent="0.25">
      <c r="B97" s="82"/>
      <c r="O97">
        <v>22</v>
      </c>
      <c r="P97">
        <v>8</v>
      </c>
    </row>
    <row r="98" spans="1:16" x14ac:dyDescent="0.25">
      <c r="B98" s="82"/>
      <c r="O98">
        <v>23</v>
      </c>
      <c r="P98">
        <v>8</v>
      </c>
    </row>
    <row r="99" spans="1:16" x14ac:dyDescent="0.25">
      <c r="B99" s="82"/>
    </row>
    <row r="101" spans="1:16" x14ac:dyDescent="0.25">
      <c r="O101" t="s">
        <v>126</v>
      </c>
      <c r="P101" t="s">
        <v>125</v>
      </c>
    </row>
    <row r="102" spans="1:16" x14ac:dyDescent="0.25">
      <c r="A102" t="s">
        <v>122</v>
      </c>
      <c r="B102">
        <v>4</v>
      </c>
      <c r="C102">
        <v>20</v>
      </c>
      <c r="D102">
        <v>12</v>
      </c>
      <c r="E102">
        <v>0</v>
      </c>
      <c r="F102">
        <v>16</v>
      </c>
      <c r="G102">
        <v>8</v>
      </c>
      <c r="H102">
        <v>3</v>
      </c>
      <c r="I102">
        <v>19</v>
      </c>
      <c r="J102">
        <v>11</v>
      </c>
      <c r="K102">
        <v>5</v>
      </c>
      <c r="L102">
        <v>21</v>
      </c>
      <c r="M102">
        <v>13</v>
      </c>
      <c r="O102">
        <v>0</v>
      </c>
      <c r="P102">
        <f t="array" ref="P102:P125">FREQUENCY(B102:M117,O102:O125)</f>
        <v>8</v>
      </c>
    </row>
    <row r="103" spans="1:16" x14ac:dyDescent="0.25">
      <c r="A103" t="s">
        <v>120</v>
      </c>
      <c r="B103">
        <v>3</v>
      </c>
      <c r="C103">
        <v>19</v>
      </c>
      <c r="D103">
        <v>11</v>
      </c>
      <c r="E103">
        <v>7</v>
      </c>
      <c r="F103">
        <v>23</v>
      </c>
      <c r="G103">
        <v>15</v>
      </c>
      <c r="H103">
        <v>2</v>
      </c>
      <c r="I103">
        <v>18</v>
      </c>
      <c r="J103">
        <v>10</v>
      </c>
      <c r="K103">
        <v>5</v>
      </c>
      <c r="L103">
        <v>21</v>
      </c>
      <c r="M103">
        <v>13</v>
      </c>
      <c r="O103">
        <v>1</v>
      </c>
      <c r="P103">
        <v>8</v>
      </c>
    </row>
    <row r="104" spans="1:16" x14ac:dyDescent="0.25">
      <c r="A104" t="s">
        <v>123</v>
      </c>
      <c r="B104">
        <v>6</v>
      </c>
      <c r="C104">
        <v>22</v>
      </c>
      <c r="D104">
        <v>14</v>
      </c>
      <c r="E104">
        <v>0</v>
      </c>
      <c r="F104">
        <v>16</v>
      </c>
      <c r="G104">
        <v>8</v>
      </c>
      <c r="H104">
        <v>1</v>
      </c>
      <c r="I104">
        <v>17</v>
      </c>
      <c r="J104">
        <v>9</v>
      </c>
      <c r="K104">
        <v>4</v>
      </c>
      <c r="L104">
        <v>20</v>
      </c>
      <c r="M104">
        <v>12</v>
      </c>
      <c r="O104">
        <v>2</v>
      </c>
      <c r="P104">
        <v>8</v>
      </c>
    </row>
    <row r="105" spans="1:16" x14ac:dyDescent="0.25">
      <c r="A105" t="s">
        <v>124</v>
      </c>
      <c r="B105">
        <v>3</v>
      </c>
      <c r="C105">
        <v>19</v>
      </c>
      <c r="D105">
        <v>11</v>
      </c>
      <c r="E105">
        <v>1</v>
      </c>
      <c r="F105">
        <v>17</v>
      </c>
      <c r="G105">
        <v>9</v>
      </c>
      <c r="H105">
        <v>4</v>
      </c>
      <c r="I105">
        <v>20</v>
      </c>
      <c r="J105">
        <v>12</v>
      </c>
      <c r="K105">
        <v>5</v>
      </c>
      <c r="L105">
        <v>21</v>
      </c>
      <c r="M105">
        <v>13</v>
      </c>
      <c r="O105">
        <v>3</v>
      </c>
      <c r="P105">
        <v>8</v>
      </c>
    </row>
    <row r="106" spans="1:16" x14ac:dyDescent="0.25">
      <c r="B106">
        <v>5</v>
      </c>
      <c r="C106">
        <v>21</v>
      </c>
      <c r="D106">
        <v>13</v>
      </c>
      <c r="E106">
        <v>2</v>
      </c>
      <c r="F106">
        <v>18</v>
      </c>
      <c r="G106">
        <v>10</v>
      </c>
      <c r="H106">
        <v>0</v>
      </c>
      <c r="I106">
        <v>16</v>
      </c>
      <c r="J106">
        <v>8</v>
      </c>
      <c r="K106">
        <v>6</v>
      </c>
      <c r="L106">
        <v>22</v>
      </c>
      <c r="M106">
        <v>14</v>
      </c>
      <c r="O106">
        <v>4</v>
      </c>
      <c r="P106">
        <v>8</v>
      </c>
    </row>
    <row r="107" spans="1:16" x14ac:dyDescent="0.25">
      <c r="B107">
        <v>1</v>
      </c>
      <c r="C107">
        <v>17</v>
      </c>
      <c r="D107">
        <v>9</v>
      </c>
      <c r="E107">
        <v>3</v>
      </c>
      <c r="F107">
        <v>19</v>
      </c>
      <c r="G107">
        <v>11</v>
      </c>
      <c r="H107">
        <v>4</v>
      </c>
      <c r="I107">
        <v>20</v>
      </c>
      <c r="J107">
        <v>12</v>
      </c>
      <c r="K107">
        <v>6</v>
      </c>
      <c r="L107">
        <v>22</v>
      </c>
      <c r="M107">
        <v>14</v>
      </c>
      <c r="O107">
        <v>5</v>
      </c>
      <c r="P107">
        <v>8</v>
      </c>
    </row>
    <row r="108" spans="1:16" x14ac:dyDescent="0.25">
      <c r="B108">
        <v>5</v>
      </c>
      <c r="C108">
        <v>21</v>
      </c>
      <c r="D108">
        <v>13</v>
      </c>
      <c r="E108">
        <v>1</v>
      </c>
      <c r="F108">
        <v>17</v>
      </c>
      <c r="G108">
        <v>9</v>
      </c>
      <c r="H108">
        <v>2</v>
      </c>
      <c r="I108">
        <v>18</v>
      </c>
      <c r="J108">
        <v>10</v>
      </c>
      <c r="K108">
        <v>4</v>
      </c>
      <c r="L108">
        <v>20</v>
      </c>
      <c r="M108">
        <v>12</v>
      </c>
      <c r="O108">
        <v>6</v>
      </c>
      <c r="P108">
        <v>8</v>
      </c>
    </row>
    <row r="109" spans="1:16" x14ac:dyDescent="0.25">
      <c r="B109">
        <v>3</v>
      </c>
      <c r="C109">
        <v>19</v>
      </c>
      <c r="D109">
        <v>11</v>
      </c>
      <c r="E109">
        <v>6</v>
      </c>
      <c r="F109">
        <v>22</v>
      </c>
      <c r="G109">
        <v>14</v>
      </c>
      <c r="H109">
        <v>5</v>
      </c>
      <c r="I109">
        <v>21</v>
      </c>
      <c r="J109">
        <v>13</v>
      </c>
      <c r="K109">
        <v>1</v>
      </c>
      <c r="L109">
        <v>17</v>
      </c>
      <c r="M109">
        <v>9</v>
      </c>
      <c r="O109">
        <v>7</v>
      </c>
      <c r="P109">
        <v>8</v>
      </c>
    </row>
    <row r="110" spans="1:16" x14ac:dyDescent="0.25">
      <c r="B110">
        <v>1</v>
      </c>
      <c r="C110">
        <v>17</v>
      </c>
      <c r="D110">
        <v>9</v>
      </c>
      <c r="E110">
        <v>7</v>
      </c>
      <c r="F110">
        <v>23</v>
      </c>
      <c r="G110">
        <v>15</v>
      </c>
      <c r="H110">
        <v>2</v>
      </c>
      <c r="I110">
        <v>18</v>
      </c>
      <c r="J110">
        <v>10</v>
      </c>
      <c r="K110">
        <v>6</v>
      </c>
      <c r="L110">
        <v>22</v>
      </c>
      <c r="M110">
        <v>14</v>
      </c>
      <c r="O110">
        <v>8</v>
      </c>
      <c r="P110">
        <v>8</v>
      </c>
    </row>
    <row r="111" spans="1:16" x14ac:dyDescent="0.25">
      <c r="B111">
        <v>4</v>
      </c>
      <c r="C111">
        <v>20</v>
      </c>
      <c r="D111">
        <v>12</v>
      </c>
      <c r="E111">
        <v>0</v>
      </c>
      <c r="F111">
        <v>16</v>
      </c>
      <c r="G111">
        <v>8</v>
      </c>
      <c r="H111">
        <v>1</v>
      </c>
      <c r="I111">
        <v>17</v>
      </c>
      <c r="J111">
        <v>9</v>
      </c>
      <c r="K111">
        <v>6</v>
      </c>
      <c r="L111">
        <v>22</v>
      </c>
      <c r="M111">
        <v>14</v>
      </c>
      <c r="O111">
        <v>9</v>
      </c>
      <c r="P111">
        <v>8</v>
      </c>
    </row>
    <row r="112" spans="1:16" x14ac:dyDescent="0.25">
      <c r="B112">
        <v>3</v>
      </c>
      <c r="C112">
        <v>19</v>
      </c>
      <c r="D112">
        <v>11</v>
      </c>
      <c r="E112">
        <v>5</v>
      </c>
      <c r="F112">
        <v>21</v>
      </c>
      <c r="G112">
        <v>13</v>
      </c>
      <c r="H112">
        <v>2</v>
      </c>
      <c r="I112">
        <v>18</v>
      </c>
      <c r="J112">
        <v>10</v>
      </c>
      <c r="K112">
        <v>7</v>
      </c>
      <c r="L112">
        <v>23</v>
      </c>
      <c r="M112">
        <v>15</v>
      </c>
      <c r="O112">
        <v>10</v>
      </c>
      <c r="P112">
        <v>8</v>
      </c>
    </row>
    <row r="113" spans="1:16" x14ac:dyDescent="0.25">
      <c r="B113">
        <v>2</v>
      </c>
      <c r="C113">
        <v>18</v>
      </c>
      <c r="D113">
        <v>10</v>
      </c>
      <c r="E113">
        <v>7</v>
      </c>
      <c r="F113">
        <v>23</v>
      </c>
      <c r="G113">
        <v>15</v>
      </c>
      <c r="H113">
        <v>6</v>
      </c>
      <c r="I113">
        <v>22</v>
      </c>
      <c r="J113">
        <v>14</v>
      </c>
      <c r="K113">
        <v>0</v>
      </c>
      <c r="L113">
        <v>16</v>
      </c>
      <c r="M113">
        <v>8</v>
      </c>
      <c r="O113">
        <v>11</v>
      </c>
      <c r="P113">
        <v>8</v>
      </c>
    </row>
    <row r="114" spans="1:16" x14ac:dyDescent="0.25">
      <c r="B114">
        <v>7</v>
      </c>
      <c r="C114">
        <v>23</v>
      </c>
      <c r="D114">
        <v>15</v>
      </c>
      <c r="E114">
        <v>1</v>
      </c>
      <c r="F114">
        <v>17</v>
      </c>
      <c r="G114">
        <v>9</v>
      </c>
      <c r="H114">
        <v>4</v>
      </c>
      <c r="I114">
        <v>20</v>
      </c>
      <c r="J114">
        <v>12</v>
      </c>
      <c r="K114">
        <v>3</v>
      </c>
      <c r="L114">
        <v>19</v>
      </c>
      <c r="M114">
        <v>11</v>
      </c>
      <c r="O114">
        <v>12</v>
      </c>
      <c r="P114">
        <v>8</v>
      </c>
    </row>
    <row r="115" spans="1:16" x14ac:dyDescent="0.25">
      <c r="B115">
        <v>7</v>
      </c>
      <c r="C115">
        <v>23</v>
      </c>
      <c r="D115">
        <v>15</v>
      </c>
      <c r="E115">
        <v>5</v>
      </c>
      <c r="F115">
        <v>21</v>
      </c>
      <c r="G115">
        <v>13</v>
      </c>
      <c r="H115">
        <v>2</v>
      </c>
      <c r="I115">
        <v>18</v>
      </c>
      <c r="J115">
        <v>10</v>
      </c>
      <c r="K115">
        <v>0</v>
      </c>
      <c r="L115">
        <v>16</v>
      </c>
      <c r="M115">
        <v>8</v>
      </c>
      <c r="O115">
        <v>13</v>
      </c>
      <c r="P115">
        <v>8</v>
      </c>
    </row>
    <row r="116" spans="1:16" x14ac:dyDescent="0.25">
      <c r="B116">
        <v>3</v>
      </c>
      <c r="C116">
        <v>19</v>
      </c>
      <c r="D116">
        <v>11</v>
      </c>
      <c r="E116">
        <v>0</v>
      </c>
      <c r="F116">
        <v>16</v>
      </c>
      <c r="G116">
        <v>8</v>
      </c>
      <c r="H116">
        <v>6</v>
      </c>
      <c r="I116">
        <v>22</v>
      </c>
      <c r="J116">
        <v>14</v>
      </c>
      <c r="K116">
        <v>7</v>
      </c>
      <c r="L116">
        <v>23</v>
      </c>
      <c r="M116">
        <v>15</v>
      </c>
      <c r="O116">
        <v>14</v>
      </c>
      <c r="P116">
        <v>8</v>
      </c>
    </row>
    <row r="117" spans="1:16" x14ac:dyDescent="0.25">
      <c r="B117">
        <v>7</v>
      </c>
      <c r="C117">
        <v>23</v>
      </c>
      <c r="D117">
        <v>15</v>
      </c>
      <c r="E117">
        <v>2</v>
      </c>
      <c r="F117">
        <v>18</v>
      </c>
      <c r="G117">
        <v>10</v>
      </c>
      <c r="H117">
        <v>0</v>
      </c>
      <c r="I117">
        <v>16</v>
      </c>
      <c r="J117">
        <v>8</v>
      </c>
      <c r="K117">
        <v>4</v>
      </c>
      <c r="L117">
        <v>20</v>
      </c>
      <c r="M117">
        <v>12</v>
      </c>
      <c r="O117">
        <v>15</v>
      </c>
      <c r="P117">
        <v>8</v>
      </c>
    </row>
    <row r="118" spans="1:16" x14ac:dyDescent="0.25">
      <c r="O118">
        <v>16</v>
      </c>
      <c r="P118">
        <v>8</v>
      </c>
    </row>
    <row r="119" spans="1:16" x14ac:dyDescent="0.25">
      <c r="O119">
        <v>17</v>
      </c>
      <c r="P119">
        <v>8</v>
      </c>
    </row>
    <row r="120" spans="1:16" x14ac:dyDescent="0.25">
      <c r="O120">
        <v>18</v>
      </c>
      <c r="P120">
        <v>8</v>
      </c>
    </row>
    <row r="121" spans="1:16" x14ac:dyDescent="0.25">
      <c r="O121">
        <v>19</v>
      </c>
      <c r="P121">
        <v>8</v>
      </c>
    </row>
    <row r="122" spans="1:16" x14ac:dyDescent="0.25">
      <c r="O122">
        <v>20</v>
      </c>
      <c r="P122">
        <v>8</v>
      </c>
    </row>
    <row r="123" spans="1:16" x14ac:dyDescent="0.25">
      <c r="O123">
        <v>21</v>
      </c>
      <c r="P123">
        <v>8</v>
      </c>
    </row>
    <row r="124" spans="1:16" x14ac:dyDescent="0.25">
      <c r="O124">
        <v>22</v>
      </c>
      <c r="P124">
        <v>8</v>
      </c>
    </row>
    <row r="125" spans="1:16" x14ac:dyDescent="0.25">
      <c r="O125">
        <v>23</v>
      </c>
      <c r="P125">
        <v>8</v>
      </c>
    </row>
    <row r="127" spans="1:16" ht="26.25" x14ac:dyDescent="0.4">
      <c r="A127" s="195" t="s">
        <v>168</v>
      </c>
    </row>
    <row r="129" spans="2:10" x14ac:dyDescent="0.25">
      <c r="C129" s="82"/>
      <c r="D129" s="82" t="s">
        <v>212</v>
      </c>
      <c r="E129" s="82" t="s">
        <v>213</v>
      </c>
      <c r="F129" s="82" t="s">
        <v>2</v>
      </c>
    </row>
    <row r="132" spans="2:10" x14ac:dyDescent="0.25">
      <c r="B132" s="82" t="s">
        <v>173</v>
      </c>
      <c r="C132" s="82"/>
      <c r="D132" s="101">
        <f>(D9*8)/D40</f>
        <v>11.485881542915719</v>
      </c>
      <c r="E132" s="101">
        <f>(F4*8)/E40</f>
        <v>38.101420772066234</v>
      </c>
      <c r="F132" s="101">
        <f>(F4*8)/F40</f>
        <v>48.252937567559435</v>
      </c>
      <c r="G132" t="s">
        <v>174</v>
      </c>
    </row>
    <row r="133" spans="2:10" x14ac:dyDescent="0.25">
      <c r="B133" s="82" t="s">
        <v>175</v>
      </c>
      <c r="D133" s="101">
        <f>6216/((D22+D14*D23)/1000+((D13+D14-1)*(E27-32)*E28))</f>
        <v>155.70433314899233</v>
      </c>
      <c r="E133" s="101"/>
      <c r="G133" t="s">
        <v>174</v>
      </c>
    </row>
    <row r="134" spans="2:10" x14ac:dyDescent="0.25">
      <c r="B134" s="82" t="s">
        <v>176</v>
      </c>
      <c r="D134" s="101">
        <f>576/(D22/1000+((D13-1)*(E27-32)*E28))</f>
        <v>155.01336239305414</v>
      </c>
      <c r="G134" t="s">
        <v>174</v>
      </c>
    </row>
    <row r="136" spans="2:10" x14ac:dyDescent="0.25">
      <c r="J136" s="100"/>
    </row>
    <row r="137" spans="2:10" x14ac:dyDescent="0.25">
      <c r="H137" s="100"/>
    </row>
  </sheetData>
  <mergeCells count="14">
    <mergeCell ref="D55:F55"/>
    <mergeCell ref="D59:F59"/>
    <mergeCell ref="D60:F60"/>
    <mergeCell ref="D25:F25"/>
    <mergeCell ref="D14:F14"/>
    <mergeCell ref="D22:F22"/>
    <mergeCell ref="D23:F23"/>
    <mergeCell ref="D24:F24"/>
    <mergeCell ref="D54:F54"/>
    <mergeCell ref="D8:F8"/>
    <mergeCell ref="D9:F9"/>
    <mergeCell ref="D10:F10"/>
    <mergeCell ref="D11:F11"/>
    <mergeCell ref="D13:F13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L39" sqref="L39"/>
    </sheetView>
  </sheetViews>
  <sheetFormatPr defaultRowHeight="15" x14ac:dyDescent="0.25"/>
  <cols>
    <col min="1" max="1" width="10" customWidth="1"/>
    <col min="3" max="3" width="10.85546875" customWidth="1"/>
    <col min="4" max="4" width="10.5703125" bestFit="1" customWidth="1"/>
    <col min="5" max="5" width="8.5703125" bestFit="1" customWidth="1"/>
    <col min="6" max="6" width="9.140625" customWidth="1"/>
    <col min="7" max="7" width="12.42578125" customWidth="1"/>
    <col min="8" max="8" width="9" customWidth="1"/>
    <col min="11" max="11" width="11.42578125" customWidth="1"/>
    <col min="12" max="14" width="11.5703125" customWidth="1"/>
    <col min="15" max="15" width="11.85546875" customWidth="1"/>
  </cols>
  <sheetData>
    <row r="1" spans="1:20" ht="26.25" x14ac:dyDescent="0.4">
      <c r="A1" s="109" t="s">
        <v>203</v>
      </c>
      <c r="K1" s="109" t="s">
        <v>204</v>
      </c>
      <c r="N1" s="109" t="s">
        <v>210</v>
      </c>
    </row>
    <row r="2" spans="1:20" x14ac:dyDescent="0.25">
      <c r="T2" s="93" t="s">
        <v>160</v>
      </c>
    </row>
    <row r="3" spans="1:20" x14ac:dyDescent="0.25">
      <c r="A3" t="s">
        <v>178</v>
      </c>
      <c r="C3" s="89" t="s">
        <v>181</v>
      </c>
      <c r="D3" s="219" t="s">
        <v>277</v>
      </c>
      <c r="E3" s="219"/>
      <c r="F3" s="89" t="s">
        <v>276</v>
      </c>
      <c r="G3" s="89">
        <v>2</v>
      </c>
      <c r="H3" s="89" t="s">
        <v>308</v>
      </c>
      <c r="T3">
        <v>19.399999999999999</v>
      </c>
    </row>
    <row r="4" spans="1:20" x14ac:dyDescent="0.25">
      <c r="C4" s="91"/>
      <c r="D4" s="89" t="s">
        <v>197</v>
      </c>
      <c r="E4" s="89" t="s">
        <v>198</v>
      </c>
      <c r="F4" s="91"/>
      <c r="G4" s="91"/>
      <c r="H4" s="91"/>
    </row>
    <row r="5" spans="1:20" x14ac:dyDescent="0.25">
      <c r="A5" t="s">
        <v>312</v>
      </c>
      <c r="C5" s="89"/>
      <c r="D5">
        <v>4</v>
      </c>
      <c r="E5">
        <v>1</v>
      </c>
      <c r="F5" s="89">
        <v>1</v>
      </c>
      <c r="G5" s="89">
        <v>1</v>
      </c>
      <c r="H5" s="89">
        <v>1</v>
      </c>
      <c r="T5">
        <v>22.3</v>
      </c>
    </row>
    <row r="6" spans="1:20" x14ac:dyDescent="0.25">
      <c r="A6" t="s">
        <v>209</v>
      </c>
      <c r="C6">
        <v>255</v>
      </c>
      <c r="D6" s="219">
        <v>170</v>
      </c>
      <c r="E6" s="219"/>
      <c r="F6">
        <v>159</v>
      </c>
      <c r="G6">
        <v>131</v>
      </c>
      <c r="H6">
        <v>29</v>
      </c>
      <c r="I6" t="s">
        <v>307</v>
      </c>
      <c r="O6" t="s">
        <v>211</v>
      </c>
      <c r="T6">
        <v>25.4</v>
      </c>
    </row>
    <row r="7" spans="1:20" x14ac:dyDescent="0.25">
      <c r="T7">
        <v>28.9</v>
      </c>
    </row>
    <row r="8" spans="1:20" x14ac:dyDescent="0.25">
      <c r="A8" t="s">
        <v>177</v>
      </c>
      <c r="C8">
        <v>12</v>
      </c>
      <c r="T8">
        <v>32.6</v>
      </c>
    </row>
    <row r="9" spans="1:20" x14ac:dyDescent="0.25">
      <c r="K9" t="s">
        <v>190</v>
      </c>
      <c r="L9">
        <f>4/(4+C15)</f>
        <v>0.8</v>
      </c>
      <c r="N9" s="89" t="s">
        <v>181</v>
      </c>
      <c r="O9">
        <v>1</v>
      </c>
      <c r="P9" s="89" t="s">
        <v>179</v>
      </c>
      <c r="Q9" s="89" t="s">
        <v>180</v>
      </c>
      <c r="R9" s="89" t="s">
        <v>191</v>
      </c>
      <c r="T9">
        <v>36.700000000000003</v>
      </c>
    </row>
    <row r="10" spans="1:20" x14ac:dyDescent="0.25">
      <c r="A10" t="s">
        <v>193</v>
      </c>
      <c r="C10">
        <v>125000</v>
      </c>
      <c r="F10" t="s">
        <v>194</v>
      </c>
      <c r="T10">
        <v>41.1</v>
      </c>
    </row>
    <row r="11" spans="1:20" x14ac:dyDescent="0.25">
      <c r="A11" t="s">
        <v>183</v>
      </c>
      <c r="C11">
        <v>7</v>
      </c>
      <c r="F11" t="s">
        <v>202</v>
      </c>
      <c r="K11" t="s">
        <v>205</v>
      </c>
      <c r="L11" s="110">
        <f>C11*(C10/2^C11)*L9</f>
        <v>5468.75</v>
      </c>
      <c r="M11" t="s">
        <v>206</v>
      </c>
      <c r="N11" s="101">
        <f>(C6-29)/C27</f>
        <v>695.67572892040982</v>
      </c>
      <c r="O11" s="101">
        <f>(D6-29)/E27</f>
        <v>622.35169491525426</v>
      </c>
      <c r="P11" s="101">
        <f>(G6-29)/G27</f>
        <v>561.97108603667141</v>
      </c>
      <c r="Q11" s="101">
        <f>(F6-29)/F27</f>
        <v>606.70549581839907</v>
      </c>
      <c r="R11" s="101">
        <f>(H6-29)/H27</f>
        <v>0</v>
      </c>
    </row>
    <row r="12" spans="1:20" x14ac:dyDescent="0.25">
      <c r="A12" t="s">
        <v>184</v>
      </c>
      <c r="C12">
        <v>1</v>
      </c>
      <c r="F12" t="s">
        <v>201</v>
      </c>
    </row>
    <row r="13" spans="1:20" x14ac:dyDescent="0.25">
      <c r="A13" t="s">
        <v>185</v>
      </c>
      <c r="C13">
        <v>1</v>
      </c>
      <c r="F13" t="s">
        <v>200</v>
      </c>
    </row>
    <row r="14" spans="1:20" x14ac:dyDescent="0.25">
      <c r="A14" t="s">
        <v>186</v>
      </c>
      <c r="C14">
        <f>IF(OR(C11=11, C11=12), 1, 0)</f>
        <v>0</v>
      </c>
      <c r="F14" t="s">
        <v>187</v>
      </c>
    </row>
    <row r="15" spans="1:20" x14ac:dyDescent="0.25">
      <c r="A15" t="s">
        <v>188</v>
      </c>
      <c r="C15">
        <v>1</v>
      </c>
      <c r="F15" t="s">
        <v>189</v>
      </c>
    </row>
    <row r="21" spans="1:13" x14ac:dyDescent="0.25">
      <c r="A21" t="s">
        <v>199</v>
      </c>
      <c r="C21">
        <f>MAX(ROUNDUP((8*C6-4*C11+28+16*C12-20*C13)/(4*(C11-2*C14)),0)*4+C15)</f>
        <v>293</v>
      </c>
      <c r="E21">
        <f>MAX(ROUNDUP((8*D6-4*C11+28+16*C12-20*C13)/(4*(C11-2*C14)),0)*4+C15)</f>
        <v>197</v>
      </c>
      <c r="F21">
        <f>MAX(ROUNDUP((8*F6-4*C11+28+16*C12-20*C13)/(4*(C11-2*C14)),0)*4+C15)</f>
        <v>185</v>
      </c>
      <c r="G21">
        <f>MAX(ROUNDUP((8*G6-4*C11+28+16*C12-20*C13)/(4*(C11-2*C14)),0)*4+C15)</f>
        <v>153</v>
      </c>
      <c r="H21">
        <f>MAX(ROUNDUP((8*H6-4*C11+28+16*C12-20*C13)/(4*(C11-2*C14)),0)*4+C15)</f>
        <v>37</v>
      </c>
    </row>
    <row r="22" spans="1:13" x14ac:dyDescent="0.25">
      <c r="A22" t="s">
        <v>182</v>
      </c>
      <c r="C22">
        <f>8+IF(C21&gt;0,C21,0)</f>
        <v>301</v>
      </c>
      <c r="E22">
        <f>8+IF(E21&gt;0,E21,0)</f>
        <v>205</v>
      </c>
      <c r="F22">
        <f>8+IF(F21&gt;0,F21,0)</f>
        <v>193</v>
      </c>
      <c r="G22">
        <f>8+IF(G21&gt;0,G21,0)</f>
        <v>161</v>
      </c>
      <c r="H22">
        <f>8+IF(H21&gt;0,H21,0)</f>
        <v>45</v>
      </c>
    </row>
    <row r="24" spans="1:13" ht="15" customHeight="1" x14ac:dyDescent="0.25">
      <c r="A24" t="s">
        <v>192</v>
      </c>
      <c r="C24" s="144">
        <f>2^C11/C10</f>
        <v>1.024E-3</v>
      </c>
      <c r="L24" s="107"/>
      <c r="M24" s="108"/>
    </row>
    <row r="25" spans="1:13" ht="15" customHeight="1" x14ac:dyDescent="0.25">
      <c r="L25" s="107"/>
      <c r="M25" s="108"/>
    </row>
    <row r="26" spans="1:13" x14ac:dyDescent="0.25">
      <c r="A26" t="s">
        <v>196</v>
      </c>
    </row>
    <row r="27" spans="1:13" x14ac:dyDescent="0.25">
      <c r="A27" s="165" t="s">
        <v>337</v>
      </c>
      <c r="C27" s="144">
        <f>(C8+4.25+C22)*C24</f>
        <v>0.32486399999999999</v>
      </c>
      <c r="D27" s="144">
        <f>D5*C27</f>
        <v>1.2994559999999999</v>
      </c>
      <c r="E27" s="144">
        <f>(C8+4.25+E22)*C24</f>
        <v>0.22655999999999998</v>
      </c>
      <c r="F27" s="144">
        <f>(C8+4.25+F22)*C24</f>
        <v>0.21427199999999999</v>
      </c>
      <c r="G27" s="144">
        <f>(C8+4.25+G22)*C24</f>
        <v>0.181504</v>
      </c>
      <c r="H27" s="144">
        <f>(C8+4.25+H22)*C24</f>
        <v>6.2719999999999998E-2</v>
      </c>
      <c r="I27" t="s">
        <v>172</v>
      </c>
    </row>
    <row r="28" spans="1:13" x14ac:dyDescent="0.25">
      <c r="C28" s="145">
        <f>($C$8+4.25+C$22)*$C$24*1000</f>
        <v>324.86399999999998</v>
      </c>
      <c r="D28" s="145">
        <f>D5*C27*1000</f>
        <v>1299.4559999999999</v>
      </c>
      <c r="E28" s="145">
        <f>($C$8+4.25+E$22)*$C$24*1000</f>
        <v>226.55999999999997</v>
      </c>
      <c r="F28" s="145">
        <f>(C8+4.25+F22)*C24*1000</f>
        <v>214.27199999999999</v>
      </c>
      <c r="G28" s="145">
        <f>(C8+4.25+G22)*C24*1000</f>
        <v>181.50399999999999</v>
      </c>
      <c r="H28" s="145">
        <f>(C8+4.25+H22)*C24*1000</f>
        <v>62.72</v>
      </c>
      <c r="I28" t="s">
        <v>146</v>
      </c>
      <c r="L28">
        <f>D28+E28</f>
        <v>1526.0159999999998</v>
      </c>
    </row>
    <row r="29" spans="1:13" x14ac:dyDescent="0.25">
      <c r="C29" s="145"/>
      <c r="D29" s="223">
        <f>D28+E28</f>
        <v>1526.0159999999998</v>
      </c>
      <c r="E29" s="223"/>
      <c r="F29" s="145"/>
      <c r="G29" s="145"/>
      <c r="H29" s="145"/>
    </row>
    <row r="30" spans="1:13" x14ac:dyDescent="0.25">
      <c r="A30" t="s">
        <v>313</v>
      </c>
      <c r="C30" s="82">
        <v>1</v>
      </c>
      <c r="D30" s="82">
        <v>5</v>
      </c>
      <c r="E30" s="82">
        <v>1</v>
      </c>
      <c r="F30" s="82">
        <v>1</v>
      </c>
      <c r="G30" s="82">
        <v>1</v>
      </c>
      <c r="H30" s="82">
        <v>1</v>
      </c>
    </row>
    <row r="31" spans="1:13" x14ac:dyDescent="0.25">
      <c r="A31" s="165" t="s">
        <v>310</v>
      </c>
      <c r="B31" t="s">
        <v>311</v>
      </c>
      <c r="C31" s="145">
        <f>H28</f>
        <v>62.72</v>
      </c>
      <c r="D31" s="219">
        <f>(D5+E5)*H28</f>
        <v>313.60000000000002</v>
      </c>
      <c r="E31" s="219"/>
      <c r="F31" s="145">
        <f>H28</f>
        <v>62.72</v>
      </c>
      <c r="G31" s="145">
        <f>H28</f>
        <v>62.72</v>
      </c>
      <c r="H31" s="145">
        <f>H28</f>
        <v>62.72</v>
      </c>
      <c r="I31" t="s">
        <v>146</v>
      </c>
    </row>
    <row r="36" spans="1:7" x14ac:dyDescent="0.25">
      <c r="A36" t="s">
        <v>336</v>
      </c>
      <c r="C36" t="s">
        <v>347</v>
      </c>
      <c r="E36">
        <v>1000</v>
      </c>
      <c r="F36" t="s">
        <v>146</v>
      </c>
      <c r="G36" s="165" t="s">
        <v>335</v>
      </c>
    </row>
    <row r="37" spans="1:7" x14ac:dyDescent="0.25">
      <c r="G37" s="165"/>
    </row>
    <row r="38" spans="1:7" x14ac:dyDescent="0.25">
      <c r="A38" t="s">
        <v>341</v>
      </c>
      <c r="B38" s="82"/>
      <c r="C38" t="s">
        <v>342</v>
      </c>
      <c r="G38" s="165" t="s">
        <v>344</v>
      </c>
    </row>
    <row r="39" spans="1:7" x14ac:dyDescent="0.25">
      <c r="C39" s="82" t="s">
        <v>96</v>
      </c>
      <c r="D39" s="82">
        <f>3000-(D29+(E36*(D5+E5))+D31)</f>
        <v>-3839.616</v>
      </c>
      <c r="E39" s="82">
        <f>3000-(F$28+($E$36*(F$5))+F$31)</f>
        <v>1723.008</v>
      </c>
      <c r="F39" s="82">
        <f>3000-(G$28+($E$36*(G$5))+G$31)</f>
        <v>1755.7760000000001</v>
      </c>
    </row>
    <row r="40" spans="1:7" x14ac:dyDescent="0.25">
      <c r="C40" s="82" t="s">
        <v>97</v>
      </c>
      <c r="D40" s="82">
        <f>15000-(D28+E28+(E36*(D5+E5))+D31+E31)</f>
        <v>8160.384</v>
      </c>
      <c r="E40" s="82">
        <f>15000-(F$28+($E$36*(F$5))+F$31)</f>
        <v>13723.008</v>
      </c>
      <c r="F40" s="82">
        <f>15000--(G$28+($E$36*(G$5))+G$31)</f>
        <v>16244.224</v>
      </c>
    </row>
    <row r="41" spans="1:7" x14ac:dyDescent="0.25">
      <c r="C41" s="82" t="s">
        <v>98</v>
      </c>
      <c r="D41" s="82">
        <f>60000-(D28+E28+(E36*(D5+E5))+D31+E31)</f>
        <v>53160.383999999998</v>
      </c>
      <c r="E41" s="82">
        <f>60000-(F$28+($E$36*(F$5))+F$31)</f>
        <v>58723.008000000002</v>
      </c>
      <c r="F41" s="82">
        <f>60000-(G$28+($E$36*(G$5))+G$31)</f>
        <v>58755.775999999998</v>
      </c>
    </row>
    <row r="42" spans="1:7" x14ac:dyDescent="0.25">
      <c r="B42" s="82"/>
      <c r="C42" s="82" t="s">
        <v>99</v>
      </c>
      <c r="D42" s="82">
        <f>600000-(D28+E28+(E36*(D5+E5))+D31+E31)</f>
        <v>593160.38399999996</v>
      </c>
      <c r="E42" s="82">
        <f>600000-(F$28+($E$36*(F$5))+F$31)</f>
        <v>598723.00800000003</v>
      </c>
      <c r="F42" s="82">
        <f>600000-(G$28+($E$36*(G$5))+G$31)</f>
        <v>598755.77599999995</v>
      </c>
    </row>
    <row r="45" spans="1:7" ht="26.25" x14ac:dyDescent="0.4">
      <c r="A45" s="109" t="s">
        <v>273</v>
      </c>
      <c r="D45" s="187" t="s">
        <v>309</v>
      </c>
    </row>
    <row r="46" spans="1:7" x14ac:dyDescent="0.25">
      <c r="A46" t="s">
        <v>274</v>
      </c>
      <c r="D46" s="219">
        <v>6</v>
      </c>
      <c r="E46" s="219"/>
      <c r="F46" s="219"/>
    </row>
    <row r="47" spans="1:7" x14ac:dyDescent="0.25">
      <c r="A47" t="s">
        <v>275</v>
      </c>
      <c r="D47" s="222">
        <v>64</v>
      </c>
      <c r="E47" s="222"/>
      <c r="F47" s="222"/>
    </row>
    <row r="49" spans="1:16" x14ac:dyDescent="0.25">
      <c r="A49" t="s">
        <v>286</v>
      </c>
      <c r="D49">
        <v>1E-3</v>
      </c>
    </row>
    <row r="50" spans="1:16" x14ac:dyDescent="0.25">
      <c r="A50" t="s">
        <v>287</v>
      </c>
      <c r="D50">
        <v>0.02</v>
      </c>
    </row>
    <row r="52" spans="1:16" x14ac:dyDescent="0.25">
      <c r="H52" t="s">
        <v>281</v>
      </c>
    </row>
    <row r="53" spans="1:16" x14ac:dyDescent="0.25">
      <c r="A53" t="s">
        <v>283</v>
      </c>
      <c r="D53" s="219">
        <v>3600000</v>
      </c>
      <c r="E53" s="219"/>
      <c r="F53" s="219"/>
      <c r="G53" t="s">
        <v>146</v>
      </c>
      <c r="H53" t="s">
        <v>279</v>
      </c>
    </row>
    <row r="54" spans="1:16" x14ac:dyDescent="0.25">
      <c r="A54" t="s">
        <v>282</v>
      </c>
      <c r="D54" s="219">
        <v>20000</v>
      </c>
      <c r="E54" s="219"/>
      <c r="F54" s="219"/>
      <c r="G54" t="s">
        <v>146</v>
      </c>
      <c r="H54" t="s">
        <v>280</v>
      </c>
    </row>
    <row r="55" spans="1:16" x14ac:dyDescent="0.25">
      <c r="D55" s="91"/>
      <c r="E55" s="91"/>
    </row>
    <row r="56" spans="1:16" x14ac:dyDescent="0.25">
      <c r="A56" s="182"/>
      <c r="B56" s="182" t="s">
        <v>100</v>
      </c>
      <c r="C56" s="182"/>
      <c r="D56" s="182" t="s">
        <v>278</v>
      </c>
      <c r="E56" s="182" t="s">
        <v>232</v>
      </c>
      <c r="F56" s="182" t="s">
        <v>233</v>
      </c>
      <c r="G56" s="182" t="s">
        <v>234</v>
      </c>
      <c r="H56" s="182" t="s">
        <v>308</v>
      </c>
    </row>
    <row r="57" spans="1:16" x14ac:dyDescent="0.25">
      <c r="A57" s="182" t="s">
        <v>152</v>
      </c>
      <c r="B57" s="182">
        <v>3000</v>
      </c>
      <c r="C57" s="182" t="s">
        <v>146</v>
      </c>
      <c r="D57" s="183">
        <f>C28*(D54/B57)/D54</f>
        <v>0.10828799999999998</v>
      </c>
      <c r="E57" s="184">
        <f>(D28+E28)*(D54/$B57)/D54</f>
        <v>0.5086719999999999</v>
      </c>
      <c r="F57" s="184">
        <f>F28*(D54/B57)/D54</f>
        <v>7.1424000000000001E-2</v>
      </c>
      <c r="G57" s="184">
        <f>$G$28*($D$54/$B57)/$D$54</f>
        <v>6.0501333333333331E-2</v>
      </c>
      <c r="H57" s="183">
        <f>$H$28*($D$54/$B57)/$D$54</f>
        <v>2.0906666666666667E-2</v>
      </c>
      <c r="K57" t="s">
        <v>100</v>
      </c>
      <c r="L57">
        <v>3000</v>
      </c>
    </row>
    <row r="58" spans="1:16" x14ac:dyDescent="0.25">
      <c r="A58" s="182" t="s">
        <v>147</v>
      </c>
      <c r="B58" s="182">
        <v>15000</v>
      </c>
      <c r="C58" s="182" t="s">
        <v>146</v>
      </c>
      <c r="D58" s="183">
        <f>C28*(D54/$B58)/D54</f>
        <v>2.1657599999999996E-2</v>
      </c>
      <c r="E58" s="184">
        <f>(D28+E28)*(D54/B58)/D54</f>
        <v>0.10173439999999999</v>
      </c>
      <c r="F58" s="185">
        <f>F28*(D54/B58)/D54</f>
        <v>1.4284799999999999E-2</v>
      </c>
      <c r="G58" s="185">
        <f>$G$28*($D$54/$B58)/$D$54</f>
        <v>1.2100266666666665E-2</v>
      </c>
      <c r="H58" s="183">
        <f>$H$28*($D$54/$B58)/$D$54</f>
        <v>4.1813333333333329E-3</v>
      </c>
    </row>
    <row r="59" spans="1:16" x14ac:dyDescent="0.25">
      <c r="A59" s="182" t="s">
        <v>148</v>
      </c>
      <c r="B59" s="182">
        <v>60000</v>
      </c>
      <c r="C59" s="182" t="s">
        <v>146</v>
      </c>
      <c r="D59" s="183">
        <f>C28*(D54/B59)/D54</f>
        <v>5.4143999999999989E-3</v>
      </c>
      <c r="E59" s="184">
        <f>(D28+E28)*(D54/B59)/D54</f>
        <v>2.5433599999999997E-2</v>
      </c>
      <c r="F59" s="185">
        <f>F28*(D54/B59)/D54</f>
        <v>3.5711999999999996E-3</v>
      </c>
      <c r="G59" s="185">
        <f>$G$28*($D$54/$B59)/$D$54</f>
        <v>3.0250666666666662E-3</v>
      </c>
      <c r="H59" s="183">
        <f>$H$28*($D$54/$B59)/$D$54</f>
        <v>1.0453333333333332E-3</v>
      </c>
      <c r="K59" s="219" t="s">
        <v>195</v>
      </c>
      <c r="L59" s="219"/>
      <c r="M59" s="219"/>
      <c r="N59" s="219"/>
      <c r="O59" s="219"/>
    </row>
    <row r="60" spans="1:16" x14ac:dyDescent="0.25">
      <c r="A60" s="182"/>
      <c r="B60" s="182">
        <v>600000</v>
      </c>
      <c r="C60" s="182" t="s">
        <v>146</v>
      </c>
      <c r="D60" s="183">
        <f>C28*(D54/B60)/D54</f>
        <v>5.4143999999999991E-4</v>
      </c>
      <c r="E60" s="185">
        <f>(D28+E28)*(D54/B60)/D54</f>
        <v>2.5433599999999997E-3</v>
      </c>
      <c r="F60" s="185">
        <f>F28*(D54/B60)/D54</f>
        <v>3.5712E-4</v>
      </c>
      <c r="G60" s="185">
        <f>$G$28*($D$54/$B60)/$D$54</f>
        <v>3.0250666666666666E-4</v>
      </c>
      <c r="H60" s="183">
        <f>$H$28*($D$54/$B60)/$D$54</f>
        <v>1.0453333333333332E-4</v>
      </c>
      <c r="K60">
        <f>($C$8+4.25+$C$22)*$C$24*1000</f>
        <v>324.86399999999998</v>
      </c>
      <c r="L60">
        <f>($C$8+4.25+$C$22)*$C$24*1000</f>
        <v>324.86399999999998</v>
      </c>
      <c r="M60">
        <f>($C$8+4.25+$C$22)*$C$24*1000</f>
        <v>324.86399999999998</v>
      </c>
      <c r="N60">
        <f>($C$8+4.25+$C$22)*$C$24*1000</f>
        <v>324.86399999999998</v>
      </c>
      <c r="O60">
        <f>($C$8+4.25+E$22)*$C$24*1000</f>
        <v>226.55999999999997</v>
      </c>
    </row>
    <row r="61" spans="1:16" x14ac:dyDescent="0.25">
      <c r="A61" s="182"/>
      <c r="B61" s="182"/>
      <c r="C61" s="182"/>
      <c r="D61" s="182"/>
      <c r="E61" s="182"/>
      <c r="F61" s="182"/>
      <c r="G61" s="182"/>
      <c r="H61" s="182"/>
      <c r="K61" s="219" t="s">
        <v>288</v>
      </c>
      <c r="L61" s="219"/>
      <c r="M61" s="219"/>
      <c r="N61" s="219"/>
      <c r="O61" s="219"/>
    </row>
    <row r="62" spans="1:16" x14ac:dyDescent="0.25">
      <c r="A62" s="182"/>
      <c r="B62" s="182" t="s">
        <v>100</v>
      </c>
      <c r="C62" s="182"/>
      <c r="D62" s="182"/>
      <c r="E62" s="182"/>
      <c r="F62" s="182"/>
      <c r="G62" s="182"/>
      <c r="H62" s="182"/>
      <c r="K62" s="100"/>
      <c r="L62" s="100"/>
      <c r="M62" s="145">
        <f>L57-K60-L60-M60-N60-O60</f>
        <v>1473.9839999999999</v>
      </c>
    </row>
    <row r="63" spans="1:16" x14ac:dyDescent="0.25">
      <c r="A63" s="182" t="s">
        <v>153</v>
      </c>
      <c r="B63" s="182">
        <v>3000</v>
      </c>
      <c r="C63" s="182" t="s">
        <v>146</v>
      </c>
      <c r="D63" s="183">
        <f>D44*(D53/B63)/D53</f>
        <v>0</v>
      </c>
      <c r="E63" s="183">
        <f>E44*(D53/B63)/D53</f>
        <v>0</v>
      </c>
      <c r="F63" s="183">
        <f>F44*(D53/B63)/D53</f>
        <v>0</v>
      </c>
      <c r="G63" s="182"/>
      <c r="H63" s="182"/>
      <c r="I63" s="225" t="s">
        <v>289</v>
      </c>
      <c r="J63" s="226"/>
      <c r="K63" s="219" t="s">
        <v>284</v>
      </c>
      <c r="L63" s="219"/>
      <c r="M63" s="219"/>
      <c r="N63" s="219"/>
      <c r="O63" s="219"/>
      <c r="P63" s="219"/>
    </row>
    <row r="64" spans="1:16" x14ac:dyDescent="0.25">
      <c r="A64" s="182" t="s">
        <v>147</v>
      </c>
      <c r="B64" s="182">
        <v>15000</v>
      </c>
      <c r="C64" s="182" t="s">
        <v>146</v>
      </c>
      <c r="D64" s="183">
        <f>D44*(D53/B64)/D53</f>
        <v>0</v>
      </c>
      <c r="E64" s="183">
        <f>E44*(D53/B64)/D53</f>
        <v>0</v>
      </c>
      <c r="F64" s="183">
        <f>F44*(D53/B64)/D53</f>
        <v>0</v>
      </c>
      <c r="G64" s="182"/>
      <c r="H64" s="182"/>
      <c r="I64" s="226"/>
      <c r="J64" s="226"/>
      <c r="K64">
        <v>0</v>
      </c>
      <c r="L64">
        <v>1</v>
      </c>
      <c r="M64">
        <v>2</v>
      </c>
      <c r="N64">
        <v>3</v>
      </c>
      <c r="O64">
        <v>4</v>
      </c>
      <c r="P64">
        <v>5</v>
      </c>
    </row>
    <row r="65" spans="1:16" x14ac:dyDescent="0.25">
      <c r="A65" s="182" t="s">
        <v>148</v>
      </c>
      <c r="B65" s="182">
        <v>60000</v>
      </c>
      <c r="C65" s="182" t="s">
        <v>146</v>
      </c>
      <c r="D65" s="183">
        <f>D44*(D53/B65)/D53</f>
        <v>0</v>
      </c>
      <c r="E65" s="183">
        <f>E44*(D53/B65)/D53</f>
        <v>0</v>
      </c>
      <c r="F65" s="183">
        <f>F44*(D53/B65)/D53</f>
        <v>0</v>
      </c>
      <c r="G65" s="182"/>
      <c r="H65" s="182"/>
      <c r="I65" s="224" t="s">
        <v>285</v>
      </c>
      <c r="J65">
        <v>0</v>
      </c>
      <c r="K65">
        <f>K60/D49</f>
        <v>324863.99999999994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82"/>
      <c r="B66" s="182">
        <v>600000</v>
      </c>
      <c r="C66" s="182" t="s">
        <v>146</v>
      </c>
      <c r="D66" s="183">
        <f>D44*(D53/B66)/D53</f>
        <v>0</v>
      </c>
      <c r="E66" s="183">
        <f>E44*(D53/B66)/D53</f>
        <v>0</v>
      </c>
      <c r="F66" s="183">
        <f>F44*(D53/B66)/D53</f>
        <v>0</v>
      </c>
      <c r="G66" s="182"/>
      <c r="H66" s="182"/>
      <c r="I66" s="224"/>
      <c r="J66">
        <v>1</v>
      </c>
      <c r="K66">
        <f>K65-L60</f>
        <v>324539.13599999994</v>
      </c>
      <c r="L66">
        <f>L60/D49</f>
        <v>324863.99999999994</v>
      </c>
      <c r="M66">
        <v>0</v>
      </c>
      <c r="N66">
        <v>0</v>
      </c>
      <c r="O66">
        <v>0</v>
      </c>
      <c r="P66">
        <v>0</v>
      </c>
    </row>
    <row r="67" spans="1:16" x14ac:dyDescent="0.25">
      <c r="I67" s="224"/>
      <c r="J67">
        <v>2</v>
      </c>
      <c r="K67">
        <f>K66-M60</f>
        <v>324214.27199999994</v>
      </c>
      <c r="L67">
        <f>L66-M60</f>
        <v>324539.13599999994</v>
      </c>
      <c r="M67">
        <f>M60/D49</f>
        <v>324863.99999999994</v>
      </c>
      <c r="N67">
        <v>0</v>
      </c>
      <c r="O67">
        <v>0</v>
      </c>
      <c r="P67">
        <v>0</v>
      </c>
    </row>
    <row r="68" spans="1:16" x14ac:dyDescent="0.25">
      <c r="I68" s="224"/>
      <c r="J68">
        <v>3</v>
      </c>
      <c r="K68">
        <f>K67-N60</f>
        <v>323889.40799999994</v>
      </c>
      <c r="L68">
        <f>L67-N60</f>
        <v>324214.27199999994</v>
      </c>
      <c r="M68">
        <f>M67-N60</f>
        <v>324539.13599999994</v>
      </c>
      <c r="N68">
        <f>N60/D49</f>
        <v>324863.99999999994</v>
      </c>
      <c r="O68">
        <v>0</v>
      </c>
      <c r="P68">
        <v>0</v>
      </c>
    </row>
    <row r="69" spans="1:16" x14ac:dyDescent="0.25">
      <c r="I69" s="224"/>
      <c r="J69">
        <v>4</v>
      </c>
      <c r="K69">
        <f>K68-O60</f>
        <v>323662.84799999994</v>
      </c>
      <c r="L69">
        <f>L68-O60</f>
        <v>323987.71199999994</v>
      </c>
      <c r="M69">
        <f>M68-O60</f>
        <v>324312.57599999994</v>
      </c>
      <c r="N69">
        <f>N68-O60</f>
        <v>324637.43999999994</v>
      </c>
      <c r="O69">
        <f>O60/D49</f>
        <v>226559.99999999997</v>
      </c>
      <c r="P69">
        <v>0</v>
      </c>
    </row>
    <row r="70" spans="1:16" x14ac:dyDescent="0.25">
      <c r="I70" s="224"/>
      <c r="J70" t="s">
        <v>290</v>
      </c>
      <c r="K70" s="145">
        <f>K$69-$M$62</f>
        <v>322188.86399999994</v>
      </c>
      <c r="L70" s="145">
        <f>L$69-$M$62</f>
        <v>322513.72799999994</v>
      </c>
      <c r="M70" s="145">
        <f>M$69-$M$62</f>
        <v>322838.59199999995</v>
      </c>
      <c r="N70" s="145">
        <f>N$69-$M$62</f>
        <v>323163.45599999995</v>
      </c>
      <c r="O70" s="145">
        <f>O$69-$M$62</f>
        <v>225086.01599999997</v>
      </c>
      <c r="P70">
        <v>0</v>
      </c>
    </row>
    <row r="71" spans="1:16" x14ac:dyDescent="0.25">
      <c r="I71" s="224"/>
      <c r="J71">
        <v>0</v>
      </c>
      <c r="K71" s="145">
        <f>K$70-$K$60</f>
        <v>321863.99999999994</v>
      </c>
      <c r="L71" s="145">
        <f>L$70-$K$60</f>
        <v>322188.86399999994</v>
      </c>
      <c r="M71" s="145">
        <f>M$70-$K$60</f>
        <v>322513.72799999994</v>
      </c>
      <c r="N71" s="145">
        <f>N$70-$K$60</f>
        <v>322838.59199999995</v>
      </c>
      <c r="O71" s="145">
        <f>O$70-$K$60</f>
        <v>224761.15199999997</v>
      </c>
      <c r="P71">
        <f>K60/D49</f>
        <v>324863.99999999994</v>
      </c>
    </row>
    <row r="72" spans="1:16" x14ac:dyDescent="0.25">
      <c r="I72" s="224"/>
      <c r="J72">
        <v>1</v>
      </c>
    </row>
    <row r="73" spans="1:16" x14ac:dyDescent="0.25">
      <c r="K73" s="100"/>
      <c r="L73" s="100"/>
      <c r="M73" s="100"/>
      <c r="N73" s="100"/>
      <c r="O73" s="110"/>
    </row>
  </sheetData>
  <mergeCells count="13">
    <mergeCell ref="K63:P63"/>
    <mergeCell ref="I65:I72"/>
    <mergeCell ref="I63:J64"/>
    <mergeCell ref="K59:O59"/>
    <mergeCell ref="K61:O61"/>
    <mergeCell ref="D3:E3"/>
    <mergeCell ref="D46:F46"/>
    <mergeCell ref="D47:F47"/>
    <mergeCell ref="D53:F53"/>
    <mergeCell ref="D54:F54"/>
    <mergeCell ref="D6:E6"/>
    <mergeCell ref="D31:E31"/>
    <mergeCell ref="D29:E29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workbookViewId="0">
      <selection activeCell="F24" sqref="F24"/>
    </sheetView>
  </sheetViews>
  <sheetFormatPr defaultRowHeight="15" x14ac:dyDescent="0.25"/>
  <cols>
    <col min="1" max="1" width="9.7109375" bestFit="1" customWidth="1"/>
  </cols>
  <sheetData>
    <row r="2" spans="1:21" x14ac:dyDescent="0.25">
      <c r="B2" t="s">
        <v>223</v>
      </c>
      <c r="O2" t="s">
        <v>222</v>
      </c>
    </row>
    <row r="3" spans="1:21" x14ac:dyDescent="0.25">
      <c r="B3" t="s">
        <v>219</v>
      </c>
      <c r="C3" t="s">
        <v>220</v>
      </c>
      <c r="D3" t="s">
        <v>224</v>
      </c>
      <c r="E3" t="s">
        <v>221</v>
      </c>
      <c r="F3" t="s">
        <v>218</v>
      </c>
      <c r="O3" t="s">
        <v>76</v>
      </c>
      <c r="P3" t="s">
        <v>219</v>
      </c>
      <c r="Q3" t="s">
        <v>220</v>
      </c>
      <c r="R3" t="s">
        <v>224</v>
      </c>
      <c r="S3" t="s">
        <v>221</v>
      </c>
      <c r="T3" t="s">
        <v>218</v>
      </c>
    </row>
    <row r="4" spans="1:21" x14ac:dyDescent="0.25">
      <c r="A4" t="s">
        <v>76</v>
      </c>
      <c r="G4" t="s">
        <v>15</v>
      </c>
      <c r="P4">
        <v>765</v>
      </c>
      <c r="Q4">
        <v>242</v>
      </c>
      <c r="S4">
        <v>29.1</v>
      </c>
      <c r="T4">
        <v>1.11E-2</v>
      </c>
      <c r="U4" t="s">
        <v>15</v>
      </c>
    </row>
    <row r="5" spans="1:21" x14ac:dyDescent="0.25">
      <c r="A5" t="s">
        <v>43</v>
      </c>
      <c r="G5" t="s">
        <v>15</v>
      </c>
      <c r="P5">
        <v>731</v>
      </c>
      <c r="Q5">
        <v>215</v>
      </c>
      <c r="S5">
        <v>17.8</v>
      </c>
      <c r="T5">
        <v>1.41E-2</v>
      </c>
      <c r="U5" t="s">
        <v>15</v>
      </c>
    </row>
    <row r="6" spans="1:21" x14ac:dyDescent="0.25">
      <c r="A6" t="s">
        <v>102</v>
      </c>
      <c r="G6" t="s">
        <v>15</v>
      </c>
      <c r="P6">
        <v>1030</v>
      </c>
      <c r="Q6">
        <v>168</v>
      </c>
      <c r="S6">
        <v>17.7</v>
      </c>
      <c r="T6">
        <v>2.4299999999999999E-2</v>
      </c>
      <c r="U6" t="s">
        <v>15</v>
      </c>
    </row>
    <row r="7" spans="1:21" x14ac:dyDescent="0.25">
      <c r="P7">
        <v>765</v>
      </c>
      <c r="Q7">
        <v>242</v>
      </c>
      <c r="R7">
        <v>160.4</v>
      </c>
      <c r="S7">
        <v>29.1</v>
      </c>
      <c r="T7">
        <v>1.1129999999999999E-2</v>
      </c>
      <c r="U7" t="s">
        <v>15</v>
      </c>
    </row>
    <row r="8" spans="1:21" x14ac:dyDescent="0.25">
      <c r="P8">
        <v>731</v>
      </c>
      <c r="Q8">
        <v>215</v>
      </c>
      <c r="R8">
        <v>128.4</v>
      </c>
      <c r="S8">
        <v>17.8</v>
      </c>
      <c r="T8">
        <v>1.414E-2</v>
      </c>
      <c r="U8" t="s">
        <v>15</v>
      </c>
    </row>
    <row r="9" spans="1:21" x14ac:dyDescent="0.25">
      <c r="Q9">
        <v>60</v>
      </c>
      <c r="S9">
        <v>10</v>
      </c>
      <c r="T9">
        <v>3.0000000000000001E-3</v>
      </c>
      <c r="U9" t="s">
        <v>15</v>
      </c>
    </row>
    <row r="12" spans="1:21" x14ac:dyDescent="0.25">
      <c r="O12" t="s">
        <v>43</v>
      </c>
    </row>
  </sheetData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12" zoomScale="130" zoomScaleNormal="130" workbookViewId="0">
      <selection activeCell="L137" sqref="L137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82</v>
      </c>
    </row>
    <row r="2" spans="1:7" ht="15.75" thickBot="1" x14ac:dyDescent="0.3">
      <c r="A2" s="25" t="s">
        <v>34</v>
      </c>
      <c r="B2" s="26" t="s">
        <v>35</v>
      </c>
      <c r="C2" s="27" t="s">
        <v>36</v>
      </c>
      <c r="D2" s="26" t="s">
        <v>37</v>
      </c>
      <c r="E2" s="26" t="s">
        <v>38</v>
      </c>
      <c r="F2" s="26" t="s">
        <v>39</v>
      </c>
      <c r="G2" s="48"/>
    </row>
    <row r="3" spans="1:7" ht="27" thickTop="1" thickBot="1" x14ac:dyDescent="0.3">
      <c r="A3" s="28" t="s">
        <v>40</v>
      </c>
      <c r="B3" s="29" t="s">
        <v>41</v>
      </c>
      <c r="C3" s="30" t="s">
        <v>42</v>
      </c>
      <c r="D3" s="29" t="s">
        <v>43</v>
      </c>
      <c r="E3" s="31">
        <v>13</v>
      </c>
      <c r="F3" s="29"/>
      <c r="G3" s="48"/>
    </row>
    <row r="4" spans="1:7" ht="39" thickBot="1" x14ac:dyDescent="0.3">
      <c r="A4" s="28" t="s">
        <v>44</v>
      </c>
      <c r="B4" s="29" t="s">
        <v>45</v>
      </c>
      <c r="C4" s="30" t="s">
        <v>46</v>
      </c>
      <c r="D4" s="29" t="s">
        <v>43</v>
      </c>
      <c r="E4" s="31">
        <v>12</v>
      </c>
      <c r="F4" s="29"/>
      <c r="G4" s="48"/>
    </row>
    <row r="5" spans="1:7" ht="26.25" thickBot="1" x14ac:dyDescent="0.3">
      <c r="A5" s="28" t="s">
        <v>47</v>
      </c>
      <c r="B5" s="29" t="s">
        <v>48</v>
      </c>
      <c r="C5" s="30" t="s">
        <v>49</v>
      </c>
      <c r="D5" s="29" t="s">
        <v>43</v>
      </c>
      <c r="E5" s="31">
        <v>12</v>
      </c>
      <c r="F5" s="29"/>
      <c r="G5" s="48"/>
    </row>
    <row r="6" spans="1:7" ht="26.25" thickBot="1" x14ac:dyDescent="0.3">
      <c r="A6" s="28" t="s">
        <v>47</v>
      </c>
      <c r="B6" s="29" t="s">
        <v>45</v>
      </c>
      <c r="C6" s="30" t="s">
        <v>50</v>
      </c>
      <c r="D6" s="29" t="s">
        <v>43</v>
      </c>
      <c r="E6" s="31">
        <v>8</v>
      </c>
      <c r="F6" s="29"/>
      <c r="G6" s="48"/>
    </row>
    <row r="7" spans="1:7" ht="26.25" thickBot="1" x14ac:dyDescent="0.3">
      <c r="A7" s="28" t="s">
        <v>47</v>
      </c>
      <c r="B7" s="29" t="s">
        <v>51</v>
      </c>
      <c r="C7" s="30" t="s">
        <v>52</v>
      </c>
      <c r="D7" s="29" t="s">
        <v>43</v>
      </c>
      <c r="E7" s="31">
        <v>14</v>
      </c>
      <c r="F7" s="29"/>
      <c r="G7" s="48"/>
    </row>
    <row r="8" spans="1:7" ht="26.25" thickBot="1" x14ac:dyDescent="0.3">
      <c r="A8" s="28" t="s">
        <v>47</v>
      </c>
      <c r="B8" s="29" t="s">
        <v>53</v>
      </c>
      <c r="C8" s="30" t="s">
        <v>54</v>
      </c>
      <c r="D8" s="29" t="s">
        <v>43</v>
      </c>
      <c r="E8" s="31">
        <v>10</v>
      </c>
      <c r="F8" s="29"/>
      <c r="G8" s="48"/>
    </row>
    <row r="9" spans="1:7" ht="39" thickBot="1" x14ac:dyDescent="0.3">
      <c r="A9" s="28" t="s">
        <v>47</v>
      </c>
      <c r="B9" s="29" t="s">
        <v>55</v>
      </c>
      <c r="C9" s="30" t="s">
        <v>56</v>
      </c>
      <c r="D9" s="29" t="s">
        <v>43</v>
      </c>
      <c r="E9" s="31">
        <v>14</v>
      </c>
      <c r="F9" s="29"/>
      <c r="G9" s="48"/>
    </row>
    <row r="10" spans="1:7" ht="15.75" thickBot="1" x14ac:dyDescent="0.3">
      <c r="A10" s="34" t="s">
        <v>81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44</v>
      </c>
      <c r="B11" s="29" t="s">
        <v>57</v>
      </c>
      <c r="C11" s="30" t="s">
        <v>58</v>
      </c>
      <c r="D11" s="29" t="s">
        <v>59</v>
      </c>
      <c r="E11" s="31">
        <v>17</v>
      </c>
      <c r="F11" s="29"/>
      <c r="G11" s="48"/>
    </row>
    <row r="12" spans="1:7" ht="26.25" thickBot="1" x14ac:dyDescent="0.3">
      <c r="A12" s="28" t="s">
        <v>47</v>
      </c>
      <c r="B12" s="29" t="s">
        <v>60</v>
      </c>
      <c r="C12" s="30" t="s">
        <v>61</v>
      </c>
      <c r="D12" s="29" t="s">
        <v>59</v>
      </c>
      <c r="E12" s="31">
        <v>12</v>
      </c>
      <c r="F12" s="29"/>
      <c r="G12" s="48"/>
    </row>
    <row r="13" spans="1:7" ht="15.75" thickBot="1" x14ac:dyDescent="0.3">
      <c r="A13" s="34" t="s">
        <v>81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62</v>
      </c>
      <c r="B14" s="29" t="s">
        <v>63</v>
      </c>
      <c r="C14" s="30" t="s">
        <v>64</v>
      </c>
      <c r="D14" s="29" t="s">
        <v>65</v>
      </c>
      <c r="E14" s="31">
        <v>22</v>
      </c>
      <c r="F14" s="29" t="s">
        <v>66</v>
      </c>
      <c r="G14" s="48"/>
    </row>
    <row r="15" spans="1:7" ht="26.25" thickBot="1" x14ac:dyDescent="0.3">
      <c r="A15" s="28" t="s">
        <v>62</v>
      </c>
      <c r="B15" s="29" t="s">
        <v>67</v>
      </c>
      <c r="C15" s="30" t="s">
        <v>68</v>
      </c>
      <c r="D15" s="29" t="s">
        <v>65</v>
      </c>
      <c r="E15" s="31">
        <v>36</v>
      </c>
      <c r="F15" s="29"/>
      <c r="G15" s="48"/>
    </row>
    <row r="16" spans="1:7" ht="26.25" thickBot="1" x14ac:dyDescent="0.3">
      <c r="A16" s="28" t="s">
        <v>47</v>
      </c>
      <c r="B16" s="29" t="s">
        <v>69</v>
      </c>
      <c r="C16" s="30" t="s">
        <v>70</v>
      </c>
      <c r="D16" s="29" t="s">
        <v>65</v>
      </c>
      <c r="E16" s="31">
        <v>25</v>
      </c>
      <c r="F16" s="29" t="s">
        <v>66</v>
      </c>
      <c r="G16" s="48"/>
    </row>
    <row r="17" spans="1:7" ht="26.25" thickBot="1" x14ac:dyDescent="0.3">
      <c r="A17" s="28" t="s">
        <v>47</v>
      </c>
      <c r="B17" s="29" t="s">
        <v>71</v>
      </c>
      <c r="C17" s="30" t="s">
        <v>72</v>
      </c>
      <c r="D17" s="29" t="s">
        <v>65</v>
      </c>
      <c r="E17" s="31">
        <v>19</v>
      </c>
      <c r="F17" s="29"/>
      <c r="G17" s="48"/>
    </row>
    <row r="18" spans="1:7" ht="39" thickBot="1" x14ac:dyDescent="0.3">
      <c r="A18" s="28" t="s">
        <v>47</v>
      </c>
      <c r="B18" s="29" t="s">
        <v>71</v>
      </c>
      <c r="C18" s="30" t="s">
        <v>73</v>
      </c>
      <c r="D18" s="29" t="s">
        <v>65</v>
      </c>
      <c r="E18" s="31">
        <v>21</v>
      </c>
      <c r="F18" s="29" t="s">
        <v>66</v>
      </c>
      <c r="G18" s="48"/>
    </row>
    <row r="19" spans="1:7" ht="15.75" thickBot="1" x14ac:dyDescent="0.3">
      <c r="A19" s="34" t="s">
        <v>81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74</v>
      </c>
      <c r="B20" s="29" t="s">
        <v>75</v>
      </c>
      <c r="C20" s="30" t="s">
        <v>75</v>
      </c>
      <c r="D20" s="29" t="s">
        <v>76</v>
      </c>
      <c r="E20" s="33">
        <v>20</v>
      </c>
      <c r="F20" s="29"/>
      <c r="G20" s="48"/>
    </row>
    <row r="21" spans="1:7" ht="39" thickBot="1" x14ac:dyDescent="0.3">
      <c r="A21" s="28" t="s">
        <v>44</v>
      </c>
      <c r="B21" s="29" t="s">
        <v>57</v>
      </c>
      <c r="C21" s="30" t="s">
        <v>77</v>
      </c>
      <c r="D21" s="29" t="s">
        <v>76</v>
      </c>
      <c r="E21" s="31">
        <v>13</v>
      </c>
      <c r="F21" s="29" t="s">
        <v>78</v>
      </c>
      <c r="G21" s="48"/>
    </row>
    <row r="22" spans="1:7" ht="26.25" thickBot="1" x14ac:dyDescent="0.3">
      <c r="A22" s="28" t="s">
        <v>62</v>
      </c>
      <c r="B22" s="29" t="s">
        <v>67</v>
      </c>
      <c r="C22" s="30" t="s">
        <v>79</v>
      </c>
      <c r="D22" s="29" t="s">
        <v>76</v>
      </c>
      <c r="E22" s="31">
        <v>14</v>
      </c>
      <c r="F22" s="29" t="s">
        <v>66</v>
      </c>
      <c r="G22" s="48"/>
    </row>
    <row r="23" spans="1:7" ht="26.25" thickBot="1" x14ac:dyDescent="0.3">
      <c r="A23" s="28" t="s">
        <v>47</v>
      </c>
      <c r="B23" s="29" t="s">
        <v>60</v>
      </c>
      <c r="C23" s="30" t="s">
        <v>80</v>
      </c>
      <c r="D23" s="29" t="s">
        <v>76</v>
      </c>
      <c r="E23" s="32">
        <v>9.5</v>
      </c>
      <c r="F23" s="29"/>
      <c r="G23" s="48"/>
    </row>
    <row r="24" spans="1:7" ht="15.75" thickBot="1" x14ac:dyDescent="0.3">
      <c r="A24" s="34" t="s">
        <v>81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83</v>
      </c>
    </row>
    <row r="28" spans="1:7" ht="15.75" thickBot="1" x14ac:dyDescent="0.3">
      <c r="A28" s="25" t="s">
        <v>34</v>
      </c>
      <c r="B28" s="227" t="s">
        <v>38</v>
      </c>
      <c r="C28" s="228"/>
      <c r="D28" s="26"/>
    </row>
    <row r="29" spans="1:7" ht="16.5" thickTop="1" thickBot="1" x14ac:dyDescent="0.3">
      <c r="A29" s="28" t="s">
        <v>84</v>
      </c>
      <c r="B29" s="31" t="s">
        <v>85</v>
      </c>
      <c r="C29" s="29" t="s">
        <v>86</v>
      </c>
      <c r="D29" s="29"/>
    </row>
    <row r="30" spans="1:7" ht="26.25" thickBot="1" x14ac:dyDescent="0.3">
      <c r="A30" s="28" t="s">
        <v>89</v>
      </c>
      <c r="B30" s="32">
        <f>6.39/500</f>
        <v>1.278E-2</v>
      </c>
      <c r="C30" s="29" t="s">
        <v>86</v>
      </c>
      <c r="D30" s="29" t="s">
        <v>88</v>
      </c>
    </row>
    <row r="31" spans="1:7" ht="26.25" thickBot="1" x14ac:dyDescent="0.3">
      <c r="A31" s="28" t="s">
        <v>89</v>
      </c>
      <c r="B31" s="32">
        <f>2.56/500</f>
        <v>5.1200000000000004E-3</v>
      </c>
      <c r="C31" s="29" t="s">
        <v>86</v>
      </c>
      <c r="D31" s="29" t="s">
        <v>90</v>
      </c>
    </row>
    <row r="32" spans="1:7" ht="26.25" thickBot="1" x14ac:dyDescent="0.3">
      <c r="A32" s="28" t="s">
        <v>87</v>
      </c>
      <c r="B32" s="32">
        <f>10.79/500</f>
        <v>2.1579999999999998E-2</v>
      </c>
      <c r="C32" s="29" t="s">
        <v>86</v>
      </c>
      <c r="D32" s="29" t="s">
        <v>88</v>
      </c>
    </row>
    <row r="33" spans="1:6" ht="26.25" thickBot="1" x14ac:dyDescent="0.3">
      <c r="A33" s="28" t="s">
        <v>87</v>
      </c>
      <c r="B33" s="32">
        <f>10.79/500</f>
        <v>2.1579999999999998E-2</v>
      </c>
      <c r="C33" s="29" t="s">
        <v>86</v>
      </c>
      <c r="D33" s="29" t="s">
        <v>88</v>
      </c>
    </row>
    <row r="35" spans="1:6" x14ac:dyDescent="0.25">
      <c r="A35" s="39" t="s">
        <v>92</v>
      </c>
      <c r="B35">
        <v>120</v>
      </c>
      <c r="C35">
        <v>87600</v>
      </c>
    </row>
    <row r="36" spans="1:6" x14ac:dyDescent="0.25">
      <c r="A36" s="39" t="s">
        <v>91</v>
      </c>
      <c r="B36">
        <v>100</v>
      </c>
    </row>
    <row r="37" spans="1:6" x14ac:dyDescent="0.25">
      <c r="A37" s="39" t="s">
        <v>93</v>
      </c>
      <c r="B37">
        <v>2</v>
      </c>
    </row>
    <row r="38" spans="1:6" x14ac:dyDescent="0.25">
      <c r="A38" s="39" t="s">
        <v>94</v>
      </c>
      <c r="B38">
        <v>340000</v>
      </c>
    </row>
    <row r="39" spans="1:6" x14ac:dyDescent="0.25">
      <c r="A39" s="50" t="s">
        <v>113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43</v>
      </c>
      <c r="C41" t="s">
        <v>102</v>
      </c>
      <c r="D41" t="s">
        <v>76</v>
      </c>
      <c r="E41" t="s">
        <v>59</v>
      </c>
    </row>
    <row r="42" spans="1:6" x14ac:dyDescent="0.25">
      <c r="A42" s="39" t="s">
        <v>101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103</v>
      </c>
      <c r="B43" s="229">
        <v>800</v>
      </c>
      <c r="C43" s="229"/>
      <c r="D43" s="44"/>
      <c r="E43" s="44"/>
    </row>
    <row r="44" spans="1:6" x14ac:dyDescent="0.25">
      <c r="A44" s="39" t="s">
        <v>104</v>
      </c>
      <c r="B44" s="229">
        <v>150</v>
      </c>
      <c r="C44" s="229"/>
      <c r="D44" s="44"/>
      <c r="E44" s="44"/>
      <c r="F44" t="s">
        <v>108</v>
      </c>
    </row>
    <row r="45" spans="1:6" x14ac:dyDescent="0.25">
      <c r="A45" s="39" t="s">
        <v>105</v>
      </c>
      <c r="B45" s="229">
        <v>550</v>
      </c>
      <c r="C45" s="229"/>
      <c r="D45" s="44"/>
      <c r="E45" s="44"/>
      <c r="F45" t="s">
        <v>109</v>
      </c>
    </row>
    <row r="46" spans="1:6" x14ac:dyDescent="0.25">
      <c r="A46" s="39" t="s">
        <v>106</v>
      </c>
      <c r="B46" s="45"/>
      <c r="C46" s="45"/>
      <c r="D46" s="230">
        <v>0.02</v>
      </c>
      <c r="E46" s="230"/>
      <c r="F46" t="s">
        <v>110</v>
      </c>
    </row>
    <row r="47" spans="1:6" x14ac:dyDescent="0.25">
      <c r="A47" s="39" t="s">
        <v>107</v>
      </c>
      <c r="B47" s="229">
        <v>120</v>
      </c>
      <c r="C47" s="229"/>
      <c r="D47" s="44"/>
      <c r="E47" s="44"/>
      <c r="F47" t="s">
        <v>111</v>
      </c>
    </row>
    <row r="48" spans="1:6" x14ac:dyDescent="0.25">
      <c r="A48" s="39" t="s">
        <v>112</v>
      </c>
      <c r="B48" s="229">
        <v>70</v>
      </c>
      <c r="C48" s="229"/>
      <c r="D48" s="44"/>
      <c r="E48" s="44"/>
      <c r="F48" t="s">
        <v>23</v>
      </c>
    </row>
    <row r="49" spans="1:15" x14ac:dyDescent="0.25">
      <c r="A49" s="39"/>
    </row>
    <row r="50" spans="1:15" x14ac:dyDescent="0.25">
      <c r="A50" s="39" t="s">
        <v>100</v>
      </c>
      <c r="B50" t="s">
        <v>96</v>
      </c>
      <c r="C50" t="s">
        <v>97</v>
      </c>
      <c r="D50" t="s">
        <v>98</v>
      </c>
      <c r="E50" t="s">
        <v>99</v>
      </c>
    </row>
    <row r="51" spans="1:15" x14ac:dyDescent="0.25">
      <c r="A51" s="39" t="s">
        <v>95</v>
      </c>
      <c r="B51">
        <f>'Monthly data'!B2+'Monthly data'!B3</f>
        <v>706.2412955465586</v>
      </c>
      <c r="C51">
        <f>'Monthly data'!B4+'Monthly data'!B5</f>
        <v>141.24825910931173</v>
      </c>
      <c r="D51">
        <f>'Monthly data'!B6+'Monthly data'!B7</f>
        <v>35.312064777327933</v>
      </c>
      <c r="E51">
        <f>'Monthly data'!B8+'Monthly data'!B9</f>
        <v>3.5312064777327938</v>
      </c>
      <c r="F51" t="s">
        <v>212</v>
      </c>
    </row>
    <row r="52" spans="1:15" x14ac:dyDescent="0.25">
      <c r="A52" s="39" t="s">
        <v>95</v>
      </c>
      <c r="B52">
        <f>'Monthly data'!D2</f>
        <v>112.32</v>
      </c>
      <c r="C52">
        <f>'Monthly data'!D4</f>
        <v>22.463999999999999</v>
      </c>
      <c r="D52">
        <f>'Monthly data'!D6</f>
        <v>5.6159999999999997</v>
      </c>
      <c r="E52">
        <f>'Monthly data'!D8</f>
        <v>0.56159999999999999</v>
      </c>
      <c r="F52" t="s">
        <v>213</v>
      </c>
    </row>
    <row r="53" spans="1:15" x14ac:dyDescent="0.25">
      <c r="A53" s="39" t="s">
        <v>95</v>
      </c>
      <c r="B53">
        <f>'Monthly data'!F2</f>
        <v>88.128</v>
      </c>
      <c r="C53">
        <f>'Monthly data'!F4</f>
        <v>17.625599999999999</v>
      </c>
      <c r="D53">
        <f>'Monthly data'!F6</f>
        <v>4.4063999999999997</v>
      </c>
      <c r="E53">
        <f>'Monthly data'!F8</f>
        <v>0.44064000000000014</v>
      </c>
      <c r="F53" t="s">
        <v>2</v>
      </c>
    </row>
    <row r="54" spans="1:15" x14ac:dyDescent="0.25">
      <c r="A54" s="39"/>
    </row>
    <row r="55" spans="1:15" x14ac:dyDescent="0.25">
      <c r="A55" s="59"/>
      <c r="B55" s="59"/>
      <c r="C55" s="59"/>
      <c r="D55" s="59"/>
      <c r="E55" s="63"/>
    </row>
    <row r="56" spans="1:15" ht="18.75" thickBot="1" x14ac:dyDescent="0.4">
      <c r="A56" s="60"/>
      <c r="B56" s="61"/>
      <c r="C56" s="61"/>
      <c r="D56" s="62"/>
      <c r="E56" s="62" t="s">
        <v>100</v>
      </c>
      <c r="F56" s="53" t="s">
        <v>114</v>
      </c>
      <c r="G56" s="54" t="s">
        <v>115</v>
      </c>
      <c r="H56" s="55" t="s">
        <v>116</v>
      </c>
      <c r="I56" s="56" t="s">
        <v>117</v>
      </c>
      <c r="J56" s="57" t="s">
        <v>118</v>
      </c>
      <c r="K56" s="58" t="s">
        <v>119</v>
      </c>
    </row>
    <row r="57" spans="1:15" ht="15" customHeight="1" x14ac:dyDescent="0.25">
      <c r="A57" s="243" t="s">
        <v>216</v>
      </c>
      <c r="B57" s="244"/>
      <c r="C57" s="243" t="s">
        <v>76</v>
      </c>
      <c r="D57" s="244"/>
      <c r="E57" s="51" t="s">
        <v>96</v>
      </c>
      <c r="F57" s="64">
        <f>B36*D42</f>
        <v>1400</v>
      </c>
      <c r="G57" s="65"/>
      <c r="H57" s="66">
        <f>B35*B36*B51*D46</f>
        <v>169497.91093117406</v>
      </c>
      <c r="I57" s="67">
        <f>B36*(1/B38)*C35*D42+B36*(1/B38)*C35*((1/2)*B45)</f>
        <v>7446.0000000000009</v>
      </c>
      <c r="J57" s="68"/>
      <c r="K57" s="69">
        <f t="shared" ref="K57:K68" si="0">F57+G57+H57+I57+J57</f>
        <v>178343.91093117406</v>
      </c>
      <c r="O57" s="46"/>
    </row>
    <row r="58" spans="1:15" x14ac:dyDescent="0.25">
      <c r="A58" s="245"/>
      <c r="B58" s="246"/>
      <c r="C58" s="245"/>
      <c r="D58" s="246"/>
      <c r="E58" s="47" t="s">
        <v>97</v>
      </c>
      <c r="F58" s="70">
        <f>B36*D42</f>
        <v>1400</v>
      </c>
      <c r="G58" s="71"/>
      <c r="H58" s="72">
        <f>B35*B36*C51*D46</f>
        <v>33899.582186234817</v>
      </c>
      <c r="I58" s="73">
        <f>B36*(1/B38)*C35*D42+B36*(1/B38)*C35*((1/2)*B45)</f>
        <v>7446.0000000000009</v>
      </c>
      <c r="J58" s="74"/>
      <c r="K58" s="69">
        <f t="shared" si="0"/>
        <v>42745.582186234817</v>
      </c>
    </row>
    <row r="59" spans="1:15" x14ac:dyDescent="0.25">
      <c r="A59" s="245"/>
      <c r="B59" s="246"/>
      <c r="C59" s="245"/>
      <c r="D59" s="246"/>
      <c r="E59" s="47" t="s">
        <v>98</v>
      </c>
      <c r="F59" s="70">
        <f>B36*D42</f>
        <v>1400</v>
      </c>
      <c r="G59" s="71"/>
      <c r="H59" s="72">
        <f>B35*B36*D51*D46</f>
        <v>8474.8955465587042</v>
      </c>
      <c r="I59" s="73">
        <f>B36*(1/B38)*C35*D42+B36*(1/B38)*C35*((1/2)*B45)</f>
        <v>7446.0000000000009</v>
      </c>
      <c r="J59" s="74"/>
      <c r="K59" s="69">
        <f>F59+G59+H59+I59+J59</f>
        <v>17320.895546558706</v>
      </c>
    </row>
    <row r="60" spans="1:15" x14ac:dyDescent="0.25">
      <c r="A60" s="245"/>
      <c r="B60" s="246"/>
      <c r="C60" s="245"/>
      <c r="D60" s="246"/>
      <c r="E60" s="47" t="s">
        <v>99</v>
      </c>
      <c r="F60" s="70">
        <f>B36*D42</f>
        <v>1400</v>
      </c>
      <c r="G60" s="71"/>
      <c r="H60" s="72">
        <f>B35*B36*E51*D46</f>
        <v>847.48955465587051</v>
      </c>
      <c r="I60" s="73">
        <f>B36*(1/B38)*C35*D42+B36*(1/B38)*C35*((1/2)*B45)</f>
        <v>7446.0000000000009</v>
      </c>
      <c r="J60" s="74"/>
      <c r="K60" s="69">
        <f t="shared" si="0"/>
        <v>9693.489554655871</v>
      </c>
    </row>
    <row r="61" spans="1:15" x14ac:dyDescent="0.25">
      <c r="A61" s="245" t="s">
        <v>217</v>
      </c>
      <c r="B61" s="246"/>
      <c r="C61" s="245" t="s">
        <v>76</v>
      </c>
      <c r="D61" s="246"/>
      <c r="E61" s="47" t="s">
        <v>96</v>
      </c>
      <c r="F61" s="70">
        <f>B36*D42</f>
        <v>1400</v>
      </c>
      <c r="G61" s="71"/>
      <c r="H61" s="72">
        <f>B35*B36*B52*D46</f>
        <v>26956.799999999999</v>
      </c>
      <c r="I61" s="73">
        <f>B36*(1/B38)*C35*D42+B36*(1/B38)*C35*((1/2)*B45)</f>
        <v>7446.0000000000009</v>
      </c>
      <c r="J61" s="74"/>
      <c r="K61" s="69">
        <f t="shared" si="0"/>
        <v>35802.800000000003</v>
      </c>
    </row>
    <row r="62" spans="1:15" x14ac:dyDescent="0.25">
      <c r="A62" s="245"/>
      <c r="B62" s="246"/>
      <c r="C62" s="245"/>
      <c r="D62" s="246"/>
      <c r="E62" s="47" t="s">
        <v>97</v>
      </c>
      <c r="F62" s="70">
        <f>B36*D42</f>
        <v>1400</v>
      </c>
      <c r="G62" s="71"/>
      <c r="H62" s="72">
        <f>B35*B36*C52*D46</f>
        <v>5391.36</v>
      </c>
      <c r="I62" s="73">
        <f>B36*(1/B38)*C35*D42+B36*(1/B38)*C35*((1/2)*B45)</f>
        <v>7446.0000000000009</v>
      </c>
      <c r="J62" s="74"/>
      <c r="K62" s="69">
        <f t="shared" si="0"/>
        <v>14237.36</v>
      </c>
    </row>
    <row r="63" spans="1:15" x14ac:dyDescent="0.25">
      <c r="A63" s="245"/>
      <c r="B63" s="246"/>
      <c r="C63" s="245"/>
      <c r="D63" s="246"/>
      <c r="E63" s="47" t="s">
        <v>98</v>
      </c>
      <c r="F63" s="70">
        <f>B36*D42</f>
        <v>1400</v>
      </c>
      <c r="G63" s="71"/>
      <c r="H63" s="72">
        <f>B35*B36*D52*D46</f>
        <v>1347.84</v>
      </c>
      <c r="I63" s="73">
        <f>B36*(1/B38)*C35*D42+B36*(1/B38)*C35*((1/2)*B45)</f>
        <v>7446.0000000000009</v>
      </c>
      <c r="J63" s="74"/>
      <c r="K63" s="69">
        <f t="shared" si="0"/>
        <v>10193.84</v>
      </c>
    </row>
    <row r="64" spans="1:15" ht="15.75" thickBot="1" x14ac:dyDescent="0.3">
      <c r="A64" s="247"/>
      <c r="B64" s="248"/>
      <c r="C64" s="247"/>
      <c r="D64" s="248"/>
      <c r="E64" s="52" t="s">
        <v>99</v>
      </c>
      <c r="F64" s="75">
        <f>B36*D42</f>
        <v>1400</v>
      </c>
      <c r="G64" s="76"/>
      <c r="H64" s="77">
        <f>B35*B36*E52*D46</f>
        <v>134.78399999999999</v>
      </c>
      <c r="I64" s="78">
        <f>B36*(1/B38)*C35*D42+B36*(1/B38)*C35*((1/2)*B45)</f>
        <v>7446.0000000000009</v>
      </c>
      <c r="J64" s="79"/>
      <c r="K64" s="80">
        <f t="shared" si="0"/>
        <v>8980.7840000000015</v>
      </c>
    </row>
    <row r="65" spans="1:11" x14ac:dyDescent="0.25">
      <c r="A65" s="231" t="s">
        <v>214</v>
      </c>
      <c r="B65" s="232"/>
      <c r="C65" s="237" t="s">
        <v>43</v>
      </c>
      <c r="D65" s="238"/>
      <c r="E65" s="51"/>
      <c r="F65" s="64">
        <f>(B36*B42+B37*B43+B37*B44)</f>
        <v>3100</v>
      </c>
      <c r="G65" s="65">
        <f>B37*((1/2)*B45)</f>
        <v>550</v>
      </c>
      <c r="H65" s="66">
        <f>B35*(B37*B47+B37*B48)</f>
        <v>45600</v>
      </c>
      <c r="I65" s="67">
        <f>B36*B39*C35*B42+B36*B39*C35*((1/2)*B45)+B37*B39*C35*B43+B37*B39*C35*((1/2)*B45)</f>
        <v>7948.4117647058829</v>
      </c>
      <c r="J65" s="68">
        <f>B37*((1/2)*B45)</f>
        <v>550</v>
      </c>
      <c r="K65" s="69">
        <f t="shared" si="0"/>
        <v>57748.411764705881</v>
      </c>
    </row>
    <row r="66" spans="1:11" ht="15.75" thickBot="1" x14ac:dyDescent="0.3">
      <c r="A66" s="233"/>
      <c r="B66" s="234"/>
      <c r="C66" s="239" t="s">
        <v>102</v>
      </c>
      <c r="D66" s="240"/>
      <c r="E66" s="52"/>
      <c r="F66" s="75">
        <f>(B36*C42+B37*B43+B37*B44)</f>
        <v>3300</v>
      </c>
      <c r="G66" s="76">
        <f>B37*((1/2)*B45)</f>
        <v>550</v>
      </c>
      <c r="H66" s="77">
        <f>B35*(B37*B47+B37*B48)</f>
        <v>45600</v>
      </c>
      <c r="I66" s="78">
        <f>B36*B39*C35*C42+B36*B39*C35*((1/2)*B45)+B37*B39*C35*B43+B37*B39*C35*((1/2)*B45)</f>
        <v>7999.9411764705892</v>
      </c>
      <c r="J66" s="79">
        <f>B37*((1/2)*B45)</f>
        <v>550</v>
      </c>
      <c r="K66" s="81">
        <f t="shared" si="0"/>
        <v>57999.941176470587</v>
      </c>
    </row>
    <row r="67" spans="1:11" x14ac:dyDescent="0.25">
      <c r="A67" s="231" t="s">
        <v>215</v>
      </c>
      <c r="B67" s="232"/>
      <c r="C67" s="237" t="s">
        <v>43</v>
      </c>
      <c r="D67" s="238"/>
      <c r="E67" s="51"/>
      <c r="F67" s="64">
        <f>(B36*B42+B37*B43+B37*B44)</f>
        <v>3100</v>
      </c>
      <c r="G67" s="65">
        <f>B37*((1/2)*B45)</f>
        <v>550</v>
      </c>
      <c r="H67" s="66"/>
      <c r="I67" s="67">
        <f>B36*B39*C35*B42+B36*B39*C35*((1/2)*B45)+B37*B39*C35*B43+B37*B39*C35*((1/2)*B45)</f>
        <v>7948.4117647058829</v>
      </c>
      <c r="J67" s="68"/>
      <c r="K67" s="69">
        <f t="shared" si="0"/>
        <v>11598.411764705883</v>
      </c>
    </row>
    <row r="68" spans="1:11" x14ac:dyDescent="0.25">
      <c r="A68" s="235"/>
      <c r="B68" s="236"/>
      <c r="C68" s="241" t="s">
        <v>102</v>
      </c>
      <c r="D68" s="242"/>
      <c r="E68" s="51"/>
      <c r="F68" s="64">
        <f>(B36*C42+B37*B43+B37*B44)</f>
        <v>3300</v>
      </c>
      <c r="G68" s="65">
        <f>B37*((1/2)*B45)</f>
        <v>550</v>
      </c>
      <c r="H68" s="66"/>
      <c r="I68" s="67">
        <f>B36*B39*C35*C42+B36*B39*C35*((1/2)*B45)+B37*B39*C35*B43+B37*B39*C35*((1/2)*B45)</f>
        <v>7999.9411764705892</v>
      </c>
      <c r="J68" s="68"/>
      <c r="K68" s="69">
        <f t="shared" si="0"/>
        <v>11849.941176470589</v>
      </c>
    </row>
  </sheetData>
  <mergeCells count="17">
    <mergeCell ref="B47:C47"/>
    <mergeCell ref="A65:B66"/>
    <mergeCell ref="A67:B68"/>
    <mergeCell ref="C65:D65"/>
    <mergeCell ref="C66:D66"/>
    <mergeCell ref="C67:D67"/>
    <mergeCell ref="C68:D68"/>
    <mergeCell ref="B48:C48"/>
    <mergeCell ref="C57:D60"/>
    <mergeCell ref="C61:D64"/>
    <mergeCell ref="A57:B60"/>
    <mergeCell ref="A61:B64"/>
    <mergeCell ref="B28:C28"/>
    <mergeCell ref="B43:C43"/>
    <mergeCell ref="B44:C44"/>
    <mergeCell ref="B45:C45"/>
    <mergeCell ref="D46:E46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52" zoomScale="130" zoomScaleNormal="130" workbookViewId="0">
      <selection activeCell="K68" sqref="K68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82</v>
      </c>
    </row>
    <row r="2" spans="1:7" ht="15.75" thickBot="1" x14ac:dyDescent="0.3">
      <c r="A2" s="25" t="s">
        <v>34</v>
      </c>
      <c r="B2" s="84" t="s">
        <v>35</v>
      </c>
      <c r="C2" s="27" t="s">
        <v>36</v>
      </c>
      <c r="D2" s="84" t="s">
        <v>37</v>
      </c>
      <c r="E2" s="84" t="s">
        <v>38</v>
      </c>
      <c r="F2" s="84" t="s">
        <v>39</v>
      </c>
      <c r="G2" s="48"/>
    </row>
    <row r="3" spans="1:7" ht="27" thickTop="1" thickBot="1" x14ac:dyDescent="0.3">
      <c r="A3" s="28" t="s">
        <v>40</v>
      </c>
      <c r="B3" s="29" t="s">
        <v>41</v>
      </c>
      <c r="C3" s="30" t="s">
        <v>42</v>
      </c>
      <c r="D3" s="29" t="s">
        <v>43</v>
      </c>
      <c r="E3" s="31">
        <v>13</v>
      </c>
      <c r="F3" s="29"/>
      <c r="G3" s="48"/>
    </row>
    <row r="4" spans="1:7" ht="39" thickBot="1" x14ac:dyDescent="0.3">
      <c r="A4" s="28" t="s">
        <v>44</v>
      </c>
      <c r="B4" s="29" t="s">
        <v>45</v>
      </c>
      <c r="C4" s="30" t="s">
        <v>46</v>
      </c>
      <c r="D4" s="29" t="s">
        <v>43</v>
      </c>
      <c r="E4" s="31">
        <v>12</v>
      </c>
      <c r="F4" s="29"/>
      <c r="G4" s="48"/>
    </row>
    <row r="5" spans="1:7" ht="26.25" thickBot="1" x14ac:dyDescent="0.3">
      <c r="A5" s="28" t="s">
        <v>47</v>
      </c>
      <c r="B5" s="29" t="s">
        <v>48</v>
      </c>
      <c r="C5" s="30" t="s">
        <v>49</v>
      </c>
      <c r="D5" s="29" t="s">
        <v>43</v>
      </c>
      <c r="E5" s="31">
        <v>12</v>
      </c>
      <c r="F5" s="29"/>
      <c r="G5" s="48"/>
    </row>
    <row r="6" spans="1:7" ht="26.25" thickBot="1" x14ac:dyDescent="0.3">
      <c r="A6" s="28" t="s">
        <v>47</v>
      </c>
      <c r="B6" s="29" t="s">
        <v>45</v>
      </c>
      <c r="C6" s="30" t="s">
        <v>50</v>
      </c>
      <c r="D6" s="29" t="s">
        <v>43</v>
      </c>
      <c r="E6" s="31">
        <v>8</v>
      </c>
      <c r="F6" s="29"/>
      <c r="G6" s="48"/>
    </row>
    <row r="7" spans="1:7" ht="26.25" thickBot="1" x14ac:dyDescent="0.3">
      <c r="A7" s="28" t="s">
        <v>47</v>
      </c>
      <c r="B7" s="29" t="s">
        <v>51</v>
      </c>
      <c r="C7" s="30" t="s">
        <v>52</v>
      </c>
      <c r="D7" s="29" t="s">
        <v>43</v>
      </c>
      <c r="E7" s="31">
        <v>14</v>
      </c>
      <c r="F7" s="29"/>
      <c r="G7" s="48"/>
    </row>
    <row r="8" spans="1:7" ht="26.25" thickBot="1" x14ac:dyDescent="0.3">
      <c r="A8" s="28" t="s">
        <v>47</v>
      </c>
      <c r="B8" s="29" t="s">
        <v>53</v>
      </c>
      <c r="C8" s="30" t="s">
        <v>54</v>
      </c>
      <c r="D8" s="29" t="s">
        <v>43</v>
      </c>
      <c r="E8" s="31">
        <v>10</v>
      </c>
      <c r="F8" s="29"/>
      <c r="G8" s="48"/>
    </row>
    <row r="9" spans="1:7" ht="39" thickBot="1" x14ac:dyDescent="0.3">
      <c r="A9" s="28" t="s">
        <v>47</v>
      </c>
      <c r="B9" s="29" t="s">
        <v>55</v>
      </c>
      <c r="C9" s="30" t="s">
        <v>56</v>
      </c>
      <c r="D9" s="29" t="s">
        <v>43</v>
      </c>
      <c r="E9" s="31">
        <v>14</v>
      </c>
      <c r="F9" s="29"/>
      <c r="G9" s="48"/>
    </row>
    <row r="10" spans="1:7" ht="15.75" thickBot="1" x14ac:dyDescent="0.3">
      <c r="A10" s="34" t="s">
        <v>81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44</v>
      </c>
      <c r="B11" s="29" t="s">
        <v>57</v>
      </c>
      <c r="C11" s="30" t="s">
        <v>58</v>
      </c>
      <c r="D11" s="29" t="s">
        <v>59</v>
      </c>
      <c r="E11" s="31">
        <v>17</v>
      </c>
      <c r="F11" s="29"/>
      <c r="G11" s="48"/>
    </row>
    <row r="12" spans="1:7" ht="26.25" thickBot="1" x14ac:dyDescent="0.3">
      <c r="A12" s="28" t="s">
        <v>47</v>
      </c>
      <c r="B12" s="29" t="s">
        <v>60</v>
      </c>
      <c r="C12" s="30" t="s">
        <v>61</v>
      </c>
      <c r="D12" s="29" t="s">
        <v>59</v>
      </c>
      <c r="E12" s="31">
        <v>12</v>
      </c>
      <c r="F12" s="29"/>
      <c r="G12" s="48"/>
    </row>
    <row r="13" spans="1:7" ht="15.75" thickBot="1" x14ac:dyDescent="0.3">
      <c r="A13" s="34" t="s">
        <v>81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62</v>
      </c>
      <c r="B14" s="29" t="s">
        <v>63</v>
      </c>
      <c r="C14" s="30" t="s">
        <v>64</v>
      </c>
      <c r="D14" s="29" t="s">
        <v>65</v>
      </c>
      <c r="E14" s="31">
        <v>22</v>
      </c>
      <c r="F14" s="29" t="s">
        <v>66</v>
      </c>
      <c r="G14" s="48"/>
    </row>
    <row r="15" spans="1:7" ht="26.25" thickBot="1" x14ac:dyDescent="0.3">
      <c r="A15" s="28" t="s">
        <v>62</v>
      </c>
      <c r="B15" s="29" t="s">
        <v>67</v>
      </c>
      <c r="C15" s="30" t="s">
        <v>68</v>
      </c>
      <c r="D15" s="29" t="s">
        <v>65</v>
      </c>
      <c r="E15" s="31">
        <v>36</v>
      </c>
      <c r="F15" s="29"/>
      <c r="G15" s="48"/>
    </row>
    <row r="16" spans="1:7" ht="26.25" thickBot="1" x14ac:dyDescent="0.3">
      <c r="A16" s="28" t="s">
        <v>47</v>
      </c>
      <c r="B16" s="29" t="s">
        <v>69</v>
      </c>
      <c r="C16" s="30" t="s">
        <v>70</v>
      </c>
      <c r="D16" s="29" t="s">
        <v>65</v>
      </c>
      <c r="E16" s="31">
        <v>25</v>
      </c>
      <c r="F16" s="29" t="s">
        <v>66</v>
      </c>
      <c r="G16" s="48"/>
    </row>
    <row r="17" spans="1:7" ht="26.25" thickBot="1" x14ac:dyDescent="0.3">
      <c r="A17" s="28" t="s">
        <v>47</v>
      </c>
      <c r="B17" s="29" t="s">
        <v>71</v>
      </c>
      <c r="C17" s="30" t="s">
        <v>72</v>
      </c>
      <c r="D17" s="29" t="s">
        <v>65</v>
      </c>
      <c r="E17" s="31">
        <v>19</v>
      </c>
      <c r="F17" s="29"/>
      <c r="G17" s="48"/>
    </row>
    <row r="18" spans="1:7" ht="39" thickBot="1" x14ac:dyDescent="0.3">
      <c r="A18" s="28" t="s">
        <v>47</v>
      </c>
      <c r="B18" s="29" t="s">
        <v>71</v>
      </c>
      <c r="C18" s="30" t="s">
        <v>73</v>
      </c>
      <c r="D18" s="29" t="s">
        <v>65</v>
      </c>
      <c r="E18" s="31">
        <v>21</v>
      </c>
      <c r="F18" s="29" t="s">
        <v>66</v>
      </c>
      <c r="G18" s="48"/>
    </row>
    <row r="19" spans="1:7" ht="15.75" thickBot="1" x14ac:dyDescent="0.3">
      <c r="A19" s="34" t="s">
        <v>81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74</v>
      </c>
      <c r="B20" s="29" t="s">
        <v>75</v>
      </c>
      <c r="C20" s="30" t="s">
        <v>75</v>
      </c>
      <c r="D20" s="29" t="s">
        <v>76</v>
      </c>
      <c r="E20" s="33">
        <v>20</v>
      </c>
      <c r="F20" s="29"/>
      <c r="G20" s="48"/>
    </row>
    <row r="21" spans="1:7" ht="39" thickBot="1" x14ac:dyDescent="0.3">
      <c r="A21" s="28" t="s">
        <v>44</v>
      </c>
      <c r="B21" s="29" t="s">
        <v>57</v>
      </c>
      <c r="C21" s="30" t="s">
        <v>77</v>
      </c>
      <c r="D21" s="29" t="s">
        <v>76</v>
      </c>
      <c r="E21" s="31">
        <v>13</v>
      </c>
      <c r="F21" s="29" t="s">
        <v>78</v>
      </c>
      <c r="G21" s="48"/>
    </row>
    <row r="22" spans="1:7" ht="26.25" thickBot="1" x14ac:dyDescent="0.3">
      <c r="A22" s="28" t="s">
        <v>62</v>
      </c>
      <c r="B22" s="29" t="s">
        <v>67</v>
      </c>
      <c r="C22" s="30" t="s">
        <v>79</v>
      </c>
      <c r="D22" s="29" t="s">
        <v>76</v>
      </c>
      <c r="E22" s="31">
        <v>14</v>
      </c>
      <c r="F22" s="29" t="s">
        <v>66</v>
      </c>
      <c r="G22" s="48"/>
    </row>
    <row r="23" spans="1:7" ht="26.25" thickBot="1" x14ac:dyDescent="0.3">
      <c r="A23" s="28" t="s">
        <v>47</v>
      </c>
      <c r="B23" s="29" t="s">
        <v>60</v>
      </c>
      <c r="C23" s="30" t="s">
        <v>80</v>
      </c>
      <c r="D23" s="29" t="s">
        <v>76</v>
      </c>
      <c r="E23" s="32">
        <v>9.5</v>
      </c>
      <c r="F23" s="29"/>
      <c r="G23" s="48"/>
    </row>
    <row r="24" spans="1:7" ht="15.75" thickBot="1" x14ac:dyDescent="0.3">
      <c r="A24" s="34" t="s">
        <v>81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83</v>
      </c>
    </row>
    <row r="28" spans="1:7" ht="15.75" thickBot="1" x14ac:dyDescent="0.3">
      <c r="A28" s="25" t="s">
        <v>34</v>
      </c>
      <c r="B28" s="227" t="s">
        <v>38</v>
      </c>
      <c r="C28" s="228"/>
      <c r="D28" s="84"/>
    </row>
    <row r="29" spans="1:7" ht="16.5" thickTop="1" thickBot="1" x14ac:dyDescent="0.3">
      <c r="A29" s="28" t="s">
        <v>84</v>
      </c>
      <c r="B29" s="31" t="s">
        <v>85</v>
      </c>
      <c r="C29" s="29" t="s">
        <v>86</v>
      </c>
      <c r="D29" s="29"/>
    </row>
    <row r="30" spans="1:7" ht="26.25" thickBot="1" x14ac:dyDescent="0.3">
      <c r="A30" s="28" t="s">
        <v>89</v>
      </c>
      <c r="B30" s="32">
        <f>6.39/500</f>
        <v>1.278E-2</v>
      </c>
      <c r="C30" s="29" t="s">
        <v>86</v>
      </c>
      <c r="D30" s="29" t="s">
        <v>88</v>
      </c>
    </row>
    <row r="31" spans="1:7" ht="26.25" thickBot="1" x14ac:dyDescent="0.3">
      <c r="A31" s="28" t="s">
        <v>89</v>
      </c>
      <c r="B31" s="32">
        <f>2.56/500</f>
        <v>5.1200000000000004E-3</v>
      </c>
      <c r="C31" s="29" t="s">
        <v>86</v>
      </c>
      <c r="D31" s="29" t="s">
        <v>90</v>
      </c>
    </row>
    <row r="32" spans="1:7" ht="26.25" thickBot="1" x14ac:dyDescent="0.3">
      <c r="A32" s="28" t="s">
        <v>87</v>
      </c>
      <c r="B32" s="32">
        <f>10.79/500</f>
        <v>2.1579999999999998E-2</v>
      </c>
      <c r="C32" s="29" t="s">
        <v>86</v>
      </c>
      <c r="D32" s="29" t="s">
        <v>88</v>
      </c>
    </row>
    <row r="33" spans="1:6" ht="26.25" thickBot="1" x14ac:dyDescent="0.3">
      <c r="A33" s="28" t="s">
        <v>87</v>
      </c>
      <c r="B33" s="32">
        <f>10.79/500</f>
        <v>2.1579999999999998E-2</v>
      </c>
      <c r="C33" s="29" t="s">
        <v>86</v>
      </c>
      <c r="D33" s="29" t="s">
        <v>88</v>
      </c>
    </row>
    <row r="35" spans="1:6" x14ac:dyDescent="0.25">
      <c r="A35" s="39" t="s">
        <v>92</v>
      </c>
      <c r="B35">
        <v>120</v>
      </c>
      <c r="C35">
        <v>87600</v>
      </c>
    </row>
    <row r="36" spans="1:6" x14ac:dyDescent="0.25">
      <c r="A36" s="39" t="s">
        <v>91</v>
      </c>
      <c r="B36">
        <v>2</v>
      </c>
    </row>
    <row r="37" spans="1:6" x14ac:dyDescent="0.25">
      <c r="A37" s="39" t="s">
        <v>93</v>
      </c>
      <c r="B37">
        <v>1</v>
      </c>
    </row>
    <row r="38" spans="1:6" x14ac:dyDescent="0.25">
      <c r="A38" s="39" t="s">
        <v>94</v>
      </c>
      <c r="B38">
        <v>340000</v>
      </c>
    </row>
    <row r="39" spans="1:6" x14ac:dyDescent="0.25">
      <c r="A39" s="50" t="s">
        <v>113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43</v>
      </c>
      <c r="C41" t="s">
        <v>102</v>
      </c>
      <c r="D41" t="s">
        <v>76</v>
      </c>
      <c r="E41" t="s">
        <v>59</v>
      </c>
    </row>
    <row r="42" spans="1:6" x14ac:dyDescent="0.25">
      <c r="A42" s="39" t="s">
        <v>101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103</v>
      </c>
      <c r="B43" s="229">
        <v>800</v>
      </c>
      <c r="C43" s="229"/>
      <c r="D43" s="44"/>
      <c r="E43" s="44"/>
    </row>
    <row r="44" spans="1:6" x14ac:dyDescent="0.25">
      <c r="A44" s="39" t="s">
        <v>104</v>
      </c>
      <c r="B44" s="229">
        <v>150</v>
      </c>
      <c r="C44" s="229"/>
      <c r="D44" s="44"/>
      <c r="E44" s="44"/>
      <c r="F44" t="s">
        <v>108</v>
      </c>
    </row>
    <row r="45" spans="1:6" x14ac:dyDescent="0.25">
      <c r="A45" s="39" t="s">
        <v>105</v>
      </c>
      <c r="B45" s="229">
        <v>550</v>
      </c>
      <c r="C45" s="229"/>
      <c r="D45" s="44"/>
      <c r="E45" s="44"/>
      <c r="F45" t="s">
        <v>109</v>
      </c>
    </row>
    <row r="46" spans="1:6" x14ac:dyDescent="0.25">
      <c r="A46" s="39" t="s">
        <v>106</v>
      </c>
      <c r="B46" s="85"/>
      <c r="C46" s="85"/>
      <c r="D46" s="230">
        <v>0.02</v>
      </c>
      <c r="E46" s="230"/>
      <c r="F46" t="s">
        <v>110</v>
      </c>
    </row>
    <row r="47" spans="1:6" x14ac:dyDescent="0.25">
      <c r="A47" s="39" t="s">
        <v>107</v>
      </c>
      <c r="B47" s="229">
        <v>120</v>
      </c>
      <c r="C47" s="229"/>
      <c r="D47" s="44"/>
      <c r="E47" s="44"/>
      <c r="F47" t="s">
        <v>111</v>
      </c>
    </row>
    <row r="48" spans="1:6" x14ac:dyDescent="0.25">
      <c r="A48" s="39" t="s">
        <v>112</v>
      </c>
      <c r="B48" s="229">
        <v>70</v>
      </c>
      <c r="C48" s="229"/>
      <c r="D48" s="44"/>
      <c r="E48" s="44"/>
      <c r="F48" t="s">
        <v>23</v>
      </c>
    </row>
    <row r="49" spans="1:15" x14ac:dyDescent="0.25">
      <c r="A49" s="39"/>
    </row>
    <row r="50" spans="1:15" x14ac:dyDescent="0.25">
      <c r="A50" s="39" t="s">
        <v>100</v>
      </c>
      <c r="B50" t="s">
        <v>96</v>
      </c>
      <c r="C50" t="s">
        <v>97</v>
      </c>
      <c r="D50" t="s">
        <v>98</v>
      </c>
      <c r="E50" t="s">
        <v>99</v>
      </c>
    </row>
    <row r="51" spans="1:15" x14ac:dyDescent="0.25">
      <c r="A51" s="39" t="s">
        <v>95</v>
      </c>
      <c r="B51">
        <f>'Monthly data'!B2+'Monthly data'!B3</f>
        <v>706.2412955465586</v>
      </c>
      <c r="C51">
        <f>'Monthly data'!B4+'Monthly data'!B5</f>
        <v>141.24825910931173</v>
      </c>
      <c r="D51">
        <f>'Monthly data'!B6+'Monthly data'!B7</f>
        <v>35.312064777327933</v>
      </c>
      <c r="E51">
        <f>'Monthly data'!B8+'Monthly data'!B9</f>
        <v>3.5312064777327938</v>
      </c>
      <c r="F51" t="s">
        <v>212</v>
      </c>
    </row>
    <row r="52" spans="1:15" x14ac:dyDescent="0.25">
      <c r="A52" s="39" t="s">
        <v>95</v>
      </c>
      <c r="B52">
        <f>'Monthly data'!D2</f>
        <v>112.32</v>
      </c>
      <c r="C52">
        <f>'Monthly data'!D4</f>
        <v>22.463999999999999</v>
      </c>
      <c r="D52">
        <f>'Monthly data'!D6</f>
        <v>5.6159999999999997</v>
      </c>
      <c r="E52">
        <f>'Monthly data'!D8</f>
        <v>0.56159999999999999</v>
      </c>
      <c r="F52" t="s">
        <v>213</v>
      </c>
    </row>
    <row r="53" spans="1:15" x14ac:dyDescent="0.25">
      <c r="A53" s="39" t="s">
        <v>95</v>
      </c>
      <c r="B53">
        <f>'Monthly data'!F2</f>
        <v>88.128</v>
      </c>
      <c r="C53">
        <f>'Monthly data'!F4</f>
        <v>17.625599999999999</v>
      </c>
      <c r="D53">
        <f>'Monthly data'!F6</f>
        <v>4.4063999999999997</v>
      </c>
      <c r="E53">
        <f>'Monthly data'!F8</f>
        <v>0.44064000000000014</v>
      </c>
      <c r="F53" t="s">
        <v>2</v>
      </c>
    </row>
    <row r="54" spans="1:15" x14ac:dyDescent="0.25">
      <c r="A54" s="39"/>
    </row>
    <row r="55" spans="1:15" x14ac:dyDescent="0.25">
      <c r="A55" s="59"/>
      <c r="B55" s="59"/>
      <c r="C55" s="59"/>
      <c r="D55" s="59"/>
      <c r="E55" s="63"/>
    </row>
    <row r="56" spans="1:15" ht="18.75" thickBot="1" x14ac:dyDescent="0.4">
      <c r="A56" s="60"/>
      <c r="B56" s="61"/>
      <c r="C56" s="61"/>
      <c r="D56" s="62"/>
      <c r="E56" s="62" t="s">
        <v>100</v>
      </c>
      <c r="F56" s="53" t="s">
        <v>114</v>
      </c>
      <c r="G56" s="54" t="s">
        <v>115</v>
      </c>
      <c r="H56" s="55" t="s">
        <v>116</v>
      </c>
      <c r="I56" s="56" t="s">
        <v>117</v>
      </c>
      <c r="J56" s="57" t="s">
        <v>118</v>
      </c>
      <c r="K56" s="58" t="s">
        <v>119</v>
      </c>
    </row>
    <row r="57" spans="1:15" ht="15" customHeight="1" x14ac:dyDescent="0.25">
      <c r="A57" s="243" t="s">
        <v>216</v>
      </c>
      <c r="B57" s="244"/>
      <c r="C57" s="243" t="s">
        <v>76</v>
      </c>
      <c r="D57" s="244"/>
      <c r="E57" s="51" t="s">
        <v>96</v>
      </c>
      <c r="F57" s="64">
        <f>B36*D42</f>
        <v>28</v>
      </c>
      <c r="G57" s="65"/>
      <c r="H57" s="66">
        <f>B35*B36*B51*D46</f>
        <v>3389.9582186234811</v>
      </c>
      <c r="I57" s="67">
        <f>B36*(1/B38)*C35*D42+B36*(1/B38)*C35*((1/2)*B45)</f>
        <v>148.92000000000002</v>
      </c>
      <c r="J57" s="68"/>
      <c r="K57" s="69">
        <f t="shared" ref="K57:K68" si="0">F57+G57+H57+I57+J57</f>
        <v>3566.8782186234812</v>
      </c>
      <c r="O57" s="46"/>
    </row>
    <row r="58" spans="1:15" x14ac:dyDescent="0.25">
      <c r="A58" s="245"/>
      <c r="B58" s="246"/>
      <c r="C58" s="245"/>
      <c r="D58" s="246"/>
      <c r="E58" s="47" t="s">
        <v>97</v>
      </c>
      <c r="F58" s="70">
        <f>B36*D42</f>
        <v>28</v>
      </c>
      <c r="G58" s="71"/>
      <c r="H58" s="72">
        <f>B35*B36*C51*D46</f>
        <v>677.99164372469636</v>
      </c>
      <c r="I58" s="73">
        <f>B36*(1/B38)*C35*D42+B36*(1/B38)*C35*((1/2)*B45)</f>
        <v>148.92000000000002</v>
      </c>
      <c r="J58" s="74"/>
      <c r="K58" s="69">
        <f t="shared" si="0"/>
        <v>854.91164372469643</v>
      </c>
    </row>
    <row r="59" spans="1:15" x14ac:dyDescent="0.25">
      <c r="A59" s="245"/>
      <c r="B59" s="246"/>
      <c r="C59" s="245"/>
      <c r="D59" s="246"/>
      <c r="E59" s="47" t="s">
        <v>98</v>
      </c>
      <c r="F59" s="70">
        <f>B36*D42</f>
        <v>28</v>
      </c>
      <c r="G59" s="71"/>
      <c r="H59" s="72">
        <f>B35*B36*D51*D46</f>
        <v>169.49791093117409</v>
      </c>
      <c r="I59" s="73">
        <f>B36*(1/B38)*C35*D42+B36*(1/B38)*C35*((1/2)*B45)</f>
        <v>148.92000000000002</v>
      </c>
      <c r="J59" s="74"/>
      <c r="K59" s="69">
        <f>F59+G59+H59+I59+J59</f>
        <v>346.41791093117411</v>
      </c>
    </row>
    <row r="60" spans="1:15" x14ac:dyDescent="0.25">
      <c r="A60" s="245"/>
      <c r="B60" s="246"/>
      <c r="C60" s="245"/>
      <c r="D60" s="246"/>
      <c r="E60" s="47" t="s">
        <v>99</v>
      </c>
      <c r="F60" s="70">
        <f>B36*D42</f>
        <v>28</v>
      </c>
      <c r="G60" s="71"/>
      <c r="H60" s="72">
        <f>B35*B36*E51*D46</f>
        <v>16.949791093117412</v>
      </c>
      <c r="I60" s="73">
        <f>B36*(1/B38)*C35*D42+B36*(1/B38)*C35*((1/2)*B45)</f>
        <v>148.92000000000002</v>
      </c>
      <c r="J60" s="74"/>
      <c r="K60" s="69">
        <f t="shared" si="0"/>
        <v>193.86979109311744</v>
      </c>
    </row>
    <row r="61" spans="1:15" x14ac:dyDescent="0.25">
      <c r="A61" s="245" t="s">
        <v>217</v>
      </c>
      <c r="B61" s="246"/>
      <c r="C61" s="245" t="s">
        <v>76</v>
      </c>
      <c r="D61" s="246"/>
      <c r="E61" s="47" t="s">
        <v>96</v>
      </c>
      <c r="F61" s="70">
        <f>B36*D42</f>
        <v>28</v>
      </c>
      <c r="G61" s="71"/>
      <c r="H61" s="72">
        <f>B35*B36*B52*D46</f>
        <v>539.13599999999997</v>
      </c>
      <c r="I61" s="73">
        <f>B36*(1/B38)*C35*D42+B36*(1/B38)*C35*((1/2)*B45)</f>
        <v>148.92000000000002</v>
      </c>
      <c r="J61" s="74"/>
      <c r="K61" s="69">
        <f t="shared" si="0"/>
        <v>716.05600000000004</v>
      </c>
    </row>
    <row r="62" spans="1:15" x14ac:dyDescent="0.25">
      <c r="A62" s="245"/>
      <c r="B62" s="246"/>
      <c r="C62" s="245"/>
      <c r="D62" s="246"/>
      <c r="E62" s="47" t="s">
        <v>97</v>
      </c>
      <c r="F62" s="70">
        <f>B36*D42</f>
        <v>28</v>
      </c>
      <c r="G62" s="71"/>
      <c r="H62" s="72">
        <f>B35*B36*C52*D46</f>
        <v>107.82719999999999</v>
      </c>
      <c r="I62" s="73">
        <f>B36*(1/B38)*C35*D42+B36*(1/B38)*C35*((1/2)*B45)</f>
        <v>148.92000000000002</v>
      </c>
      <c r="J62" s="74"/>
      <c r="K62" s="69">
        <f t="shared" si="0"/>
        <v>284.74720000000002</v>
      </c>
    </row>
    <row r="63" spans="1:15" x14ac:dyDescent="0.25">
      <c r="A63" s="245"/>
      <c r="B63" s="246"/>
      <c r="C63" s="245"/>
      <c r="D63" s="246"/>
      <c r="E63" s="47" t="s">
        <v>98</v>
      </c>
      <c r="F63" s="70">
        <f>B36*D42</f>
        <v>28</v>
      </c>
      <c r="G63" s="71"/>
      <c r="H63" s="72">
        <f>B35*B36*D52*D46</f>
        <v>26.956799999999998</v>
      </c>
      <c r="I63" s="73">
        <f>B36*(1/B38)*C35*D42+B36*(1/B38)*C35*((1/2)*B45)</f>
        <v>148.92000000000002</v>
      </c>
      <c r="J63" s="74"/>
      <c r="K63" s="69">
        <f t="shared" si="0"/>
        <v>203.8768</v>
      </c>
    </row>
    <row r="64" spans="1:15" ht="15.75" thickBot="1" x14ac:dyDescent="0.3">
      <c r="A64" s="247"/>
      <c r="B64" s="248"/>
      <c r="C64" s="247"/>
      <c r="D64" s="248"/>
      <c r="E64" s="52" t="s">
        <v>99</v>
      </c>
      <c r="F64" s="75">
        <f>B36*D42</f>
        <v>28</v>
      </c>
      <c r="G64" s="76"/>
      <c r="H64" s="77">
        <f>B35*B36*E52*D46</f>
        <v>2.6956799999999999</v>
      </c>
      <c r="I64" s="78">
        <f>B36*(1/B38)*C35*D42+B36*(1/B38)*C35*((1/2)*B45)</f>
        <v>148.92000000000002</v>
      </c>
      <c r="J64" s="79"/>
      <c r="K64" s="80">
        <f t="shared" si="0"/>
        <v>179.61568000000003</v>
      </c>
    </row>
    <row r="65" spans="1:11" x14ac:dyDescent="0.25">
      <c r="A65" s="231" t="s">
        <v>214</v>
      </c>
      <c r="B65" s="232"/>
      <c r="C65" s="237" t="s">
        <v>43</v>
      </c>
      <c r="D65" s="238"/>
      <c r="E65" s="51"/>
      <c r="F65" s="64">
        <f>(B36*B42+B37*B43+B37*B44)</f>
        <v>974</v>
      </c>
      <c r="G65" s="65">
        <f>B37*((1/2)*B45)</f>
        <v>275</v>
      </c>
      <c r="H65" s="66">
        <f>B35*(B37*B47+B37*B48)</f>
        <v>22800</v>
      </c>
      <c r="I65" s="67">
        <f>B36*B39*C35*B42+B36*B39*C35*((1/2)*B45)+B37*B39*C35*B43+B37*B39*C35*((1/2)*B45)</f>
        <v>424.86000000000007</v>
      </c>
      <c r="J65" s="68">
        <f>B37*((1/2)*B45)</f>
        <v>275</v>
      </c>
      <c r="K65" s="69">
        <f t="shared" si="0"/>
        <v>24748.86</v>
      </c>
    </row>
    <row r="66" spans="1:11" ht="15.75" thickBot="1" x14ac:dyDescent="0.3">
      <c r="A66" s="233"/>
      <c r="B66" s="234"/>
      <c r="C66" s="239" t="s">
        <v>102</v>
      </c>
      <c r="D66" s="240"/>
      <c r="E66" s="52"/>
      <c r="F66" s="75">
        <f>(B36*C42+B37*B43+B37*B44)</f>
        <v>978</v>
      </c>
      <c r="G66" s="76">
        <f>B37*((1/2)*B45)</f>
        <v>275</v>
      </c>
      <c r="H66" s="77">
        <f>B35*(B37*B47+B37*B48)</f>
        <v>22800</v>
      </c>
      <c r="I66" s="78">
        <f>B36*B39*C35*C42+B36*B39*C35*((1/2)*B45)+B37*B39*C35*B43+B37*B39*C35*((1/2)*B45)</f>
        <v>425.89058823529422</v>
      </c>
      <c r="J66" s="79">
        <f>B37*((1/2)*B45)</f>
        <v>275</v>
      </c>
      <c r="K66" s="81">
        <f t="shared" si="0"/>
        <v>24753.890588235296</v>
      </c>
    </row>
    <row r="67" spans="1:11" x14ac:dyDescent="0.25">
      <c r="A67" s="231" t="s">
        <v>215</v>
      </c>
      <c r="B67" s="232"/>
      <c r="C67" s="237" t="s">
        <v>43</v>
      </c>
      <c r="D67" s="238"/>
      <c r="E67" s="51"/>
      <c r="F67" s="64">
        <f>(B36*B42+B37*B43+B37*B44)</f>
        <v>974</v>
      </c>
      <c r="G67" s="65">
        <f>B37*((1/2)*B45)</f>
        <v>275</v>
      </c>
      <c r="H67" s="66"/>
      <c r="I67" s="67">
        <f>B36*B39*C35*B42+B36*B39*C35*((1/2)*B45)+B37*B39*C35*B43+B37*B39*C35*((1/2)*B45)</f>
        <v>424.86000000000007</v>
      </c>
      <c r="J67" s="68"/>
      <c r="K67" s="69">
        <f t="shared" si="0"/>
        <v>1673.8600000000001</v>
      </c>
    </row>
    <row r="68" spans="1:11" x14ac:dyDescent="0.25">
      <c r="A68" s="235"/>
      <c r="B68" s="236"/>
      <c r="C68" s="241" t="s">
        <v>102</v>
      </c>
      <c r="D68" s="242"/>
      <c r="E68" s="51"/>
      <c r="F68" s="64">
        <f>(B36*C42+B37*B43+B37*B44)</f>
        <v>978</v>
      </c>
      <c r="G68" s="65">
        <f>B37*((1/2)*B45)</f>
        <v>275</v>
      </c>
      <c r="H68" s="66"/>
      <c r="I68" s="67">
        <f>B36*B39*C35*C42+B36*B39*C35*((1/2)*B45)+B37*B39*C35*B43+B37*B39*C35*((1/2)*B45)</f>
        <v>425.89058823529422</v>
      </c>
      <c r="J68" s="68"/>
      <c r="K68" s="69">
        <f t="shared" si="0"/>
        <v>1678.8905882352942</v>
      </c>
    </row>
  </sheetData>
  <mergeCells count="17">
    <mergeCell ref="B28:C28"/>
    <mergeCell ref="B43:C43"/>
    <mergeCell ref="B44:C44"/>
    <mergeCell ref="B45:C45"/>
    <mergeCell ref="D46:E46"/>
    <mergeCell ref="B47:C47"/>
    <mergeCell ref="A67:B68"/>
    <mergeCell ref="C67:D67"/>
    <mergeCell ref="C68:D68"/>
    <mergeCell ref="B48:C48"/>
    <mergeCell ref="A57:B60"/>
    <mergeCell ref="C57:D60"/>
    <mergeCell ref="A61:B64"/>
    <mergeCell ref="C61:D64"/>
    <mergeCell ref="A65:B66"/>
    <mergeCell ref="C65:D65"/>
    <mergeCell ref="C66:D66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4" max="5" width="10.140625" customWidth="1"/>
    <col min="6" max="6" width="9.85546875" customWidth="1"/>
    <col min="9" max="9" width="9.7109375" bestFit="1" customWidth="1"/>
    <col min="10" max="10" width="9.7109375" customWidth="1"/>
    <col min="14" max="14" width="19.5703125" bestFit="1" customWidth="1"/>
    <col min="16" max="16" width="9.7109375" bestFit="1" customWidth="1"/>
  </cols>
  <sheetData>
    <row r="1" spans="1:19" ht="15.75" thickBot="1" x14ac:dyDescent="0.3">
      <c r="A1" s="146"/>
      <c r="B1" s="146"/>
      <c r="C1" s="146"/>
      <c r="D1" s="146"/>
      <c r="E1" s="146"/>
      <c r="F1" s="147"/>
      <c r="G1" s="166" t="s">
        <v>76</v>
      </c>
      <c r="H1" s="166"/>
      <c r="I1" s="167" t="s">
        <v>43</v>
      </c>
      <c r="J1" s="166"/>
      <c r="K1" s="167" t="s">
        <v>102</v>
      </c>
      <c r="L1" s="166"/>
      <c r="O1" s="193" t="s">
        <v>76</v>
      </c>
      <c r="P1" s="194" t="s">
        <v>43</v>
      </c>
      <c r="Q1" s="186" t="s">
        <v>102</v>
      </c>
    </row>
    <row r="2" spans="1:19" x14ac:dyDescent="0.25">
      <c r="A2" s="165" t="s">
        <v>291</v>
      </c>
      <c r="C2" t="s">
        <v>304</v>
      </c>
      <c r="E2" t="s">
        <v>306</v>
      </c>
      <c r="F2" s="148"/>
      <c r="G2" s="181" t="s">
        <v>303</v>
      </c>
      <c r="H2">
        <v>14</v>
      </c>
      <c r="I2" s="175" t="s">
        <v>303</v>
      </c>
      <c r="J2">
        <v>19</v>
      </c>
      <c r="K2" s="175" t="s">
        <v>303</v>
      </c>
      <c r="L2">
        <v>8</v>
      </c>
      <c r="N2" t="s">
        <v>322</v>
      </c>
      <c r="O2">
        <v>2</v>
      </c>
      <c r="P2">
        <v>3</v>
      </c>
      <c r="Q2">
        <v>1</v>
      </c>
      <c r="S2" t="s">
        <v>327</v>
      </c>
    </row>
    <row r="3" spans="1:19" x14ac:dyDescent="0.25">
      <c r="F3" s="148"/>
      <c r="I3" s="156"/>
      <c r="K3" s="156"/>
      <c r="N3" t="s">
        <v>323</v>
      </c>
      <c r="O3">
        <v>3</v>
      </c>
      <c r="P3">
        <v>2</v>
      </c>
      <c r="Q3">
        <v>1</v>
      </c>
      <c r="S3" t="s">
        <v>328</v>
      </c>
    </row>
    <row r="4" spans="1:19" ht="15.75" thickBot="1" x14ac:dyDescent="0.3">
      <c r="A4" s="146"/>
      <c r="B4" s="146"/>
      <c r="C4" s="146"/>
      <c r="D4" s="146"/>
      <c r="E4" s="146"/>
      <c r="F4" s="147"/>
      <c r="G4" s="146"/>
      <c r="H4" s="146"/>
      <c r="I4" s="155"/>
      <c r="J4" s="146"/>
      <c r="K4" s="155"/>
      <c r="L4" s="146"/>
      <c r="N4" t="s">
        <v>324</v>
      </c>
      <c r="O4">
        <v>3</v>
      </c>
      <c r="P4">
        <v>2</v>
      </c>
      <c r="Q4">
        <v>1</v>
      </c>
      <c r="S4" t="s">
        <v>329</v>
      </c>
    </row>
    <row r="5" spans="1:19" x14ac:dyDescent="0.25">
      <c r="A5" s="169" t="s">
        <v>292</v>
      </c>
      <c r="B5" s="99"/>
      <c r="C5" s="99" t="s">
        <v>146</v>
      </c>
      <c r="D5" s="99"/>
      <c r="E5" s="99" t="s">
        <v>232</v>
      </c>
      <c r="F5" s="170"/>
      <c r="G5" s="99">
        <v>40</v>
      </c>
      <c r="H5" s="99"/>
      <c r="I5" s="171"/>
      <c r="J5" s="99"/>
      <c r="K5" s="171"/>
      <c r="L5" s="99"/>
      <c r="N5" t="s">
        <v>325</v>
      </c>
      <c r="O5">
        <v>3</v>
      </c>
      <c r="P5">
        <v>1</v>
      </c>
      <c r="Q5">
        <v>2</v>
      </c>
    </row>
    <row r="6" spans="1:19" x14ac:dyDescent="0.25">
      <c r="A6" s="99"/>
      <c r="B6" s="99"/>
      <c r="C6" s="99"/>
      <c r="D6" s="99"/>
      <c r="E6" s="99" t="s">
        <v>233</v>
      </c>
      <c r="F6" s="170"/>
      <c r="G6" s="99">
        <v>4</v>
      </c>
      <c r="H6" s="99"/>
      <c r="I6" s="171"/>
      <c r="J6" s="99"/>
      <c r="K6" s="171"/>
      <c r="L6" s="99"/>
      <c r="N6" t="s">
        <v>326</v>
      </c>
      <c r="O6">
        <v>3</v>
      </c>
      <c r="P6">
        <v>1</v>
      </c>
      <c r="Q6">
        <v>1</v>
      </c>
    </row>
    <row r="7" spans="1:19" ht="15.75" thickBot="1" x14ac:dyDescent="0.3">
      <c r="A7" s="172"/>
      <c r="B7" s="172"/>
      <c r="C7" s="172"/>
      <c r="D7" s="172"/>
      <c r="E7" s="172" t="s">
        <v>234</v>
      </c>
      <c r="F7" s="173"/>
      <c r="G7" s="172">
        <v>4</v>
      </c>
      <c r="H7" s="172"/>
      <c r="I7" s="174"/>
      <c r="J7" s="172"/>
      <c r="K7" s="174"/>
      <c r="L7" s="172"/>
      <c r="N7" t="s">
        <v>330</v>
      </c>
      <c r="O7">
        <v>1</v>
      </c>
      <c r="P7">
        <v>2</v>
      </c>
      <c r="Q7">
        <v>2</v>
      </c>
    </row>
    <row r="8" spans="1:19" x14ac:dyDescent="0.25">
      <c r="A8" s="162" t="s">
        <v>305</v>
      </c>
      <c r="B8" s="150"/>
      <c r="C8" s="150"/>
      <c r="D8" s="150"/>
      <c r="E8" s="249" t="s">
        <v>232</v>
      </c>
      <c r="F8" s="151" t="s">
        <v>96</v>
      </c>
      <c r="G8" s="253" t="s">
        <v>298</v>
      </c>
      <c r="H8" s="254"/>
      <c r="I8" s="178" t="s">
        <v>302</v>
      </c>
      <c r="J8" s="232" t="s">
        <v>299</v>
      </c>
      <c r="K8" s="178" t="s">
        <v>302</v>
      </c>
      <c r="L8" s="150"/>
    </row>
    <row r="9" spans="1:19" x14ac:dyDescent="0.25">
      <c r="A9" s="268" t="s">
        <v>300</v>
      </c>
      <c r="B9" s="268"/>
      <c r="C9" s="268"/>
      <c r="D9" s="59"/>
      <c r="E9" s="250"/>
      <c r="F9" s="148" t="s">
        <v>97</v>
      </c>
      <c r="G9" s="255"/>
      <c r="H9" s="246"/>
      <c r="I9" s="179" t="s">
        <v>302</v>
      </c>
      <c r="J9" s="269"/>
      <c r="K9" s="179" t="s">
        <v>302</v>
      </c>
      <c r="L9" s="59"/>
    </row>
    <row r="10" spans="1:19" x14ac:dyDescent="0.25">
      <c r="A10" s="268"/>
      <c r="B10" s="268"/>
      <c r="C10" s="268"/>
      <c r="D10" s="59"/>
      <c r="E10" s="250"/>
      <c r="F10" s="148" t="s">
        <v>98</v>
      </c>
      <c r="G10" s="255"/>
      <c r="H10" s="246"/>
      <c r="I10" s="175" t="s">
        <v>303</v>
      </c>
      <c r="J10" s="269"/>
      <c r="K10" s="179" t="s">
        <v>302</v>
      </c>
      <c r="L10" s="59"/>
    </row>
    <row r="11" spans="1:19" x14ac:dyDescent="0.25">
      <c r="A11" s="63" t="s">
        <v>301</v>
      </c>
      <c r="B11" s="63"/>
      <c r="C11" s="63"/>
      <c r="D11" s="63"/>
      <c r="E11" s="251"/>
      <c r="F11" s="149" t="s">
        <v>99</v>
      </c>
      <c r="G11" s="257"/>
      <c r="H11" s="258"/>
      <c r="I11" s="176" t="s">
        <v>303</v>
      </c>
      <c r="J11" s="236"/>
      <c r="K11" s="180" t="s">
        <v>302</v>
      </c>
      <c r="L11" s="63"/>
    </row>
    <row r="12" spans="1:19" x14ac:dyDescent="0.25">
      <c r="A12" s="59"/>
      <c r="B12" s="59"/>
      <c r="C12" s="59"/>
      <c r="D12" s="59"/>
      <c r="E12" s="250" t="s">
        <v>233</v>
      </c>
      <c r="F12" s="148" t="s">
        <v>96</v>
      </c>
      <c r="G12" s="253" t="s">
        <v>298</v>
      </c>
      <c r="H12" s="254"/>
      <c r="I12" s="175" t="s">
        <v>303</v>
      </c>
      <c r="J12" s="270" t="s">
        <v>299</v>
      </c>
      <c r="K12" s="179" t="s">
        <v>302</v>
      </c>
      <c r="L12" s="59"/>
    </row>
    <row r="13" spans="1:19" x14ac:dyDescent="0.25">
      <c r="A13" s="59"/>
      <c r="B13" s="59"/>
      <c r="C13" s="59"/>
      <c r="D13" s="59"/>
      <c r="E13" s="250"/>
      <c r="F13" s="148" t="s">
        <v>97</v>
      </c>
      <c r="G13" s="255"/>
      <c r="H13" s="246"/>
      <c r="I13" s="175" t="s">
        <v>303</v>
      </c>
      <c r="J13" s="269"/>
      <c r="K13" s="179" t="s">
        <v>302</v>
      </c>
      <c r="L13" s="59"/>
    </row>
    <row r="14" spans="1:19" x14ac:dyDescent="0.25">
      <c r="A14" s="59"/>
      <c r="B14" s="59"/>
      <c r="C14" s="59"/>
      <c r="D14" s="59"/>
      <c r="E14" s="250"/>
      <c r="F14" s="148" t="s">
        <v>98</v>
      </c>
      <c r="G14" s="255"/>
      <c r="H14" s="246"/>
      <c r="I14" s="175" t="s">
        <v>303</v>
      </c>
      <c r="J14" s="269"/>
      <c r="K14" s="179" t="s">
        <v>302</v>
      </c>
      <c r="L14" s="59"/>
    </row>
    <row r="15" spans="1:19" x14ac:dyDescent="0.25">
      <c r="A15" s="63"/>
      <c r="B15" s="63"/>
      <c r="C15" s="63"/>
      <c r="D15" s="63"/>
      <c r="E15" s="251"/>
      <c r="F15" s="149" t="s">
        <v>99</v>
      </c>
      <c r="G15" s="257"/>
      <c r="H15" s="258"/>
      <c r="I15" s="176" t="s">
        <v>303</v>
      </c>
      <c r="J15" s="236"/>
      <c r="K15" s="176" t="s">
        <v>303</v>
      </c>
      <c r="L15" s="63"/>
    </row>
    <row r="16" spans="1:19" x14ac:dyDescent="0.25">
      <c r="E16" s="250" t="s">
        <v>234</v>
      </c>
      <c r="F16" s="148" t="s">
        <v>96</v>
      </c>
      <c r="G16" s="253" t="s">
        <v>298</v>
      </c>
      <c r="H16" s="254"/>
      <c r="I16" s="175" t="s">
        <v>303</v>
      </c>
      <c r="J16" s="270" t="s">
        <v>299</v>
      </c>
      <c r="K16" s="179" t="s">
        <v>302</v>
      </c>
    </row>
    <row r="17" spans="1:12" x14ac:dyDescent="0.25">
      <c r="E17" s="250"/>
      <c r="F17" s="148" t="s">
        <v>97</v>
      </c>
      <c r="G17" s="255"/>
      <c r="H17" s="246"/>
      <c r="I17" s="175" t="s">
        <v>303</v>
      </c>
      <c r="J17" s="269"/>
      <c r="K17" s="179" t="s">
        <v>302</v>
      </c>
    </row>
    <row r="18" spans="1:12" x14ac:dyDescent="0.25">
      <c r="E18" s="250"/>
      <c r="F18" s="148" t="s">
        <v>98</v>
      </c>
      <c r="G18" s="255"/>
      <c r="H18" s="246"/>
      <c r="I18" s="175" t="s">
        <v>303</v>
      </c>
      <c r="J18" s="269"/>
      <c r="K18" s="179" t="s">
        <v>302</v>
      </c>
    </row>
    <row r="19" spans="1:12" ht="15.75" thickBot="1" x14ac:dyDescent="0.3">
      <c r="A19" s="146"/>
      <c r="B19" s="146"/>
      <c r="C19" s="146"/>
      <c r="D19" s="146"/>
      <c r="E19" s="252"/>
      <c r="F19" s="147" t="s">
        <v>99</v>
      </c>
      <c r="G19" s="256"/>
      <c r="H19" s="248"/>
      <c r="I19" s="177" t="s">
        <v>303</v>
      </c>
      <c r="J19" s="234"/>
      <c r="K19" s="177" t="s">
        <v>303</v>
      </c>
      <c r="L19" s="146"/>
    </row>
    <row r="20" spans="1:12" ht="15.75" thickBot="1" x14ac:dyDescent="0.3">
      <c r="A20" s="192" t="s">
        <v>321</v>
      </c>
      <c r="B20" s="191"/>
      <c r="C20" s="191"/>
      <c r="D20" s="146"/>
      <c r="E20" s="159"/>
      <c r="F20" s="147"/>
      <c r="G20" s="191">
        <v>113.5</v>
      </c>
      <c r="H20" s="146"/>
      <c r="I20" s="190">
        <v>0.69569999999999999</v>
      </c>
      <c r="J20" s="146"/>
      <c r="K20" s="190">
        <v>4.0599999999999997E-2</v>
      </c>
      <c r="L20" s="146"/>
    </row>
    <row r="21" spans="1:12" x14ac:dyDescent="0.25">
      <c r="A21" s="164" t="s">
        <v>293</v>
      </c>
      <c r="B21" s="161"/>
      <c r="C21" s="161"/>
      <c r="D21" s="161"/>
      <c r="E21" t="s">
        <v>232</v>
      </c>
      <c r="F21" s="148"/>
      <c r="G21">
        <v>0</v>
      </c>
      <c r="I21" s="156">
        <v>0</v>
      </c>
      <c r="K21" s="156">
        <v>0</v>
      </c>
    </row>
    <row r="22" spans="1:12" x14ac:dyDescent="0.25">
      <c r="E22" t="s">
        <v>233</v>
      </c>
      <c r="F22" s="148"/>
      <c r="G22">
        <v>0</v>
      </c>
      <c r="I22" s="156">
        <v>0</v>
      </c>
      <c r="K22" s="156">
        <v>0</v>
      </c>
    </row>
    <row r="23" spans="1:12" ht="15.75" thickBot="1" x14ac:dyDescent="0.3">
      <c r="A23" s="146"/>
      <c r="B23" s="146"/>
      <c r="C23" s="146"/>
      <c r="D23" s="146"/>
      <c r="E23" s="146" t="s">
        <v>234</v>
      </c>
      <c r="F23" s="147"/>
      <c r="G23" s="146">
        <v>0</v>
      </c>
      <c r="H23" s="146"/>
      <c r="I23" s="155">
        <v>0</v>
      </c>
      <c r="J23" s="146"/>
      <c r="K23" s="155">
        <v>0</v>
      </c>
      <c r="L23" s="146"/>
    </row>
    <row r="24" spans="1:12" x14ac:dyDescent="0.25">
      <c r="A24" s="163" t="s">
        <v>297</v>
      </c>
      <c r="B24" s="160"/>
      <c r="C24" s="160"/>
      <c r="D24" s="150"/>
      <c r="E24" s="249" t="s">
        <v>232</v>
      </c>
      <c r="F24" s="151" t="s">
        <v>96</v>
      </c>
      <c r="G24" s="150">
        <v>0</v>
      </c>
      <c r="H24" s="150"/>
      <c r="I24" s="157">
        <v>0</v>
      </c>
      <c r="J24" s="150"/>
      <c r="K24" s="157">
        <v>0</v>
      </c>
      <c r="L24" s="150"/>
    </row>
    <row r="25" spans="1:12" x14ac:dyDescent="0.25">
      <c r="A25" s="59"/>
      <c r="B25" s="59"/>
      <c r="C25" s="59"/>
      <c r="D25" s="59"/>
      <c r="E25" s="250"/>
      <c r="F25" s="148" t="s">
        <v>97</v>
      </c>
      <c r="G25" s="59">
        <v>0</v>
      </c>
      <c r="H25" s="59"/>
      <c r="I25" s="156">
        <v>0</v>
      </c>
      <c r="J25" s="59"/>
      <c r="K25" s="156">
        <v>0</v>
      </c>
      <c r="L25" s="59"/>
    </row>
    <row r="26" spans="1:12" x14ac:dyDescent="0.25">
      <c r="A26" s="59"/>
      <c r="B26" s="59"/>
      <c r="C26" s="59"/>
      <c r="D26" s="59"/>
      <c r="E26" s="250"/>
      <c r="F26" s="148" t="s">
        <v>98</v>
      </c>
      <c r="G26" s="59">
        <v>0</v>
      </c>
      <c r="H26" s="59"/>
      <c r="I26" s="156">
        <v>0</v>
      </c>
      <c r="J26" s="59"/>
      <c r="K26" s="156">
        <v>0</v>
      </c>
      <c r="L26" s="59"/>
    </row>
    <row r="27" spans="1:12" x14ac:dyDescent="0.25">
      <c r="A27" s="63"/>
      <c r="B27" s="63"/>
      <c r="C27" s="63"/>
      <c r="D27" s="63"/>
      <c r="E27" s="251"/>
      <c r="F27" s="149" t="s">
        <v>99</v>
      </c>
      <c r="G27" s="63">
        <v>0</v>
      </c>
      <c r="H27" s="63"/>
      <c r="I27" s="158">
        <v>0</v>
      </c>
      <c r="J27" s="63"/>
      <c r="K27" s="158">
        <v>0</v>
      </c>
      <c r="L27" s="63"/>
    </row>
    <row r="28" spans="1:12" x14ac:dyDescent="0.25">
      <c r="A28" s="59"/>
      <c r="B28" s="59"/>
      <c r="C28" s="59"/>
      <c r="D28" s="59"/>
      <c r="E28" s="250" t="s">
        <v>233</v>
      </c>
      <c r="F28" s="148" t="s">
        <v>96</v>
      </c>
      <c r="G28" s="59">
        <v>0</v>
      </c>
      <c r="H28" s="59"/>
      <c r="I28" s="156">
        <v>0</v>
      </c>
      <c r="J28" s="59"/>
      <c r="K28" s="156">
        <v>0</v>
      </c>
      <c r="L28" s="59"/>
    </row>
    <row r="29" spans="1:12" x14ac:dyDescent="0.25">
      <c r="A29" s="59"/>
      <c r="B29" s="59"/>
      <c r="C29" s="59"/>
      <c r="D29" s="59"/>
      <c r="E29" s="250"/>
      <c r="F29" s="148" t="s">
        <v>97</v>
      </c>
      <c r="G29" s="59">
        <v>0</v>
      </c>
      <c r="H29" s="59"/>
      <c r="I29" s="156">
        <v>0</v>
      </c>
      <c r="J29" s="59"/>
      <c r="K29" s="156">
        <v>0</v>
      </c>
      <c r="L29" s="59"/>
    </row>
    <row r="30" spans="1:12" x14ac:dyDescent="0.25">
      <c r="A30" s="59"/>
      <c r="B30" s="59"/>
      <c r="C30" s="59"/>
      <c r="D30" s="59"/>
      <c r="E30" s="250"/>
      <c r="F30" s="148" t="s">
        <v>98</v>
      </c>
      <c r="G30" s="59">
        <v>0</v>
      </c>
      <c r="H30" s="59"/>
      <c r="I30" s="156">
        <v>0</v>
      </c>
      <c r="J30" s="59"/>
      <c r="K30" s="156">
        <v>0</v>
      </c>
      <c r="L30" s="59"/>
    </row>
    <row r="31" spans="1:12" x14ac:dyDescent="0.25">
      <c r="A31" s="63"/>
      <c r="B31" s="63"/>
      <c r="C31" s="63"/>
      <c r="D31" s="63"/>
      <c r="E31" s="251"/>
      <c r="F31" s="149" t="s">
        <v>99</v>
      </c>
      <c r="G31" s="63">
        <v>0</v>
      </c>
      <c r="H31" s="63"/>
      <c r="I31" s="158">
        <v>0</v>
      </c>
      <c r="J31" s="63"/>
      <c r="K31" s="158">
        <v>0</v>
      </c>
      <c r="L31" s="63"/>
    </row>
    <row r="32" spans="1:12" x14ac:dyDescent="0.25">
      <c r="E32" s="250" t="s">
        <v>234</v>
      </c>
      <c r="F32" s="148" t="s">
        <v>96</v>
      </c>
      <c r="G32">
        <v>0</v>
      </c>
      <c r="I32" s="156">
        <v>0</v>
      </c>
      <c r="K32" s="156">
        <v>0</v>
      </c>
    </row>
    <row r="33" spans="1:12" x14ac:dyDescent="0.25">
      <c r="E33" s="250"/>
      <c r="F33" s="148" t="s">
        <v>97</v>
      </c>
      <c r="G33">
        <v>0</v>
      </c>
      <c r="I33" s="156">
        <v>0</v>
      </c>
      <c r="K33" s="156">
        <v>0</v>
      </c>
    </row>
    <row r="34" spans="1:12" x14ac:dyDescent="0.25">
      <c r="E34" s="250"/>
      <c r="F34" s="148" t="s">
        <v>98</v>
      </c>
      <c r="G34">
        <v>0</v>
      </c>
      <c r="I34" s="156">
        <v>0</v>
      </c>
      <c r="K34" s="156">
        <v>0</v>
      </c>
    </row>
    <row r="35" spans="1:12" ht="15.75" thickBot="1" x14ac:dyDescent="0.3">
      <c r="A35" s="146"/>
      <c r="B35" s="146"/>
      <c r="C35" s="146"/>
      <c r="D35" s="146"/>
      <c r="E35" s="252"/>
      <c r="F35" s="147" t="s">
        <v>99</v>
      </c>
      <c r="G35" s="146">
        <v>0</v>
      </c>
      <c r="H35" s="146"/>
      <c r="I35" s="155">
        <v>0</v>
      </c>
      <c r="J35" s="146"/>
      <c r="K35" s="155">
        <v>0</v>
      </c>
      <c r="L35" s="146"/>
    </row>
    <row r="36" spans="1:12" x14ac:dyDescent="0.25">
      <c r="A36" s="162" t="s">
        <v>294</v>
      </c>
      <c r="B36" s="150" t="s">
        <v>296</v>
      </c>
      <c r="C36" s="150"/>
      <c r="D36" s="150"/>
      <c r="E36" s="249" t="s">
        <v>216</v>
      </c>
      <c r="F36" s="151" t="s">
        <v>96</v>
      </c>
      <c r="G36" s="152">
        <v>178344</v>
      </c>
      <c r="H36" s="150"/>
      <c r="I36" s="243" t="s">
        <v>298</v>
      </c>
      <c r="J36" s="244"/>
      <c r="K36" s="243" t="s">
        <v>298</v>
      </c>
      <c r="L36" s="244"/>
    </row>
    <row r="37" spans="1:12" x14ac:dyDescent="0.25">
      <c r="A37" s="59"/>
      <c r="B37" s="59" t="s">
        <v>295</v>
      </c>
      <c r="C37" s="59"/>
      <c r="D37" s="59"/>
      <c r="E37" s="250"/>
      <c r="F37" s="148" t="s">
        <v>97</v>
      </c>
      <c r="G37" s="153">
        <v>42746</v>
      </c>
      <c r="H37" s="59"/>
      <c r="I37" s="245"/>
      <c r="J37" s="246"/>
      <c r="K37" s="245"/>
      <c r="L37" s="246"/>
    </row>
    <row r="38" spans="1:12" x14ac:dyDescent="0.25">
      <c r="A38" s="59"/>
      <c r="B38" s="59"/>
      <c r="C38" s="59"/>
      <c r="D38" s="59"/>
      <c r="E38" s="250"/>
      <c r="F38" s="148" t="s">
        <v>98</v>
      </c>
      <c r="G38" s="153">
        <v>17321</v>
      </c>
      <c r="H38" s="59"/>
      <c r="I38" s="245"/>
      <c r="J38" s="246"/>
      <c r="K38" s="245"/>
      <c r="L38" s="246"/>
    </row>
    <row r="39" spans="1:12" x14ac:dyDescent="0.25">
      <c r="A39" s="63"/>
      <c r="B39" s="63"/>
      <c r="C39" s="63"/>
      <c r="D39" s="63"/>
      <c r="E39" s="251"/>
      <c r="F39" s="149" t="s">
        <v>99</v>
      </c>
      <c r="G39" s="154">
        <v>9693</v>
      </c>
      <c r="H39" s="63"/>
      <c r="I39" s="266"/>
      <c r="J39" s="258"/>
      <c r="K39" s="266"/>
      <c r="L39" s="258"/>
    </row>
    <row r="40" spans="1:12" x14ac:dyDescent="0.25">
      <c r="A40" s="59"/>
      <c r="B40" s="59"/>
      <c r="C40" s="59"/>
      <c r="D40" s="59"/>
      <c r="E40" s="250" t="s">
        <v>217</v>
      </c>
      <c r="F40" s="148" t="s">
        <v>96</v>
      </c>
      <c r="G40" s="153">
        <v>35803</v>
      </c>
      <c r="H40" s="59"/>
      <c r="I40" s="267" t="s">
        <v>298</v>
      </c>
      <c r="J40" s="254"/>
      <c r="K40" s="267" t="s">
        <v>298</v>
      </c>
      <c r="L40" s="254"/>
    </row>
    <row r="41" spans="1:12" x14ac:dyDescent="0.25">
      <c r="A41" s="59"/>
      <c r="B41" s="59"/>
      <c r="C41" s="59"/>
      <c r="D41" s="59"/>
      <c r="E41" s="250"/>
      <c r="F41" s="148" t="s">
        <v>97</v>
      </c>
      <c r="G41" s="153">
        <v>14237</v>
      </c>
      <c r="H41" s="59"/>
      <c r="I41" s="245"/>
      <c r="J41" s="246"/>
      <c r="K41" s="245"/>
      <c r="L41" s="246"/>
    </row>
    <row r="42" spans="1:12" x14ac:dyDescent="0.25">
      <c r="A42" s="59"/>
      <c r="B42" s="59"/>
      <c r="C42" s="59"/>
      <c r="D42" s="59"/>
      <c r="E42" s="250"/>
      <c r="F42" s="148" t="s">
        <v>98</v>
      </c>
      <c r="G42" s="153">
        <v>10194</v>
      </c>
      <c r="H42" s="59"/>
      <c r="I42" s="245"/>
      <c r="J42" s="246"/>
      <c r="K42" s="245"/>
      <c r="L42" s="246"/>
    </row>
    <row r="43" spans="1:12" x14ac:dyDescent="0.25">
      <c r="A43" s="63"/>
      <c r="B43" s="63"/>
      <c r="C43" s="63"/>
      <c r="D43" s="63"/>
      <c r="E43" s="251"/>
      <c r="F43" s="149" t="s">
        <v>99</v>
      </c>
      <c r="G43" s="154">
        <v>8981</v>
      </c>
      <c r="H43" s="63"/>
      <c r="I43" s="266"/>
      <c r="J43" s="258"/>
      <c r="K43" s="266"/>
      <c r="L43" s="258"/>
    </row>
    <row r="44" spans="1:12" x14ac:dyDescent="0.25">
      <c r="A44" s="59"/>
      <c r="B44" s="59"/>
      <c r="C44" s="59"/>
      <c r="D44" s="59"/>
      <c r="E44" s="250" t="s">
        <v>214</v>
      </c>
      <c r="F44" s="148" t="s">
        <v>96</v>
      </c>
      <c r="G44" s="253" t="s">
        <v>298</v>
      </c>
      <c r="H44" s="254"/>
      <c r="I44" s="259">
        <v>57748</v>
      </c>
      <c r="J44" s="59"/>
      <c r="K44" s="259">
        <v>58000</v>
      </c>
      <c r="L44" s="59"/>
    </row>
    <row r="45" spans="1:12" x14ac:dyDescent="0.25">
      <c r="A45" s="59"/>
      <c r="B45" s="59"/>
      <c r="C45" s="59"/>
      <c r="D45" s="59"/>
      <c r="E45" s="250"/>
      <c r="F45" s="148" t="s">
        <v>97</v>
      </c>
      <c r="G45" s="255"/>
      <c r="H45" s="246"/>
      <c r="I45" s="260"/>
      <c r="J45" s="59"/>
      <c r="K45" s="260"/>
      <c r="L45" s="59"/>
    </row>
    <row r="46" spans="1:12" x14ac:dyDescent="0.25">
      <c r="A46" s="59"/>
      <c r="B46" s="59"/>
      <c r="C46" s="59"/>
      <c r="D46" s="59"/>
      <c r="E46" s="250"/>
      <c r="F46" s="148" t="s">
        <v>98</v>
      </c>
      <c r="G46" s="255"/>
      <c r="H46" s="246"/>
      <c r="I46" s="260"/>
      <c r="J46" s="59"/>
      <c r="K46" s="260"/>
      <c r="L46" s="59"/>
    </row>
    <row r="47" spans="1:12" x14ac:dyDescent="0.25">
      <c r="A47" s="63"/>
      <c r="B47" s="63"/>
      <c r="C47" s="63"/>
      <c r="D47" s="63"/>
      <c r="E47" s="251"/>
      <c r="F47" s="149" t="s">
        <v>99</v>
      </c>
      <c r="G47" s="257"/>
      <c r="H47" s="258"/>
      <c r="I47" s="261"/>
      <c r="J47" s="63"/>
      <c r="K47" s="261"/>
      <c r="L47" s="63"/>
    </row>
    <row r="48" spans="1:12" x14ac:dyDescent="0.25">
      <c r="A48" s="59"/>
      <c r="B48" s="59"/>
      <c r="C48" s="59"/>
      <c r="D48" s="59"/>
      <c r="E48" s="250" t="s">
        <v>215</v>
      </c>
      <c r="F48" s="148" t="s">
        <v>96</v>
      </c>
      <c r="G48" s="253" t="s">
        <v>298</v>
      </c>
      <c r="H48" s="254"/>
      <c r="I48" s="262">
        <v>11598</v>
      </c>
      <c r="J48" s="59"/>
      <c r="K48" s="259">
        <v>11850</v>
      </c>
      <c r="L48" s="59"/>
    </row>
    <row r="49" spans="1:12" x14ac:dyDescent="0.25">
      <c r="A49" s="59"/>
      <c r="B49" s="59"/>
      <c r="C49" s="59"/>
      <c r="D49" s="59"/>
      <c r="E49" s="250"/>
      <c r="F49" s="148" t="s">
        <v>97</v>
      </c>
      <c r="G49" s="255"/>
      <c r="H49" s="246"/>
      <c r="I49" s="263"/>
      <c r="J49" s="59"/>
      <c r="K49" s="260"/>
      <c r="L49" s="59"/>
    </row>
    <row r="50" spans="1:12" x14ac:dyDescent="0.25">
      <c r="A50" s="59"/>
      <c r="B50" s="59"/>
      <c r="C50" s="59"/>
      <c r="D50" s="59"/>
      <c r="E50" s="250"/>
      <c r="F50" s="148" t="s">
        <v>98</v>
      </c>
      <c r="G50" s="255"/>
      <c r="H50" s="246"/>
      <c r="I50" s="263"/>
      <c r="J50" s="59"/>
      <c r="K50" s="260"/>
      <c r="L50" s="59"/>
    </row>
    <row r="51" spans="1:12" ht="15.75" thickBot="1" x14ac:dyDescent="0.3">
      <c r="A51" s="146"/>
      <c r="B51" s="146"/>
      <c r="C51" s="146"/>
      <c r="D51" s="146"/>
      <c r="E51" s="252"/>
      <c r="F51" s="147" t="s">
        <v>99</v>
      </c>
      <c r="G51" s="256"/>
      <c r="H51" s="248"/>
      <c r="I51" s="264"/>
      <c r="J51" s="146"/>
      <c r="K51" s="265"/>
      <c r="L51" s="146"/>
    </row>
  </sheetData>
  <mergeCells count="27">
    <mergeCell ref="A9:C10"/>
    <mergeCell ref="G8:H11"/>
    <mergeCell ref="G12:H15"/>
    <mergeCell ref="G16:H19"/>
    <mergeCell ref="J8:J11"/>
    <mergeCell ref="J12:J15"/>
    <mergeCell ref="J16:J19"/>
    <mergeCell ref="E8:E11"/>
    <mergeCell ref="E12:E15"/>
    <mergeCell ref="E16:E19"/>
    <mergeCell ref="K44:K47"/>
    <mergeCell ref="K48:K51"/>
    <mergeCell ref="I36:J39"/>
    <mergeCell ref="I40:J43"/>
    <mergeCell ref="K36:L39"/>
    <mergeCell ref="K40:L43"/>
    <mergeCell ref="E48:E51"/>
    <mergeCell ref="G48:H51"/>
    <mergeCell ref="G44:H47"/>
    <mergeCell ref="I44:I47"/>
    <mergeCell ref="I48:I51"/>
    <mergeCell ref="E44:E47"/>
    <mergeCell ref="E24:E27"/>
    <mergeCell ref="E28:E31"/>
    <mergeCell ref="E32:E35"/>
    <mergeCell ref="E36:E39"/>
    <mergeCell ref="E40:E43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BF3C322DBF4344D94830E1BCD0749E4" ma:contentTypeVersion="13" ma:contentTypeDescription="Luo uusi asiakirja." ma:contentTypeScope="" ma:versionID="8d8a7938cb530af19f76ceead88e5683">
  <xsd:schema xmlns:xsd="http://www.w3.org/2001/XMLSchema" xmlns:xs="http://www.w3.org/2001/XMLSchema" xmlns:p="http://schemas.microsoft.com/office/2006/metadata/properties" xmlns:ns3="661b2308-19a4-451e-9dbb-a229fa0a74bf" xmlns:ns4="11b1e898-917f-4713-bbff-91e9b4b4ce8c" targetNamespace="http://schemas.microsoft.com/office/2006/metadata/properties" ma:root="true" ma:fieldsID="253492f4c682139bb37b75f64f4610c5" ns3:_="" ns4:_="">
    <xsd:import namespace="661b2308-19a4-451e-9dbb-a229fa0a74bf"/>
    <xsd:import namespace="11b1e898-917f-4713-bbff-91e9b4b4c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308-19a4-451e-9dbb-a229fa0a7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1e898-917f-4713-bbff-91e9b4b4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4DAEE-51E7-4AC3-9F58-2C0727E39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b2308-19a4-451e-9dbb-a229fa0a74bf"/>
    <ds:schemaRef ds:uri="11b1e898-917f-4713-bbff-91e9b4b4c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47AD90-0E1E-4B29-A64D-B91F346881CF}">
  <ds:schemaRefs>
    <ds:schemaRef ds:uri="661b2308-19a4-451e-9dbb-a229fa0a74bf"/>
    <ds:schemaRef ds:uri="http://purl.org/dc/terms/"/>
    <ds:schemaRef ds:uri="http://purl.org/dc/dcmitype/"/>
    <ds:schemaRef ds:uri="11b1e898-917f-4713-bbff-91e9b4b4ce8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3E9345-7484-47C9-A14D-79BBCC1E7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Reqs. datarate</vt:lpstr>
      <vt:lpstr>Reqs. energy</vt:lpstr>
      <vt:lpstr>Monthly data</vt:lpstr>
      <vt:lpstr>NB-IoT NPUSCH TBS table</vt:lpstr>
      <vt:lpstr>TS-UNB</vt:lpstr>
      <vt:lpstr>LoRaWAN</vt:lpstr>
      <vt:lpstr>Energy</vt:lpstr>
      <vt:lpstr>Costs1</vt:lpstr>
      <vt:lpstr>Costs2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2020-10-15T12:01:00.0926646Z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f5d1fb84-fb3b-42f7-85b5-1df1f806820b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2020-10-15T12:01:00.0926646Z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f5d1fb84-fb3b-42f7-85b5-1df1f806820b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  <property fmtid="{D5CDD505-2E9C-101B-9397-08002B2CF9AE}" pid="20" name="ContentTypeId">
    <vt:lpwstr>0x0101007BF3C322DBF4344D94830E1BCD0749E4</vt:lpwstr>
  </property>
</Properties>
</file>